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ublicfiles\pubfds\DEAR\BMAP\IndianRiverLagoon\Allocations\2020_ProjectReductions\"/>
    </mc:Choice>
  </mc:AlternateContent>
  <xr:revisionPtr revIDLastSave="0" documentId="13_ncr:1_{EC8B74C9-E79A-4333-8FC2-85C8014EBB3B}" xr6:coauthVersionLast="45" xr6:coauthVersionMax="45" xr10:uidLastSave="{00000000-0000-0000-0000-000000000000}"/>
  <bookViews>
    <workbookView minimized="1" xWindow="-25380" yWindow="1575" windowWidth="21600" windowHeight="11385" firstSheet="2" activeTab="2" xr2:uid="{00000000-000D-0000-FFFF-FFFF00000000}"/>
  </bookViews>
  <sheets>
    <sheet name="Notes" sheetId="43" r:id="rId1"/>
    <sheet name="New Required Reductions" sheetId="64" r:id="rId2"/>
    <sheet name="BIRL Summary" sheetId="56" r:id="rId3"/>
    <sheet name="2020 Pivot Load Summary" sheetId="66" r:id="rId4"/>
    <sheet name="2020 GIS Load Estimation" sheetId="65" r:id="rId5"/>
    <sheet name="Retention, Trains, and Swales" sheetId="59" r:id="rId6"/>
    <sheet name="Wet Detention Calcs" sheetId="57" r:id="rId7"/>
    <sheet name="CB-04" sheetId="61" r:id="rId8"/>
    <sheet name="CB-06" sheetId="63" r:id="rId9"/>
    <sheet name="Reuse Calcs" sheetId="23" r:id="rId10"/>
    <sheet name="Street Sweeping and CO" sheetId="58" r:id="rId11"/>
    <sheet name="Education" sheetId="60" r:id="rId12"/>
    <sheet name="OSTDS Conversion" sheetId="41" r:id="rId13"/>
  </sheets>
  <externalReferences>
    <externalReference r:id="rId14"/>
    <externalReference r:id="rId15"/>
  </externalReferences>
  <definedNames>
    <definedName name="_xlnm._FilterDatabase" localSheetId="2" hidden="1">'BIRL Summary'!$A$1:$M$44</definedName>
    <definedName name="EMCN">[1]EMCs!$A$3:$B$18</definedName>
    <definedName name="EMCP">[1]EMCs!$A$3:$C$18</definedName>
    <definedName name="FLUCCS" localSheetId="0">[2]FLUCCS!$A$1:$B$500</definedName>
    <definedName name="FLUCCS">[1]FLUCCS!$A$1:$B$500</definedName>
    <definedName name="HEMC">[1]Conformance!$A$2:$B$118</definedName>
    <definedName name="HROC">[1]Conformance!$C:$D</definedName>
  </definedNames>
  <calcPr calcId="191029"/>
  <pivotCaches>
    <pivotCache cacheId="2" r:id="rId16"/>
  </pivotCache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9" i="56" l="1"/>
  <c r="F39" i="56"/>
  <c r="G5" i="64"/>
  <c r="F5" i="64"/>
  <c r="C5" i="64"/>
  <c r="B5" i="64"/>
  <c r="I36" i="56"/>
  <c r="I26" i="56"/>
  <c r="I18" i="56"/>
  <c r="I10" i="56"/>
  <c r="F40" i="56"/>
  <c r="F28" i="56"/>
  <c r="F20" i="56"/>
  <c r="F12" i="56"/>
  <c r="F4" i="56"/>
  <c r="E30" i="56"/>
  <c r="E22" i="56"/>
  <c r="E14" i="56"/>
  <c r="E6" i="56"/>
  <c r="I31" i="56"/>
  <c r="I7" i="56"/>
  <c r="F17" i="56"/>
  <c r="E37" i="56"/>
  <c r="E11" i="56"/>
  <c r="I22" i="56"/>
  <c r="F16" i="56"/>
  <c r="E36" i="56"/>
  <c r="I2" i="56"/>
  <c r="I4" i="56"/>
  <c r="E24" i="56"/>
  <c r="I11" i="56"/>
  <c r="F5" i="56"/>
  <c r="I34" i="56"/>
  <c r="I25" i="56"/>
  <c r="I17" i="56"/>
  <c r="I9" i="56"/>
  <c r="F37" i="56"/>
  <c r="F27" i="56"/>
  <c r="F19" i="56"/>
  <c r="F11" i="56"/>
  <c r="F3" i="56"/>
  <c r="E29" i="56"/>
  <c r="E21" i="56"/>
  <c r="E13" i="56"/>
  <c r="E5" i="56"/>
  <c r="I23" i="56"/>
  <c r="F34" i="56"/>
  <c r="F9" i="56"/>
  <c r="E19" i="56"/>
  <c r="I14" i="56"/>
  <c r="F8" i="56"/>
  <c r="E10" i="56"/>
  <c r="I40" i="56"/>
  <c r="E33" i="56"/>
  <c r="I19" i="56"/>
  <c r="E31" i="56"/>
  <c r="I33" i="56"/>
  <c r="I24" i="56"/>
  <c r="I16" i="56"/>
  <c r="I8" i="56"/>
  <c r="F36" i="56"/>
  <c r="F26" i="56"/>
  <c r="F18" i="56"/>
  <c r="F10" i="56"/>
  <c r="E40" i="56"/>
  <c r="E28" i="56"/>
  <c r="E20" i="56"/>
  <c r="E12" i="56"/>
  <c r="E4" i="56"/>
  <c r="I15" i="56"/>
  <c r="F25" i="56"/>
  <c r="E27" i="56"/>
  <c r="E3" i="56"/>
  <c r="F24" i="56"/>
  <c r="E18" i="56"/>
  <c r="I20" i="56"/>
  <c r="F30" i="56"/>
  <c r="E8" i="56"/>
  <c r="F29" i="56"/>
  <c r="E23" i="56"/>
  <c r="I6" i="56"/>
  <c r="F22" i="56"/>
  <c r="E16" i="56"/>
  <c r="I27" i="56"/>
  <c r="F13" i="56"/>
  <c r="E15" i="56"/>
  <c r="I30" i="56"/>
  <c r="F33" i="56"/>
  <c r="E26" i="56"/>
  <c r="I28" i="56"/>
  <c r="F14" i="56"/>
  <c r="E2" i="56"/>
  <c r="I3" i="56"/>
  <c r="I29" i="56"/>
  <c r="I21" i="56"/>
  <c r="I13" i="56"/>
  <c r="I5" i="56"/>
  <c r="F31" i="56"/>
  <c r="F23" i="56"/>
  <c r="F15" i="56"/>
  <c r="F7" i="56"/>
  <c r="E34" i="56"/>
  <c r="E25" i="56"/>
  <c r="E17" i="56"/>
  <c r="E9" i="56"/>
  <c r="F2" i="56"/>
  <c r="I12" i="56"/>
  <c r="F6" i="56"/>
  <c r="I37" i="56"/>
  <c r="F21" i="56"/>
  <c r="E7" i="56"/>
  <c r="K37" i="56" l="1"/>
  <c r="H6" i="56"/>
  <c r="H2" i="56"/>
  <c r="H23" i="56"/>
  <c r="K6" i="56"/>
  <c r="H24" i="56"/>
  <c r="H36" i="56"/>
  <c r="K24" i="56"/>
  <c r="K23" i="56"/>
  <c r="H37" i="56"/>
  <c r="K4" i="56"/>
  <c r="K2" i="56"/>
  <c r="H4" i="56"/>
  <c r="K36" i="56"/>
  <c r="J7" i="56"/>
  <c r="K7" i="56" s="1"/>
  <c r="G7" i="56"/>
  <c r="H7" i="56" s="1"/>
  <c r="J5" i="56"/>
  <c r="K5" i="56" s="1"/>
  <c r="G5" i="56"/>
  <c r="H5" i="56" s="1"/>
  <c r="D32" i="63"/>
  <c r="E29" i="63" s="1"/>
  <c r="G29" i="63" s="1"/>
  <c r="I2" i="63"/>
  <c r="E6" i="63" l="1"/>
  <c r="E7" i="63"/>
  <c r="G7" i="63" s="1"/>
  <c r="E9" i="63"/>
  <c r="G9" i="63" s="1"/>
  <c r="E10" i="63"/>
  <c r="G10" i="63" s="1"/>
  <c r="E8" i="63"/>
  <c r="G8" i="63" s="1"/>
  <c r="E20" i="63"/>
  <c r="G20" i="63" s="1"/>
  <c r="E11" i="63"/>
  <c r="G11" i="63" s="1"/>
  <c r="E12" i="63"/>
  <c r="G12" i="63" s="1"/>
  <c r="E19" i="63"/>
  <c r="G19" i="63" s="1"/>
  <c r="E13" i="63"/>
  <c r="G13" i="63" s="1"/>
  <c r="E18" i="63"/>
  <c r="G18" i="63" s="1"/>
  <c r="E14" i="63"/>
  <c r="G14" i="63" s="1"/>
  <c r="E22" i="63"/>
  <c r="G22" i="63" s="1"/>
  <c r="E15" i="63"/>
  <c r="G15" i="63" s="1"/>
  <c r="E23" i="63"/>
  <c r="G23" i="63" s="1"/>
  <c r="E16" i="63"/>
  <c r="G16" i="63" s="1"/>
  <c r="E24" i="63"/>
  <c r="G24" i="63" s="1"/>
  <c r="E17" i="63"/>
  <c r="G17" i="63" s="1"/>
  <c r="E26" i="63"/>
  <c r="G26" i="63" s="1"/>
  <c r="E28" i="63"/>
  <c r="G28" i="63" s="1"/>
  <c r="E21" i="63"/>
  <c r="G21" i="63" s="1"/>
  <c r="E30" i="63"/>
  <c r="G30" i="63" s="1"/>
  <c r="G6" i="63"/>
  <c r="E27" i="63"/>
  <c r="G27" i="63" s="1"/>
  <c r="E31" i="63"/>
  <c r="G31" i="63" s="1"/>
  <c r="E25" i="63"/>
  <c r="G25" i="63" s="1"/>
  <c r="J34" i="56"/>
  <c r="K34" i="56" s="1"/>
  <c r="G34" i="56"/>
  <c r="H34" i="56" s="1"/>
  <c r="J33" i="56"/>
  <c r="K33" i="56" s="1"/>
  <c r="G33" i="56"/>
  <c r="H33" i="56" s="1"/>
  <c r="J9" i="56"/>
  <c r="K9" i="56" s="1"/>
  <c r="J10" i="56"/>
  <c r="K10" i="56" s="1"/>
  <c r="J11" i="56"/>
  <c r="K11" i="56" s="1"/>
  <c r="J12" i="56"/>
  <c r="K12" i="56" s="1"/>
  <c r="J13" i="56"/>
  <c r="K13" i="56" s="1"/>
  <c r="J14" i="56"/>
  <c r="K14" i="56" s="1"/>
  <c r="J19" i="56"/>
  <c r="K19" i="56" s="1"/>
  <c r="G9" i="56"/>
  <c r="H9" i="56" s="1"/>
  <c r="G10" i="56"/>
  <c r="H10" i="56" s="1"/>
  <c r="G11" i="56"/>
  <c r="H11" i="56" s="1"/>
  <c r="G12" i="56"/>
  <c r="H12" i="56" s="1"/>
  <c r="G13" i="56"/>
  <c r="H13" i="56" s="1"/>
  <c r="G14" i="56"/>
  <c r="H14" i="56" s="1"/>
  <c r="G19" i="56"/>
  <c r="H19" i="56" s="1"/>
  <c r="F20" i="59"/>
  <c r="G27" i="56" s="1"/>
  <c r="H27" i="56" s="1"/>
  <c r="J27" i="56" l="1"/>
  <c r="K27" i="56" s="1"/>
  <c r="F32" i="63"/>
  <c r="E32" i="63"/>
  <c r="G32" i="63"/>
  <c r="H6" i="63" s="1"/>
  <c r="I6" i="63" s="1"/>
  <c r="K6" i="63" s="1"/>
  <c r="N6" i="63" s="1"/>
  <c r="D2" i="63" s="1"/>
  <c r="J2" i="63" s="1"/>
  <c r="J6" i="63" l="1"/>
  <c r="L6" i="63"/>
  <c r="M6" i="63" s="1"/>
  <c r="E2" i="63" s="1"/>
  <c r="F30" i="59" l="1"/>
  <c r="F3" i="59"/>
  <c r="I4" i="59"/>
  <c r="K4" i="59" s="1"/>
  <c r="P4" i="59" s="1"/>
  <c r="R4" i="59" s="1"/>
  <c r="I5" i="59"/>
  <c r="K5" i="59" s="1"/>
  <c r="P5" i="59" s="1"/>
  <c r="R5" i="59" s="1"/>
  <c r="I6" i="59"/>
  <c r="K6" i="59" s="1"/>
  <c r="P6" i="59" s="1"/>
  <c r="R6" i="59" s="1"/>
  <c r="I7" i="59"/>
  <c r="K7" i="59" s="1"/>
  <c r="P7" i="59" s="1"/>
  <c r="R7" i="59" s="1"/>
  <c r="I8" i="59"/>
  <c r="K8" i="59" s="1"/>
  <c r="P8" i="59" s="1"/>
  <c r="R8" i="59" s="1"/>
  <c r="I9" i="59"/>
  <c r="K9" i="59" s="1"/>
  <c r="P9" i="59" s="1"/>
  <c r="R9" i="59" s="1"/>
  <c r="F10" i="59"/>
  <c r="F11" i="59"/>
  <c r="F12" i="59"/>
  <c r="F13" i="59"/>
  <c r="I14" i="59"/>
  <c r="K14" i="59" s="1"/>
  <c r="P14" i="59" s="1"/>
  <c r="R14" i="59" s="1"/>
  <c r="F15" i="59"/>
  <c r="F16" i="59"/>
  <c r="F17" i="59"/>
  <c r="F18" i="59"/>
  <c r="F19" i="59"/>
  <c r="J20" i="59"/>
  <c r="L20" i="59" s="1"/>
  <c r="Q20" i="59" s="1"/>
  <c r="S20" i="59" s="1"/>
  <c r="F21" i="59"/>
  <c r="F22" i="59"/>
  <c r="F23" i="59"/>
  <c r="F24" i="59"/>
  <c r="I25" i="59"/>
  <c r="K25" i="59" s="1"/>
  <c r="P25" i="59" s="1"/>
  <c r="R25" i="59" s="1"/>
  <c r="I26" i="59"/>
  <c r="K26" i="59" s="1"/>
  <c r="P26" i="59" s="1"/>
  <c r="R26" i="59" s="1"/>
  <c r="F2" i="59"/>
  <c r="F28" i="59"/>
  <c r="F29" i="59"/>
  <c r="I29" i="59" l="1"/>
  <c r="K29" i="59" s="1"/>
  <c r="P29" i="59" s="1"/>
  <c r="R29" i="59" s="1"/>
  <c r="G41" i="56"/>
  <c r="H41" i="56" s="1"/>
  <c r="J41" i="56"/>
  <c r="K41" i="56" s="1"/>
  <c r="I21" i="59"/>
  <c r="K21" i="59" s="1"/>
  <c r="P21" i="59" s="1"/>
  <c r="R21" i="59" s="1"/>
  <c r="G28" i="56"/>
  <c r="H28" i="56" s="1"/>
  <c r="J28" i="56"/>
  <c r="K28" i="56" s="1"/>
  <c r="I13" i="59"/>
  <c r="K13" i="59" s="1"/>
  <c r="P13" i="59" s="1"/>
  <c r="R13" i="59" s="1"/>
  <c r="G18" i="56"/>
  <c r="H18" i="56" s="1"/>
  <c r="J18" i="56"/>
  <c r="K18" i="56" s="1"/>
  <c r="J16" i="59"/>
  <c r="L16" i="59" s="1"/>
  <c r="Q16" i="59" s="1"/>
  <c r="S16" i="59" s="1"/>
  <c r="G21" i="56"/>
  <c r="H21" i="56" s="1"/>
  <c r="J21" i="56"/>
  <c r="K21" i="56" s="1"/>
  <c r="J12" i="59"/>
  <c r="L12" i="59" s="1"/>
  <c r="Q12" i="59" s="1"/>
  <c r="S12" i="59" s="1"/>
  <c r="G17" i="56"/>
  <c r="H17" i="56" s="1"/>
  <c r="J17" i="56"/>
  <c r="K17" i="56" s="1"/>
  <c r="I2" i="59"/>
  <c r="K2" i="59" s="1"/>
  <c r="P2" i="59" s="1"/>
  <c r="R2" i="59" s="1"/>
  <c r="J3" i="56"/>
  <c r="K3" i="56" s="1"/>
  <c r="G3" i="56"/>
  <c r="H3" i="56" s="1"/>
  <c r="I23" i="59"/>
  <c r="K23" i="59" s="1"/>
  <c r="P23" i="59" s="1"/>
  <c r="R23" i="59" s="1"/>
  <c r="J30" i="56"/>
  <c r="K30" i="56" s="1"/>
  <c r="G30" i="56"/>
  <c r="H30" i="56" s="1"/>
  <c r="I19" i="59"/>
  <c r="K19" i="59" s="1"/>
  <c r="P19" i="59" s="1"/>
  <c r="R19" i="59" s="1"/>
  <c r="J26" i="56"/>
  <c r="K26" i="56" s="1"/>
  <c r="G26" i="56"/>
  <c r="H26" i="56" s="1"/>
  <c r="I15" i="59"/>
  <c r="K15" i="59" s="1"/>
  <c r="P15" i="59" s="1"/>
  <c r="R15" i="59" s="1"/>
  <c r="J20" i="56"/>
  <c r="K20" i="56" s="1"/>
  <c r="G20" i="56"/>
  <c r="H20" i="56" s="1"/>
  <c r="I11" i="59"/>
  <c r="K11" i="59" s="1"/>
  <c r="P11" i="59" s="1"/>
  <c r="R11" i="59" s="1"/>
  <c r="J16" i="56"/>
  <c r="K16" i="56" s="1"/>
  <c r="G16" i="56"/>
  <c r="H16" i="56" s="1"/>
  <c r="I3" i="59"/>
  <c r="K3" i="59" s="1"/>
  <c r="P3" i="59" s="1"/>
  <c r="R3" i="59" s="1"/>
  <c r="J8" i="56"/>
  <c r="K8" i="56" s="1"/>
  <c r="G8" i="56"/>
  <c r="H8" i="56" s="1"/>
  <c r="I17" i="59"/>
  <c r="K17" i="59" s="1"/>
  <c r="P17" i="59" s="1"/>
  <c r="R17" i="59" s="1"/>
  <c r="G22" i="56"/>
  <c r="H22" i="56" s="1"/>
  <c r="J22" i="56"/>
  <c r="K22" i="56" s="1"/>
  <c r="J28" i="59"/>
  <c r="L28" i="59" s="1"/>
  <c r="Q28" i="59" s="1"/>
  <c r="S28" i="59" s="1"/>
  <c r="G40" i="56"/>
  <c r="H40" i="56" s="1"/>
  <c r="J40" i="56"/>
  <c r="K40" i="56" s="1"/>
  <c r="I24" i="59"/>
  <c r="K24" i="59" s="1"/>
  <c r="P24" i="59" s="1"/>
  <c r="R24" i="59" s="1"/>
  <c r="J31" i="56"/>
  <c r="K31" i="56" s="1"/>
  <c r="G31" i="56"/>
  <c r="H31" i="56" s="1"/>
  <c r="I22" i="59"/>
  <c r="K22" i="59" s="1"/>
  <c r="P22" i="59" s="1"/>
  <c r="R22" i="59" s="1"/>
  <c r="J29" i="56"/>
  <c r="K29" i="56" s="1"/>
  <c r="G29" i="56"/>
  <c r="H29" i="56" s="1"/>
  <c r="I18" i="59"/>
  <c r="K18" i="59" s="1"/>
  <c r="P18" i="59" s="1"/>
  <c r="R18" i="59" s="1"/>
  <c r="J25" i="56"/>
  <c r="K25" i="56" s="1"/>
  <c r="G25" i="56"/>
  <c r="H25" i="56" s="1"/>
  <c r="I10" i="59"/>
  <c r="K10" i="59" s="1"/>
  <c r="P10" i="59" s="1"/>
  <c r="R10" i="59" s="1"/>
  <c r="J15" i="56"/>
  <c r="K15" i="56" s="1"/>
  <c r="G15" i="56"/>
  <c r="H15" i="56" s="1"/>
  <c r="J30" i="59"/>
  <c r="L30" i="59" s="1"/>
  <c r="Q30" i="59" s="1"/>
  <c r="S30" i="59" s="1"/>
  <c r="G42" i="56"/>
  <c r="H42" i="56" s="1"/>
  <c r="J42" i="56"/>
  <c r="K42" i="56" s="1"/>
  <c r="J24" i="59"/>
  <c r="L24" i="59" s="1"/>
  <c r="Q24" i="59" s="1"/>
  <c r="S24" i="59" s="1"/>
  <c r="I30" i="59"/>
  <c r="K30" i="59" s="1"/>
  <c r="P30" i="59" s="1"/>
  <c r="R30" i="59" s="1"/>
  <c r="J17" i="59"/>
  <c r="L17" i="59" s="1"/>
  <c r="Q17" i="59" s="1"/>
  <c r="S17" i="59" s="1"/>
  <c r="J6" i="59"/>
  <c r="L6" i="59" s="1"/>
  <c r="Q6" i="59" s="1"/>
  <c r="S6" i="59" s="1"/>
  <c r="J5" i="59"/>
  <c r="L5" i="59" s="1"/>
  <c r="Q5" i="59" s="1"/>
  <c r="S5" i="59" s="1"/>
  <c r="J26" i="59"/>
  <c r="L26" i="59" s="1"/>
  <c r="Q26" i="59" s="1"/>
  <c r="S26" i="59" s="1"/>
  <c r="J4" i="59"/>
  <c r="L4" i="59" s="1"/>
  <c r="Q4" i="59" s="1"/>
  <c r="S4" i="59" s="1"/>
  <c r="I20" i="59"/>
  <c r="K20" i="59" s="1"/>
  <c r="P20" i="59" s="1"/>
  <c r="R20" i="59" s="1"/>
  <c r="J8" i="59"/>
  <c r="L8" i="59" s="1"/>
  <c r="Q8" i="59" s="1"/>
  <c r="S8" i="59" s="1"/>
  <c r="J7" i="59"/>
  <c r="L7" i="59" s="1"/>
  <c r="Q7" i="59" s="1"/>
  <c r="S7" i="59" s="1"/>
  <c r="J11" i="59"/>
  <c r="L11" i="59" s="1"/>
  <c r="Q11" i="59" s="1"/>
  <c r="S11" i="59" s="1"/>
  <c r="J3" i="59"/>
  <c r="L3" i="59" s="1"/>
  <c r="Q3" i="59" s="1"/>
  <c r="S3" i="59" s="1"/>
  <c r="J10" i="59"/>
  <c r="L10" i="59" s="1"/>
  <c r="Q10" i="59" s="1"/>
  <c r="S10" i="59" s="1"/>
  <c r="J2" i="59"/>
  <c r="L2" i="59" s="1"/>
  <c r="Q2" i="59" s="1"/>
  <c r="S2" i="59" s="1"/>
  <c r="J9" i="59"/>
  <c r="L9" i="59" s="1"/>
  <c r="Q9" i="59" s="1"/>
  <c r="S9" i="59" s="1"/>
  <c r="I16" i="59"/>
  <c r="K16" i="59" s="1"/>
  <c r="P16" i="59" s="1"/>
  <c r="R16" i="59" s="1"/>
  <c r="I12" i="59"/>
  <c r="K12" i="59" s="1"/>
  <c r="P12" i="59" s="1"/>
  <c r="R12" i="59" s="1"/>
  <c r="J18" i="59"/>
  <c r="L18" i="59" s="1"/>
  <c r="Q18" i="59" s="1"/>
  <c r="S18" i="59" s="1"/>
  <c r="J25" i="59"/>
  <c r="L25" i="59" s="1"/>
  <c r="Q25" i="59" s="1"/>
  <c r="S25" i="59" s="1"/>
  <c r="J23" i="59"/>
  <c r="L23" i="59" s="1"/>
  <c r="Q23" i="59" s="1"/>
  <c r="S23" i="59" s="1"/>
  <c r="I28" i="59"/>
  <c r="K28" i="59" s="1"/>
  <c r="P28" i="59" s="1"/>
  <c r="R28" i="59" s="1"/>
  <c r="J15" i="59"/>
  <c r="L15" i="59" s="1"/>
  <c r="Q15" i="59" s="1"/>
  <c r="S15" i="59" s="1"/>
  <c r="J29" i="59"/>
  <c r="L29" i="59" s="1"/>
  <c r="Q29" i="59" s="1"/>
  <c r="S29" i="59" s="1"/>
  <c r="J22" i="59"/>
  <c r="L22" i="59" s="1"/>
  <c r="Q22" i="59" s="1"/>
  <c r="S22" i="59" s="1"/>
  <c r="J14" i="59"/>
  <c r="L14" i="59" s="1"/>
  <c r="Q14" i="59" s="1"/>
  <c r="S14" i="59" s="1"/>
  <c r="J21" i="59"/>
  <c r="L21" i="59" s="1"/>
  <c r="Q21" i="59" s="1"/>
  <c r="S21" i="59" s="1"/>
  <c r="J13" i="59"/>
  <c r="L13" i="59" s="1"/>
  <c r="Q13" i="59" s="1"/>
  <c r="S13" i="59" s="1"/>
  <c r="J19" i="59"/>
  <c r="L19" i="59" s="1"/>
  <c r="Q19" i="59" s="1"/>
  <c r="S19" i="59" s="1"/>
  <c r="I2" i="61" l="1"/>
  <c r="D32" i="61"/>
  <c r="E9" i="61" s="1"/>
  <c r="G9" i="61" s="1"/>
  <c r="E24" i="61" l="1"/>
  <c r="G24" i="61" s="1"/>
  <c r="E15" i="61"/>
  <c r="G15" i="61" s="1"/>
  <c r="E7" i="61"/>
  <c r="G7" i="61" s="1"/>
  <c r="E31" i="61"/>
  <c r="G31" i="61" s="1"/>
  <c r="E21" i="61"/>
  <c r="G21" i="61" s="1"/>
  <c r="E13" i="61"/>
  <c r="G13" i="61" s="1"/>
  <c r="E28" i="61"/>
  <c r="G28" i="61" s="1"/>
  <c r="E14" i="61"/>
  <c r="G14" i="61" s="1"/>
  <c r="E30" i="61"/>
  <c r="G30" i="61" s="1"/>
  <c r="E20" i="61"/>
  <c r="G20" i="61" s="1"/>
  <c r="E12" i="61"/>
  <c r="G12" i="61" s="1"/>
  <c r="E27" i="61"/>
  <c r="G27" i="61" s="1"/>
  <c r="E19" i="61"/>
  <c r="G19" i="61" s="1"/>
  <c r="E11" i="61"/>
  <c r="G11" i="61" s="1"/>
  <c r="E16" i="61"/>
  <c r="G16" i="61" s="1"/>
  <c r="E23" i="61"/>
  <c r="G23" i="61" s="1"/>
  <c r="E22" i="61"/>
  <c r="G22" i="61" s="1"/>
  <c r="E26" i="61"/>
  <c r="G26" i="61" s="1"/>
  <c r="E18" i="61"/>
  <c r="G18" i="61" s="1"/>
  <c r="E10" i="61"/>
  <c r="G10" i="61" s="1"/>
  <c r="E8" i="61"/>
  <c r="G8" i="61" s="1"/>
  <c r="E6" i="61"/>
  <c r="G6" i="61" s="1"/>
  <c r="E29" i="61"/>
  <c r="G29" i="61" s="1"/>
  <c r="E25" i="61"/>
  <c r="G25" i="61" s="1"/>
  <c r="E17" i="61"/>
  <c r="G17" i="61" s="1"/>
  <c r="G32" i="61" l="1"/>
  <c r="H6" i="61" s="1"/>
  <c r="I6" i="61" s="1"/>
  <c r="F32" i="61"/>
  <c r="E32" i="61"/>
  <c r="K6" i="61" l="1"/>
  <c r="N6" i="61" s="1"/>
  <c r="D2" i="61" s="1"/>
  <c r="J2" i="61" s="1"/>
  <c r="L6" i="61"/>
  <c r="J6" i="61" l="1"/>
  <c r="M6" i="61" s="1"/>
  <c r="E2" i="61" s="1"/>
  <c r="B16" i="60" l="1"/>
  <c r="J39" i="56" l="1"/>
  <c r="K39" i="56" s="1"/>
  <c r="G39" i="56"/>
  <c r="H39" i="56" s="1"/>
  <c r="J27" i="59"/>
  <c r="L27" i="59" s="1"/>
  <c r="Q27" i="59" s="1"/>
  <c r="S27" i="59" s="1"/>
  <c r="I27" i="59" l="1"/>
  <c r="K27" i="59" s="1"/>
  <c r="P27" i="59" s="1"/>
  <c r="R27" i="59" s="1"/>
  <c r="G5" i="57" l="1"/>
  <c r="I5" i="57" s="1"/>
  <c r="H5" i="57"/>
  <c r="K5" i="57" s="1"/>
  <c r="L5" i="57"/>
  <c r="H29" i="57"/>
  <c r="L29" i="57" s="1"/>
  <c r="G29" i="57"/>
  <c r="I29" i="57" s="1"/>
  <c r="H28" i="57"/>
  <c r="L28" i="57" s="1"/>
  <c r="G28" i="57"/>
  <c r="I28" i="57" s="1"/>
  <c r="H27" i="57"/>
  <c r="L27" i="57" s="1"/>
  <c r="G27" i="57"/>
  <c r="I27" i="57" s="1"/>
  <c r="H26" i="57"/>
  <c r="L26" i="57" s="1"/>
  <c r="G26" i="57"/>
  <c r="I26" i="57" s="1"/>
  <c r="H25" i="57"/>
  <c r="L25" i="57" s="1"/>
  <c r="G25" i="57"/>
  <c r="I25" i="57" s="1"/>
  <c r="H24" i="57"/>
  <c r="L24" i="57" s="1"/>
  <c r="G24" i="57"/>
  <c r="I24" i="57" s="1"/>
  <c r="H23" i="57"/>
  <c r="L23" i="57" s="1"/>
  <c r="G23" i="57"/>
  <c r="I23" i="57" s="1"/>
  <c r="H22" i="57"/>
  <c r="L22" i="57" s="1"/>
  <c r="G22" i="57"/>
  <c r="I22" i="57" s="1"/>
  <c r="H21" i="57"/>
  <c r="L21" i="57" s="1"/>
  <c r="G21" i="57"/>
  <c r="I21" i="57" s="1"/>
  <c r="H20" i="57"/>
  <c r="L20" i="57" s="1"/>
  <c r="G20" i="57"/>
  <c r="I20" i="57" s="1"/>
  <c r="H19" i="57"/>
  <c r="L19" i="57" s="1"/>
  <c r="G19" i="57"/>
  <c r="I19" i="57" s="1"/>
  <c r="H18" i="57"/>
  <c r="L18" i="57" s="1"/>
  <c r="G18" i="57"/>
  <c r="I18" i="57" s="1"/>
  <c r="H17" i="57"/>
  <c r="L17" i="57" s="1"/>
  <c r="G17" i="57"/>
  <c r="I17" i="57" s="1"/>
  <c r="H16" i="57"/>
  <c r="L16" i="57" s="1"/>
  <c r="G16" i="57"/>
  <c r="I16" i="57" s="1"/>
  <c r="H15" i="57"/>
  <c r="L15" i="57" s="1"/>
  <c r="G15" i="57"/>
  <c r="I15" i="57" s="1"/>
  <c r="H14" i="57"/>
  <c r="L14" i="57" s="1"/>
  <c r="G14" i="57"/>
  <c r="I14" i="57" s="1"/>
  <c r="H13" i="57"/>
  <c r="L13" i="57" s="1"/>
  <c r="G13" i="57"/>
  <c r="I13" i="57" s="1"/>
  <c r="H12" i="57"/>
  <c r="L12" i="57" s="1"/>
  <c r="G12" i="57"/>
  <c r="J12" i="57" s="1"/>
  <c r="H11" i="57"/>
  <c r="L11" i="57" s="1"/>
  <c r="G11" i="57"/>
  <c r="I11" i="57" s="1"/>
  <c r="J10" i="57"/>
  <c r="H10" i="57"/>
  <c r="L10" i="57" s="1"/>
  <c r="G10" i="57"/>
  <c r="I10" i="57" s="1"/>
  <c r="H9" i="57"/>
  <c r="L9" i="57" s="1"/>
  <c r="G9" i="57"/>
  <c r="J9" i="57" s="1"/>
  <c r="I8" i="57"/>
  <c r="H8" i="57"/>
  <c r="L8" i="57" s="1"/>
  <c r="G8" i="57"/>
  <c r="J8" i="57" s="1"/>
  <c r="I7" i="57"/>
  <c r="H7" i="57"/>
  <c r="L7" i="57" s="1"/>
  <c r="G7" i="57"/>
  <c r="J7" i="57" s="1"/>
  <c r="N7" i="57" s="1"/>
  <c r="H6" i="57"/>
  <c r="L6" i="57" s="1"/>
  <c r="G6" i="57"/>
  <c r="J6" i="57" s="1"/>
  <c r="H4" i="57"/>
  <c r="L4" i="57" s="1"/>
  <c r="G4" i="57"/>
  <c r="I4" i="57" s="1"/>
  <c r="J3" i="57"/>
  <c r="H3" i="57"/>
  <c r="L3" i="57" s="1"/>
  <c r="G3" i="57"/>
  <c r="I3" i="57" s="1"/>
  <c r="H2" i="57"/>
  <c r="L2" i="57" s="1"/>
  <c r="G2" i="57"/>
  <c r="J2" i="57" s="1"/>
  <c r="K6" i="57" l="1"/>
  <c r="K10" i="57"/>
  <c r="N2" i="57"/>
  <c r="M10" i="57"/>
  <c r="M5" i="57"/>
  <c r="J5" i="57"/>
  <c r="N5" i="57" s="1"/>
  <c r="K3" i="57"/>
  <c r="K7" i="57"/>
  <c r="M7" i="57" s="1"/>
  <c r="I9" i="57"/>
  <c r="I2" i="57"/>
  <c r="I6" i="57"/>
  <c r="M6" i="57" s="1"/>
  <c r="K9" i="57"/>
  <c r="K2" i="57"/>
  <c r="M8" i="57"/>
  <c r="M3" i="57"/>
  <c r="K8" i="57"/>
  <c r="N8" i="57"/>
  <c r="N12" i="57"/>
  <c r="N9" i="57"/>
  <c r="N6" i="57"/>
  <c r="N3" i="57"/>
  <c r="N10" i="57"/>
  <c r="J11" i="57"/>
  <c r="N11" i="57" s="1"/>
  <c r="J14" i="57"/>
  <c r="N14" i="57" s="1"/>
  <c r="J15" i="57"/>
  <c r="N15" i="57" s="1"/>
  <c r="J16" i="57"/>
  <c r="N16" i="57" s="1"/>
  <c r="J17" i="57"/>
  <c r="N17" i="57" s="1"/>
  <c r="J18" i="57"/>
  <c r="N18" i="57" s="1"/>
  <c r="J19" i="57"/>
  <c r="N19" i="57" s="1"/>
  <c r="J20" i="57"/>
  <c r="N20" i="57" s="1"/>
  <c r="J21" i="57"/>
  <c r="N21" i="57" s="1"/>
  <c r="J22" i="57"/>
  <c r="N22" i="57" s="1"/>
  <c r="J23" i="57"/>
  <c r="N23" i="57" s="1"/>
  <c r="J24" i="57"/>
  <c r="N24" i="57" s="1"/>
  <c r="J25" i="57"/>
  <c r="N25" i="57" s="1"/>
  <c r="J26" i="57"/>
  <c r="N26" i="57" s="1"/>
  <c r="J27" i="57"/>
  <c r="N27" i="57" s="1"/>
  <c r="J28" i="57"/>
  <c r="N28" i="57" s="1"/>
  <c r="J29" i="57"/>
  <c r="N29" i="57" s="1"/>
  <c r="I12" i="57"/>
  <c r="J4" i="57"/>
  <c r="N4" i="57" s="1"/>
  <c r="J13" i="57"/>
  <c r="N13" i="57" s="1"/>
  <c r="K4" i="57"/>
  <c r="M4" i="57" s="1"/>
  <c r="K11" i="57"/>
  <c r="M11" i="57" s="1"/>
  <c r="K12" i="57"/>
  <c r="K13" i="57"/>
  <c r="M13" i="57" s="1"/>
  <c r="K14" i="57"/>
  <c r="M14" i="57" s="1"/>
  <c r="K15" i="57"/>
  <c r="M15" i="57" s="1"/>
  <c r="K16" i="57"/>
  <c r="M16" i="57" s="1"/>
  <c r="K17" i="57"/>
  <c r="M17" i="57" s="1"/>
  <c r="K18" i="57"/>
  <c r="M18" i="57" s="1"/>
  <c r="K19" i="57"/>
  <c r="M19" i="57" s="1"/>
  <c r="K20" i="57"/>
  <c r="M20" i="57" s="1"/>
  <c r="K21" i="57"/>
  <c r="M21" i="57" s="1"/>
  <c r="K22" i="57"/>
  <c r="M22" i="57" s="1"/>
  <c r="K23" i="57"/>
  <c r="M23" i="57" s="1"/>
  <c r="K24" i="57"/>
  <c r="M24" i="57" s="1"/>
  <c r="K25" i="57"/>
  <c r="M25" i="57" s="1"/>
  <c r="K26" i="57"/>
  <c r="M26" i="57" s="1"/>
  <c r="K27" i="57"/>
  <c r="M27" i="57" s="1"/>
  <c r="K28" i="57"/>
  <c r="M28" i="57" s="1"/>
  <c r="K29" i="57"/>
  <c r="M29" i="57" s="1"/>
  <c r="M9" i="57" l="1"/>
  <c r="M2" i="57"/>
  <c r="M12" i="57"/>
  <c r="E3" i="23" l="1"/>
  <c r="E4" i="23"/>
  <c r="E5" i="23"/>
  <c r="E6" i="23"/>
  <c r="E7" i="23"/>
  <c r="E8" i="23"/>
  <c r="E9" i="23"/>
  <c r="E10" i="23"/>
  <c r="E2" i="23"/>
  <c r="G10" i="23" l="1"/>
  <c r="F10" i="23"/>
  <c r="G9" i="23"/>
  <c r="F9" i="23"/>
  <c r="G7" i="23"/>
  <c r="F7" i="23"/>
  <c r="G8" i="23"/>
  <c r="F8" i="23"/>
  <c r="G6" i="23"/>
  <c r="F6" i="23"/>
  <c r="G5" i="23"/>
  <c r="F5" i="23"/>
  <c r="F4" i="23"/>
  <c r="G4" i="23"/>
  <c r="F2" i="23"/>
  <c r="G2" i="23"/>
  <c r="G3" i="23"/>
  <c r="F3" i="23"/>
  <c r="K43" i="56" l="1"/>
  <c r="H4" i="64" s="1"/>
  <c r="H43" i="56"/>
  <c r="D4" i="64" s="1"/>
  <c r="I4" i="64" l="1"/>
  <c r="H5" i="64"/>
  <c r="I5" i="64" s="1"/>
  <c r="D5" i="64"/>
  <c r="E5" i="64" s="1"/>
  <c r="E4" i="6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tc={93FC0457-7143-429D-9034-F7E100FFA492}</author>
  </authors>
  <commentList>
    <comment ref="F1" authorId="0" shapeId="0" xr:uid="{00000000-0006-0000-05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efficiencies were zeroed if the inches of retention fell below the minimum allowed by the formula.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tc={4F432471-C715-4A3E-8FBF-95BE17112DC0}</author>
    <author>tc={9DF5FF5E-AF1D-414B-8E7A-EC7E12D2B897}</author>
    <author>tc={55EACB19-7D32-49B7-862D-1911929E0670}</author>
    <author>tc={3598EB10-C2C6-49EB-B6DE-FBE513051A89}</author>
  </authors>
  <commentList>
    <comment ref="F1" authorId="0" shapeId="0" xr:uid="{00000000-0006-0000-07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00000000-0006-0000-07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00000000-0006-0000-07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00000000-0006-0000-0700-000004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tc={A5D5B99C-9A9F-4BEE-9AEF-B5259B2431A9}</author>
    <author>tc={8230E62F-3810-49A4-93F4-545C3BFD0732}</author>
    <author>tc={ACA942F0-7B3E-4506-89B9-A83BB1D18707}</author>
    <author>tc={64022B01-9886-4B24-B697-559FFAD479E9}</author>
  </authors>
  <commentList>
    <comment ref="F1" authorId="0" shapeId="0" xr:uid="{00000000-0006-0000-0800-000001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Must pull the Efficiencies Table from the Stormwater Handbook for the appropriate Zone and cross reference Percent DCIA with NDCIA Curve Number for efficiency.</t>
      </text>
    </comment>
    <comment ref="F5" authorId="1" shapeId="0" xr:uid="{00000000-0006-0000-0800-000002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SRJWMD 2012 Water Supply Impact Study</t>
      </text>
    </comment>
    <comment ref="M5" authorId="2" shapeId="0" xr:uid="{00000000-0006-0000-0800-000003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Pag 182 stormwater quality handbook</t>
      </text>
    </comment>
    <comment ref="D32" authorId="3" shapeId="0" xr:uid="{00000000-0006-0000-0800-000004000000}">
      <text>
        <t>[Threaded comment]
Your version of Excel allows you to read this threaded comment; however, any edits to it will get removed if the file is opened in a newer version of Excel. Learn more: https://go.microsoft.com/fwlink/?linkid=870924
Comment:
    Sum of acres to use in weighted average</t>
      </text>
    </comment>
  </commentList>
</comments>
</file>

<file path=xl/sharedStrings.xml><?xml version="1.0" encoding="utf-8"?>
<sst xmlns="http://schemas.openxmlformats.org/spreadsheetml/2006/main" count="42503" uniqueCount="449">
  <si>
    <t>Project Name</t>
  </si>
  <si>
    <t>Project Type</t>
  </si>
  <si>
    <t xml:space="preserve"> </t>
  </si>
  <si>
    <t>Street Sweeping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</si>
  <si>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</si>
  <si>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</si>
  <si>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</si>
  <si>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</si>
  <si>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</si>
  <si>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</si>
  <si>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</si>
  <si>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</si>
  <si>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N/A</t>
  </si>
  <si>
    <t>A</t>
  </si>
  <si>
    <t>Acres</t>
  </si>
  <si>
    <t>ac-ft</t>
  </si>
  <si>
    <t>Notes</t>
  </si>
  <si>
    <t>Entity</t>
  </si>
  <si>
    <t xml:space="preserve">Project Number </t>
  </si>
  <si>
    <t xml:space="preserve">Project Name </t>
  </si>
  <si>
    <t xml:space="preserve">TN Reduction (lbs/yr) </t>
  </si>
  <si>
    <t>PPV = Permanent pool volume (acre-ft)</t>
  </si>
  <si>
    <t>RO = Annual runoff inputs (acre-ft/year)</t>
  </si>
  <si>
    <t>CF= Conversion factor (365 days/year)</t>
  </si>
  <si>
    <r>
      <t>T</t>
    </r>
    <r>
      <rPr>
        <vertAlign val="subscript"/>
        <sz val="12"/>
        <color theme="1"/>
        <rFont val="Calibri"/>
        <family val="2"/>
        <scheme val="minor"/>
      </rPr>
      <t xml:space="preserve">d </t>
    </r>
    <r>
      <rPr>
        <sz val="12"/>
        <color theme="1"/>
        <rFont val="Calibri"/>
        <family val="2"/>
        <scheme val="minor"/>
      </rPr>
      <t>= Detention time (days)</t>
    </r>
  </si>
  <si>
    <t xml:space="preserve">TP Efficiency </t>
  </si>
  <si>
    <t xml:space="preserve">TN Efficiency  </t>
  </si>
  <si>
    <t>RO from Model  (acre-ft/year)</t>
  </si>
  <si>
    <t>Where:</t>
  </si>
  <si>
    <t>PPV is obtained from the engineering report and/or permit</t>
  </si>
  <si>
    <t xml:space="preserve">Comments </t>
  </si>
  <si>
    <r>
      <t>T</t>
    </r>
    <r>
      <rPr>
        <vertAlign val="subscript"/>
        <sz val="12"/>
        <color theme="1"/>
        <rFont val="Calibri"/>
        <family val="2"/>
        <scheme val="minor"/>
      </rPr>
      <t>d</t>
    </r>
    <r>
      <rPr>
        <sz val="12"/>
        <color theme="1"/>
        <rFont val="Calibri"/>
        <family val="2"/>
        <scheme val="minor"/>
      </rPr>
      <t>= (PPV/RO)*CF</t>
    </r>
  </si>
  <si>
    <t>RO is obtained from the individual model worksheets</t>
  </si>
  <si>
    <t xml:space="preserve">Permit No. </t>
  </si>
  <si>
    <t>Amount to Reuse (gal/yr)</t>
  </si>
  <si>
    <t>Amount to Reuse (acre-ft\yr)</t>
  </si>
  <si>
    <t>Annual Runoff (acre-ft/yr)</t>
  </si>
  <si>
    <t xml:space="preserve">Project Type </t>
  </si>
  <si>
    <t xml:space="preserve">TP Reduction (lbs/yr) </t>
  </si>
  <si>
    <t xml:space="preserve">Notes </t>
  </si>
  <si>
    <t>updated with new load estimation values</t>
  </si>
  <si>
    <t>missing shapefiles</t>
  </si>
  <si>
    <t>NOTES:</t>
  </si>
  <si>
    <t>TOTAL</t>
  </si>
  <si>
    <t>Shapefile acres don't match up with project table acres treated</t>
  </si>
  <si>
    <t>TBD</t>
  </si>
  <si>
    <t>have shapefile; need to clip for new starting load</t>
  </si>
  <si>
    <t>to be determined (TBD)</t>
  </si>
  <si>
    <t>TN Starting Load (lbs/yr)</t>
  </si>
  <si>
    <t>TN Required Reductions (lbs/yr)</t>
  </si>
  <si>
    <t>% Required TN Reduction</t>
  </si>
  <si>
    <t>TP Starting Load (lbs/yr)</t>
  </si>
  <si>
    <t>TP Required Reductions (lbs/yr)</t>
  </si>
  <si>
    <t>% Required TP Reduction</t>
  </si>
  <si>
    <t>Starting load values updated using the Load Estimation Tool v. 3 based on the SWIL Model October 2020</t>
  </si>
  <si>
    <t>OCTOBER 2020</t>
  </si>
  <si>
    <t>From allocation table</t>
  </si>
  <si>
    <t>From Summary Tab</t>
  </si>
  <si>
    <t>Calculated</t>
  </si>
  <si>
    <t>CIRL</t>
  </si>
  <si>
    <t>Project Zone B</t>
  </si>
  <si>
    <t>NIRL</t>
  </si>
  <si>
    <t>BIRL</t>
  </si>
  <si>
    <t>BIRL Totals</t>
  </si>
  <si>
    <t>Location (Project Zone)</t>
  </si>
  <si>
    <t>Location Fields</t>
  </si>
  <si>
    <t>Summary Tab Color Key</t>
  </si>
  <si>
    <t>SEB</t>
  </si>
  <si>
    <t>B</t>
  </si>
  <si>
    <t>SIRL</t>
  </si>
  <si>
    <t>A and B</t>
  </si>
  <si>
    <t>A and SEB</t>
  </si>
  <si>
    <t>B and SEB</t>
  </si>
  <si>
    <t>SEB and SIRL</t>
  </si>
  <si>
    <t>Not provided</t>
  </si>
  <si>
    <t>BRL</t>
  </si>
  <si>
    <t>Project Type Fields</t>
  </si>
  <si>
    <t>100% On-site Retention</t>
  </si>
  <si>
    <t>Agricultural BMPs</t>
  </si>
  <si>
    <t>Aquatic Vegetation Harvesting</t>
  </si>
  <si>
    <t>Baffle Boxes- First Generation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</si>
  <si>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</si>
  <si>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</si>
  <si>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</si>
  <si>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</si>
  <si>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</si>
  <si>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</si>
  <si>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</si>
  <si>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</si>
  <si>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</si>
  <si>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Control Structure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</si>
  <si>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</si>
  <si>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</si>
  <si>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</si>
  <si>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</si>
  <si>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</si>
  <si>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</si>
  <si>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</si>
  <si>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</si>
  <si>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Education Efforts</t>
  </si>
  <si>
    <t>Enhanced Public Education</t>
  </si>
  <si>
    <t>Exfiltration Trench</t>
  </si>
  <si>
    <t>Exotic Vegetation Removal</t>
  </si>
  <si>
    <t>Fertilizer Cessation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</si>
  <si>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</si>
  <si>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</si>
  <si>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</si>
  <si>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</si>
  <si>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</si>
  <si>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</si>
  <si>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</si>
  <si>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</si>
  <si>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</si>
  <si>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</si>
  <si>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Receiving Waterbody - Alum Injection System</t>
  </si>
  <si>
    <t>In Receiving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</si>
  <si>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</si>
  <si>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</si>
  <si>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</si>
  <si>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</si>
  <si>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</si>
  <si>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</si>
  <si>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</si>
  <si>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</si>
  <si>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</si>
  <si>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</si>
  <si>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</si>
  <si>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</si>
  <si>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</si>
  <si>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</si>
  <si>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</si>
  <si>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</si>
  <si>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</si>
  <si>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</si>
  <si>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</si>
  <si>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</si>
  <si>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</si>
  <si>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</si>
  <si>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</si>
  <si>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</si>
  <si>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</si>
  <si>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</si>
  <si>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</si>
  <si>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Shoreline Stabilization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</si>
  <si>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</si>
  <si>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</si>
  <si>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</si>
  <si>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</si>
  <si>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</si>
  <si>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</si>
  <si>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</si>
  <si>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</si>
  <si>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</si>
  <si>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</si>
  <si>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</si>
  <si>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</si>
  <si>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</si>
  <si>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</si>
  <si>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</si>
  <si>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</si>
  <si>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</si>
  <si>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</si>
  <si>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</si>
  <si>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BMAP</t>
  </si>
  <si>
    <t>PPV (acre-ft)
Actual</t>
  </si>
  <si>
    <t>PPV (acre-ft)
Required</t>
  </si>
  <si>
    <t>Td (days)
Actual</t>
  </si>
  <si>
    <t>Td (days)
Required</t>
  </si>
  <si>
    <t>TN Efficiency 
Actual</t>
  </si>
  <si>
    <t>TP Efficiency
Actual</t>
  </si>
  <si>
    <t>TN Efficiency 
Required</t>
  </si>
  <si>
    <t>TP Efficiency
Required</t>
  </si>
  <si>
    <t>TN Efficiency 
Difference</t>
  </si>
  <si>
    <t>TP Efficiency
Difference</t>
  </si>
  <si>
    <t>Zone</t>
  </si>
  <si>
    <t>Pounds Collected</t>
  </si>
  <si>
    <t>Project Portion 1</t>
  </si>
  <si>
    <t>TN Loading</t>
  </si>
  <si>
    <t>TP Loading</t>
  </si>
  <si>
    <t>TN Credit Treatment 1</t>
  </si>
  <si>
    <t>TP Credit Treatment 1</t>
  </si>
  <si>
    <t>TN Loading Post Treatment 1</t>
  </si>
  <si>
    <t>TP Loading Post Treatment 1</t>
  </si>
  <si>
    <t>Project Portion 2</t>
  </si>
  <si>
    <t>TN Efficiency</t>
  </si>
  <si>
    <t>TP Efficiency</t>
  </si>
  <si>
    <t>TN Credit Treatment 2</t>
  </si>
  <si>
    <t>TP Credit Treatment 2</t>
  </si>
  <si>
    <t>Total TN Credit</t>
  </si>
  <si>
    <t>Total TP Credit</t>
  </si>
  <si>
    <t>% Reduction from Portion 1 (Replace formula with percentage if not retention)</t>
  </si>
  <si>
    <t>*For swales without blocks, change formula to *50 instead of *100</t>
  </si>
  <si>
    <t>Max inches of retention</t>
  </si>
  <si>
    <t>Online</t>
  </si>
  <si>
    <t>Offline</t>
  </si>
  <si>
    <t>Other (basins, exfil trenches, impoundments, etc.)</t>
  </si>
  <si>
    <t>Retention or Max Inches Allowed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</si>
  <si>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</si>
  <si>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</si>
  <si>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</si>
  <si>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</si>
  <si>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</si>
  <si>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</si>
  <si>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</si>
  <si>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</si>
  <si>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</si>
  <si>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</si>
  <si>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</si>
  <si>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</si>
  <si>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</si>
  <si>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</si>
  <si>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</si>
  <si>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</si>
  <si>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</si>
  <si>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</si>
  <si>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</si>
  <si>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</si>
  <si>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</si>
  <si>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</si>
  <si>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Name</t>
  </si>
  <si>
    <t>Percent DCIA</t>
  </si>
  <si>
    <t>NDCIA Curve Number</t>
  </si>
  <si>
    <t>TP and TN % Reduction (From Removal Efficiencies Table Stormwater Handbook)</t>
  </si>
  <si>
    <t>TN Reduction Estimate</t>
  </si>
  <si>
    <t>TP Reduction Estimate</t>
  </si>
  <si>
    <t>ProjectNumber</t>
  </si>
  <si>
    <t>Weight of acreage</t>
  </si>
  <si>
    <t>Recommended % Impervious</t>
  </si>
  <si>
    <t>% Impervious</t>
  </si>
  <si>
    <t>Acres Impervious</t>
  </si>
  <si>
    <t>Non-DCIA Impervious Acres</t>
  </si>
  <si>
    <t>DCIA</t>
  </si>
  <si>
    <t>Pervious</t>
  </si>
  <si>
    <t>Totals/Averages</t>
  </si>
  <si>
    <t>Weighted Impervious</t>
  </si>
  <si>
    <t>LU_CODE (from GIS)</t>
  </si>
  <si>
    <t>LU_DESC (from GIS)</t>
  </si>
  <si>
    <t>LU_TYPE (from GIS)</t>
  </si>
  <si>
    <t>Acres (from GIS)</t>
  </si>
  <si>
    <t>NonDCIA Curve Number</t>
  </si>
  <si>
    <t xml:space="preserve"> TP Loading</t>
  </si>
  <si>
    <t>Inches of Retention</t>
  </si>
  <si>
    <t>Change formula to +.7405</t>
  </si>
  <si>
    <t>Available</t>
  </si>
  <si>
    <t>City of Cocoa Beach</t>
  </si>
  <si>
    <t>CB-01</t>
  </si>
  <si>
    <t>Maritime Hammock Preserve Alum Pond</t>
  </si>
  <si>
    <t>CB-02</t>
  </si>
  <si>
    <t>Ocean Beach Blvd. Bioretention/ Exfiltration</t>
  </si>
  <si>
    <t>CB-03</t>
  </si>
  <si>
    <t>2nd Street South PCD</t>
  </si>
  <si>
    <t>CB-04</t>
  </si>
  <si>
    <t>Cottage Row Parking Facilities Lot</t>
  </si>
  <si>
    <t>CB-05</t>
  </si>
  <si>
    <t>Shepard Park Improvements</t>
  </si>
  <si>
    <t>CB-06</t>
  </si>
  <si>
    <t>Burris Way (alley) Exfiltration</t>
  </si>
  <si>
    <t>CB-07</t>
  </si>
  <si>
    <t>Brevard Ave. Exfiltration</t>
  </si>
  <si>
    <t>CB-08</t>
  </si>
  <si>
    <t>50 Danube River Exfiltration</t>
  </si>
  <si>
    <t>CB-09</t>
  </si>
  <si>
    <t>12 Bougainvillea Dr. Exfiltration</t>
  </si>
  <si>
    <t>CB-10</t>
  </si>
  <si>
    <t>9th St S &amp; Brevard Ave. Exfiltration</t>
  </si>
  <si>
    <t>CB-11</t>
  </si>
  <si>
    <t>321 Jack Dr. Exfiltration</t>
  </si>
  <si>
    <t>CB-12</t>
  </si>
  <si>
    <t>125 Cedar Ave. Exfiltration</t>
  </si>
  <si>
    <t>CB-13</t>
  </si>
  <si>
    <t>Meade Bioretention</t>
  </si>
  <si>
    <t>CB-14</t>
  </si>
  <si>
    <t>Osceola E Bioretention</t>
  </si>
  <si>
    <t>CB-15</t>
  </si>
  <si>
    <t>4th St. N Bioretention</t>
  </si>
  <si>
    <t>CB-16</t>
  </si>
  <si>
    <t>4th St. S Bioretention</t>
  </si>
  <si>
    <t>CB-17</t>
  </si>
  <si>
    <t>3rd St. South N Bioretention</t>
  </si>
  <si>
    <t>CB-18</t>
  </si>
  <si>
    <t>3rd St. South S Bioretention</t>
  </si>
  <si>
    <t>CB-19</t>
  </si>
  <si>
    <t>Holiday Lane Bioretention</t>
  </si>
  <si>
    <t>CB-20</t>
  </si>
  <si>
    <t>S Banana/St. Lucie Swale</t>
  </si>
  <si>
    <t>CB-21</t>
  </si>
  <si>
    <t>CB-22</t>
  </si>
  <si>
    <t>Banana River Retention</t>
  </si>
  <si>
    <t>CB-23</t>
  </si>
  <si>
    <t>CB-24</t>
  </si>
  <si>
    <t>Minutemen/ Country Club Swale</t>
  </si>
  <si>
    <t>CB-25</t>
  </si>
  <si>
    <t>Palm Ave. Swale</t>
  </si>
  <si>
    <t>CB-26</t>
  </si>
  <si>
    <t>Minutemen/ CBHS</t>
  </si>
  <si>
    <t>CB-27</t>
  </si>
  <si>
    <t>Minutemen/ PW Complex Swale</t>
  </si>
  <si>
    <t>CB-28</t>
  </si>
  <si>
    <t>Tom Warriner/ PW Complex Swale</t>
  </si>
  <si>
    <t>CB-29</t>
  </si>
  <si>
    <t>Shepard Drive Swale</t>
  </si>
  <si>
    <t>CB-30</t>
  </si>
  <si>
    <t>CB-31</t>
  </si>
  <si>
    <t>W Gadsden/ Banana Swale</t>
  </si>
  <si>
    <t>CB-32</t>
  </si>
  <si>
    <t>W Pasco/ Banana Swale</t>
  </si>
  <si>
    <t>CB-33</t>
  </si>
  <si>
    <t>CB-34</t>
  </si>
  <si>
    <t>32 Inlet Baskets</t>
  </si>
  <si>
    <t>CB-35</t>
  </si>
  <si>
    <t>Dino Museum/ Store,  250 W CB Causeway</t>
  </si>
  <si>
    <t>CB-36</t>
  </si>
  <si>
    <t>332-334 N Orlando</t>
  </si>
  <si>
    <t>CB-37</t>
  </si>
  <si>
    <t>CB-38</t>
  </si>
  <si>
    <t>CB-39</t>
  </si>
  <si>
    <t>Minutemen Corridor Stormwater Improvement/ LID</t>
  </si>
  <si>
    <t>CB-40</t>
  </si>
  <si>
    <t>Convair Cove SW LID</t>
  </si>
  <si>
    <t>CB-41</t>
  </si>
  <si>
    <t>1st Street N./ Brevard SW LID</t>
  </si>
  <si>
    <t>Grass Swales without Swale Blocks or Raised Culverts</t>
  </si>
  <si>
    <t>Canceled</t>
  </si>
  <si>
    <t>Credit based on alum in pond. Consider changing project type.</t>
  </si>
  <si>
    <t>Commercial and Services</t>
  </si>
  <si>
    <t>Retail Sales and Services</t>
  </si>
  <si>
    <t>Professional Services</t>
  </si>
  <si>
    <t>Wholesale Sales and Services &lt;Excluding warehouses associated with industrial use&gt;</t>
  </si>
  <si>
    <t>OBJECTID</t>
  </si>
  <si>
    <t>FID_IRL_LETv3_P</t>
  </si>
  <si>
    <t>FID_IRL_LETv3</t>
  </si>
  <si>
    <t>PZ</t>
  </si>
  <si>
    <t>SegGroup</t>
  </si>
  <si>
    <t>Segment</t>
  </si>
  <si>
    <t>TN_Reduction</t>
  </si>
  <si>
    <t>TP_Reduction</t>
  </si>
  <si>
    <t>Annual_Tot_Vol_Norm</t>
  </si>
  <si>
    <t>Annual_Tot_TN_Norm</t>
  </si>
  <si>
    <t>Annual_Tot_TP_Norm</t>
  </si>
  <si>
    <t>TN_Load</t>
  </si>
  <si>
    <t>TP_Load</t>
  </si>
  <si>
    <t>Volume</t>
  </si>
  <si>
    <t>LC2015</t>
  </si>
  <si>
    <t>LC2015_Description</t>
  </si>
  <si>
    <t>LC2015_DEP</t>
  </si>
  <si>
    <t>Overlaps</t>
  </si>
  <si>
    <t>Stakeholder</t>
  </si>
  <si>
    <t>Ag</t>
  </si>
  <si>
    <t>Ag_toUrban</t>
  </si>
  <si>
    <t>Natural</t>
  </si>
  <si>
    <t>C1_Diverts</t>
  </si>
  <si>
    <t>C1_Remains</t>
  </si>
  <si>
    <t>TN_C1</t>
  </si>
  <si>
    <t>TP_C1</t>
  </si>
  <si>
    <t>Vol_C1</t>
  </si>
  <si>
    <t>Duplicates</t>
  </si>
  <si>
    <t>NEAR_FID</t>
  </si>
  <si>
    <t>NEAR_DIST</t>
  </si>
  <si>
    <t>NEAR_X</t>
  </si>
  <si>
    <t>NEAR_Y</t>
  </si>
  <si>
    <t>NEAR_ANGLE</t>
  </si>
  <si>
    <t>Lat</t>
  </si>
  <si>
    <t>Long</t>
  </si>
  <si>
    <t>FID_Paradise_Park_</t>
  </si>
  <si>
    <t>FileName</t>
  </si>
  <si>
    <t>DACS_LU</t>
  </si>
  <si>
    <t>FID_Combined</t>
  </si>
  <si>
    <t>ProjNumber</t>
  </si>
  <si>
    <t>ProjName</t>
  </si>
  <si>
    <t>ProjEntity</t>
  </si>
  <si>
    <t>ProjAcres</t>
  </si>
  <si>
    <t>Shape_Length</t>
  </si>
  <si>
    <t>Shape_Area</t>
  </si>
  <si>
    <t>vol_c1_ACFT</t>
  </si>
  <si>
    <t>Banana River</t>
  </si>
  <si>
    <t>BR3-5, BR-7</t>
  </si>
  <si>
    <t>62-304.520 (10), F.A.C.</t>
  </si>
  <si>
    <t>Governmental</t>
  </si>
  <si>
    <t>City of Cocoa Beach           Brevard County</t>
  </si>
  <si>
    <t>Banana River B</t>
  </si>
  <si>
    <t>CB-1</t>
  </si>
  <si>
    <t>FDOT District 5</t>
  </si>
  <si>
    <t>FDOT District 5                                 City of Cocoa Beach           Brevard County</t>
  </si>
  <si>
    <t>Medical and Health Care</t>
  </si>
  <si>
    <t>Residential, Medium Density-Two-five dwellingunits per acre</t>
  </si>
  <si>
    <t>Fixed Single Family Units</t>
  </si>
  <si>
    <t>Roads and Highways</t>
  </si>
  <si>
    <t>Residential, High Density</t>
  </si>
  <si>
    <t>Parks and Zoos</t>
  </si>
  <si>
    <t>Natural Lands</t>
  </si>
  <si>
    <t>Upland Hardwood Forest</t>
  </si>
  <si>
    <t>Tourist Services</t>
  </si>
  <si>
    <t>Bays and estuaries</t>
  </si>
  <si>
    <t>Shrub and Brushland</t>
  </si>
  <si>
    <t>9th St S &amp; Brevard Av Exfiltration</t>
  </si>
  <si>
    <t>321 Jack Dr Exfiltration</t>
  </si>
  <si>
    <t>125 Cedar Av Exfiltration</t>
  </si>
  <si>
    <t>Residential, High density; Multiple Dwelling Units, Low Rise &lt;Two stories or less&gt;</t>
  </si>
  <si>
    <t>Meade Bioretention Swale</t>
  </si>
  <si>
    <t>4th St North N Bioretention</t>
  </si>
  <si>
    <t>4th St North S Bioretention</t>
  </si>
  <si>
    <t>3rd St South N Bioretention</t>
  </si>
  <si>
    <t>High Density Under Construction</t>
  </si>
  <si>
    <t>3rd St South S Bioretention</t>
  </si>
  <si>
    <t>Hardwood Conifer Mixed</t>
  </si>
  <si>
    <t>CB-2</t>
  </si>
  <si>
    <t>Ocean Beach Blvd Bioretention/Exfiltration</t>
  </si>
  <si>
    <t>Residential, High density; Multiple Dwelling Units, High Rise &lt;Three stories or more&gt;</t>
  </si>
  <si>
    <t>Other Recreational(Riding stables, go-carttracks, skeet ranges, etc)</t>
  </si>
  <si>
    <t>Brevard County</t>
  </si>
  <si>
    <t>S Banana St.Lucie Swale</t>
  </si>
  <si>
    <t>Minutemen/Country Club Swale</t>
  </si>
  <si>
    <t>Golf Course</t>
  </si>
  <si>
    <t>Palm Av Swale</t>
  </si>
  <si>
    <t>Institutional (Educational,religious,health and military facilities)</t>
  </si>
  <si>
    <t>Minutemen/CBHS</t>
  </si>
  <si>
    <t>Herbaceous Dry Prairie</t>
  </si>
  <si>
    <t>Mangrove swamp</t>
  </si>
  <si>
    <t>Minutemen/PW Complex Swale</t>
  </si>
  <si>
    <t>Educational Facilities</t>
  </si>
  <si>
    <t>Sewage Treatment</t>
  </si>
  <si>
    <t>Tom Warriner/PW Complex Swale</t>
  </si>
  <si>
    <t>CB-3</t>
  </si>
  <si>
    <t>Religious</t>
  </si>
  <si>
    <t>Residential, Low Density-Less than two dwelling units/acre</t>
  </si>
  <si>
    <t>Electrical power facilities</t>
  </si>
  <si>
    <t>W Gadsden/Banana Swale</t>
  </si>
  <si>
    <t>W Pasco/Banana Swale</t>
  </si>
  <si>
    <t>Dino museum/ store, S Cayer, 250 W CBCswy</t>
  </si>
  <si>
    <t>332-334 N Orlando, contractor</t>
  </si>
  <si>
    <t>Minutemen Corridor Stormwater Improvement/LID</t>
  </si>
  <si>
    <t>CB-4</t>
  </si>
  <si>
    <t>02-1000426-01 Cottage Row Parking Facilities Lot</t>
  </si>
  <si>
    <t>CB-5</t>
  </si>
  <si>
    <t>03-4800910-01  Shepard Park Improvements</t>
  </si>
  <si>
    <t>CB-6</t>
  </si>
  <si>
    <t>CB-7</t>
  </si>
  <si>
    <t>Brevard Av Exfiltration</t>
  </si>
  <si>
    <t>CB-8</t>
  </si>
  <si>
    <t>CB-9</t>
  </si>
  <si>
    <t>12 Bougainvillea Dr Exfiltration</t>
  </si>
  <si>
    <t>Row Labels</t>
  </si>
  <si>
    <t>Grand Total</t>
  </si>
  <si>
    <t>Sum of TN_C1</t>
  </si>
  <si>
    <t>Sum of TP_C1</t>
  </si>
  <si>
    <t>Sum of Vol_C1</t>
  </si>
  <si>
    <t>Sum of vol_c1_ACFT</t>
  </si>
  <si>
    <t>Sum of Acres</t>
  </si>
  <si>
    <t>Previously calculated as retention. Changed to Exfil calc.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</si>
</sst>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0.0%"/>
    <numFmt numFmtId="166" formatCode="#,##0.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EAB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4" fillId="0" borderId="10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32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64" fontId="0" fillId="0" borderId="0" xfId="0" applyNumberFormat="1"/>
    <xf numFmtId="0" fontId="4" fillId="0" borderId="0" xfId="0" applyFont="1" applyAlignment="1">
      <alignment horizontal="center"/>
    </xf>
    <xf numFmtId="3" fontId="0" fillId="0" borderId="0" xfId="0" applyNumberFormat="1"/>
    <xf numFmtId="0" fontId="20" fillId="0" borderId="0" xfId="0" applyFont="1"/>
    <xf numFmtId="3" fontId="20" fillId="0" borderId="0" xfId="0" applyNumberFormat="1" applyFont="1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2" fontId="0" fillId="0" borderId="1" xfId="0" applyNumberFormat="1" applyBorder="1" applyAlignment="1">
      <alignment horizontal="center"/>
    </xf>
    <xf numFmtId="165" fontId="0" fillId="0" borderId="1" xfId="53" applyNumberFormat="1" applyFont="1" applyBorder="1" applyAlignment="1">
      <alignment horizontal="center"/>
    </xf>
    <xf numFmtId="0" fontId="4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0" fillId="0" borderId="1" xfId="0" applyNumberFormat="1" applyBorder="1"/>
    <xf numFmtId="165" fontId="0" fillId="0" borderId="1" xfId="0" applyNumberFormat="1" applyBorder="1"/>
    <xf numFmtId="0" fontId="4" fillId="3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7" fillId="35" borderId="14" xfId="0" applyFont="1" applyFill="1" applyBorder="1"/>
    <xf numFmtId="0" fontId="0" fillId="0" borderId="0" xfId="0" applyBorder="1"/>
    <xf numFmtId="0" fontId="0" fillId="0" borderId="15" xfId="0" applyBorder="1"/>
    <xf numFmtId="0" fontId="0" fillId="34" borderId="16" xfId="0" applyFill="1" applyBorder="1"/>
    <xf numFmtId="0" fontId="0" fillId="37" borderId="16" xfId="0" applyFill="1" applyBorder="1"/>
    <xf numFmtId="0" fontId="0" fillId="0" borderId="17" xfId="0" applyBorder="1"/>
    <xf numFmtId="0" fontId="0" fillId="0" borderId="18" xfId="0" applyBorder="1"/>
    <xf numFmtId="0" fontId="25" fillId="0" borderId="0" xfId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1" applyFont="1" applyBorder="1" applyAlignment="1">
      <alignment horizontal="center" vertical="center" wrapText="1"/>
    </xf>
    <xf numFmtId="164" fontId="27" fillId="0" borderId="1" xfId="1" applyNumberFormat="1" applyFont="1" applyBorder="1" applyAlignment="1">
      <alignment horizontal="center" vertical="center" wrapText="1"/>
    </xf>
    <xf numFmtId="0" fontId="27" fillId="0" borderId="0" xfId="1" applyFont="1" applyFill="1" applyAlignment="1">
      <alignment vertical="center"/>
    </xf>
    <xf numFmtId="0" fontId="27" fillId="0" borderId="1" xfId="1" applyFont="1" applyFill="1" applyBorder="1" applyAlignment="1">
      <alignment vertical="center" wrapText="1"/>
    </xf>
    <xf numFmtId="0" fontId="26" fillId="0" borderId="0" xfId="0" applyFont="1" applyFill="1" applyAlignment="1">
      <alignment vertical="center"/>
    </xf>
    <xf numFmtId="0" fontId="27" fillId="0" borderId="1" xfId="1" applyFont="1" applyBorder="1" applyAlignment="1">
      <alignment vertical="center" wrapText="1"/>
    </xf>
    <xf numFmtId="0" fontId="27" fillId="0" borderId="0" xfId="1" applyFont="1" applyBorder="1" applyAlignment="1">
      <alignment vertical="center" wrapText="1"/>
    </xf>
    <xf numFmtId="0" fontId="27" fillId="0" borderId="0" xfId="1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164" fontId="28" fillId="0" borderId="0" xfId="0" applyNumberFormat="1" applyFont="1" applyAlignment="1">
      <alignment vertical="center"/>
    </xf>
    <xf numFmtId="0" fontId="29" fillId="38" borderId="1" xfId="0" applyFont="1" applyFill="1" applyBorder="1" applyAlignment="1">
      <alignment horizontal="center" vertical="center"/>
    </xf>
    <xf numFmtId="164" fontId="28" fillId="38" borderId="1" xfId="0" applyNumberFormat="1" applyFont="1" applyFill="1" applyBorder="1" applyAlignment="1">
      <alignment horizontal="center" vertical="center"/>
    </xf>
    <xf numFmtId="0" fontId="28" fillId="38" borderId="12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0" fillId="39" borderId="0" xfId="0" applyFill="1"/>
    <xf numFmtId="0" fontId="0" fillId="0" borderId="17" xfId="0" applyFill="1" applyBorder="1"/>
    <xf numFmtId="0" fontId="0" fillId="36" borderId="19" xfId="0" applyFill="1" applyBorder="1"/>
    <xf numFmtId="164" fontId="0" fillId="35" borderId="1" xfId="0" applyNumberFormat="1" applyFill="1" applyBorder="1"/>
    <xf numFmtId="9" fontId="0" fillId="0" borderId="1" xfId="53" applyFont="1" applyBorder="1"/>
    <xf numFmtId="17" fontId="4" fillId="0" borderId="0" xfId="0" quotePrefix="1" applyNumberFormat="1" applyFont="1"/>
    <xf numFmtId="0" fontId="33" fillId="0" borderId="0" xfId="0" applyFont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left" indent="2"/>
    </xf>
    <xf numFmtId="166" fontId="0" fillId="0" borderId="1" xfId="0" applyNumberFormat="1" applyBorder="1"/>
    <xf numFmtId="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Fill="1" applyBorder="1"/>
    <xf numFmtId="0" fontId="0" fillId="0" borderId="1" xfId="0" applyBorder="1" applyAlignment="1">
      <alignment wrapText="1"/>
    </xf>
    <xf numFmtId="0" fontId="32" fillId="0" borderId="0" xfId="0" applyFont="1"/>
    <xf numFmtId="0" fontId="4" fillId="41" borderId="20" xfId="0" applyFont="1" applyFill="1" applyBorder="1" applyAlignment="1">
      <alignment horizontal="center" vertical="top"/>
    </xf>
    <xf numFmtId="0" fontId="0" fillId="0" borderId="20" xfId="0" applyBorder="1" applyAlignment="1">
      <alignment vertical="top"/>
    </xf>
    <xf numFmtId="10" fontId="0" fillId="0" borderId="20" xfId="53" applyNumberFormat="1" applyFont="1" applyBorder="1" applyAlignment="1">
      <alignment vertical="top"/>
    </xf>
    <xf numFmtId="0" fontId="0" fillId="0" borderId="20" xfId="0" applyBorder="1" applyAlignment="1">
      <alignment horizontal="left" vertical="top"/>
    </xf>
    <xf numFmtId="0" fontId="4" fillId="0" borderId="0" xfId="0" applyFont="1" applyAlignment="1">
      <alignment vertical="top"/>
    </xf>
    <xf numFmtId="10" fontId="4" fillId="0" borderId="0" xfId="0" applyNumberFormat="1" applyFont="1"/>
    <xf numFmtId="0" fontId="35" fillId="0" borderId="0" xfId="0" applyFont="1" applyAlignment="1">
      <alignment horizontal="justify"/>
    </xf>
    <xf numFmtId="0" fontId="4" fillId="42" borderId="1" xfId="0" applyFont="1" applyFill="1" applyBorder="1" applyAlignment="1">
      <alignment wrapText="1"/>
    </xf>
    <xf numFmtId="0" fontId="4" fillId="42" borderId="1" xfId="0" applyFont="1" applyFill="1" applyBorder="1" applyAlignment="1">
      <alignment horizontal="center" wrapText="1"/>
    </xf>
    <xf numFmtId="0" fontId="4" fillId="43" borderId="1" xfId="0" applyFont="1" applyFill="1" applyBorder="1" applyAlignment="1">
      <alignment wrapText="1"/>
    </xf>
    <xf numFmtId="0" fontId="4" fillId="44" borderId="1" xfId="0" applyFont="1" applyFill="1" applyBorder="1" applyAlignment="1">
      <alignment wrapText="1"/>
    </xf>
    <xf numFmtId="9" fontId="0" fillId="0" borderId="1" xfId="0" applyNumberFormat="1" applyBorder="1"/>
    <xf numFmtId="1" fontId="0" fillId="0" borderId="1" xfId="0" applyNumberFormat="1" applyBorder="1"/>
    <xf numFmtId="9" fontId="29" fillId="38" borderId="1" xfId="53" applyFont="1" applyFill="1" applyBorder="1" applyAlignment="1">
      <alignment horizontal="center" vertical="center"/>
    </xf>
    <xf numFmtId="10" fontId="4" fillId="41" borderId="20" xfId="53" applyNumberFormat="1" applyFont="1" applyFill="1" applyBorder="1" applyAlignment="1">
      <alignment horizontal="center" vertical="top"/>
    </xf>
    <xf numFmtId="10" fontId="0" fillId="0" borderId="20" xfId="53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31" fillId="40" borderId="1" xfId="0" applyFont="1" applyFill="1" applyBorder="1" applyAlignment="1">
      <alignment horizontal="center" vertical="center" wrapText="1"/>
    </xf>
    <xf numFmtId="0" fontId="31" fillId="4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1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/>
    <xf numFmtId="0" fontId="36" fillId="0" borderId="1" xfId="0" applyFont="1" applyBorder="1"/>
    <xf numFmtId="3" fontId="36" fillId="0" borderId="1" xfId="0" applyNumberFormat="1" applyFont="1" applyBorder="1"/>
    <xf numFmtId="9" fontId="36" fillId="0" borderId="1" xfId="53" applyFont="1" applyBorder="1"/>
    <xf numFmtId="3" fontId="31" fillId="40" borderId="1" xfId="0" applyNumberFormat="1" applyFont="1" applyFill="1" applyBorder="1"/>
    <xf numFmtId="9" fontId="31" fillId="40" borderId="1" xfId="53" applyFont="1" applyFill="1" applyBorder="1"/>
    <xf numFmtId="0" fontId="36" fillId="0" borderId="0" xfId="0" applyFont="1"/>
    <xf numFmtId="0" fontId="37" fillId="0" borderId="0" xfId="0" applyFont="1" applyAlignment="1">
      <alignment vertical="center" wrapText="1"/>
    </xf>
    <xf numFmtId="0" fontId="37" fillId="0" borderId="0" xfId="0" applyFont="1" applyAlignment="1">
      <alignment vertical="center"/>
    </xf>
    <xf numFmtId="3" fontId="36" fillId="0" borderId="0" xfId="0" applyNumberFormat="1" applyFont="1"/>
    <xf numFmtId="9" fontId="36" fillId="0" borderId="0" xfId="53" applyFont="1" applyBorder="1"/>
    <xf numFmtId="0" fontId="34" fillId="0" borderId="1" xfId="0" applyFont="1" applyFill="1" applyBorder="1" applyAlignment="1">
      <alignment horizontal="left" vertical="center" wrapText="1"/>
    </xf>
    <xf numFmtId="1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NumberFormat="1"/>
    <xf numFmtId="0" fontId="38" fillId="40" borderId="1" xfId="1" applyFont="1" applyFill="1" applyBorder="1" applyAlignment="1">
      <alignment horizontal="center" wrapText="1"/>
    </xf>
    <xf numFmtId="164" fontId="38" fillId="40" borderId="1" xfId="1" applyNumberFormat="1" applyFont="1" applyFill="1" applyBorder="1" applyAlignment="1">
      <alignment horizontal="center" wrapText="1"/>
    </xf>
    <xf numFmtId="164" fontId="31" fillId="40" borderId="1" xfId="0" applyNumberFormat="1" applyFont="1" applyFill="1" applyBorder="1" applyAlignment="1">
      <alignment horizontal="center" wrapText="1"/>
    </xf>
    <xf numFmtId="0" fontId="31" fillId="40" borderId="1" xfId="0" applyFont="1" applyFill="1" applyBorder="1" applyAlignment="1">
      <alignment horizontal="center" wrapText="1"/>
    </xf>
    <xf numFmtId="3" fontId="31" fillId="40" borderId="1" xfId="0" applyNumberFormat="1" applyFont="1" applyFill="1" applyBorder="1" applyAlignment="1">
      <alignment horizontal="center" wrapText="1"/>
    </xf>
    <xf numFmtId="164" fontId="36" fillId="0" borderId="1" xfId="0" applyNumberFormat="1" applyFont="1" applyFill="1" applyBorder="1" applyAlignment="1">
      <alignment horizontal="center" vertical="center"/>
    </xf>
    <xf numFmtId="164" fontId="39" fillId="0" borderId="1" xfId="1" applyNumberFormat="1" applyFont="1" applyFill="1" applyBorder="1" applyAlignment="1">
      <alignment horizontal="center" vertical="center" wrapText="1"/>
    </xf>
    <xf numFmtId="165" fontId="39" fillId="0" borderId="1" xfId="1" applyNumberFormat="1" applyFont="1" applyFill="1" applyBorder="1" applyAlignment="1">
      <alignment horizontal="center" vertical="center" wrapText="1"/>
    </xf>
    <xf numFmtId="0" fontId="39" fillId="39" borderId="1" xfId="1" applyFont="1" applyFill="1" applyBorder="1" applyAlignment="1">
      <alignment horizontal="left" vertical="center" wrapText="1"/>
    </xf>
    <xf numFmtId="0" fontId="39" fillId="0" borderId="1" xfId="1" applyFont="1" applyFill="1" applyBorder="1" applyAlignment="1">
      <alignment horizontal="left" vertical="center" wrapText="1"/>
    </xf>
    <xf numFmtId="0" fontId="39" fillId="0" borderId="1" xfId="1" applyFont="1" applyFill="1" applyBorder="1" applyAlignment="1">
      <alignment vertical="center"/>
    </xf>
    <xf numFmtId="0" fontId="39" fillId="0" borderId="1" xfId="1" applyFont="1" applyFill="1" applyBorder="1" applyAlignment="1">
      <alignment vertical="center" wrapText="1"/>
    </xf>
    <xf numFmtId="0" fontId="39" fillId="0" borderId="1" xfId="1" applyFont="1" applyFill="1" applyBorder="1" applyAlignment="1">
      <alignment horizontal="left" vertical="center"/>
    </xf>
    <xf numFmtId="10" fontId="39" fillId="0" borderId="1" xfId="1" applyNumberFormat="1" applyFont="1" applyFill="1" applyBorder="1" applyAlignment="1">
      <alignment horizontal="center" vertical="center"/>
    </xf>
    <xf numFmtId="165" fontId="39" fillId="0" borderId="1" xfId="1" applyNumberFormat="1" applyFont="1" applyFill="1" applyBorder="1" applyAlignment="1">
      <alignment horizontal="center" vertical="center"/>
    </xf>
    <xf numFmtId="164" fontId="39" fillId="0" borderId="1" xfId="1" applyNumberFormat="1" applyFont="1" applyFill="1" applyBorder="1" applyAlignment="1">
      <alignment horizontal="center" vertical="center"/>
    </xf>
    <xf numFmtId="9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 wrapText="1"/>
    </xf>
    <xf numFmtId="0" fontId="0" fillId="0" borderId="11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/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7" xr:uid="{00000000-0005-0000-0000-00001B0000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6" xfId="54" xr:uid="{00000000-0005-0000-0000-000026000000}"/>
    <cellStyle name="Normal 2" xfId="1" xr:uid="{00000000-0005-0000-0000-000027000000}"/>
    <cellStyle name="Normal 2 2" xfId="6" xr:uid="{00000000-0005-0000-0000-000028000000}"/>
    <cellStyle name="Normal 2 3" xfId="3" xr:uid="{00000000-0005-0000-0000-000029000000}"/>
    <cellStyle name="Normal 2 4" xfId="2" xr:uid="{00000000-0005-0000-0000-00002A000000}"/>
    <cellStyle name="Normal 3" xfId="5" xr:uid="{00000000-0005-0000-0000-00002B000000}"/>
    <cellStyle name="Normal 3 2" xfId="9" xr:uid="{00000000-0005-0000-0000-00002C000000}"/>
    <cellStyle name="Normal 4" xfId="4" xr:uid="{00000000-0005-0000-0000-00002D000000}"/>
    <cellStyle name="Normal 4 2" xfId="10" xr:uid="{00000000-0005-0000-0000-00002E000000}"/>
    <cellStyle name="Normal 40" xfId="55" xr:uid="{00000000-0005-0000-0000-00002F000000}"/>
    <cellStyle name="Normal 5" xfId="8" xr:uid="{00000000-0005-0000-0000-000030000000}"/>
    <cellStyle name="Note" xfId="25" builtinId="10" customBuiltin="1"/>
    <cellStyle name="Output" xfId="20" builtinId="21" customBuiltin="1"/>
    <cellStyle name="Percent" xfId="53" builtinId="5"/>
    <cellStyle name="Title" xfId="11" builtinId="15" customBuiltin="1"/>
    <cellStyle name="Title 2" xfId="52" xr:uid="{00000000-0005-0000-0000-000035000000}"/>
    <cellStyle name="Total" xfId="27" builtinId="25" customBuiltin="1"/>
    <cellStyle name="Warning Text" xfId="24" builtinId="11" customBuiltin="1"/>
  </cellStyles>
  <dxfs count="0"/>
  <tableStyles count="0" defaultTableStyle="TableStyleMedium9" defaultPivotStyle="PivotStyleLight16"/>
  <colors>
    <mruColors>
      <color rgb="FFBDBFE3"/>
      <color rgb="FFE6EAB6"/>
      <color rgb="FFB7DE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14</xdr:row>
      <xdr:rowOff>0</xdr:rowOff>
    </xdr:from>
    <xdr:to>
      <xdr:col>22</xdr:col>
      <xdr:colOff>484498</xdr:colOff>
      <xdr:row>40</xdr:row>
      <xdr:rowOff>189857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E9D564-7A2F-4FBF-A250-6E2414B42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0300" y="4619625"/>
          <a:ext cx="10219048" cy="51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14</xdr:row>
      <xdr:rowOff>0</xdr:rowOff>
    </xdr:from>
    <xdr:to>
      <xdr:col>22</xdr:col>
      <xdr:colOff>484498</xdr:colOff>
      <xdr:row>40</xdr:row>
      <xdr:rowOff>189857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E527E5-12B8-49F4-92B1-636C68CF9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20300" y="4619625"/>
          <a:ext cx="10219048" cy="5142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ldep1\dear\Documents%20and%20Settings\User\My%20Documents\St.%20Lucie\Allocations\Bob%20Calcs%201208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00\data\Documents%20and%20Settings\User\My%20Documents\St.%20Lucie\Allocations\Bob%20Calcs%2012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 refreshError="1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 refreshError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 refreshError="1"/>
      <sheetData sheetId="3" refreshError="1"/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Tina Gordon" id="{6B54A8B9-46D5-4347-9433-314EAB1FEC81}" userId="Tina Gordon" providerId="None"/>
  <person displayName="Tina Gordon" id="{7DCBAE47-86C4-4F96-873F-06D62C3BE409}" userId="S::tgordon@wildwoodconsulting.net::be8fcd1c-da0f-4d3c-a8dc-61ad129164ed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Perry" refreshedDate="44131.500224305557" createdVersion="4" refreshedVersion="4" minRefreshableVersion="3" recordCount="3474" xr:uid="{00000000-000A-0000-FFFF-FFFF0B000000}">
  <cacheSource type="worksheet">
    <worksheetSource ref="A1:AX3475" sheet="2020 GIS Load Estimation"/>
  </cacheSource>
  <cacheFields count="50">
    <cacheField name="OBJECTID" numFmtId="11">
      <sharedItems containsSemiMixedTypes="0" containsString="0" containsNumber="1" containsInteger="1" minValue="600000" maxValue="840000"/>
    </cacheField>
    <cacheField name="FID_IRL_LETv3_P" numFmtId="11">
      <sharedItems containsSemiMixedTypes="0" containsString="0" containsNumber="1" containsInteger="1" minValue="1200000" maxValue="2500000"/>
    </cacheField>
    <cacheField name="FID_IRL_LETv3" numFmtId="11">
      <sharedItems containsSemiMixedTypes="0" containsString="0" containsNumber="1" containsInteger="1" minValue="1200000" maxValue="2500000"/>
    </cacheField>
    <cacheField name="BMAP" numFmtId="0">
      <sharedItems count="1">
        <s v="Banana River"/>
      </sharedItems>
    </cacheField>
    <cacheField name="PZ" numFmtId="0">
      <sharedItems count="1">
        <s v="B"/>
      </sharedItems>
    </cacheField>
    <cacheField name="SegGroup" numFmtId="0">
      <sharedItems/>
    </cacheField>
    <cacheField name="Segment" numFmtId="0">
      <sharedItems/>
    </cacheField>
    <cacheField name="TN_Reduction" numFmtId="0">
      <sharedItems containsSemiMixedTypes="0" containsString="0" containsNumber="1" minValue="0.59" maxValue="0.59"/>
    </cacheField>
    <cacheField name="TP_Reduction" numFmtId="0">
      <sharedItems containsSemiMixedTypes="0" containsString="0" containsNumber="1" minValue="0.64" maxValue="0.64"/>
    </cacheField>
    <cacheField name="Entity" numFmtId="0">
      <sharedItems/>
    </cacheField>
    <cacheField name="Acres" numFmtId="0">
      <sharedItems containsSemiMixedTypes="0" containsString="0" containsNumber="1" minValue="1.7428522299999999E-7" maxValue="0.61776345387502996"/>
    </cacheField>
    <cacheField name="Annual_Tot_Vol_Norm" numFmtId="0">
      <sharedItems containsSemiMixedTypes="0" containsString="0" containsNumber="1" minValue="96.274815351284801" maxValue="3885.05372713427"/>
    </cacheField>
    <cacheField name="Annual_Tot_TN_Norm" numFmtId="0">
      <sharedItems containsSemiMixedTypes="0" containsString="0" containsNumber="1" minValue="0.26734586412140998" maxValue="12.0103697215861"/>
    </cacheField>
    <cacheField name="Annual_Tot_TP_Norm" numFmtId="0">
      <sharedItems containsSemiMixedTypes="0" containsString="0" containsNumber="1" minValue="3.2999704581229999E-2" maxValue="2.3949625010971198"/>
    </cacheField>
    <cacheField name="TN_Load" numFmtId="0">
      <sharedItems containsSemiMixedTypes="0" containsString="0" containsNumber="1" minValue="1.539125715284E-6" maxValue="7.2751136208890204"/>
    </cacheField>
    <cacheField name="TP_Load" numFmtId="0">
      <sharedItems containsSemiMixedTypes="0" containsString="0" containsNumber="1" minValue="2.1900750906379999E-7" maxValue="1.4021507388898"/>
    </cacheField>
    <cacheField name="Volume" numFmtId="0">
      <sharedItems containsSemiMixedTypes="0" containsString="0" containsNumber="1" minValue="6.7363038933000003E-4" maxValue="2400.04420878573"/>
    </cacheField>
    <cacheField name="LC2015" numFmtId="0">
      <sharedItems containsSemiMixedTypes="0" containsString="0" containsNumber="1" containsInteger="1" minValue="1100" maxValue="8340"/>
    </cacheField>
    <cacheField name="LC2015_Description" numFmtId="0">
      <sharedItems/>
    </cacheField>
    <cacheField name="LC2015_DEP" numFmtId="0">
      <sharedItems containsSemiMixedTypes="0" containsString="0" containsNumber="1" containsInteger="1" minValue="1100" maxValue="8340"/>
    </cacheField>
    <cacheField name="Overlaps" numFmtId="0">
      <sharedItems/>
    </cacheField>
    <cacheField name="Stakeholder" numFmtId="0">
      <sharedItems/>
    </cacheField>
    <cacheField name="Ag" numFmtId="0">
      <sharedItems containsNonDate="0" containsString="0" containsBlank="1"/>
    </cacheField>
    <cacheField name="Ag_toUrban" numFmtId="0">
      <sharedItems containsNonDate="0" containsString="0" containsBlank="1"/>
    </cacheField>
    <cacheField name="Natural" numFmtId="0">
      <sharedItems containsBlank="1"/>
    </cacheField>
    <cacheField name="C1_Diverts" numFmtId="0">
      <sharedItems containsSemiMixedTypes="0" containsString="0" containsNumber="1" containsInteger="1" minValue="0" maxValue="0"/>
    </cacheField>
    <cacheField name="C1_Remains" numFmtId="0">
      <sharedItems containsSemiMixedTypes="0" containsString="0" containsNumber="1" containsInteger="1" minValue="1" maxValue="1"/>
    </cacheField>
    <cacheField name="TN_C1" numFmtId="0">
      <sharedItems containsSemiMixedTypes="0" containsString="0" containsNumber="1" minValue="1.539125715284E-6" maxValue="7.2751136208890204"/>
    </cacheField>
    <cacheField name="TP_C1" numFmtId="0">
      <sharedItems containsSemiMixedTypes="0" containsString="0" containsNumber="1" minValue="2.1900750906379999E-7" maxValue="1.4021507388898"/>
    </cacheField>
    <cacheField name="Vol_C1" numFmtId="0">
      <sharedItems containsSemiMixedTypes="0" containsString="0" containsNumber="1" minValue="3.7337596117399999E-3" maxValue="2400.04420878573"/>
    </cacheField>
    <cacheField name="Duplicates" numFmtId="0">
      <sharedItems containsNonDate="0" containsString="0" containsBlank="1"/>
    </cacheField>
    <cacheField name="NEAR_FID" numFmtId="0">
      <sharedItems containsSemiMixedTypes="0" containsString="0" containsNumber="1" containsInteger="1" minValue="-1" maxValue="-1"/>
    </cacheField>
    <cacheField name="NEAR_DIST" numFmtId="0">
      <sharedItems containsSemiMixedTypes="0" containsString="0" containsNumber="1" containsInteger="1" minValue="-1" maxValue="-1"/>
    </cacheField>
    <cacheField name="NEAR_X" numFmtId="0">
      <sharedItems containsSemiMixedTypes="0" containsString="0" containsNumber="1" containsInteger="1" minValue="-1" maxValue="-1"/>
    </cacheField>
    <cacheField name="NEAR_Y" numFmtId="0">
      <sharedItems containsSemiMixedTypes="0" containsString="0" containsNumber="1" containsInteger="1" minValue="-1" maxValue="-1"/>
    </cacheField>
    <cacheField name="NEAR_ANGLE" numFmtId="0">
      <sharedItems containsSemiMixedTypes="0" containsString="0" containsNumber="1" containsInteger="1" minValue="0" maxValue="0"/>
    </cacheField>
    <cacheField name="Lat" numFmtId="0">
      <sharedItems containsNonDate="0" containsString="0" containsBlank="1"/>
    </cacheField>
    <cacheField name="Long" numFmtId="0">
      <sharedItems containsNonDate="0" containsString="0" containsBlank="1"/>
    </cacheField>
    <cacheField name="Zone" numFmtId="0">
      <sharedItems/>
    </cacheField>
    <cacheField name="FID_Paradise_Park_" numFmtId="0">
      <sharedItems containsSemiMixedTypes="0" containsString="0" containsNumber="1" containsInteger="1" minValue="-1" maxValue="-1"/>
    </cacheField>
    <cacheField name="FileName" numFmtId="0">
      <sharedItems containsNonDate="0" containsString="0" containsBlank="1"/>
    </cacheField>
    <cacheField name="DACS_LU" numFmtId="0">
      <sharedItems containsNonDate="0" containsString="0" containsBlank="1"/>
    </cacheField>
    <cacheField name="FID_Combined" numFmtId="0">
      <sharedItems containsSemiMixedTypes="0" containsString="0" containsNumber="1" containsInteger="1" minValue="356" maxValue="391"/>
    </cacheField>
    <cacheField name="ProjNumber" numFmtId="0">
      <sharedItems count="36">
        <s v="CB-1"/>
        <s v="CB-10"/>
        <s v="CB-11"/>
        <s v="CB-12"/>
        <s v="CB-13"/>
        <s v="CB-14"/>
        <s v="CB-15"/>
        <s v="CB-16"/>
        <s v="CB-17"/>
        <s v="CB-18"/>
        <s v="CB-19"/>
        <s v="CB-2"/>
        <s v="CB-20"/>
        <s v="CB-21"/>
        <s v="CB-22"/>
        <s v="CB-23"/>
        <s v="CB-24"/>
        <s v="CB-25"/>
        <s v="CB-26"/>
        <s v="CB-27"/>
        <s v="CB-28"/>
        <s v="CB-29"/>
        <s v="CB-3"/>
        <s v="CB-30"/>
        <s v="CB-31"/>
        <s v="CB-32"/>
        <s v="CB-33"/>
        <s v="CB-35"/>
        <s v="CB-36"/>
        <s v="CB-39"/>
        <s v="CB-4"/>
        <s v="CB-5"/>
        <s v="CB-6"/>
        <s v="CB-7"/>
        <s v="CB-8"/>
        <s v="CB-9"/>
      </sharedItems>
    </cacheField>
    <cacheField name="ProjName" numFmtId="0">
      <sharedItems/>
    </cacheField>
    <cacheField name="ProjEntity" numFmtId="0">
      <sharedItems count="1">
        <s v="City of Cocoa Beach"/>
      </sharedItems>
    </cacheField>
    <cacheField name="ProjAcres" numFmtId="0">
      <sharedItems containsSemiMixedTypes="0" containsString="0" containsNumber="1" minValue="0.344219" maxValue="175.87190000000001"/>
    </cacheField>
    <cacheField name="Shape_Length" numFmtId="0">
      <sharedItems containsSemiMixedTypes="0" containsString="0" containsNumber="1" minValue="0.20756412208080999" maxValue="272.74862615259701"/>
    </cacheField>
    <cacheField name="Shape_Area" numFmtId="0">
      <sharedItems containsSemiMixedTypes="0" containsString="0" containsNumber="1" minValue="7.0530727446000004E-4" maxValue="2500.0000008381899"/>
    </cacheField>
    <cacheField name="vol_c1_ACFT" numFmtId="0">
      <sharedItems containsSemiMixedTypes="0" containsString="0" containsNumber="1" minValue="3.0281911E-6" maxValue="1.9465078740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74">
  <r>
    <n v="830000"/>
    <n v="1400000"/>
    <n v="1400000"/>
    <x v="0"/>
    <x v="0"/>
    <s v="BR3-5, BR-7"/>
    <s v="62-304.520 (10), F.A.C."/>
    <n v="0.59"/>
    <n v="0.64"/>
    <s v="City of Cocoa Beach"/>
    <n v="5.491864443556E-2"/>
    <n v="3688.1050999793501"/>
    <n v="7.3784570223213599"/>
    <n v="1.00765961041271"/>
    <n v="0.40521485769194998"/>
    <n v="5.5339299856330001E-2"/>
    <n v="202.54573262675601"/>
    <n v="1750"/>
    <s v="Governmental"/>
    <n v="1750"/>
    <s v="City of Cocoa Beach           Brevard County"/>
    <s v="City of Cocoa Beach"/>
    <m/>
    <m/>
    <m/>
    <n v="0"/>
    <n v="1"/>
    <n v="0.40521485769194998"/>
    <n v="5.5339299856330001E-2"/>
    <n v="309.81057497828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6.401521359996906"/>
    <n v="222.24786894356299"/>
    <n v="0.25126567309999998"/>
  </r>
  <r>
    <n v="830000"/>
    <n v="1400000"/>
    <n v="1400000"/>
    <x v="0"/>
    <x v="0"/>
    <s v="BR3-5, BR-7"/>
    <s v="62-304.520 (10), F.A.C."/>
    <n v="0.59"/>
    <n v="0.64"/>
    <s v="City of Cocoa Beach"/>
    <n v="0.33494011056084999"/>
    <n v="3688.1050999793501"/>
    <n v="7.3784570223213599"/>
    <n v="1.00765961041271"/>
    <n v="2.4713412108248201"/>
    <n v="0.33750562131933998"/>
    <n v="1235.2943299471201"/>
    <n v="1750"/>
    <s v="Governmental"/>
    <n v="1750"/>
    <s v="City of Cocoa Beach           Brevard County"/>
    <s v="City of Cocoa Beach"/>
    <m/>
    <m/>
    <m/>
    <n v="0"/>
    <n v="1"/>
    <n v="2.4713412108248201"/>
    <n v="0.33750562131933998"/>
    <n v="1968.5659693298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980050542161"/>
    <n v="1355.45453754255"/>
    <n v="1.5965660741000001"/>
  </r>
  <r>
    <n v="830000"/>
    <n v="1400000"/>
    <n v="1400000"/>
    <x v="0"/>
    <x v="0"/>
    <s v="BR3-5, BR-7"/>
    <s v="62-304.520 (10), F.A.C."/>
    <n v="0.59"/>
    <n v="0.64"/>
    <s v="City of Cocoa Beach"/>
    <n v="0.61776345348380002"/>
    <n v="3689.27830018231"/>
    <n v="7.3807862401086801"/>
    <n v="1.00797854735869"/>
    <n v="4.5595799971152902"/>
    <n v="0.62269230845389001"/>
    <n v="2279.1013035834799"/>
    <n v="1750"/>
    <s v="Governmental"/>
    <n v="1750"/>
    <s v="City of Cocoa Beach           Brevard County"/>
    <s v="City of Cocoa Beach"/>
    <m/>
    <m/>
    <m/>
    <n v="0"/>
    <n v="1"/>
    <n v="4.5595799971152902"/>
    <n v="0.62269230845389001"/>
    <n v="2279.1013035834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0197"/>
    <n v="2499.9999992549401"/>
    <n v="1.8484195486999999"/>
  </r>
  <r>
    <n v="830000"/>
    <n v="1400000"/>
    <n v="1400000"/>
    <x v="0"/>
    <x v="0"/>
    <s v="BR3-5, BR-7"/>
    <s v="62-304.520 (10), F.A.C."/>
    <n v="0.59"/>
    <n v="0.64"/>
    <s v="City of Cocoa Beach"/>
    <n v="0.61776345362188001"/>
    <n v="3689.7789828459199"/>
    <n v="7.3817771823938401"/>
    <n v="1.00811438216062"/>
    <n v="4.5601921660628602"/>
    <n v="0.62277622236943997"/>
    <n v="2279.4106075443401"/>
    <n v="1750"/>
    <s v="Governmental"/>
    <n v="1750"/>
    <s v="City of Cocoa Beach           Brevard County"/>
    <s v="City of Cocoa Beach"/>
    <m/>
    <m/>
    <m/>
    <n v="0"/>
    <n v="1"/>
    <n v="4.5601921660628602"/>
    <n v="0.62277622236943997"/>
    <n v="2279.4106075443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9254899"/>
    <n v="2499.99999981373"/>
    <n v="1.8486704034999999"/>
  </r>
  <r>
    <n v="830000"/>
    <n v="1400000"/>
    <n v="1400000"/>
    <x v="0"/>
    <x v="0"/>
    <s v="BR3-5, BR-7"/>
    <s v="62-304.520 (10), F.A.C."/>
    <n v="0.59"/>
    <n v="0.64"/>
    <s v="City of Cocoa Beach"/>
    <n v="0.4569020993979"/>
    <n v="3686.6346152906299"/>
    <n v="7.50461456070542"/>
    <n v="1.01882291433314"/>
    <n v="3.42887414795837"/>
    <n v="0.46550232847349998"/>
    <n v="1684.4310954392599"/>
    <n v="1750"/>
    <s v="Governmental"/>
    <n v="1750"/>
    <s v="City of Cocoa Beach           Brevard County"/>
    <s v="City of Cocoa Beach"/>
    <m/>
    <m/>
    <m/>
    <n v="0"/>
    <n v="1"/>
    <n v="3.42887414795837"/>
    <n v="0.46550232847349998"/>
    <n v="1684.4310954392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3.976621421657"/>
    <n v="1849.01719535644"/>
    <n v="1.366124165"/>
  </r>
  <r>
    <n v="830000"/>
    <n v="1400000"/>
    <n v="1400000"/>
    <x v="0"/>
    <x v="0"/>
    <s v="BR3-5, BR-7"/>
    <s v="62-304.520 (10), F.A.C."/>
    <n v="0.59"/>
    <n v="0.64"/>
    <s v="City of Cocoa Beach"/>
    <n v="0.61776345366790997"/>
    <n v="3689.7789825710101"/>
    <n v="7.3817771818438596"/>
    <n v="1.0081143820855101"/>
    <n v="4.5601921660628504"/>
    <n v="0.62277622236942998"/>
    <n v="2279.4106075443401"/>
    <n v="1750"/>
    <s v="Governmental"/>
    <n v="1750"/>
    <s v="City of Cocoa Beach           Brevard County"/>
    <s v="City of Cocoa Beach"/>
    <m/>
    <m/>
    <m/>
    <n v="0"/>
    <n v="1"/>
    <n v="4.5601921660628504"/>
    <n v="0.62277622236942998"/>
    <n v="2279.4106075443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486704034999999"/>
  </r>
  <r>
    <n v="830000"/>
    <n v="1400000"/>
    <n v="1400000"/>
    <x v="0"/>
    <x v="0"/>
    <s v="BR3-5, BR-7"/>
    <s v="62-304.520 (10), F.A.C."/>
    <n v="0.59"/>
    <n v="0.64"/>
    <s v="City of Cocoa Beach"/>
    <n v="0.24046158772702"/>
    <n v="3695.55204772562"/>
    <n v="8.2785820824438403"/>
    <n v="1.10264367101645"/>
    <n v="1.99068099167296"/>
    <n v="0.26514344782977001"/>
    <n v="888.63831292397003"/>
    <n v="1750"/>
    <s v="Governmental"/>
    <n v="1750"/>
    <s v="City of Cocoa Beach           Brevard County"/>
    <s v="City of Cocoa Beach"/>
    <m/>
    <m/>
    <m/>
    <n v="0"/>
    <n v="1"/>
    <n v="1.99068099167296"/>
    <n v="0.26514344782977001"/>
    <n v="888.63831292397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4.33450411254799"/>
    <n v="973.11352063361903"/>
    <n v="0.72071233810000002"/>
  </r>
  <r>
    <n v="830000"/>
    <n v="1400000"/>
    <n v="1400000"/>
    <x v="0"/>
    <x v="0"/>
    <s v="BR3-5, BR-7"/>
    <s v="62-304.520 (10), F.A.C."/>
    <n v="0.59"/>
    <n v="0.64"/>
    <s v="FDOT District 5"/>
    <n v="1.9961114904300001E-3"/>
    <n v="3695.55204772562"/>
    <n v="8.2785820824438403"/>
    <n v="1.10264367101645"/>
    <n v="1.6524972819300002E-2"/>
    <n v="2.2009997015699999E-3"/>
    <n v="7.3767339059804904"/>
    <n v="1750"/>
    <s v="Governmental"/>
    <n v="1750"/>
    <s v="FDOT District 5                                 City of Cocoa Beach           Brevard County"/>
    <s v="FDOT District 5"/>
    <m/>
    <m/>
    <m/>
    <n v="0"/>
    <n v="1"/>
    <n v="1.6524972819300002E-2"/>
    <n v="2.2009997015699999E-3"/>
    <n v="7.3767339059818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1.748669995690193"/>
    <n v="8.0779766049110293"/>
    <n v="5.9827526000000002E-3"/>
  </r>
  <r>
    <n v="830000"/>
    <n v="1400000"/>
    <n v="1400000"/>
    <x v="0"/>
    <x v="0"/>
    <s v="BR3-5, BR-7"/>
    <s v="62-304.520 (10), F.A.C."/>
    <n v="0.59"/>
    <n v="0.64"/>
    <s v="City of Cocoa Beach"/>
    <n v="0.61776345352982998"/>
    <n v="3689.2782999074302"/>
    <n v="7.3807862395587698"/>
    <n v="1.00797854728359"/>
    <n v="4.5595799971152902"/>
    <n v="0.62269230845389001"/>
    <n v="2279.1013035834799"/>
    <n v="1750"/>
    <s v="Governmental"/>
    <n v="1750"/>
    <s v="City of Cocoa Beach           Brevard County"/>
    <s v="City of Cocoa Beach"/>
    <m/>
    <m/>
    <m/>
    <n v="0"/>
    <n v="1"/>
    <n v="4.5595799971152902"/>
    <n v="0.62269230845389001"/>
    <n v="2279.1013035834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7648"/>
    <n v="2499.9999994412001"/>
    <n v="1.8484195486999999"/>
  </r>
  <r>
    <n v="830000"/>
    <n v="1400000"/>
    <n v="1400000"/>
    <x v="0"/>
    <x v="0"/>
    <s v="BR3-5, BR-7"/>
    <s v="62-304.520 (10), F.A.C."/>
    <n v="0.59"/>
    <n v="0.64"/>
    <s v="City of Cocoa Beach"/>
    <n v="0.53627989223441996"/>
    <n v="3707.8260829399201"/>
    <n v="7.9517851832758302"/>
    <n v="1.0790172386046"/>
    <n v="4.26438250115842"/>
    <n v="0.57865524843795002"/>
    <n v="1988.43257218299"/>
    <n v="1750"/>
    <s v="Governmental"/>
    <n v="1750"/>
    <s v="City of Cocoa Beach           Brevard County"/>
    <s v="City of Cocoa Beach"/>
    <m/>
    <m/>
    <m/>
    <n v="0"/>
    <n v="1"/>
    <n v="4.26438250115842"/>
    <n v="0.57865524843795002"/>
    <n v="1988.43257218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6.83471934397301"/>
    <n v="2170.2477260928399"/>
    <n v="1.6126784851"/>
  </r>
  <r>
    <n v="830000"/>
    <n v="1400000"/>
    <n v="1400000"/>
    <x v="0"/>
    <x v="0"/>
    <s v="BR3-5, BR-7"/>
    <s v="62-304.520 (10), F.A.C."/>
    <n v="0.59"/>
    <n v="0.64"/>
    <s v="City of Cocoa Beach"/>
    <n v="0.61776345366790997"/>
    <n v="3689.5824003428902"/>
    <n v="7.3813881887769197"/>
    <n v="1.00806105656403"/>
    <n v="4.5599518603623697"/>
    <n v="0.62274327981111999"/>
    <n v="2279.28916622817"/>
    <n v="1750"/>
    <s v="Governmental"/>
    <n v="1750"/>
    <s v="City of Cocoa Beach           Brevard County"/>
    <s v="City of Cocoa Beach"/>
    <m/>
    <m/>
    <m/>
    <n v="0"/>
    <n v="1"/>
    <n v="4.5599518603623697"/>
    <n v="0.62274327981111999"/>
    <n v="2279.2891662281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485719110000001"/>
  </r>
  <r>
    <n v="830000"/>
    <n v="1400000"/>
    <n v="1400000"/>
    <x v="0"/>
    <x v="0"/>
    <s v="BR3-5, BR-7"/>
    <s v="62-304.520 (10), F.A.C."/>
    <n v="0.59"/>
    <n v="0.64"/>
    <s v="City of Cocoa Beach"/>
    <n v="0.30565087738354002"/>
    <n v="3724.5547691608899"/>
    <n v="8.1072001934389402"/>
    <n v="1.08242589716147"/>
    <n v="2.4779728522486701"/>
    <n v="0.33084442517007001"/>
    <n v="1138.4134330571001"/>
    <n v="1750"/>
    <s v="Governmental"/>
    <n v="1750"/>
    <s v="City of Cocoa Beach           Brevard County"/>
    <s v="City of Cocoa Beach"/>
    <m/>
    <m/>
    <m/>
    <n v="0"/>
    <n v="1"/>
    <n v="2.4779728522486701"/>
    <n v="0.33084442517007001"/>
    <n v="1138.4134330571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372706819928"/>
    <n v="1236.9252161518"/>
    <n v="0.92328745580000005"/>
  </r>
  <r>
    <n v="830000"/>
    <n v="1400000"/>
    <n v="1400000"/>
    <x v="0"/>
    <x v="0"/>
    <s v="BR3-5, BR-7"/>
    <s v="62-304.520 (10), F.A.C."/>
    <n v="0.59"/>
    <n v="0.64"/>
    <s v="FDOT District 5"/>
    <n v="2.1076526764E-3"/>
    <n v="3724.5547691608899"/>
    <n v="8.1072001934389402"/>
    <n v="1.08242589716147"/>
    <n v="1.7087162185820001E-2"/>
    <n v="2.2813778391500002E-3"/>
    <n v="7.8500678276277904"/>
    <n v="1750"/>
    <s v="Governmental"/>
    <n v="1750"/>
    <s v="FDOT District 5                                 City of Cocoa Beach           Brevard County"/>
    <s v="FDOT District 5"/>
    <m/>
    <m/>
    <m/>
    <n v="0"/>
    <n v="1"/>
    <n v="1.7087162185820001E-2"/>
    <n v="2.2813778391500002E-3"/>
    <n v="7.8500678276291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6.777577620124902"/>
    <n v="8.5293677696874308"/>
    <n v="6.3666406E-3"/>
  </r>
  <r>
    <n v="830000"/>
    <n v="1400000"/>
    <n v="1400000"/>
    <x v="0"/>
    <x v="0"/>
    <s v="BR3-5, BR-7"/>
    <s v="62-304.520 (10), F.A.C."/>
    <n v="0.59"/>
    <n v="0.64"/>
    <s v="City of Cocoa Beach"/>
    <n v="0.61776345348380002"/>
    <n v="3689.7789828459199"/>
    <n v="7.3817771823938401"/>
    <n v="1.00811438216062"/>
    <n v="4.5601921650435697"/>
    <n v="0.62277622223022999"/>
    <n v="2279.4106070348598"/>
    <n v="1750"/>
    <s v="Governmental"/>
    <n v="1750"/>
    <s v="City of Cocoa Beach           Brevard County"/>
    <s v="City of Cocoa Beach"/>
    <m/>
    <m/>
    <m/>
    <n v="0"/>
    <n v="1"/>
    <n v="4.5601921650435697"/>
    <n v="0.62277622223022999"/>
    <n v="2279.4106070348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0197"/>
    <n v="2499.9999992549401"/>
    <n v="1.8486704031000001"/>
  </r>
  <r>
    <n v="830000"/>
    <n v="1400000"/>
    <n v="1400000"/>
    <x v="0"/>
    <x v="0"/>
    <s v="BR3-5, BR-7"/>
    <s v="62-304.520 (10), F.A.C."/>
    <n v="0.59"/>
    <n v="0.64"/>
    <s v="City of Cocoa Beach"/>
    <n v="9.4002412512699998E-3"/>
    <n v="3649.3014877856299"/>
    <n v="7.4108151567419496"/>
    <n v="1.0063952351009"/>
    <n v="6.9663450341980002E-2"/>
    <n v="9.4603580040800005E-3"/>
    <n v="34.304314383821698"/>
    <n v="1750"/>
    <s v="Governmental"/>
    <n v="1750"/>
    <s v="City of Cocoa Beach           Brevard County"/>
    <s v="City of Cocoa Beach"/>
    <m/>
    <m/>
    <m/>
    <n v="0"/>
    <n v="1"/>
    <n v="6.9663450341980002E-2"/>
    <n v="9.4603580040800005E-3"/>
    <n v="34.304314383821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1.069743021474494"/>
    <n v="38.041426679830899"/>
    <n v="2.7821828400000002E-2"/>
  </r>
  <r>
    <n v="830000"/>
    <n v="1400000"/>
    <n v="1400000"/>
    <x v="0"/>
    <x v="0"/>
    <s v="BR3-5, BR-7"/>
    <s v="62-304.520 (10), F.A.C."/>
    <n v="0.59"/>
    <n v="0.64"/>
    <s v="City of Cocoa Beach"/>
    <n v="8.7577589380000002E-4"/>
    <n v="3649.3014877856299"/>
    <n v="7.4108151567419496"/>
    <n v="1.0063952351009"/>
    <n v="6.4902132677099999E-3"/>
    <n v="8.8137668653999999E-4"/>
    <n v="3.1959702722293799"/>
    <n v="1750"/>
    <s v="Governmental"/>
    <n v="1750"/>
    <s v="City of Cocoa Beach           Brevard County"/>
    <s v="City of Cocoa Beach"/>
    <m/>
    <m/>
    <m/>
    <n v="0"/>
    <n v="1"/>
    <n v="6.4902132677099999E-3"/>
    <n v="8.8137668653999999E-4"/>
    <n v="3.1959702722304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.0354554588976"/>
    <n v="3.5441393004290398"/>
    <n v="2.5920278000000001E-3"/>
  </r>
  <r>
    <n v="830000"/>
    <n v="1400000"/>
    <n v="1400000"/>
    <x v="0"/>
    <x v="0"/>
    <s v="BR3-5, BR-7"/>
    <s v="62-304.520 (10), F.A.C."/>
    <n v="0.59"/>
    <n v="0.64"/>
    <s v="City of Cocoa Beach"/>
    <n v="2.724159373786E-2"/>
    <n v="3752.8105449066202"/>
    <n v="10.6434789165361"/>
    <n v="1.9789777567598901"/>
    <n v="0.28994532860184002"/>
    <n v="5.391050806593E-2"/>
    <n v="102.23254023953299"/>
    <n v="1750"/>
    <s v="Governmental"/>
    <n v="1750"/>
    <s v="City of Cocoa Beach           Brevard County"/>
    <s v="City of Cocoa Beach"/>
    <m/>
    <m/>
    <m/>
    <n v="0"/>
    <n v="1"/>
    <n v="0.28994532860184002"/>
    <n v="5.391050806593E-2"/>
    <n v="102.23254023953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4.399595476828495"/>
    <n v="110.242818574504"/>
    <n v="8.2913657900000007E-2"/>
  </r>
  <r>
    <n v="830000"/>
    <n v="1400000"/>
    <n v="1400000"/>
    <x v="0"/>
    <x v="0"/>
    <s v="BR3-5, BR-7"/>
    <s v="62-304.520 (10), F.A.C."/>
    <n v="0.59"/>
    <n v="0.64"/>
    <s v="City of Cocoa Beach"/>
    <n v="0.61776345366790997"/>
    <n v="3689.2782999074302"/>
    <n v="7.3807862395587698"/>
    <n v="1.00797854728359"/>
    <n v="4.5595799981344296"/>
    <n v="0.62269230859308"/>
    <n v="2279.1013040929001"/>
    <n v="1750"/>
    <s v="Governmental"/>
    <n v="1750"/>
    <s v="City of Cocoa Beach           Brevard County"/>
    <s v="City of Cocoa Beach"/>
    <m/>
    <m/>
    <m/>
    <n v="0"/>
    <n v="1"/>
    <n v="4.5595799981344296"/>
    <n v="0.62269230859308"/>
    <n v="2279.1013040929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484195490999999"/>
  </r>
  <r>
    <n v="830000"/>
    <n v="1400000"/>
    <n v="1400000"/>
    <x v="0"/>
    <x v="0"/>
    <s v="BR3-5, BR-7"/>
    <s v="62-304.520 (10), F.A.C."/>
    <n v="0.59"/>
    <n v="0.64"/>
    <s v="City of Cocoa Beach"/>
    <n v="0.61776345352982998"/>
    <n v="3689.57871079491"/>
    <n v="7.3813808074564298"/>
    <n v="1.0080600485122799"/>
    <n v="4.5599472994331096"/>
    <n v="0.62274265693439002"/>
    <n v="2279.2868864508"/>
    <n v="1750"/>
    <s v="Governmental"/>
    <n v="1750"/>
    <s v="City of Cocoa Beach           Brevard County"/>
    <s v="City of Cocoa Beach"/>
    <m/>
    <m/>
    <m/>
    <n v="0"/>
    <n v="1"/>
    <n v="4.5599472994331096"/>
    <n v="0.62274265693439002"/>
    <n v="2279.286886450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7648"/>
    <n v="2499.9999994412001"/>
    <n v="1.8485700620000001"/>
  </r>
  <r>
    <n v="830000"/>
    <n v="1400000"/>
    <n v="1400000"/>
    <x v="0"/>
    <x v="0"/>
    <s v="BR3-5, BR-7"/>
    <s v="62-304.520 (10), F.A.C."/>
    <n v="0.59"/>
    <n v="0.64"/>
    <s v="City of Cocoa Beach"/>
    <n v="0.55574345036618"/>
    <n v="3703.6532917064201"/>
    <n v="7.8158993568162298"/>
    <n v="1.0621180944037401"/>
    <n v="4.3436348762719197"/>
    <n v="0.59026517448030003"/>
    <n v="2058.28105929301"/>
    <n v="1750"/>
    <s v="Governmental"/>
    <n v="1750"/>
    <s v="City of Cocoa Beach           Brevard County"/>
    <s v="City of Cocoa Beach"/>
    <m/>
    <m/>
    <m/>
    <n v="0"/>
    <n v="1"/>
    <n v="4.3436348762719197"/>
    <n v="0.59026517448030003"/>
    <n v="2058.28105929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9.98536834135101"/>
    <n v="2249.0139513211402"/>
    <n v="1.6693277042000001"/>
  </r>
  <r>
    <n v="830000"/>
    <n v="1400000"/>
    <n v="1400000"/>
    <x v="0"/>
    <x v="0"/>
    <s v="BR3-5, BR-7"/>
    <s v="62-304.520 (10), F.A.C."/>
    <n v="0.59"/>
    <n v="0.64"/>
    <s v="City of Cocoa Beach"/>
    <n v="0.57677821882381997"/>
    <n v="3701.46234073202"/>
    <n v="7.4631608493218904"/>
    <n v="1.01878397874913"/>
    <n v="4.3045886214676097"/>
    <n v="0.58761240862917996"/>
    <n v="2134.9228559308899"/>
    <n v="1750"/>
    <s v="Governmental"/>
    <n v="1750"/>
    <s v="City of Cocoa Beach           Brevard County"/>
    <s v="City of Cocoa Beach"/>
    <m/>
    <m/>
    <m/>
    <n v="0"/>
    <n v="1"/>
    <n v="4.3045886214676097"/>
    <n v="0.58761240862917996"/>
    <n v="2134.9228559308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3.38146872986499"/>
    <n v="2334.1386391476399"/>
    <n v="1.7314865012"/>
  </r>
  <r>
    <n v="830000"/>
    <n v="1400000"/>
    <n v="1400000"/>
    <x v="0"/>
    <x v="0"/>
    <s v="BR3-5, BR-7"/>
    <s v="62-304.520 (10), F.A.C."/>
    <n v="0.59"/>
    <n v="0.64"/>
    <s v="City of Cocoa Beach"/>
    <n v="5.9750283734749998E-2"/>
    <n v="3759.49731767804"/>
    <n v="8.0615853241044597"/>
    <n v="1.14374272956833"/>
    <n v="0.48168201046713"/>
    <n v="6.8338952611259995E-2"/>
    <n v="224.63103143129399"/>
    <n v="1750"/>
    <s v="Governmental"/>
    <n v="1750"/>
    <s v="City of Cocoa Beach           Brevard County"/>
    <s v="City of Cocoa Beach"/>
    <m/>
    <m/>
    <m/>
    <n v="0"/>
    <n v="1"/>
    <n v="0.48168201046713"/>
    <n v="6.8338952611259995E-2"/>
    <n v="224.63103143129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4.806560384856297"/>
    <n v="241.800819472195"/>
    <n v="0.18218250720000001"/>
  </r>
  <r>
    <n v="830000"/>
    <n v="1400000"/>
    <n v="1400000"/>
    <x v="0"/>
    <x v="0"/>
    <s v="BR3-5, BR-7"/>
    <s v="62-304.520 (10), F.A.C."/>
    <n v="0.59"/>
    <n v="0.64"/>
    <s v="City of Cocoa Beach"/>
    <n v="0.30299328031139"/>
    <n v="3759.49731767804"/>
    <n v="8.0615853241044597"/>
    <n v="1.14374272956833"/>
    <n v="2.4426061818606102"/>
    <n v="0.34654636146420997"/>
    <n v="1139.10242460516"/>
    <n v="1750"/>
    <s v="Governmental"/>
    <n v="1750"/>
    <s v="City of Cocoa Beach           Brevard County"/>
    <s v="City of Cocoa Beach"/>
    <m/>
    <m/>
    <m/>
    <n v="0"/>
    <n v="1"/>
    <n v="2.4426061818606102"/>
    <n v="0.34654636146420997"/>
    <n v="1139.1024246051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2.23168252397301"/>
    <n v="1226.17030237221"/>
    <n v="0.92384624869999998"/>
  </r>
  <r>
    <n v="830000"/>
    <n v="1400000"/>
    <n v="1400000"/>
    <x v="0"/>
    <x v="0"/>
    <s v="BR3-5, BR-7"/>
    <s v="62-304.520 (10), F.A.C."/>
    <n v="0.59"/>
    <n v="0.64"/>
    <s v="City of Cocoa Beach"/>
    <n v="0.44130257519971999"/>
    <n v="3672.8799240073099"/>
    <n v="7.4739828555063204"/>
    <n v="1.01459676622211"/>
    <n v="3.2982878811335499"/>
    <n v="0.44774416572313003"/>
    <n v="1620.8513688638"/>
    <n v="1750"/>
    <s v="Governmental"/>
    <n v="1750"/>
    <s v="City of Cocoa Beach           Brevard County"/>
    <s v="City of Cocoa Beach"/>
    <m/>
    <m/>
    <m/>
    <n v="0"/>
    <n v="1"/>
    <n v="3.2982878811335499"/>
    <n v="0.44774416572313003"/>
    <n v="1620.851368863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1.45146515859801"/>
    <n v="1785.88816066867"/>
    <n v="1.3145590988"/>
  </r>
  <r>
    <n v="830000"/>
    <n v="1400000"/>
    <n v="1400000"/>
    <x v="0"/>
    <x v="0"/>
    <s v="BR3-5, BR-7"/>
    <s v="62-304.520 (10), F.A.C."/>
    <n v="0.59"/>
    <n v="0.64"/>
    <s v="City of Cocoa Beach"/>
    <n v="0.14436567821436999"/>
    <n v="3749.6178227435298"/>
    <n v="9.1118742840489908"/>
    <n v="1.29799284323793"/>
    <n v="1.3154419108208399"/>
    <n v="0.18738561713144"/>
    <n v="541.31612002507404"/>
    <n v="1740"/>
    <s v="Medical and Health Care"/>
    <n v="1740"/>
    <s v="City of Cocoa Beach           Brevard County"/>
    <s v="City of Cocoa Beach"/>
    <m/>
    <m/>
    <m/>
    <n v="0"/>
    <n v="1"/>
    <n v="1.3154419108208399"/>
    <n v="0.18738561713144"/>
    <n v="541.316120025074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797198009051"/>
    <n v="584.22717205597098"/>
    <n v="0.43902361719999999"/>
  </r>
  <r>
    <n v="830000"/>
    <n v="1400000"/>
    <n v="1400000"/>
    <x v="0"/>
    <x v="0"/>
    <s v="BR3-5, BR-7"/>
    <s v="62-304.520 (10), F.A.C."/>
    <n v="0.59"/>
    <n v="0.64"/>
    <s v="City of Cocoa Beach"/>
    <n v="0.61776345366790997"/>
    <n v="3689.2782999074302"/>
    <n v="7.3807862395587698"/>
    <n v="1.00797854728359"/>
    <n v="4.5595799981344296"/>
    <n v="0.62269230859308"/>
    <n v="2279.1013040929001"/>
    <n v="1750"/>
    <s v="Governmental"/>
    <n v="1750"/>
    <s v="City of Cocoa Beach           Brevard County"/>
    <s v="City of Cocoa Beach"/>
    <m/>
    <m/>
    <m/>
    <n v="0"/>
    <n v="1"/>
    <n v="4.5595799981344296"/>
    <n v="0.62269230859308"/>
    <n v="2279.1013040929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484195490999999"/>
  </r>
  <r>
    <n v="830000"/>
    <n v="1400000"/>
    <n v="1400000"/>
    <x v="0"/>
    <x v="0"/>
    <s v="BR3-5, BR-7"/>
    <s v="62-304.520 (10), F.A.C."/>
    <n v="0.59"/>
    <n v="0.64"/>
    <s v="City of Cocoa Beach"/>
    <n v="0.40485718990839997"/>
    <n v="3688.7266538850399"/>
    <n v="7.3796794266747403"/>
    <n v="1.00782754190674"/>
    <n v="2.9877162751083701"/>
    <n v="0.40802622652865"/>
    <n v="1493.4075074321099"/>
    <n v="1750"/>
    <s v="Governmental"/>
    <n v="1750"/>
    <s v="City of Cocoa Beach           Brevard County"/>
    <s v="City of Cocoa Beach"/>
    <m/>
    <m/>
    <m/>
    <n v="0"/>
    <n v="1"/>
    <n v="2.9877162751083701"/>
    <n v="0.40802622652865"/>
    <n v="2278.7605169164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5.55069085475299"/>
    <n v="1638.39891913563"/>
    <n v="1.8481431605"/>
  </r>
  <r>
    <n v="830000"/>
    <n v="1400000"/>
    <n v="1400000"/>
    <x v="0"/>
    <x v="0"/>
    <s v="BR3-5, BR-7"/>
    <s v="62-304.520 (10), F.A.C."/>
    <n v="0.59"/>
    <n v="0.64"/>
    <s v="City of Cocoa Beach"/>
    <n v="0.31179883139550002"/>
    <n v="3772.5504468180702"/>
    <n v="8.6581349508299699"/>
    <n v="1.1692963229364699"/>
    <n v="2.6995963597333299"/>
    <n v="0.36458522704663998"/>
    <n v="1176.2768206984499"/>
    <n v="1750"/>
    <s v="Governmental"/>
    <n v="1750"/>
    <s v="City of Cocoa Beach           Brevard County"/>
    <s v="City of Cocoa Beach"/>
    <m/>
    <m/>
    <m/>
    <n v="0"/>
    <n v="1"/>
    <n v="2.6995963597333299"/>
    <n v="0.36458522704663998"/>
    <n v="1176.2768206984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63843858021801"/>
    <n v="1261.8051033296999"/>
    <n v="0.95399579940000001"/>
  </r>
  <r>
    <n v="830000"/>
    <n v="1400000"/>
    <n v="1400000"/>
    <x v="0"/>
    <x v="0"/>
    <s v="BR3-5, BR-7"/>
    <s v="62-304.520 (10), F.A.C."/>
    <n v="0.59"/>
    <n v="0.64"/>
    <s v="City of Cocoa Beach"/>
    <n v="0.30050197563908998"/>
    <n v="3724.5902340310099"/>
    <n v="8.1031414486942204"/>
    <n v="1.0815343837899101"/>
    <n v="2.4350100142156599"/>
    <n v="0.32500321905048002"/>
    <n v="1119.2467237723999"/>
    <n v="1750"/>
    <s v="Governmental"/>
    <n v="1750"/>
    <s v="City of Cocoa Beach           Brevard County"/>
    <s v="City of Cocoa Beach"/>
    <m/>
    <m/>
    <m/>
    <n v="0"/>
    <n v="1"/>
    <n v="2.4350100142156599"/>
    <n v="0.32500321905048002"/>
    <n v="1119.2467237723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669487193668"/>
    <n v="1216.08835005896"/>
    <n v="0.90774267949999998"/>
  </r>
  <r>
    <n v="830000"/>
    <n v="1400000"/>
    <n v="1400000"/>
    <x v="0"/>
    <x v="0"/>
    <s v="BR3-5, BR-7"/>
    <s v="62-304.520 (10), F.A.C."/>
    <n v="0.59"/>
    <n v="0.64"/>
    <s v="FDOT District 5"/>
    <n v="2.1867434811899998E-3"/>
    <n v="3724.5902340310099"/>
    <n v="8.1031414486942204"/>
    <n v="1.0815343837899101"/>
    <n v="1.7719491740099999E-2"/>
    <n v="2.3650382634299999E-3"/>
    <n v="8.1447234143749796"/>
    <n v="1750"/>
    <s v="Governmental"/>
    <n v="1750"/>
    <s v="FDOT District 5                                 City of Cocoa Beach           Brevard County"/>
    <s v="FDOT District 5"/>
    <m/>
    <m/>
    <m/>
    <n v="0"/>
    <n v="1"/>
    <n v="1.7719491740099999E-2"/>
    <n v="2.3650382634299999E-3"/>
    <n v="8.1447234143753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05884141952"/>
    <n v="8.8494369009995602"/>
    <n v="6.6056151E-3"/>
  </r>
  <r>
    <n v="830000"/>
    <n v="1400000"/>
    <n v="1400000"/>
    <x v="0"/>
    <x v="0"/>
    <s v="BR3-5, BR-7"/>
    <s v="62-304.520 (10), F.A.C."/>
    <n v="0.59"/>
    <n v="0.64"/>
    <s v="City of Cocoa Beach"/>
    <n v="0.10919016282886"/>
    <n v="3686.87780127324"/>
    <n v="7.3753926178670701"/>
    <n v="1.0072369128002501"/>
    <n v="0.80532032087173999"/>
    <n v="0.1099803625159"/>
    <n v="402.57078745116797"/>
    <n v="1750"/>
    <s v="Governmental"/>
    <n v="1750"/>
    <s v="City of Cocoa Beach           Brevard County"/>
    <s v="City of Cocoa Beach"/>
    <m/>
    <m/>
    <m/>
    <n v="0"/>
    <n v="1"/>
    <n v="0.80532032087173999"/>
    <n v="0.1099803625159"/>
    <n v="402.570787451167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947195309449"/>
    <n v="441.87691170690903"/>
    <n v="0.32649698900000002"/>
  </r>
  <r>
    <n v="830000"/>
    <n v="1400000"/>
    <n v="1400000"/>
    <x v="0"/>
    <x v="0"/>
    <s v="BR3-5, BR-7"/>
    <s v="62-304.520 (10), F.A.C."/>
    <n v="0.59"/>
    <n v="0.64"/>
    <s v="City of Cocoa Beach"/>
    <n v="3.5487455519870002E-2"/>
    <n v="3744.1883093618799"/>
    <n v="10.4106381655143"/>
    <n v="1.90710301332968"/>
    <n v="0.36944705883216999"/>
    <n v="6.7678233357350001E-2"/>
    <n v="132.87171608650399"/>
    <n v="1750"/>
    <s v="Governmental"/>
    <n v="1750"/>
    <s v="City of Cocoa Beach           Brevard County"/>
    <s v="City of Cocoa Beach"/>
    <m/>
    <m/>
    <m/>
    <n v="0"/>
    <n v="1"/>
    <n v="0.36944705883216999"/>
    <n v="6.7678233357350001E-2"/>
    <n v="239.25195837186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9.033420771699099"/>
    <n v="143.612637285228"/>
    <n v="0.1940405177"/>
  </r>
  <r>
    <n v="830000"/>
    <n v="1400000"/>
    <n v="1400000"/>
    <x v="0"/>
    <x v="0"/>
    <s v="BR3-5, BR-7"/>
    <s v="62-304.520 (10), F.A.C."/>
    <n v="0.59"/>
    <n v="0.64"/>
    <s v="City of Cocoa Beach"/>
    <n v="0.61776345362188001"/>
    <n v="3689.27830018231"/>
    <n v="7.3807862401086801"/>
    <n v="1.00797854735869"/>
    <n v="4.5595799981344296"/>
    <n v="0.62269230859308"/>
    <n v="2279.1013040929001"/>
    <n v="1750"/>
    <s v="Governmental"/>
    <n v="1750"/>
    <s v="City of Cocoa Beach           Brevard County"/>
    <s v="City of Cocoa Beach"/>
    <m/>
    <m/>
    <m/>
    <n v="0"/>
    <n v="1"/>
    <n v="4.5595799981344296"/>
    <n v="0.62269230859308"/>
    <n v="2279.1013040929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9254899"/>
    <n v="2499.99999981373"/>
    <n v="1.8484195490999999"/>
  </r>
  <r>
    <n v="830000"/>
    <n v="1400000"/>
    <n v="1400000"/>
    <x v="0"/>
    <x v="0"/>
    <s v="BR3-5, BR-7"/>
    <s v="62-304.520 (10), F.A.C."/>
    <n v="0.59"/>
    <n v="0.64"/>
    <s v="City of Cocoa Beach"/>
    <n v="0.57520703144690999"/>
    <n v="3699.3915047379601"/>
    <n v="7.6798407945968501"/>
    <n v="1.0451951489014299"/>
    <n v="4.4174984254449301"/>
    <n v="0.60120359888230002"/>
    <n v="2127.9160056002302"/>
    <n v="1750"/>
    <s v="Governmental"/>
    <n v="1750"/>
    <s v="City of Cocoa Beach           Brevard County"/>
    <s v="City of Cocoa Beach"/>
    <m/>
    <m/>
    <m/>
    <n v="0"/>
    <n v="1"/>
    <n v="4.4174984254449301"/>
    <n v="0.60120359888230002"/>
    <n v="2127.9160056002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3.13602100612599"/>
    <n v="2327.7802694205602"/>
    <n v="1.7258037353"/>
  </r>
  <r>
    <n v="830000"/>
    <n v="1400000"/>
    <n v="1400000"/>
    <x v="0"/>
    <x v="0"/>
    <s v="BR3-5, BR-7"/>
    <s v="62-304.520 (10), F.A.C."/>
    <n v="0.59"/>
    <n v="0.64"/>
    <s v="City of Cocoa Beach"/>
    <n v="0.56118631179458001"/>
    <n v="3706.3972820003701"/>
    <n v="7.4950958978600397"/>
    <n v="1.0229763637866001"/>
    <n v="4.2061452234668204"/>
    <n v="0.57408033264643998"/>
    <n v="2079.9794207312698"/>
    <n v="1750"/>
    <s v="Governmental"/>
    <n v="1750"/>
    <s v="City of Cocoa Beach           Brevard County"/>
    <s v="City of Cocoa Beach"/>
    <m/>
    <m/>
    <m/>
    <n v="0"/>
    <n v="1"/>
    <n v="4.2061452234668204"/>
    <n v="0.57408033264643998"/>
    <n v="2079.97942073126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0.85753848512999"/>
    <n v="2271.0404300488899"/>
    <n v="1.6869257264999999"/>
  </r>
  <r>
    <n v="830000"/>
    <n v="1400000"/>
    <n v="1400000"/>
    <x v="0"/>
    <x v="0"/>
    <s v="BR3-5, BR-7"/>
    <s v="62-304.520 (10), F.A.C."/>
    <n v="0.59"/>
    <n v="0.64"/>
    <s v="City of Cocoa Beach"/>
    <n v="0.27609097664525001"/>
    <n v="3689.7850988857099"/>
    <n v="7.3817894181513397"/>
    <n v="1.0081160531733"/>
    <n v="2.0380454498470102"/>
    <n v="0.27833174569237001"/>
    <n v="1018.71637156246"/>
    <n v="1750"/>
    <s v="Governmental"/>
    <n v="1750"/>
    <s v="City of Cocoa Beach           Brevard County"/>
    <s v="City of Cocoa Beach"/>
    <m/>
    <m/>
    <m/>
    <n v="0"/>
    <n v="1"/>
    <n v="2.0380454498470102"/>
    <n v="0.27833174569237001"/>
    <n v="1018.7163715624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4.923346877727"/>
    <n v="1117.3005420035399"/>
    <n v="0.82620954710000005"/>
  </r>
  <r>
    <n v="830000"/>
    <n v="1400000"/>
    <n v="1400000"/>
    <x v="0"/>
    <x v="0"/>
    <s v="BR3-5, BR-7"/>
    <s v="62-304.520 (10), F.A.C."/>
    <n v="0.59"/>
    <n v="0.64"/>
    <s v="City of Cocoa Beach"/>
    <n v="5.827916217964E-2"/>
    <n v="3689.2782999074302"/>
    <n v="7.3807862395587698"/>
    <n v="1.00797854728359"/>
    <n v="0.43014603826852998"/>
    <n v="5.8744145230740001E-2"/>
    <n v="215.00804836615001"/>
    <n v="1750"/>
    <s v="Governmental"/>
    <n v="1750"/>
    <s v="City of Cocoa Beach           Brevard County"/>
    <s v="City of Cocoa Beach"/>
    <m/>
    <m/>
    <m/>
    <n v="0"/>
    <n v="1"/>
    <n v="0.43014603826852998"/>
    <n v="5.8744145230740001E-2"/>
    <n v="215.00804836614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77455552473501"/>
    <n v="235.84740175878599"/>
    <n v="0.17437797920000001"/>
  </r>
  <r>
    <n v="830000"/>
    <n v="1400000"/>
    <n v="1400000"/>
    <x v="0"/>
    <x v="0"/>
    <s v="BR3-5, BR-7"/>
    <s v="62-304.520 (10), F.A.C."/>
    <n v="0.59"/>
    <n v="0.64"/>
    <s v="City of Cocoa Beach"/>
    <n v="0.19939223850707"/>
    <n v="3689.5780589762899"/>
    <n v="7.3813795034269702"/>
    <n v="1.0080598704236201"/>
    <n v="1.47178978245851"/>
    <n v="0.20099931411291"/>
    <n v="735.67322832585705"/>
    <n v="1750"/>
    <s v="Governmental"/>
    <n v="1750"/>
    <s v="City of Cocoa Beach           Brevard County"/>
    <s v="City of Cocoa Beach"/>
    <m/>
    <m/>
    <m/>
    <n v="0"/>
    <n v="1"/>
    <n v="1.47178978245851"/>
    <n v="0.20099931411291"/>
    <n v="735.673228325857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2.79853539010901"/>
    <n v="806.91176097905304"/>
    <n v="0.59665306429999998"/>
  </r>
  <r>
    <n v="830000"/>
    <n v="1400000"/>
    <n v="1400000"/>
    <x v="0"/>
    <x v="0"/>
    <s v="BR3-5, BR-7"/>
    <s v="62-304.520 (10), F.A.C."/>
    <n v="0.59"/>
    <n v="0.64"/>
    <s v="City of Cocoa Beach"/>
    <n v="0.58083074597241002"/>
    <n v="3661.38513554765"/>
    <n v="7.3231018222776898"/>
    <n v="0.99980768342222004"/>
    <n v="4.2534826942654904"/>
    <n v="0.58071904259107998"/>
    <n v="2126.64505957244"/>
    <n v="1750"/>
    <s v="Governmental"/>
    <n v="1750"/>
    <s v="City of Cocoa Beach           Brevard County"/>
    <s v="City of Cocoa Beach"/>
    <m/>
    <m/>
    <m/>
    <n v="0"/>
    <n v="1"/>
    <n v="4.2534826942654904"/>
    <n v="0.58071904259107998"/>
    <n v="2126.6450595724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4.04300412715401"/>
    <n v="2350.5386346658402"/>
    <n v="1.7247729598999999"/>
  </r>
  <r>
    <n v="830000"/>
    <n v="1400000"/>
    <n v="1400000"/>
    <x v="0"/>
    <x v="0"/>
    <s v="BR3-5, BR-7"/>
    <s v="62-304.520 (10), F.A.C."/>
    <n v="0.59"/>
    <n v="0.64"/>
    <s v="City of Cocoa Beach"/>
    <n v="2.6079576909049999E-2"/>
    <n v="3689.27830018231"/>
    <n v="7.3807862401086801"/>
    <n v="1.00797854735869"/>
    <n v="0.19248778239819"/>
    <n v="2.6287654048509999E-2"/>
    <n v="96.214817168504894"/>
    <n v="1750"/>
    <s v="Governmental"/>
    <n v="1750"/>
    <s v="City of Cocoa Beach           Brevard County"/>
    <s v="City of Cocoa Beach"/>
    <m/>
    <m/>
    <m/>
    <n v="0"/>
    <n v="1"/>
    <n v="0.19248778239819"/>
    <n v="2.6287654048509999E-2"/>
    <n v="96.2148171685048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406690234564"/>
    <n v="105.540303307876"/>
    <n v="7.8033103899999998E-2"/>
  </r>
  <r>
    <n v="830000"/>
    <n v="1400000"/>
    <n v="1400000"/>
    <x v="0"/>
    <x v="0"/>
    <s v="BR3-5, BR-7"/>
    <s v="62-304.520 (10), F.A.C."/>
    <n v="0.59"/>
    <n v="0.64"/>
    <s v="City of Cocoa Beach"/>
    <n v="0.35417724377249998"/>
    <n v="3760.4653990389202"/>
    <n v="8.1089533195187204"/>
    <n v="1.1585722648100401"/>
    <n v="2.8720067365870099"/>
    <n v="0.41033993146168002"/>
    <n v="1331.87127033346"/>
    <n v="1750"/>
    <s v="Governmental"/>
    <n v="1750"/>
    <s v="City of Cocoa Beach           Brevard County"/>
    <s v="City of Cocoa Beach"/>
    <m/>
    <m/>
    <m/>
    <n v="0"/>
    <n v="1"/>
    <n v="2.8720067365870099"/>
    <n v="0.41033993146168002"/>
    <n v="1331.8712703334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7.336983599609"/>
    <n v="1433.30445362867"/>
    <n v="1.0801875672000001"/>
  </r>
  <r>
    <n v="830000"/>
    <n v="1400000"/>
    <n v="1400000"/>
    <x v="0"/>
    <x v="0"/>
    <s v="BR3-5, BR-7"/>
    <s v="62-304.520 (10), F.A.C."/>
    <n v="0.59"/>
    <n v="0.64"/>
    <s v="City of Cocoa Beach"/>
    <n v="0.18385729390052999"/>
    <n v="3721.7188092839601"/>
    <n v="8.2794321320968898"/>
    <n v="1.11508129709662"/>
    <n v="1.52223398684043"/>
    <n v="0.20501582976327001"/>
    <n v="684.26514893365095"/>
    <n v="1750"/>
    <s v="Governmental"/>
    <n v="1750"/>
    <s v="City of Cocoa Beach           Brevard County"/>
    <s v="City of Cocoa Beach"/>
    <m/>
    <m/>
    <m/>
    <n v="0"/>
    <n v="1"/>
    <n v="1.52223398684043"/>
    <n v="0.20501582976327001"/>
    <n v="684.265148933650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5.062567566683"/>
    <n v="744.04407062644395"/>
    <n v="0.55495956930000001"/>
  </r>
  <r>
    <n v="830000"/>
    <n v="1400000"/>
    <n v="1400000"/>
    <x v="0"/>
    <x v="0"/>
    <s v="BR3-5, BR-7"/>
    <s v="62-304.520 (10), F.A.C."/>
    <n v="0.59"/>
    <n v="0.64"/>
    <s v="FDOT District 5"/>
    <n v="1.65985025289E-3"/>
    <n v="3721.7188092839601"/>
    <n v="8.2794321320968898"/>
    <n v="1.11508129709662"/>
    <n v="1.374261751829E-2"/>
    <n v="1.8508679729799999E-3"/>
    <n v="6.1774959067977804"/>
    <n v="1750"/>
    <s v="Governmental"/>
    <n v="1750"/>
    <s v="FDOT District 5                                 City of Cocoa Beach           Brevard County"/>
    <s v="FDOT District 5"/>
    <m/>
    <m/>
    <m/>
    <n v="0"/>
    <n v="1"/>
    <n v="1.374261751829E-2"/>
    <n v="1.8508679729799999E-3"/>
    <n v="6.1774959067964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6.635028450187704"/>
    <n v="6.7171756561529898"/>
    <n v="5.0101345999999996E-3"/>
  </r>
  <r>
    <n v="830000"/>
    <n v="1400000"/>
    <n v="1400000"/>
    <x v="0"/>
    <x v="0"/>
    <s v="BR3-5, BR-7"/>
    <s v="62-304.520 (10), F.A.C."/>
    <n v="0.59"/>
    <n v="0.64"/>
    <s v="City of Cocoa Beach"/>
    <n v="0.22665020960893001"/>
    <n v="3721.3394832283602"/>
    <n v="8.2695381231297596"/>
    <n v="1.1221468200854801"/>
    <n v="1.8742925489764399"/>
    <n v="0.25433481198437002"/>
    <n v="843.44237389971397"/>
    <n v="1750"/>
    <s v="Governmental"/>
    <n v="1750"/>
    <s v="City of Cocoa Beach           Brevard County"/>
    <s v="City of Cocoa Beach"/>
    <m/>
    <m/>
    <m/>
    <n v="0"/>
    <n v="1"/>
    <n v="1.8742925489764399"/>
    <n v="0.25433481198437002"/>
    <n v="843.442373899713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6.71087288682801"/>
    <n v="917.22085639422301"/>
    <n v="0.68405707530000004"/>
  </r>
  <r>
    <n v="830000"/>
    <n v="1400000"/>
    <n v="1400000"/>
    <x v="0"/>
    <x v="0"/>
    <s v="BR3-5, BR-7"/>
    <s v="62-304.520 (10), F.A.C."/>
    <n v="0.59"/>
    <n v="0.64"/>
    <s v="FDOT District 5"/>
    <n v="2.1754854094600002E-3"/>
    <n v="3721.3394832283602"/>
    <n v="8.2695381231297596"/>
    <n v="1.1221468200854801"/>
    <n v="1.7990259529890001E-2"/>
    <n v="2.44121403437E-3"/>
    <n v="8.0957197494330408"/>
    <n v="1750"/>
    <s v="Governmental"/>
    <n v="1750"/>
    <s v="FDOT District 5                                 City of Cocoa Beach           Brevard County"/>
    <s v="FDOT District 5"/>
    <m/>
    <m/>
    <m/>
    <n v="0"/>
    <n v="1"/>
    <n v="1.7990259529890001E-2"/>
    <n v="2.44121403437E-3"/>
    <n v="8.095719749431369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96235102405"/>
    <n v="8.8038771011331693"/>
    <n v="6.5658716999999998E-3"/>
  </r>
  <r>
    <n v="830000"/>
    <n v="1400000"/>
    <n v="1400000"/>
    <x v="0"/>
    <x v="0"/>
    <s v="BR3-5, BR-7"/>
    <s v="62-304.520 (10), F.A.C."/>
    <n v="0.59"/>
    <n v="0.64"/>
    <s v="City of Cocoa Beach"/>
    <n v="9.961321234744E-2"/>
    <n v="3758.0075340928902"/>
    <n v="9.5327557722830392"/>
    <n v="1.34727642155907"/>
    <n v="0.94958842500072005"/>
    <n v="0.13420653227146001"/>
    <n v="374.34720249687803"/>
    <n v="1740"/>
    <s v="Medical and Health Care"/>
    <n v="1740"/>
    <s v="City of Cocoa Beach           Brevard County"/>
    <s v="City of Cocoa Beach"/>
    <m/>
    <m/>
    <m/>
    <n v="0"/>
    <n v="1"/>
    <n v="0.94958842500072005"/>
    <n v="0.13420653227146001"/>
    <n v="374.34720249688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2.758307132348605"/>
    <n v="403.12036814413801"/>
    <n v="0.30360681470000001"/>
  </r>
  <r>
    <n v="830000"/>
    <n v="1400000"/>
    <n v="1400000"/>
    <x v="0"/>
    <x v="0"/>
    <s v="BR3-5, BR-7"/>
    <s v="62-304.520 (10), F.A.C."/>
    <n v="0.59"/>
    <n v="0.64"/>
    <s v="City of Cocoa Beach"/>
    <n v="0.59237003172708003"/>
    <n v="3696.52287895274"/>
    <n v="7.4312159128203401"/>
    <n v="1.0145902486203"/>
    <n v="4.4020296060481598"/>
    <n v="0.60101285776518998"/>
    <n v="2189.70937508511"/>
    <n v="1750"/>
    <s v="Governmental"/>
    <n v="1750"/>
    <s v="City of Cocoa Beach           Brevard County"/>
    <s v="City of Cocoa Beach"/>
    <m/>
    <m/>
    <m/>
    <n v="0"/>
    <n v="1"/>
    <n v="4.4020296060481598"/>
    <n v="0.60101285776518998"/>
    <n v="2189.7093750851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5.90538146886701"/>
    <n v="2397.2364673320199"/>
    <n v="1.7759200122000001"/>
  </r>
  <r>
    <n v="830000"/>
    <n v="1400000"/>
    <n v="1400000"/>
    <x v="0"/>
    <x v="0"/>
    <s v="BR3-5, BR-7"/>
    <s v="62-304.520 (10), F.A.C."/>
    <n v="0.59"/>
    <n v="0.64"/>
    <s v="City of Cocoa Beach"/>
    <n v="0.18967311903833001"/>
    <n v="3694.79515072614"/>
    <n v="7.4204488561177397"/>
    <n v="1.01317576059834"/>
    <n v="1.4074596792042899"/>
    <n v="0.19217220664672"/>
    <n v="700.80332044594195"/>
    <n v="1750"/>
    <s v="Governmental"/>
    <n v="1750"/>
    <s v="City of Cocoa Beach           Brevard County"/>
    <s v="City of Cocoa Beach"/>
    <m/>
    <m/>
    <m/>
    <n v="0"/>
    <n v="1"/>
    <n v="1.4074596792042899"/>
    <n v="0.19217220664672"/>
    <n v="700.803320445941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1.474036712805"/>
    <n v="767.57987993692495"/>
    <n v="0.56837252270000005"/>
  </r>
  <r>
    <n v="830000"/>
    <n v="1400000"/>
    <n v="1400000"/>
    <x v="0"/>
    <x v="0"/>
    <s v="BR3-5, BR-7"/>
    <s v="62-304.520 (10), F.A.C."/>
    <n v="0.59"/>
    <n v="0.64"/>
    <s v="City of Cocoa Beach"/>
    <n v="0.45576530194506998"/>
    <n v="3725.5452556959399"/>
    <n v="8.4578375471489107"/>
    <n v="1.1916338024236599"/>
    <n v="3.85478888347874"/>
    <n v="0.54310533976957998"/>
    <n v="1697.97425837231"/>
    <n v="1740"/>
    <s v="Medical and Health Care"/>
    <n v="1740"/>
    <s v="City of Cocoa Beach           Brevard County"/>
    <s v="City of Cocoa Beach"/>
    <m/>
    <m/>
    <m/>
    <n v="0"/>
    <n v="1"/>
    <n v="3.85478888347874"/>
    <n v="0.54310533976957998"/>
    <n v="1697.9742583723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2.198213136101"/>
    <n v="1844.41673928351"/>
    <n v="1.3771080764999999"/>
  </r>
  <r>
    <n v="830000"/>
    <n v="1400000"/>
    <n v="1400000"/>
    <x v="0"/>
    <x v="0"/>
    <s v="BR3-5, BR-7"/>
    <s v="62-304.520 (10), F.A.C."/>
    <n v="0.59"/>
    <n v="0.64"/>
    <s v="City of Cocoa Beach"/>
    <n v="0.28062041861977999"/>
    <n v="3753.8259817634798"/>
    <n v="9.6361025859285494"/>
    <n v="1.36153364180382"/>
    <n v="2.70408714152649"/>
    <n v="0.38207414052791"/>
    <n v="1053.4002184282999"/>
    <n v="1740"/>
    <s v="Medical and Health Care"/>
    <n v="1740"/>
    <s v="City of Cocoa Beach           Brevard County"/>
    <s v="City of Cocoa Beach"/>
    <m/>
    <m/>
    <m/>
    <n v="0"/>
    <n v="1"/>
    <n v="2.70408714152649"/>
    <n v="0.38207414052791"/>
    <n v="1053.4002184282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0.32805029263301"/>
    <n v="1135.63054334806"/>
    <n v="0.85433918769999995"/>
  </r>
  <r>
    <n v="830000"/>
    <n v="1400000"/>
    <n v="1400000"/>
    <x v="0"/>
    <x v="0"/>
    <s v="BR3-5, BR-7"/>
    <s v="62-304.520 (10), F.A.C."/>
    <n v="0.59"/>
    <n v="0.64"/>
    <s v="City of Cocoa Beach"/>
    <n v="0.37131051802916998"/>
    <n v="3761.6745980614"/>
    <n v="8.0510729966278003"/>
    <n v="1.1085781312279701"/>
    <n v="2.9894480850685401"/>
    <n v="0.41162672018205998"/>
    <n v="1396.7493436633499"/>
    <n v="1750"/>
    <s v="Governmental"/>
    <n v="1750"/>
    <s v="City of Cocoa Beach           Brevard County"/>
    <s v="City of Cocoa Beach"/>
    <m/>
    <m/>
    <m/>
    <n v="0"/>
    <n v="1"/>
    <n v="2.9894480850685401"/>
    <n v="0.41162672018205998"/>
    <n v="1396.7493436633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0.11042156427101"/>
    <n v="1502.64035459102"/>
    <n v="1.1328056314999999"/>
  </r>
  <r>
    <n v="830000"/>
    <n v="1400000"/>
    <n v="1400000"/>
    <x v="0"/>
    <x v="0"/>
    <s v="BR3-5, BR-7"/>
    <s v="62-304.520 (10), F.A.C."/>
    <n v="0.59"/>
    <n v="0.64"/>
    <s v="City of Cocoa Beach"/>
    <n v="0.37486031990381002"/>
    <n v="3688.1051002541299"/>
    <n v="7.3784570228710997"/>
    <n v="1.00765961048779"/>
    <n v="2.76589075999002"/>
    <n v="0.37773160394160998"/>
    <n v="1382.52425772016"/>
    <n v="1750"/>
    <s v="Governmental"/>
    <n v="1750"/>
    <s v="City of Cocoa Beach           Brevard County"/>
    <s v="City of Cocoa Beach"/>
    <m/>
    <m/>
    <m/>
    <n v="0"/>
    <n v="1"/>
    <n v="2.76589075999002"/>
    <n v="0.37773160394160998"/>
    <n v="2278.3765444778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0.69496982481601"/>
    <n v="1517.0058931056701"/>
    <n v="1.8478317473000001"/>
  </r>
  <r>
    <n v="830000"/>
    <n v="1400000"/>
    <n v="1400000"/>
    <x v="0"/>
    <x v="0"/>
    <s v="BR3-5, BR-7"/>
    <s v="62-304.520 (10), F.A.C."/>
    <n v="0.59"/>
    <n v="0.64"/>
    <s v="City of Cocoa Beach"/>
    <n v="0.42570308148327002"/>
    <n v="3649.3014877856299"/>
    <n v="7.4108151567419496"/>
    <n v="1.0063952351009"/>
    <n v="3.1548068485280401"/>
    <n v="0.42842555277254002"/>
    <n v="1553.5188886118499"/>
    <n v="1750"/>
    <s v="Governmental"/>
    <n v="1750"/>
    <s v="City of Cocoa Beach           Brevard County"/>
    <s v="City of Cocoa Beach"/>
    <m/>
    <m/>
    <m/>
    <n v="0"/>
    <n v="1"/>
    <n v="3.1548068485280401"/>
    <n v="0.42842555277254002"/>
    <n v="1553.5188886118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8.926308576004"/>
    <n v="1722.7592493360701"/>
    <n v="1.2599504368000001"/>
  </r>
  <r>
    <n v="830000"/>
    <n v="1400000"/>
    <n v="1400000"/>
    <x v="0"/>
    <x v="0"/>
    <s v="BR3-5, BR-7"/>
    <s v="62-304.520 (10), F.A.C."/>
    <n v="0.59"/>
    <n v="0.64"/>
    <s v="City of Cocoa Beach"/>
    <n v="1.9123185219700001E-3"/>
    <n v="3649.3014877856299"/>
    <n v="7.4108151567419496"/>
    <n v="1.0063952351009"/>
    <n v="1.417183908713E-2"/>
    <n v="1.9245482485E-3"/>
    <n v="6.9786268273451402"/>
    <n v="1750"/>
    <s v="Governmental"/>
    <n v="1750"/>
    <s v="City of Cocoa Beach           Brevard County"/>
    <s v="City of Cocoa Beach"/>
    <m/>
    <m/>
    <m/>
    <n v="0"/>
    <n v="1"/>
    <n v="1.417183908713E-2"/>
    <n v="1.9245482485E-3"/>
    <n v="6.9786268273449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648918755769699"/>
    <n v="7.7388784923085803"/>
    <n v="5.6598758000000002E-3"/>
  </r>
  <r>
    <n v="830000"/>
    <n v="1400000"/>
    <n v="1400000"/>
    <x v="0"/>
    <x v="0"/>
    <s v="BR3-5, BR-7"/>
    <s v="62-304.520 (10), F.A.C."/>
    <n v="0.59"/>
    <n v="0.64"/>
    <s v="City of Cocoa Beach"/>
    <n v="0.33559600328675998"/>
    <n v="3714.65208561606"/>
    <n v="8.2265464629281393"/>
    <n v="1.13594259427787"/>
    <n v="2.7607961138115402"/>
    <n v="0.38121779460284999"/>
    <n v="1246.62239353359"/>
    <n v="1750"/>
    <s v="Governmental"/>
    <n v="1750"/>
    <s v="City of Cocoa Beach           Brevard County"/>
    <s v="City of Cocoa Beach"/>
    <m/>
    <m/>
    <m/>
    <n v="0"/>
    <n v="1"/>
    <n v="2.7607961138115402"/>
    <n v="0.38121779460284999"/>
    <n v="1828.8517910206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95387406725101"/>
    <n v="1358.1088412327999"/>
    <n v="1.4832536829"/>
  </r>
  <r>
    <n v="830000"/>
    <n v="1400000"/>
    <n v="1400000"/>
    <x v="0"/>
    <x v="0"/>
    <s v="BR3-5, BR-7"/>
    <s v="62-304.520 (10), F.A.C."/>
    <n v="0.59"/>
    <n v="0.64"/>
    <s v="City of Cocoa Beach"/>
    <n v="0.61776345371394004"/>
    <n v="3689.5787105200102"/>
    <n v="7.3813808069064804"/>
    <n v="1.00806004843717"/>
    <n v="4.5599473004523299"/>
    <n v="0.62274265707359"/>
    <n v="2279.2868869602598"/>
    <n v="1750"/>
    <s v="Governmental"/>
    <n v="1750"/>
    <s v="City of Cocoa Beach           Brevard County"/>
    <s v="City of Cocoa Beach"/>
    <m/>
    <m/>
    <m/>
    <n v="0"/>
    <n v="1"/>
    <n v="4.5599473004523299"/>
    <n v="0.62274265707359"/>
    <n v="2279.2868869602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0745001"/>
    <n v="2500.00000018626"/>
    <n v="1.8485700624000001"/>
  </r>
  <r>
    <n v="830000"/>
    <n v="1400000"/>
    <n v="1400000"/>
    <x v="0"/>
    <x v="0"/>
    <s v="BR3-5, BR-7"/>
    <s v="62-304.520 (10), F.A.C."/>
    <n v="0.59"/>
    <n v="0.64"/>
    <s v="City of Cocoa Beach"/>
    <n v="0.28235540152700001"/>
    <n v="3714.21462565406"/>
    <n v="8.1656153578072193"/>
    <n v="1.10560483512261"/>
    <n v="2.30560560306871"/>
    <n v="0.31217349715123999"/>
    <n v="1048.72856198401"/>
    <n v="1750"/>
    <s v="Governmental"/>
    <n v="1750"/>
    <s v="City of Cocoa Beach           Brevard County"/>
    <s v="City of Cocoa Beach"/>
    <m/>
    <m/>
    <m/>
    <n v="0"/>
    <n v="1"/>
    <n v="2.30560560306871"/>
    <n v="0.31217349715123999"/>
    <n v="1048.72856198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0.59761930241501"/>
    <n v="1142.6517700688701"/>
    <n v="0.85055033410000003"/>
  </r>
  <r>
    <n v="830000"/>
    <n v="1400000"/>
    <n v="1400000"/>
    <x v="0"/>
    <x v="0"/>
    <s v="BR3-5, BR-7"/>
    <s v="62-304.520 (10), F.A.C."/>
    <n v="0.59"/>
    <n v="0.64"/>
    <s v="City of Cocoa Beach"/>
    <n v="0.20771919605924"/>
    <n v="3700.9187948983499"/>
    <n v="8.2590554106395508"/>
    <n v="1.1239120622154299"/>
    <n v="1.7155643501068301"/>
    <n v="0.23345811000468"/>
    <n v="768.75187675685004"/>
    <n v="1750"/>
    <s v="Governmental"/>
    <n v="1750"/>
    <s v="City of Cocoa Beach           Brevard County"/>
    <s v="City of Cocoa Beach"/>
    <m/>
    <m/>
    <m/>
    <n v="0"/>
    <n v="1"/>
    <n v="1.7155643501068301"/>
    <n v="0.23345811000468"/>
    <n v="768.751876756850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3.64599729599399"/>
    <n v="840.60976262813494"/>
    <n v="0.62348084079999999"/>
  </r>
  <r>
    <n v="830000"/>
    <n v="1400000"/>
    <n v="1400000"/>
    <x v="0"/>
    <x v="0"/>
    <s v="BR3-5, BR-7"/>
    <s v="62-304.520 (10), F.A.C."/>
    <n v="0.59"/>
    <n v="0.64"/>
    <s v="FDOT District 5"/>
    <n v="2.1830169193500001E-3"/>
    <n v="3700.9187948983499"/>
    <n v="8.2590554106395508"/>
    <n v="1.1239120622154299"/>
    <n v="1.8029657699300001E-2"/>
    <n v="2.4535190476800001E-3"/>
    <n v="8.0791683464183102"/>
    <n v="1750"/>
    <s v="Governmental"/>
    <n v="1750"/>
    <s v="FDOT District 5                                 City of Cocoa Beach           Brevard County"/>
    <s v="FDOT District 5"/>
    <m/>
    <m/>
    <m/>
    <n v="0"/>
    <n v="1"/>
    <n v="1.8029657699300001E-2"/>
    <n v="2.4535190476800001E-3"/>
    <n v="8.07916834641775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02882759345"/>
    <n v="8.8343560402949706"/>
    <n v="6.5524479999999998E-3"/>
  </r>
  <r>
    <n v="830000"/>
    <n v="1400000"/>
    <n v="1400000"/>
    <x v="0"/>
    <x v="0"/>
    <s v="BR3-5, BR-7"/>
    <s v="62-304.520 (10), F.A.C."/>
    <n v="0.59"/>
    <n v="0.64"/>
    <s v="City of Cocoa Beach"/>
    <n v="0.28059578389779999"/>
    <n v="3705.6168823466501"/>
    <n v="8.1968471827494405"/>
    <n v="1.0935986220856699"/>
    <n v="2.3000007607341102"/>
    <n v="0.30685916263369001"/>
    <n v="1039.78047392701"/>
    <n v="1750"/>
    <s v="Governmental"/>
    <n v="1750"/>
    <s v="City of Cocoa Beach           Brevard County"/>
    <s v="City of Cocoa Beach"/>
    <m/>
    <m/>
    <m/>
    <n v="0"/>
    <n v="1"/>
    <n v="2.3000007607341102"/>
    <n v="0.30685916263369001"/>
    <n v="1039.78047392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5.44718397796601"/>
    <n v="1135.5308501652"/>
    <n v="0.84329316620000005"/>
  </r>
  <r>
    <n v="830000"/>
    <n v="1400000"/>
    <n v="1400000"/>
    <x v="0"/>
    <x v="0"/>
    <s v="BR3-5, BR-7"/>
    <s v="62-304.520 (10), F.A.C."/>
    <n v="0.59"/>
    <n v="0.64"/>
    <s v="FDOT District 5"/>
    <n v="2.1860254483500002E-3"/>
    <n v="3705.6168823466501"/>
    <n v="8.1968471827494405"/>
    <n v="1.0935986220856699"/>
    <n v="1.7918516537759999E-2"/>
    <n v="2.3906344181600001E-3"/>
    <n v="8.1005728066637097"/>
    <n v="1750"/>
    <s v="Governmental"/>
    <n v="1750"/>
    <s v="FDOT District 5                                 City of Cocoa Beach           Brevard County"/>
    <s v="FDOT District 5"/>
    <m/>
    <m/>
    <m/>
    <n v="0"/>
    <n v="1"/>
    <n v="1.7918516537759999E-2"/>
    <n v="2.3906344181600001E-3"/>
    <n v="8.10057280666256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0579046988999"/>
    <n v="8.8465311252040308"/>
    <n v="6.5698075999999998E-3"/>
  </r>
  <r>
    <n v="830000"/>
    <n v="1400000"/>
    <n v="1400000"/>
    <x v="0"/>
    <x v="0"/>
    <s v="BR3-5, BR-7"/>
    <s v="62-304.520 (10), F.A.C."/>
    <n v="0.59"/>
    <n v="0.64"/>
    <s v="City of Cocoa Beach"/>
    <n v="0.59893209895527999"/>
    <n v="3672.2045637647798"/>
    <n v="7.3424141146240496"/>
    <n v="1.00270227962331"/>
    <n v="4.3976074970706804"/>
    <n v="0.60055058096203995"/>
    <n v="2199.4011871688099"/>
    <n v="1750"/>
    <s v="Governmental"/>
    <n v="1750"/>
    <s v="City of Cocoa Beach           Brevard County"/>
    <s v="City of Cocoa Beach"/>
    <m/>
    <m/>
    <m/>
    <n v="0"/>
    <n v="1"/>
    <n v="4.3976074970706804"/>
    <n v="0.60055058096203995"/>
    <n v="2199.4011871688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6.97314835443299"/>
    <n v="2423.7922112387"/>
    <n v="1.7837803627"/>
  </r>
  <r>
    <n v="830000"/>
    <n v="1400000"/>
    <n v="1400000"/>
    <x v="0"/>
    <x v="0"/>
    <s v="BR3-5, BR-7"/>
    <s v="62-304.520 (10), F.A.C."/>
    <n v="0.59"/>
    <n v="0.64"/>
    <s v="City of Cocoa Beach"/>
    <n v="0.61776345371394004"/>
    <n v="3689.27829963256"/>
    <n v="7.3807862390088603"/>
    <n v="1.0079785472084899"/>
    <n v="4.5595799981344296"/>
    <n v="0.62269230859308"/>
    <n v="2279.1013040929001"/>
    <n v="1750"/>
    <s v="Governmental"/>
    <n v="1750"/>
    <s v="City of Cocoa Beach           Brevard County"/>
    <s v="City of Cocoa Beach"/>
    <m/>
    <m/>
    <m/>
    <n v="0"/>
    <n v="1"/>
    <n v="4.5595799981344296"/>
    <n v="0.62269230859308"/>
    <n v="2279.1013040929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0745001"/>
    <n v="2500.00000018626"/>
    <n v="1.8484195490999999"/>
  </r>
  <r>
    <n v="830000"/>
    <n v="1400000"/>
    <n v="1400000"/>
    <x v="0"/>
    <x v="0"/>
    <s v="BR3-5, BR-7"/>
    <s v="62-304.520 (10), F.A.C."/>
    <n v="0.59"/>
    <n v="0.64"/>
    <s v="City of Cocoa Beach"/>
    <n v="0.16876281265001"/>
    <n v="3708.5569020825701"/>
    <n v="8.4403678091058403"/>
    <n v="1.17893637367032"/>
    <n v="1.4244202112653199"/>
    <n v="0.19896061835600001"/>
    <n v="625.86649366807001"/>
    <n v="1750"/>
    <s v="Governmental"/>
    <n v="1750"/>
    <s v="City of Cocoa Beach           Brevard County"/>
    <s v="City of Cocoa Beach"/>
    <m/>
    <m/>
    <m/>
    <n v="0"/>
    <n v="1"/>
    <n v="1.4244202112653199"/>
    <n v="0.19896061835600001"/>
    <n v="625.86649366807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9.86677147366601"/>
    <n v="682.95887223498903"/>
    <n v="0.50759650739999995"/>
  </r>
  <r>
    <n v="830000"/>
    <n v="1400000"/>
    <n v="1400000"/>
    <x v="0"/>
    <x v="0"/>
    <s v="BR3-5, BR-7"/>
    <s v="62-304.520 (10), F.A.C."/>
    <n v="0.59"/>
    <n v="0.64"/>
    <s v="FDOT District 5"/>
    <n v="1.9401700265899999E-3"/>
    <n v="3708.5569020825701"/>
    <n v="8.4403678091058403"/>
    <n v="1.17893637367032"/>
    <n v="1.6375748636630001E-2"/>
    <n v="2.2873370154500002E-3"/>
    <n v="7.1952309433277799"/>
    <n v="1750"/>
    <s v="Governmental"/>
    <n v="1750"/>
    <s v="FDOT District 5                                 City of Cocoa Beach           Brevard County"/>
    <s v="FDOT District 5"/>
    <m/>
    <m/>
    <m/>
    <n v="0"/>
    <n v="1"/>
    <n v="1.6375748636630001E-2"/>
    <n v="2.2873370154500002E-3"/>
    <n v="7.19523094332751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9.235336361243299"/>
    <n v="7.8515895326574796"/>
    <n v="5.8355482000000004E-3"/>
  </r>
  <r>
    <n v="830000"/>
    <n v="1400000"/>
    <n v="1400000"/>
    <x v="0"/>
    <x v="0"/>
    <s v="BR3-5, BR-7"/>
    <s v="62-304.520 (10), F.A.C."/>
    <n v="0.59"/>
    <n v="0.64"/>
    <s v="City of Cocoa Beach"/>
    <n v="0.61512099815124999"/>
    <n v="3686.87780127324"/>
    <n v="7.3753926178670701"/>
    <n v="1.0072369128002501"/>
    <n v="4.5367588688598"/>
    <n v="0.61957257517648001"/>
    <n v="2267.8759531809001"/>
    <n v="1750"/>
    <s v="Governmental"/>
    <n v="1750"/>
    <s v="City of Cocoa Beach           Brevard County"/>
    <s v="City of Cocoa Beach"/>
    <m/>
    <m/>
    <m/>
    <n v="0"/>
    <n v="1"/>
    <n v="4.5367588688598"/>
    <n v="0.61957257517648001"/>
    <n v="2267.8759531809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21996763645501"/>
    <n v="2489.3063619215"/>
    <n v="1.8393154527"/>
  </r>
  <r>
    <n v="830000"/>
    <n v="2400000"/>
    <n v="2400000"/>
    <x v="0"/>
    <x v="0"/>
    <s v="BR3-5, BR-7"/>
    <s v="62-304.520 (10), F.A.C."/>
    <n v="0.59"/>
    <n v="0.64"/>
    <s v="City of Cocoa Beach"/>
    <n v="6.7651708802819996E-2"/>
    <n v="3734.4863767111001"/>
    <n v="10.0242421852583"/>
    <n v="1.4168833239360701"/>
    <n v="0.67815711328612005"/>
    <n v="9.5854578038500005E-2"/>
    <n v="252.64438488538701"/>
    <n v="1200"/>
    <s v="Residential, Medium Density-Two-five dwellingunits per acre"/>
    <n v="1200"/>
    <s v="City of Cocoa Beach           Brevard County"/>
    <s v="City of Cocoa Beach"/>
    <m/>
    <m/>
    <m/>
    <n v="0"/>
    <n v="1"/>
    <n v="0.67815711328612005"/>
    <n v="9.5854578038500005E-2"/>
    <n v="252.64438488538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2.960519349063702"/>
    <n v="273.77675225505698"/>
    <n v="0.2049021775"/>
  </r>
  <r>
    <n v="830000"/>
    <n v="2400000"/>
    <n v="2400000"/>
    <x v="0"/>
    <x v="0"/>
    <s v="BR3-5, BR-7"/>
    <s v="62-304.520 (10), F.A.C."/>
    <n v="0.59"/>
    <n v="0.64"/>
    <s v="City of Cocoa Beach"/>
    <n v="3.0324127365789998E-2"/>
    <n v="3734.4863767111001"/>
    <n v="10.0242421852583"/>
    <n v="1.4168833239360701"/>
    <n v="0.30397639677136001"/>
    <n v="4.2965750377509999E-2"/>
    <n v="113.245040533221"/>
    <n v="1400"/>
    <s v="Commercial and Services"/>
    <n v="1400"/>
    <s v="City of Cocoa Beach           Brevard County"/>
    <s v="City of Cocoa Beach"/>
    <m/>
    <m/>
    <m/>
    <n v="0"/>
    <n v="1"/>
    <n v="0.30397639677136001"/>
    <n v="4.2965750377509999E-2"/>
    <n v="113.24504053321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8.191332805562602"/>
    <n v="122.717389583949"/>
    <n v="9.1845126099999994E-2"/>
  </r>
  <r>
    <n v="830000"/>
    <n v="2400000"/>
    <n v="2400000"/>
    <x v="0"/>
    <x v="0"/>
    <s v="BR3-5, BR-7"/>
    <s v="62-304.520 (10), F.A.C."/>
    <n v="0.59"/>
    <n v="0.64"/>
    <s v="City of Cocoa Beach"/>
    <n v="6.0200388230440001E-2"/>
    <n v="3734.4863767111001"/>
    <n v="10.0242421852583"/>
    <n v="1.4168833239360701"/>
    <n v="0.60346327126859001"/>
    <n v="8.5296926178200005E-2"/>
    <n v="224.81752971933099"/>
    <n v="1410"/>
    <s v="Retail Sales and Services"/>
    <n v="1410"/>
    <s v="City of Cocoa Beach           Brevard County"/>
    <s v="City of Cocoa Beach"/>
    <m/>
    <m/>
    <m/>
    <n v="0"/>
    <n v="1"/>
    <n v="0.60346327126859001"/>
    <n v="8.5296926178200005E-2"/>
    <n v="224.8175297193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2.632399922495303"/>
    <n v="243.62232774136399"/>
    <n v="0.18233376300000001"/>
  </r>
  <r>
    <n v="830000"/>
    <n v="2400000"/>
    <n v="2400000"/>
    <x v="0"/>
    <x v="0"/>
    <s v="BR3-5, BR-7"/>
    <s v="62-304.520 (10), F.A.C."/>
    <n v="0.59"/>
    <n v="0.64"/>
    <s v="City of Cocoa Beach"/>
    <n v="0.11924996519342999"/>
    <n v="3734.4863767111001"/>
    <n v="10.0242421852583"/>
    <n v="1.4168833239360701"/>
    <n v="1.1953905316825799"/>
    <n v="0.16896328706253"/>
    <n v="445.33737043814398"/>
    <n v="1210"/>
    <s v="Fixed Single Family Units"/>
    <n v="1210"/>
    <s v="City of Cocoa Beach           Brevard County"/>
    <s v="City of Cocoa Beach"/>
    <m/>
    <m/>
    <m/>
    <n v="0"/>
    <n v="1"/>
    <n v="1.1953905316825799"/>
    <n v="0.16896328706253"/>
    <n v="445.337370438143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079035388492"/>
    <n v="482.587487514016"/>
    <n v="0.36118197120000001"/>
  </r>
  <r>
    <n v="830000"/>
    <n v="2400000"/>
    <n v="2400000"/>
    <x v="0"/>
    <x v="0"/>
    <s v="BR3-5, BR-7"/>
    <s v="62-304.520 (10), F.A.C."/>
    <n v="0.59"/>
    <n v="0.64"/>
    <s v="City of Cocoa Beach"/>
    <n v="0.22842143868857001"/>
    <n v="3734.4863767111001"/>
    <n v="10.0242421852583"/>
    <n v="1.4168833239360701"/>
    <n v="2.2897518217194301"/>
    <n v="0.32364652730733001"/>
    <n v="853.03675093124002"/>
    <n v="1210"/>
    <s v="Fixed Single Family Units"/>
    <n v="1210"/>
    <s v="City of Cocoa Beach           Brevard County"/>
    <s v="City of Cocoa Beach"/>
    <m/>
    <m/>
    <m/>
    <n v="0"/>
    <n v="1"/>
    <n v="2.2897518217194301"/>
    <n v="0.32364652730733001"/>
    <n v="853.03675093124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8.17865809763299"/>
    <n v="924.38876617071503"/>
    <n v="0.69183840299999999"/>
  </r>
  <r>
    <n v="830000"/>
    <n v="2400000"/>
    <n v="2400000"/>
    <x v="0"/>
    <x v="0"/>
    <s v="BR3-5, BR-7"/>
    <s v="62-304.520 (10), F.A.C."/>
    <n v="0.59"/>
    <n v="0.64"/>
    <s v="City of Cocoa Beach"/>
    <n v="0.11191582545587"/>
    <n v="3734.4863767111001"/>
    <n v="10.0242421852583"/>
    <n v="1.4168833239360701"/>
    <n v="1.1218713387327499"/>
    <n v="0.15857166677296"/>
    <n v="417.94812550333103"/>
    <n v="1430"/>
    <s v="Professional Services"/>
    <n v="1430"/>
    <s v="City of Cocoa Beach           Brevard County"/>
    <s v="City of Cocoa Beach"/>
    <m/>
    <m/>
    <m/>
    <n v="0"/>
    <n v="1"/>
    <n v="1.1218713387327499"/>
    <n v="0.15857166677296"/>
    <n v="417.948125503331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8.612725207079293"/>
    <n v="452.90727701429302"/>
    <n v="0.33896847159999999"/>
  </r>
  <r>
    <n v="830000"/>
    <n v="2400000"/>
    <n v="2400000"/>
    <x v="0"/>
    <x v="0"/>
    <s v="BR3-5, BR-7"/>
    <s v="62-304.520 (10), F.A.C."/>
    <n v="0.59"/>
    <n v="0.64"/>
    <s v="City of Cocoa Beach"/>
    <n v="2.0336744807500002E-3"/>
    <n v="3767.9321566448998"/>
    <n v="11.1018521449448"/>
    <n v="1.59436458253212"/>
    <n v="2.2577553396260001E-2"/>
    <n v="3.2424185645099999E-3"/>
    <n v="7.6627474721773501"/>
    <n v="1400"/>
    <s v="Commercial and Services"/>
    <n v="1400"/>
    <s v="City of Cocoa Beach           Brevard County"/>
    <s v="City of Cocoa Beach"/>
    <m/>
    <m/>
    <m/>
    <n v="0"/>
    <n v="1"/>
    <n v="2.2577553396260001E-2"/>
    <n v="3.2424185645099999E-3"/>
    <n v="7.6627474721783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1880269580901"/>
    <n v="8.2299886335073698"/>
    <n v="6.2147180999999998E-3"/>
  </r>
  <r>
    <n v="830000"/>
    <n v="2400000"/>
    <n v="2400000"/>
    <x v="0"/>
    <x v="0"/>
    <s v="BR3-5, BR-7"/>
    <s v="62-304.520 (10), F.A.C."/>
    <n v="0.59"/>
    <n v="0.64"/>
    <s v="FDOT District 5"/>
    <n v="0.17790524961800999"/>
    <n v="3767.9321566448998"/>
    <n v="11.1018521449448"/>
    <n v="1.59436458253212"/>
    <n v="1.97507777706867"/>
    <n v="0.28364582903749003"/>
    <n v="670.334910871644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97507777706867"/>
    <n v="0.28364582903749003"/>
    <n v="670.33491087164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7.75963436325301"/>
    <n v="719.957001995327"/>
    <n v="0.54366172820000003"/>
  </r>
  <r>
    <n v="830000"/>
    <n v="2400000"/>
    <n v="2400000"/>
    <x v="0"/>
    <x v="0"/>
    <s v="BR3-5, BR-7"/>
    <s v="62-304.520 (10), F.A.C."/>
    <n v="0.59"/>
    <n v="0.64"/>
    <s v="FDOT District 5"/>
    <n v="7.1643463717280004E-2"/>
    <n v="3767.9321566448998"/>
    <n v="11.1018521449448"/>
    <n v="1.59436458253212"/>
    <n v="0.79537514134098997"/>
    <n v="0.11422580112076"/>
    <n v="269.94771075377201"/>
    <n v="8140"/>
    <s v="Roads and Highways"/>
    <n v="8140"/>
    <s v="FDOT District 5                                 City of Cocoa Beach           Brevard County"/>
    <s v="FDOT District 5"/>
    <m/>
    <m/>
    <m/>
    <n v="0"/>
    <n v="1"/>
    <n v="0.79537514134098997"/>
    <n v="0.11422580112076"/>
    <n v="269.94771075377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0.661822467557897"/>
    <n v="289.93081126726901"/>
    <n v="0.21893569399999999"/>
  </r>
  <r>
    <n v="830000"/>
    <n v="2400000"/>
    <n v="2400000"/>
    <x v="0"/>
    <x v="0"/>
    <s v="BR3-5, BR-7"/>
    <s v="62-304.520 (10), F.A.C."/>
    <n v="0.59"/>
    <n v="0.64"/>
    <s v="City of Cocoa Beach"/>
    <n v="0.24329075554266999"/>
    <n v="3767.9321566448998"/>
    <n v="11.1018521449448"/>
    <n v="1.59436458253212"/>
    <n v="2.70097799626667"/>
    <n v="0.38789416389471998"/>
    <n v="916.70306122367106"/>
    <n v="1410"/>
    <s v="Retail Sales and Services"/>
    <n v="1410"/>
    <s v="City of Cocoa Beach           Brevard County"/>
    <s v="City of Cocoa Beach"/>
    <m/>
    <m/>
    <m/>
    <n v="0"/>
    <n v="1"/>
    <n v="2.70097799626667"/>
    <n v="0.38789416389471998"/>
    <n v="916.703061223671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5.299274248327"/>
    <n v="984.56275657841604"/>
    <n v="0.74347369119999995"/>
  </r>
  <r>
    <n v="830000"/>
    <n v="2400000"/>
    <n v="2400000"/>
    <x v="0"/>
    <x v="0"/>
    <s v="BR3-5, BR-7"/>
    <s v="62-304.520 (10), F.A.C."/>
    <n v="0.59"/>
    <n v="0.64"/>
    <s v="City of Cocoa Beach"/>
    <n v="0.12289031005603999"/>
    <n v="3767.9321566448998"/>
    <n v="11.1018521449448"/>
    <n v="1.59436458253212"/>
    <n v="1.36431005228861"/>
    <n v="0.19593195788973999"/>
    <n v="463.04235100022601"/>
    <n v="1300"/>
    <s v="Residential, High Density"/>
    <n v="1300"/>
    <s v="City of Cocoa Beach           Brevard County"/>
    <s v="City of Cocoa Beach"/>
    <m/>
    <m/>
    <m/>
    <n v="0"/>
    <n v="1"/>
    <n v="1.36431005228861"/>
    <n v="0.19593195788973999"/>
    <n v="463.04235100022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2.758035124795597"/>
    <n v="497.31944050102402"/>
    <n v="0.37554124169999997"/>
  </r>
  <r>
    <n v="830000"/>
    <n v="2400000"/>
    <n v="2400000"/>
    <x v="0"/>
    <x v="0"/>
    <s v="BR3-5, BR-7"/>
    <s v="62-304.520 (10), F.A.C."/>
    <n v="0.59"/>
    <n v="0.64"/>
    <s v="City of Cocoa Beach"/>
    <n v="0.61776345387502996"/>
    <n v="3753.5576125747298"/>
    <n v="10.8011824946455"/>
    <n v="2.0813838636703199"/>
    <n v="6.6725758038268097"/>
    <n v="1.2858028844607401"/>
    <n v="2318.8107150630899"/>
    <n v="1300"/>
    <s v="Residential, High Density"/>
    <n v="1300"/>
    <s v="City of Cocoa Beach           Brevard County"/>
    <s v="City of Cocoa Beach"/>
    <m/>
    <m/>
    <m/>
    <n v="0"/>
    <n v="1"/>
    <n v="6.6725758038268097"/>
    <n v="1.2858028844607401"/>
    <n v="2318.8107150630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3352699"/>
    <n v="2500.0000008381899"/>
    <n v="1.880625073"/>
  </r>
  <r>
    <n v="830000"/>
    <n v="2400000"/>
    <n v="2400000"/>
    <x v="0"/>
    <x v="0"/>
    <s v="BR3-5, BR-7"/>
    <s v="62-304.520 (10), F.A.C."/>
    <n v="0.59"/>
    <n v="0.64"/>
    <s v="City of Cocoa Beach"/>
    <n v="8.6687420935400005E-3"/>
    <n v="3702.42025456687"/>
    <n v="9.2289276639386593"/>
    <n v="1.3573238322038701"/>
    <n v="8.0003193718669999E-2"/>
    <n v="1.176629023879E-2"/>
    <n v="32.095326308761102"/>
    <n v="1200"/>
    <s v="Residential, Medium Density-Two-five dwellingunits per acre"/>
    <n v="1200"/>
    <s v="City of Cocoa Beach           Brevard County"/>
    <s v="City of Cocoa Beach"/>
    <m/>
    <m/>
    <m/>
    <n v="0"/>
    <n v="1"/>
    <n v="8.0003193718669999E-2"/>
    <n v="1.176629023879E-2"/>
    <n v="263.37656309544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3.8385260892722"/>
    <n v="35.081154615396898"/>
    <n v="0.21360629610000001"/>
  </r>
  <r>
    <n v="830000"/>
    <n v="2400000"/>
    <n v="2400000"/>
    <x v="0"/>
    <x v="0"/>
    <s v="BR3-5, BR-7"/>
    <s v="62-304.520 (10), F.A.C."/>
    <n v="0.59"/>
    <n v="0.64"/>
    <s v="City of Cocoa Beach"/>
    <n v="6.232088166725E-2"/>
    <n v="3702.42025456687"/>
    <n v="9.2289276639386593"/>
    <n v="1.3573238322038701"/>
    <n v="0.57515490885996001"/>
    <n v="8.458961793092E-2"/>
    <n v="230.73809456730601"/>
    <n v="1210"/>
    <s v="Fixed Single Family Units"/>
    <n v="1210"/>
    <s v="City of Cocoa Beach           Brevard County"/>
    <s v="City of Cocoa Beach"/>
    <m/>
    <m/>
    <m/>
    <n v="0"/>
    <n v="1"/>
    <n v="0.57515490885996001"/>
    <n v="8.458961793092E-2"/>
    <n v="390.639460986794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7.249489462970402"/>
    <n v="252.20366022475801"/>
    <n v="0.31682032519999997"/>
  </r>
  <r>
    <n v="830000"/>
    <n v="2400000"/>
    <n v="2400000"/>
    <x v="0"/>
    <x v="0"/>
    <s v="BR3-5, BR-7"/>
    <s v="62-304.520 (10), F.A.C."/>
    <n v="0.59"/>
    <n v="0.64"/>
    <s v="City of Cocoa Beach"/>
    <n v="1.0748762871200001E-3"/>
    <n v="3702.42025456687"/>
    <n v="9.2289276639386593"/>
    <n v="1.3573238322038701"/>
    <n v="9.9199555015599995E-3"/>
    <n v="1.45895520118E-3"/>
    <n v="3.9796437366052402"/>
    <n v="1210"/>
    <s v="Fixed Single Family Units"/>
    <n v="1210"/>
    <s v="City of Cocoa Beach           Brevard County"/>
    <s v="City of Cocoa Beach"/>
    <m/>
    <m/>
    <m/>
    <n v="0"/>
    <n v="1"/>
    <n v="9.9199555015599995E-3"/>
    <n v="1.45895520118E-3"/>
    <n v="4.1979541060688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.217721302115701"/>
    <n v="4.34987000583798"/>
    <n v="3.4046668E-3"/>
  </r>
  <r>
    <n v="830000"/>
    <n v="2400000"/>
    <n v="2400000"/>
    <x v="0"/>
    <x v="0"/>
    <s v="BR3-5, BR-7"/>
    <s v="62-304.520 (10), F.A.C."/>
    <n v="0.59"/>
    <n v="0.64"/>
    <s v="City of Cocoa Beach"/>
    <n v="0.27988189701583999"/>
    <n v="3752.2321463424501"/>
    <n v="10.794972646430899"/>
    <n v="2.0799086134073899"/>
    <n v="3.0213174225172201"/>
    <n v="0.58212876834005001"/>
    <n v="1050.18185116215"/>
    <n v="1300"/>
    <s v="Residential, High Density"/>
    <n v="1300"/>
    <s v="City of Cocoa Beach           Brevard County"/>
    <s v="City of Cocoa Beach"/>
    <m/>
    <m/>
    <m/>
    <n v="0"/>
    <n v="1"/>
    <n v="3.0213174225172201"/>
    <n v="0.58212876834005001"/>
    <n v="1050.1818511621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5.328038766112"/>
    <n v="1132.64185245205"/>
    <n v="0.85172899530000001"/>
  </r>
  <r>
    <n v="830000"/>
    <n v="2400000"/>
    <n v="2400000"/>
    <x v="0"/>
    <x v="0"/>
    <s v="BR3-5, BR-7"/>
    <s v="62-304.520 (10), F.A.C."/>
    <n v="0.59"/>
    <n v="0.64"/>
    <s v="City of Cocoa Beach"/>
    <n v="5.10099178896E-2"/>
    <n v="3752.2321463424501"/>
    <n v="10.794972646430899"/>
    <n v="2.0799086134073899"/>
    <n v="0.55065066831492004"/>
    <n v="0.10609596758778"/>
    <n v="191.401053687646"/>
    <n v="1300"/>
    <s v="Residential, High Density"/>
    <n v="1300"/>
    <s v="City of Cocoa Beach           Brevard County"/>
    <s v="City of Cocoa Beach"/>
    <m/>
    <m/>
    <m/>
    <n v="0"/>
    <n v="1"/>
    <n v="0.55065066831492004"/>
    <n v="0.10609596758778"/>
    <n v="191.40105368764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265842329637"/>
    <n v="206.429813817622"/>
    <n v="0.15523199809999999"/>
  </r>
  <r>
    <n v="830000"/>
    <n v="2400000"/>
    <n v="2400000"/>
    <x v="0"/>
    <x v="0"/>
    <s v="BR3-5, BR-7"/>
    <s v="62-304.520 (10), F.A.C."/>
    <n v="0.59"/>
    <n v="0.64"/>
    <s v="City of Cocoa Beach"/>
    <n v="0.28687163887752998"/>
    <n v="3752.2321463424501"/>
    <n v="10.794972646430899"/>
    <n v="2.0799086134073899"/>
    <n v="3.0967714947198499"/>
    <n v="0.59666679264368006"/>
    <n v="1076.40898527024"/>
    <n v="1300"/>
    <s v="Residential, High Density"/>
    <n v="1300"/>
    <s v="City of Cocoa Beach           Brevard County"/>
    <s v="City of Cocoa Beach"/>
    <m/>
    <m/>
    <m/>
    <n v="0"/>
    <n v="1"/>
    <n v="3.0967714947198499"/>
    <n v="0.59666679264368006"/>
    <n v="1076.4089852702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6.46814780588099"/>
    <n v="1160.9283341959799"/>
    <n v="0.87299998810000001"/>
  </r>
  <r>
    <n v="830000"/>
    <n v="2400000"/>
    <n v="2400000"/>
    <x v="0"/>
    <x v="0"/>
    <s v="BR3-5, BR-7"/>
    <s v="62-304.520 (10), F.A.C."/>
    <n v="0.59"/>
    <n v="0.64"/>
    <s v="City of Cocoa Beach"/>
    <n v="0.12749138678458"/>
    <n v="3752.2321463424501"/>
    <n v="10.794972646430899"/>
    <n v="2.0799086134073899"/>
    <n v="1.37626603299511"/>
    <n v="0.2651704335085"/>
    <n v="478.37727987488802"/>
    <n v="1300"/>
    <s v="Residential, High Density"/>
    <n v="1300"/>
    <s v="City of Cocoa Beach           Brevard County"/>
    <s v="City of Cocoa Beach"/>
    <m/>
    <m/>
    <m/>
    <n v="0"/>
    <n v="1"/>
    <n v="1.37626603299511"/>
    <n v="0.2651704335085"/>
    <n v="2317.9918904654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0.66664124275199"/>
    <n v="515.93933740986995"/>
    <n v="1.8799609817"/>
  </r>
  <r>
    <n v="830000"/>
    <n v="2400000"/>
    <n v="2400000"/>
    <x v="0"/>
    <x v="0"/>
    <s v="BR3-5, BR-7"/>
    <s v="62-304.520 (10), F.A.C."/>
    <n v="0.59"/>
    <n v="0.64"/>
    <s v="City of Cocoa Beach"/>
    <n v="3.9760628420879997E-2"/>
    <n v="3719.5410018429802"/>
    <n v="9.7289058528002492"/>
    <n v="1.57656043769444"/>
    <n v="0.38682741055499997"/>
    <n v="6.2685033746240001E-2"/>
    <n v="147.89128767054001"/>
    <n v="1200"/>
    <s v="Residential, Medium Density-Two-five dwellingunits per acre"/>
    <n v="1200"/>
    <s v="City of Cocoa Beach           Brevard County"/>
    <s v="City of Cocoa Beach"/>
    <m/>
    <m/>
    <m/>
    <n v="0"/>
    <n v="1"/>
    <n v="0.38682741055499997"/>
    <n v="6.2685033746240001E-2"/>
    <n v="147.89128767053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2.0963300764083"/>
    <n v="160.905554483732"/>
    <n v="0.11994427219999999"/>
  </r>
  <r>
    <n v="830000"/>
    <n v="2400000"/>
    <n v="2400000"/>
    <x v="0"/>
    <x v="0"/>
    <s v="BR3-5, BR-7"/>
    <s v="62-304.520 (10), F.A.C."/>
    <n v="0.59"/>
    <n v="0.64"/>
    <s v="City of Cocoa Beach"/>
    <n v="7.0364236505500001E-3"/>
    <n v="3719.5410018429802"/>
    <n v="9.7289058528002492"/>
    <n v="1.57656043769444"/>
    <n v="6.8456703236610003E-2"/>
    <n v="1.109334715031E-2"/>
    <n v="26.1722662745583"/>
    <n v="1430"/>
    <s v="Professional Services"/>
    <n v="1430"/>
    <s v="City of Cocoa Beach           Brevard County"/>
    <s v="City of Cocoa Beach"/>
    <m/>
    <m/>
    <m/>
    <n v="0"/>
    <n v="1"/>
    <n v="6.8456703236610003E-2"/>
    <n v="1.109334715031E-2"/>
    <n v="26.172266274557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5.576502904388803"/>
    <n v="28.4753962409543"/>
    <n v="2.12264933E-2"/>
  </r>
  <r>
    <n v="830000"/>
    <n v="2400000"/>
    <n v="2400000"/>
    <x v="0"/>
    <x v="0"/>
    <s v="BR3-5, BR-7"/>
    <s v="62-304.520 (10), F.A.C."/>
    <n v="0.59"/>
    <n v="0.64"/>
    <s v="City of Cocoa Beach"/>
    <n v="0.11486797286338001"/>
    <n v="3719.5410018429802"/>
    <n v="9.7289058528002492"/>
    <n v="1.57656043769444"/>
    <n v="1.11753969348986"/>
    <n v="0.18109630157456"/>
    <n v="427.25613486394002"/>
    <n v="1210"/>
    <s v="Fixed Single Family Units"/>
    <n v="1210"/>
    <s v="City of Cocoa Beach           Brevard County"/>
    <s v="City of Cocoa Beach"/>
    <m/>
    <m/>
    <m/>
    <n v="0"/>
    <n v="1"/>
    <n v="1.11753969348986"/>
    <n v="0.18109630157456"/>
    <n v="427.25613486394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626097965292"/>
    <n v="464.85419371025"/>
    <n v="0.3465175465"/>
  </r>
  <r>
    <n v="830000"/>
    <n v="2400000"/>
    <n v="2400000"/>
    <x v="0"/>
    <x v="0"/>
    <s v="BR3-5, BR-7"/>
    <s v="62-304.520 (10), F.A.C."/>
    <n v="0.59"/>
    <n v="0.64"/>
    <s v="City of Cocoa Beach"/>
    <n v="0.27085572259537999"/>
    <n v="3719.5410018429802"/>
    <n v="9.7289058528002492"/>
    <n v="1.57656043769444"/>
    <n v="2.6351298248226498"/>
    <n v="0.42702041656702"/>
    <n v="1007.45896577733"/>
    <n v="1210"/>
    <s v="Fixed Single Family Units"/>
    <n v="1210"/>
    <s v="City of Cocoa Beach           Brevard County"/>
    <s v="City of Cocoa Beach"/>
    <m/>
    <m/>
    <m/>
    <n v="0"/>
    <n v="1"/>
    <n v="2.6351298248226498"/>
    <n v="0.42702041656702"/>
    <n v="1007.4589657773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1.23549498661299"/>
    <n v="1096.11422052891"/>
    <n v="0.81707945319999997"/>
  </r>
  <r>
    <n v="830000"/>
    <n v="2400000"/>
    <n v="2400000"/>
    <x v="0"/>
    <x v="0"/>
    <s v="BR3-5, BR-7"/>
    <s v="62-304.520 (10), F.A.C."/>
    <n v="0.59"/>
    <n v="0.64"/>
    <s v="City of Cocoa Beach"/>
    <n v="0.18524270620675001"/>
    <n v="3719.5410018429802"/>
    <n v="9.7289058528002492"/>
    <n v="1.57656043769444"/>
    <n v="1.8022088486034"/>
    <n v="0.29204632197701003"/>
    <n v="689.01784102835904"/>
    <n v="1300"/>
    <s v="Residential, High Density"/>
    <n v="1300"/>
    <s v="City of Cocoa Beach           Brevard County"/>
    <s v="City of Cocoa Beach"/>
    <m/>
    <m/>
    <m/>
    <n v="0"/>
    <n v="1"/>
    <n v="1.8022088486034"/>
    <n v="0.29204632197701003"/>
    <n v="689.017841028359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7.556344584201"/>
    <n v="749.65063531554301"/>
    <n v="0.55881414519999995"/>
  </r>
  <r>
    <n v="830000"/>
    <n v="2400000"/>
    <n v="2400000"/>
    <x v="0"/>
    <x v="0"/>
    <s v="BR3-5, BR-7"/>
    <s v="62-304.520 (10), F.A.C."/>
    <n v="0.59"/>
    <n v="0.64"/>
    <s v="City of Cocoa Beach"/>
    <n v="0.16080224285992001"/>
    <n v="3686.6346152906299"/>
    <n v="7.50461456070542"/>
    <n v="1.01882291433314"/>
    <n v="1.2067588531606701"/>
    <n v="0.16382900970184999"/>
    <n v="592.81911474376705"/>
    <n v="1850"/>
    <s v="Parks and Zoos"/>
    <n v="1850"/>
    <s v="City of Cocoa Beach           Brevard County"/>
    <s v="City of Cocoa Beach"/>
    <m/>
    <m/>
    <m/>
    <n v="0"/>
    <n v="1"/>
    <n v="1.2067588531606701"/>
    <n v="0.16382900970184999"/>
    <n v="592.819114743767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5.948914172676"/>
    <n v="650.74358925400895"/>
    <n v="0.48079409140000001"/>
  </r>
  <r>
    <n v="830000"/>
    <n v="2400000"/>
    <n v="2400000"/>
    <x v="0"/>
    <x v="0"/>
    <s v="BR3-5, BR-7"/>
    <s v="62-304.520 (10), F.A.C."/>
    <n v="0.59"/>
    <n v="0.64"/>
    <s v="Natural Lands"/>
    <n v="5.8996546740000003E-5"/>
    <n v="3686.6346152906299"/>
    <n v="7.50461456070542"/>
    <n v="1.01882291433314"/>
    <n v="4.4274634371000002E-4"/>
    <n v="6.0107033679999997E-5"/>
    <n v="0.21749871140165999"/>
    <n v="4200"/>
    <s v="Upland Hardwood Forest"/>
    <n v="4200"/>
    <s v="City of Cocoa Beach           Brevard County"/>
    <s v="City of Cocoa Beach"/>
    <m/>
    <m/>
    <s v="Natural Lands"/>
    <n v="0"/>
    <n v="1"/>
    <n v="4.4274634371000002E-4"/>
    <n v="6.0107033679999997E-5"/>
    <n v="0.21749871140234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.9836238025932502"/>
    <n v="0.23875055408302001"/>
    <n v="1.76398E-4"/>
  </r>
  <r>
    <n v="830000"/>
    <n v="2400000"/>
    <n v="2400000"/>
    <x v="0"/>
    <x v="0"/>
    <s v="BR3-5, BR-7"/>
    <s v="62-304.520 (10), F.A.C."/>
    <n v="0.59"/>
    <n v="0.64"/>
    <s v="City of Cocoa Beach"/>
    <n v="5.3883143082649999E-2"/>
    <n v="3733.4838596110799"/>
    <n v="11.7942611998131"/>
    <n v="2.39496022151762"/>
    <n v="0.63551186378378"/>
    <n v="0.12904798429330999"/>
    <n v="201.17184500422201"/>
    <n v="1300"/>
    <s v="Residential, High Density"/>
    <n v="1300"/>
    <s v="City of Cocoa Beach           Brevard County"/>
    <s v="City of Cocoa Beach"/>
    <m/>
    <m/>
    <m/>
    <n v="0"/>
    <n v="1"/>
    <n v="0.63551186378378"/>
    <n v="0.12904798429330999"/>
    <n v="201.17184500422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745323820961"/>
    <n v="218.05734364315799"/>
    <n v="0.16315640310000001"/>
  </r>
  <r>
    <n v="830000"/>
    <n v="2400000"/>
    <n v="2400000"/>
    <x v="0"/>
    <x v="0"/>
    <s v="BR3-5, BR-7"/>
    <s v="62-304.520 (10), F.A.C."/>
    <n v="0.59"/>
    <n v="0.64"/>
    <s v="City of Cocoa Beach"/>
    <n v="0.56388031047017995"/>
    <n v="3733.4838596110799"/>
    <n v="11.7942611998131"/>
    <n v="2.39496022151762"/>
    <n v="6.6505516671171199"/>
    <n v="1.3504709132731001"/>
    <n v="2105.2380378929201"/>
    <n v="1300"/>
    <s v="Residential, High Density"/>
    <n v="1300"/>
    <s v="City of Cocoa Beach           Brevard County"/>
    <s v="City of Cocoa Beach"/>
    <m/>
    <m/>
    <m/>
    <n v="0"/>
    <n v="1"/>
    <n v="6.6505516671171199"/>
    <n v="1.3504709132731001"/>
    <n v="2105.2380378929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1.300736310882"/>
    <n v="2281.94265589118"/>
    <n v="1.7074112229"/>
  </r>
  <r>
    <n v="830000"/>
    <n v="2400000"/>
    <n v="2400000"/>
    <x v="0"/>
    <x v="0"/>
    <s v="BR3-5, BR-7"/>
    <s v="62-304.520 (10), F.A.C."/>
    <n v="0.59"/>
    <n v="0.64"/>
    <s v="City of Cocoa Beach"/>
    <n v="1.003947459849E-2"/>
    <n v="3752.13418563392"/>
    <n v="10.840717994191399"/>
    <n v="2.0940765815014601"/>
    <n v="0.10883511293213"/>
    <n v="2.1023428647280001E-2"/>
    <n v="37.669455846816497"/>
    <n v="1300"/>
    <s v="Residential, High Density"/>
    <n v="1300"/>
    <s v="City of Cocoa Beach           Brevard County"/>
    <s v="City of Cocoa Beach"/>
    <m/>
    <m/>
    <m/>
    <n v="0"/>
    <n v="1"/>
    <n v="0.10883511293213"/>
    <n v="2.1023428647280001E-2"/>
    <n v="37.6694558468164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5.142150045673105"/>
    <n v="40.628312256441099"/>
    <n v="3.05510591E-2"/>
  </r>
  <r>
    <n v="830000"/>
    <n v="2400000"/>
    <n v="2400000"/>
    <x v="0"/>
    <x v="0"/>
    <s v="BR3-5, BR-7"/>
    <s v="62-304.520 (10), F.A.C."/>
    <n v="0.59"/>
    <n v="0.64"/>
    <s v="City of Cocoa Beach"/>
    <n v="0.60772397925351995"/>
    <n v="3752.13418563392"/>
    <n v="10.840717994191399"/>
    <n v="2.0940765815014601"/>
    <n v="6.5881642773953404"/>
    <n v="1.2726205529716801"/>
    <n v="2280.2619179866301"/>
    <n v="1300"/>
    <s v="Residential, High Density"/>
    <n v="1300"/>
    <s v="City of Cocoa Beach           Brevard County"/>
    <s v="City of Cocoa Beach"/>
    <m/>
    <m/>
    <m/>
    <n v="0"/>
    <n v="1"/>
    <n v="6.5881642773953404"/>
    <n v="1.2726205529716801"/>
    <n v="2280.2619179866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8.291890123228"/>
    <n v="2459.3716884886098"/>
    <n v="1.8493608418"/>
  </r>
  <r>
    <n v="830000"/>
    <n v="2400000"/>
    <n v="2400000"/>
    <x v="0"/>
    <x v="0"/>
    <s v="BR3-5, BR-7"/>
    <s v="62-304.520 (10), F.A.C."/>
    <n v="0.59"/>
    <n v="0.64"/>
    <s v="City of Cocoa Beach"/>
    <n v="6.7510010854E-4"/>
    <n v="3785.96384902712"/>
    <n v="10.032454134162"/>
    <n v="1.3338343066206799"/>
    <n v="6.7729108749200002E-3"/>
    <n v="9.0047168516999997E-4"/>
    <n v="2.5559046054180801"/>
    <n v="1400"/>
    <s v="Commercial and Services"/>
    <n v="1400"/>
    <s v="City of Cocoa Beach           Brevard County"/>
    <s v="City of Cocoa Beach"/>
    <m/>
    <m/>
    <m/>
    <n v="0"/>
    <n v="1"/>
    <n v="6.7729108749200002E-3"/>
    <n v="9.0047168516999997E-4"/>
    <n v="2.5559046054178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423338745412"/>
    <n v="2.7320332100199498"/>
    <n v="2.0729152999999999E-3"/>
  </r>
  <r>
    <n v="830000"/>
    <n v="2400000"/>
    <n v="2400000"/>
    <x v="0"/>
    <x v="0"/>
    <s v="BR3-5, BR-7"/>
    <s v="62-304.520 (10), F.A.C."/>
    <n v="0.59"/>
    <n v="0.64"/>
    <s v="FDOT District 5"/>
    <n v="0.11948817509128"/>
    <n v="3785.96384902712"/>
    <n v="10.032454134162"/>
    <n v="1.3338343066206799"/>
    <n v="1.1987596361780199"/>
    <n v="0.15937742717225001"/>
    <n v="452.37791128181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1987596361780199"/>
    <n v="0.15937742717225001"/>
    <n v="452.37791128181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43564253311401"/>
    <n v="483.55148876901399"/>
    <n v="0.3668920611"/>
  </r>
  <r>
    <n v="830000"/>
    <n v="2400000"/>
    <n v="2400000"/>
    <x v="0"/>
    <x v="0"/>
    <s v="BR3-5, BR-7"/>
    <s v="62-304.520 (10), F.A.C."/>
    <n v="0.59"/>
    <n v="0.64"/>
    <s v="FDOT District 5"/>
    <n v="0.24797508028932"/>
    <n v="3785.96384902712"/>
    <n v="10.032454134162"/>
    <n v="1.3338343066206799"/>
    <n v="2.4877986194177799"/>
    <n v="0.33075766927691003"/>
    <n v="938.82468943497099"/>
    <n v="8140"/>
    <s v="Roads and Highways"/>
    <n v="8140"/>
    <s v="FDOT District 5                                 City of Cocoa Beach           Brevard County"/>
    <s v="FDOT District 5"/>
    <m/>
    <m/>
    <m/>
    <n v="0"/>
    <n v="1"/>
    <n v="2.4877986194177799"/>
    <n v="0.33075766927691003"/>
    <n v="938.82468943497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9.467842213653"/>
    <n v="1003.51954626399"/>
    <n v="0.76141499550000002"/>
  </r>
  <r>
    <n v="830000"/>
    <n v="2400000"/>
    <n v="2400000"/>
    <x v="0"/>
    <x v="0"/>
    <s v="BR3-5, BR-7"/>
    <s v="62-304.520 (10), F.A.C."/>
    <n v="0.59"/>
    <n v="0.64"/>
    <s v="City of Cocoa Beach"/>
    <n v="8.8415757156000002E-3"/>
    <n v="3785.96384902712"/>
    <n v="10.032454134162"/>
    <n v="1.3338343066206799"/>
    <n v="8.8702702840560005E-2"/>
    <n v="1.179319701406E-2"/>
    <n v="33.473886027731702"/>
    <n v="1300"/>
    <s v="Residential, High Density"/>
    <n v="1300"/>
    <s v="City of Cocoa Beach           Brevard County"/>
    <s v="City of Cocoa Beach"/>
    <m/>
    <m/>
    <m/>
    <n v="0"/>
    <n v="1"/>
    <n v="8.8702702840560005E-2"/>
    <n v="1.179319701406E-2"/>
    <n v="33.473886027733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8.532960047125201"/>
    <n v="35.780587468849603"/>
    <n v="2.7148326099999998E-2"/>
  </r>
  <r>
    <n v="830000"/>
    <n v="2400000"/>
    <n v="2400000"/>
    <x v="0"/>
    <x v="0"/>
    <s v="BR3-5, BR-7"/>
    <s v="62-304.520 (10), F.A.C."/>
    <n v="0.59"/>
    <n v="0.64"/>
    <s v="FDOT District 5"/>
    <n v="3.6198531712000002E-4"/>
    <n v="3785.96384902712"/>
    <n v="10.032454134162"/>
    <n v="1.3338343066206799"/>
    <n v="3.6316010912500001E-3"/>
    <n v="4.8282843446000002E-4"/>
    <n v="1.37046332449872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6316010912500001E-3"/>
    <n v="4.8282843446000002E-4"/>
    <n v="1.3704633244968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5.677374855429598"/>
    <n v="1.46490260540364"/>
    <n v="1.1114868999999999E-3"/>
  </r>
  <r>
    <n v="830000"/>
    <n v="2400000"/>
    <n v="2400000"/>
    <x v="0"/>
    <x v="0"/>
    <s v="BR3-5, BR-7"/>
    <s v="62-304.520 (10), F.A.C."/>
    <n v="0.59"/>
    <n v="0.64"/>
    <s v="City of Cocoa Beach"/>
    <n v="0.15586918229082"/>
    <n v="3785.96384902712"/>
    <n v="10.032454134162"/>
    <n v="1.3338343066206799"/>
    <n v="1.56375042226206"/>
    <n v="0.20790366268440999"/>
    <n v="590.11508933048503"/>
    <n v="1410"/>
    <s v="Retail Sales and Services"/>
    <n v="1410"/>
    <s v="City of Cocoa Beach           Brevard County"/>
    <s v="City of Cocoa Beach"/>
    <m/>
    <m/>
    <m/>
    <n v="0"/>
    <n v="1"/>
    <n v="1.56375042226206"/>
    <n v="0.20790366268440999"/>
    <n v="590.115089330485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466467268204"/>
    <n v="630.780201407866"/>
    <n v="0.47860104570000001"/>
  </r>
  <r>
    <n v="830000"/>
    <n v="2400000"/>
    <n v="2400000"/>
    <x v="0"/>
    <x v="0"/>
    <s v="BR3-5, BR-7"/>
    <s v="62-304.520 (10), F.A.C."/>
    <n v="0.59"/>
    <n v="0.64"/>
    <s v="City of Cocoa Beach"/>
    <n v="8.4552354740140001E-2"/>
    <n v="3785.96384902712"/>
    <n v="10.032454134162"/>
    <n v="1.3338343066206799"/>
    <n v="0.84826762086587004"/>
    <n v="0.11277883145796"/>
    <n v="320.11215839629398"/>
    <n v="1410"/>
    <s v="Retail Sales and Services"/>
    <n v="1410"/>
    <s v="City of Cocoa Beach           Brevard County"/>
    <s v="City of Cocoa Beach"/>
    <m/>
    <m/>
    <m/>
    <n v="0"/>
    <n v="1"/>
    <n v="0.84826762086587004"/>
    <n v="0.11277883145796"/>
    <n v="320.11215839629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5.550265991867207"/>
    <n v="342.17123980918501"/>
    <n v="0.25962056639999997"/>
  </r>
  <r>
    <n v="830000"/>
    <n v="2400000"/>
    <n v="2400000"/>
    <x v="0"/>
    <x v="0"/>
    <s v="BR3-5, BR-7"/>
    <s v="62-304.520 (10), F.A.C."/>
    <n v="0.59"/>
    <n v="0.64"/>
    <s v="FDOT District 5"/>
    <n v="5.4793255276050001E-2"/>
    <n v="3695.55204772562"/>
    <n v="8.2785820824438403"/>
    <n v="1.10264367101645"/>
    <n v="0.45361046136712002"/>
    <n v="6.0417436144529997E-2"/>
    <n v="202.491326736980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5361046136712002"/>
    <n v="6.0417436144529997E-2"/>
    <n v="202.49132673697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955895551019"/>
    <n v="221.740437018108"/>
    <n v="0.16422654240000001"/>
  </r>
  <r>
    <n v="830000"/>
    <n v="2400000"/>
    <n v="2400000"/>
    <x v="0"/>
    <x v="0"/>
    <s v="BR3-5, BR-7"/>
    <s v="62-304.520 (10), F.A.C."/>
    <n v="0.59"/>
    <n v="0.64"/>
    <s v="City of Cocoa Beach"/>
    <n v="6.8139207974399997E-3"/>
    <n v="3695.55204772562"/>
    <n v="8.2785820824438403"/>
    <n v="1.10264367101645"/>
    <n v="5.6409602624889997E-2"/>
    <n v="7.5133266420999998E-3"/>
    <n v="25.181198956027"/>
    <n v="1850"/>
    <s v="Parks and Zoos"/>
    <n v="1850"/>
    <s v="City of Cocoa Beach           Brevard County"/>
    <s v="City of Cocoa Beach"/>
    <m/>
    <m/>
    <m/>
    <n v="0"/>
    <n v="1"/>
    <n v="5.6409602624889997E-2"/>
    <n v="7.5133266420999998E-3"/>
    <n v="25.181198956026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3.496135419984803"/>
    <n v="27.574959140851998"/>
    <n v="2.0422708000000001E-2"/>
  </r>
  <r>
    <n v="830000"/>
    <n v="2400000"/>
    <n v="2400000"/>
    <x v="0"/>
    <x v="0"/>
    <s v="BR3-5, BR-7"/>
    <s v="62-304.520 (10), F.A.C."/>
    <n v="0.59"/>
    <n v="0.64"/>
    <s v="FDOT District 5"/>
    <n v="8.7483686509E-4"/>
    <n v="3695.55204772562"/>
    <n v="8.2785820824438403"/>
    <n v="1.10264367101645"/>
    <n v="7.2424087963899996E-3"/>
    <n v="9.6463333245999996E-4"/>
    <n v="3.23300516820921"/>
    <n v="1850"/>
    <s v="Parks and Zoos"/>
    <n v="1850"/>
    <s v="FDOT District 5                                 City of Cocoa Beach           Brevard County"/>
    <s v="FDOT District 5"/>
    <m/>
    <m/>
    <m/>
    <n v="0"/>
    <n v="1"/>
    <n v="7.2424087963899996E-3"/>
    <n v="9.6463333245999996E-4"/>
    <n v="3.2330051682095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.6084566154215496"/>
    <n v="3.5403391860420799"/>
    <n v="2.6220642E-3"/>
  </r>
  <r>
    <n v="830000"/>
    <n v="2400000"/>
    <n v="2400000"/>
    <x v="0"/>
    <x v="0"/>
    <s v="BR3-5, BR-7"/>
    <s v="62-304.520 (10), F.A.C."/>
    <n v="0.59"/>
    <n v="0.64"/>
    <s v="Natural Lands"/>
    <n v="1.346530917826E-2"/>
    <n v="3695.55204772562"/>
    <n v="8.2785820824438403"/>
    <n v="1.10264367101645"/>
    <n v="0.11147366729777"/>
    <n v="1.4847437943689999E-2"/>
    <n v="49.761750907006899"/>
    <n v="4200"/>
    <s v="Upland Hardwood Forest"/>
    <n v="4200"/>
    <s v="City of Cocoa Beach           Brevard County"/>
    <s v="City of Cocoa Beach"/>
    <m/>
    <m/>
    <s v="Natural Lands"/>
    <n v="0"/>
    <n v="1"/>
    <n v="0.11147366729777"/>
    <n v="1.4847437943689999E-2"/>
    <n v="49.7617509070062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195542338906598"/>
    <n v="54.492172927674602"/>
    <n v="4.0358273200000003E-2"/>
  </r>
  <r>
    <n v="830000"/>
    <n v="2400000"/>
    <n v="2400000"/>
    <x v="0"/>
    <x v="0"/>
    <s v="BR3-5, BR-7"/>
    <s v="62-304.520 (10), F.A.C."/>
    <n v="0.59"/>
    <n v="0.64"/>
    <s v="FDOT District 5"/>
    <n v="2.6997457959290001E-2"/>
    <n v="3695.55204772562"/>
    <n v="8.2785820824438403"/>
    <n v="1.10264367101645"/>
    <n v="0.22350067173335"/>
    <n v="2.9768576152349999E-2"/>
    <n v="99.770511044862801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22350067173335"/>
    <n v="2.9768576152349999E-2"/>
    <n v="99.7705110448621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607189477189"/>
    <n v="109.25483613105"/>
    <n v="8.0916878400000003E-2"/>
  </r>
  <r>
    <n v="830000"/>
    <n v="2400000"/>
    <n v="2400000"/>
    <x v="0"/>
    <x v="0"/>
    <s v="BR3-5, BR-7"/>
    <s v="62-304.520 (10), F.A.C."/>
    <n v="0.59"/>
    <n v="0.64"/>
    <s v="FDOT District 5"/>
    <n v="0.27236113182246002"/>
    <n v="3695.55204772562"/>
    <n v="8.2785820824438403"/>
    <n v="1.10264367101645"/>
    <n v="2.2547639858595501"/>
    <n v="0.30031727823491"/>
    <n v="1006.52473842736"/>
    <n v="8140"/>
    <s v="Roads and Highways"/>
    <n v="8140"/>
    <s v="FDOT District 5                                 City of Cocoa Beach           Brevard County"/>
    <s v="FDOT District 5"/>
    <m/>
    <m/>
    <m/>
    <n v="0"/>
    <n v="1"/>
    <n v="2.2547639858595501"/>
    <n v="0.30031727823491"/>
    <n v="1006.5247384273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4.01674462561101"/>
    <n v="1102.20639552786"/>
    <n v="0.81632176680000001"/>
  </r>
  <r>
    <n v="830000"/>
    <n v="2400000"/>
    <n v="2400000"/>
    <x v="0"/>
    <x v="0"/>
    <s v="BR3-5, BR-7"/>
    <s v="62-304.520 (10), F.A.C."/>
    <n v="0.59"/>
    <n v="0.64"/>
    <s v="City of Cocoa Beach"/>
    <n v="0.25153924670395"/>
    <n v="3750.1091972255799"/>
    <n v="10.7893514266111"/>
    <n v="2.0788821302882599"/>
    <n v="2.7139453302739902"/>
    <n v="0.52292044503902002"/>
    <n v="943.29964252769196"/>
    <n v="1300"/>
    <s v="Residential, High Density"/>
    <n v="1300"/>
    <s v="City of Cocoa Beach           Brevard County"/>
    <s v="City of Cocoa Beach"/>
    <m/>
    <m/>
    <m/>
    <n v="0"/>
    <n v="1"/>
    <n v="2.7139453302739902"/>
    <n v="0.52292044503902002"/>
    <n v="943.299642527691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1.121142388648"/>
    <n v="1017.94321600955"/>
    <n v="0.76504431669999995"/>
  </r>
  <r>
    <n v="830000"/>
    <n v="2400000"/>
    <n v="2400000"/>
    <x v="0"/>
    <x v="0"/>
    <s v="BR3-5, BR-7"/>
    <s v="62-304.520 (10), F.A.C."/>
    <n v="0.59"/>
    <n v="0.64"/>
    <s v="City of Cocoa Beach"/>
    <n v="0.61776345366790997"/>
    <n v="3882.5384877016299"/>
    <n v="8.6413750175454407"/>
    <n v="1.1734419274530901"/>
    <n v="5.3383256752784902"/>
    <n v="0.72490953778214995"/>
    <n v="2398.4903851611498"/>
    <n v="1450"/>
    <s v="Tourist Services"/>
    <n v="1450"/>
    <s v="City of Cocoa Beach           Brevard County"/>
    <s v="City of Cocoa Beach"/>
    <m/>
    <m/>
    <m/>
    <n v="0"/>
    <n v="1"/>
    <n v="5.3383256752784902"/>
    <n v="0.72490953778214995"/>
    <n v="2398.4903851611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9452476765"/>
  </r>
  <r>
    <n v="830000"/>
    <n v="2400000"/>
    <n v="2400000"/>
    <x v="0"/>
    <x v="0"/>
    <s v="BR3-5, BR-7"/>
    <s v="62-304.520 (10), F.A.C."/>
    <n v="0.59"/>
    <n v="0.64"/>
    <s v="City of Cocoa Beach"/>
    <n v="0.60890183773235995"/>
    <n v="3746.2716030384199"/>
    <n v="10.778632388793801"/>
    <n v="2.0768542522636202"/>
    <n v="6.5631290697781397"/>
    <n v="1.26460037090559"/>
    <n v="2281.1116637346599"/>
    <n v="1300"/>
    <s v="Residential, High Density"/>
    <n v="1300"/>
    <s v="City of Cocoa Beach           Brevard County"/>
    <s v="City of Cocoa Beach"/>
    <m/>
    <m/>
    <m/>
    <n v="0"/>
    <n v="1"/>
    <n v="6.5631290697781397"/>
    <n v="1.26460037090559"/>
    <n v="2281.1116637346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216398157805"/>
    <n v="2464.1383126383698"/>
    <n v="1.8500500111"/>
  </r>
  <r>
    <n v="830000"/>
    <n v="2400000"/>
    <n v="2400000"/>
    <x v="0"/>
    <x v="0"/>
    <s v="BR3-5, BR-7"/>
    <s v="62-304.520 (10), F.A.C."/>
    <n v="0.59"/>
    <n v="0.64"/>
    <s v="City of Cocoa Beach"/>
    <n v="8.8616158895200008E-3"/>
    <n v="3746.2716030384199"/>
    <n v="10.778632388793801"/>
    <n v="2.0768542522636202"/>
    <n v="9.5516100043880003E-2"/>
    <n v="1.840428464208E-2"/>
    <n v="33.198019963961599"/>
    <n v="1300"/>
    <s v="Residential, High Density"/>
    <n v="1300"/>
    <s v="City of Cocoa Beach           Brevard County"/>
    <s v="City of Cocoa Beach"/>
    <m/>
    <m/>
    <m/>
    <n v="0"/>
    <n v="1"/>
    <n v="9.5516100043880003E-2"/>
    <n v="1.840428464208E-2"/>
    <n v="33.1980199639606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5.245630358040099"/>
    <n v="35.861687175365098"/>
    <n v="2.69245904E-2"/>
  </r>
  <r>
    <n v="830000"/>
    <n v="2400000"/>
    <n v="2400000"/>
    <x v="0"/>
    <x v="0"/>
    <s v="BR3-5, BR-7"/>
    <s v="62-304.520 (10), F.A.C."/>
    <n v="0.59"/>
    <n v="0.64"/>
    <s v="City of Cocoa Beach"/>
    <n v="0.16330284336484999"/>
    <n v="3752.2226586187398"/>
    <n v="10.7949453507503"/>
    <n v="2.0799033542439598"/>
    <n v="1.7628452697457799"/>
    <n v="0.33965413167213998"/>
    <n v="612.74862909048795"/>
    <n v="1300"/>
    <s v="Residential, High Density"/>
    <n v="1300"/>
    <s v="City of Cocoa Beach           Brevard County"/>
    <s v="City of Cocoa Beach"/>
    <m/>
    <m/>
    <m/>
    <n v="0"/>
    <n v="1"/>
    <n v="1.7628452697457799"/>
    <n v="0.33965413167213998"/>
    <n v="612.748629090487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675343545315"/>
    <n v="660.86316046725597"/>
    <n v="0.49695752560000001"/>
  </r>
  <r>
    <n v="830000"/>
    <n v="2400000"/>
    <n v="2400000"/>
    <x v="0"/>
    <x v="0"/>
    <s v="BR3-5, BR-7"/>
    <s v="62-304.520 (10), F.A.C."/>
    <n v="0.59"/>
    <n v="0.64"/>
    <s v="City of Cocoa Beach"/>
    <n v="0.14727351791623"/>
    <n v="3752.2226586187398"/>
    <n v="10.7949453507503"/>
    <n v="2.0799033542439598"/>
    <n v="1.5898095775185099"/>
    <n v="0.30631468390527999"/>
    <n v="552.60303093979405"/>
    <n v="1300"/>
    <s v="Residential, High Density"/>
    <n v="1300"/>
    <s v="City of Cocoa Beach           Brevard County"/>
    <s v="City of Cocoa Beach"/>
    <m/>
    <m/>
    <m/>
    <n v="0"/>
    <n v="1"/>
    <n v="1.5898095775185099"/>
    <n v="0.30631468390527999"/>
    <n v="556.33761893333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7.6345534234719"/>
    <n v="595.99478182875896"/>
    <n v="0.45120650359999998"/>
  </r>
  <r>
    <n v="830000"/>
    <n v="2400000"/>
    <n v="2400000"/>
    <x v="0"/>
    <x v="0"/>
    <s v="BR3-5, BR-7"/>
    <s v="62-304.520 (10), F.A.C."/>
    <n v="0.59"/>
    <n v="0.64"/>
    <s v="City of Cocoa Beach"/>
    <n v="0.11292096292330001"/>
    <n v="3757.09892815377"/>
    <n v="11.9644391830403"/>
    <n v="1.72917163102393"/>
    <n v="1.3510359933862699"/>
    <n v="0.19525972563488"/>
    <n v="424.25522876525298"/>
    <n v="1300"/>
    <s v="Residential, High Density"/>
    <n v="1300"/>
    <s v="City of Cocoa Beach           Brevard County"/>
    <s v="City of Cocoa Beach"/>
    <m/>
    <m/>
    <m/>
    <n v="0"/>
    <n v="1"/>
    <n v="1.3510359933862699"/>
    <n v="0.19525972563488"/>
    <n v="424.25522876525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8.28741044951001"/>
    <n v="456.97492402978202"/>
    <n v="0.3440837216"/>
  </r>
  <r>
    <n v="830000"/>
    <n v="2400000"/>
    <n v="2400000"/>
    <x v="0"/>
    <x v="0"/>
    <s v="BR3-5, BR-7"/>
    <s v="62-304.520 (10), F.A.C."/>
    <n v="0.59"/>
    <n v="0.64"/>
    <s v="City of Cocoa Beach"/>
    <n v="4.0398292593690002E-2"/>
    <n v="3757.09892815377"/>
    <n v="11.9644391830403"/>
    <n v="1.72917163102393"/>
    <n v="0.48334291483598002"/>
    <n v="6.9855581494820004E-2"/>
    <n v="151.780381803029"/>
    <n v="1400"/>
    <s v="Commercial and Services"/>
    <n v="1400"/>
    <s v="City of Cocoa Beach           Brevard County"/>
    <s v="City of Cocoa Beach"/>
    <m/>
    <m/>
    <m/>
    <n v="0"/>
    <n v="1"/>
    <n v="0.48334291483598002"/>
    <n v="6.9855581494820004E-2"/>
    <n v="151.78038180302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570589489216"/>
    <n v="163.486089836806"/>
    <n v="0.1230984443"/>
  </r>
  <r>
    <n v="830000"/>
    <n v="2400000"/>
    <n v="2400000"/>
    <x v="0"/>
    <x v="0"/>
    <s v="BR3-5, BR-7"/>
    <s v="62-304.520 (10), F.A.C."/>
    <n v="0.59"/>
    <n v="0.64"/>
    <s v="City of Cocoa Beach"/>
    <n v="0.46444419821993999"/>
    <n v="3757.09892815377"/>
    <n v="11.9644391830403"/>
    <n v="1.72917163102393"/>
    <n v="5.5568143635184901"/>
    <n v="0.80310373175558003"/>
    <n v="1744.9627993193899"/>
    <n v="1450"/>
    <s v="Tourist Services"/>
    <n v="1450"/>
    <s v="City of Cocoa Beach           Brevard County"/>
    <s v="City of Cocoa Beach"/>
    <m/>
    <m/>
    <m/>
    <n v="0"/>
    <n v="1"/>
    <n v="5.5568143635184901"/>
    <n v="0.80310373175558003"/>
    <n v="1744.9627993193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5.20429186393699"/>
    <n v="1879.5389864128001"/>
    <n v="1.4152171933"/>
  </r>
  <r>
    <n v="830000"/>
    <n v="2400000"/>
    <n v="2400000"/>
    <x v="0"/>
    <x v="0"/>
    <s v="BR3-5, BR-7"/>
    <s v="62-304.520 (10), F.A.C."/>
    <n v="0.59"/>
    <n v="0.64"/>
    <s v="City of Cocoa Beach"/>
    <n v="0.11788310688884999"/>
    <n v="3707.9840069332099"/>
    <n v="9.3659291684707799"/>
    <n v="1.3763109089113601"/>
    <n v="1.1040848292802601"/>
    <n v="0.16224380598749"/>
    <n v="437.108675031465"/>
    <n v="1200"/>
    <s v="Residential, Medium Density-Two-five dwellingunits per acre"/>
    <n v="1200"/>
    <s v="City of Cocoa Beach           Brevard County"/>
    <s v="City of Cocoa Beach"/>
    <m/>
    <m/>
    <m/>
    <n v="0"/>
    <n v="1"/>
    <n v="1.1040848292802601"/>
    <n v="0.16224380598749"/>
    <n v="437.10867503146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5.29643596452499"/>
    <n v="477.05600820562"/>
    <n v="0.35450825229999999"/>
  </r>
  <r>
    <n v="830000"/>
    <n v="2400000"/>
    <n v="2400000"/>
    <x v="0"/>
    <x v="0"/>
    <s v="BR3-5, BR-7"/>
    <s v="62-304.520 (10), F.A.C."/>
    <n v="0.59"/>
    <n v="0.64"/>
    <s v="FDOT District 5"/>
    <n v="1.1443946105E-4"/>
    <n v="3707.9840069332099"/>
    <n v="9.3659291684707799"/>
    <n v="1.3763109089113601"/>
    <n v="1.0718318863000001E-3"/>
    <n v="1.5750427865000001E-4"/>
    <n v="0.42433969134658001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1.0718318863000001E-3"/>
    <n v="1.5750427865000001E-4"/>
    <n v="0.4243396913465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.309873618054899"/>
    <n v="0.46312006793825999"/>
    <n v="3.4415219999999998E-4"/>
  </r>
  <r>
    <n v="830000"/>
    <n v="2400000"/>
    <n v="2400000"/>
    <x v="0"/>
    <x v="0"/>
    <s v="BR3-5, BR-7"/>
    <s v="62-304.520 (10), F.A.C."/>
    <n v="0.59"/>
    <n v="0.64"/>
    <s v="City of Cocoa Beach"/>
    <n v="1.8107480136000001E-4"/>
    <n v="3707.9840069332099"/>
    <n v="9.3659291684707799"/>
    <n v="1.3763109089113601"/>
    <n v="1.6959337637700001E-3"/>
    <n v="2.4921522444000001E-4"/>
    <n v="0.67142246751630996"/>
    <n v="1400"/>
    <s v="Commercial and Services"/>
    <n v="1400"/>
    <s v="City of Cocoa Beach           Brevard County"/>
    <s v="City of Cocoa Beach"/>
    <m/>
    <m/>
    <m/>
    <n v="0"/>
    <n v="1"/>
    <n v="1.6959337637700001E-3"/>
    <n v="2.4921522444000001E-4"/>
    <n v="0.67142246751609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.7610366144221903"/>
    <n v="0.73278372283446003"/>
    <n v="5.4454380000000004E-4"/>
  </r>
  <r>
    <n v="830000"/>
    <n v="2400000"/>
    <n v="2400000"/>
    <x v="0"/>
    <x v="0"/>
    <s v="BR3-5, BR-7"/>
    <s v="62-304.520 (10), F.A.C."/>
    <n v="0.59"/>
    <n v="0.64"/>
    <s v="FDOT District 5"/>
    <n v="2.1254839185E-4"/>
    <n v="3707.9840069332099"/>
    <n v="9.3659291684707799"/>
    <n v="1.3763109089113601"/>
    <n v="1.9907131829599999E-3"/>
    <n v="2.9253267036999999E-4"/>
    <n v="0.78812603769028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9907131829599999E-3"/>
    <n v="2.9253267036999999E-4"/>
    <n v="0.78812603768984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.8299071218365501"/>
    <n v="0.86015282464061005"/>
    <n v="6.3919390000000001E-4"/>
  </r>
  <r>
    <n v="830000"/>
    <n v="2400000"/>
    <n v="2400000"/>
    <x v="0"/>
    <x v="0"/>
    <s v="BR3-5, BR-7"/>
    <s v="62-304.520 (10), F.A.C."/>
    <n v="0.59"/>
    <n v="0.64"/>
    <s v="City of Cocoa Beach"/>
    <n v="8.8713482272700008E-3"/>
    <n v="3707.9840069332099"/>
    <n v="9.3659291684707799"/>
    <n v="1.3763109089113601"/>
    <n v="8.308841912553E-2"/>
    <n v="1.220973334195E-2"/>
    <n v="32.894817346685798"/>
    <n v="1300"/>
    <s v="Residential, High Density"/>
    <n v="1300"/>
    <s v="City of Cocoa Beach           Brevard County"/>
    <s v="City of Cocoa Beach"/>
    <m/>
    <m/>
    <m/>
    <n v="0"/>
    <n v="1"/>
    <n v="8.308841912553E-2"/>
    <n v="1.220973334195E-2"/>
    <n v="32.894817346685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5.263360026238601"/>
    <n v="35.901072548910498"/>
    <n v="2.6678684000000001E-2"/>
  </r>
  <r>
    <n v="830000"/>
    <n v="2400000"/>
    <n v="2400000"/>
    <x v="0"/>
    <x v="0"/>
    <s v="BR3-5, BR-7"/>
    <s v="62-304.520 (10), F.A.C."/>
    <n v="0.59"/>
    <n v="0.64"/>
    <s v="City of Cocoa Beach"/>
    <n v="2.8630702169499998E-2"/>
    <n v="3707.9840069332099"/>
    <n v="9.3659291684707799"/>
    <n v="1.3763109089113601"/>
    <n v="0.26815312856313001"/>
    <n v="3.940474772567E-2"/>
    <n v="106.162185751781"/>
    <n v="1430"/>
    <s v="Professional Services"/>
    <n v="1430"/>
    <s v="City of Cocoa Beach           Brevard County"/>
    <s v="City of Cocoa Beach"/>
    <m/>
    <m/>
    <m/>
    <n v="0"/>
    <n v="1"/>
    <n v="0.26815312856313001"/>
    <n v="3.940474772567E-2"/>
    <n v="106.16218575177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5.550673632498203"/>
    <n v="115.86434095246901"/>
    <n v="8.6100718399999998E-2"/>
  </r>
  <r>
    <n v="830000"/>
    <n v="2400000"/>
    <n v="2400000"/>
    <x v="0"/>
    <x v="0"/>
    <s v="BR3-5, BR-7"/>
    <s v="62-304.520 (10), F.A.C."/>
    <n v="0.59"/>
    <n v="0.64"/>
    <s v="City of Cocoa Beach"/>
    <n v="0.27804591637615"/>
    <n v="3707.9840069332099"/>
    <n v="9.3659291684707799"/>
    <n v="1.3763109089113601"/>
    <n v="2.6041583583616399"/>
    <n v="0.38267762788676002"/>
    <n v="1030.98981111588"/>
    <n v="1210"/>
    <s v="Fixed Single Family Units"/>
    <n v="1210"/>
    <s v="City of Cocoa Beach           Brevard County"/>
    <s v="City of Cocoa Beach"/>
    <m/>
    <m/>
    <m/>
    <n v="0"/>
    <n v="1"/>
    <n v="2.6041583583616399"/>
    <n v="0.38267762788676002"/>
    <n v="1030.9898111158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4.764706687494"/>
    <n v="1125.21190240895"/>
    <n v="0.83616367489999999"/>
  </r>
  <r>
    <n v="830000"/>
    <n v="2400000"/>
    <n v="2400000"/>
    <x v="0"/>
    <x v="0"/>
    <s v="BR3-5, BR-7"/>
    <s v="62-304.520 (10), F.A.C."/>
    <n v="0.59"/>
    <n v="0.64"/>
    <s v="City of Cocoa Beach"/>
    <n v="0.18382431744389999"/>
    <n v="3707.9840069332099"/>
    <n v="9.3659291684707799"/>
    <n v="1.3763109089113601"/>
    <n v="1.7216855366221"/>
    <n v="0.25299941342123"/>
    <n v="681.61762916741304"/>
    <n v="1210"/>
    <s v="Fixed Single Family Units"/>
    <n v="1210"/>
    <s v="City of Cocoa Beach           Brevard County"/>
    <s v="City of Cocoa Beach"/>
    <m/>
    <m/>
    <m/>
    <n v="0"/>
    <n v="1"/>
    <n v="1.7216855366221"/>
    <n v="0.25299941342123"/>
    <n v="681.617629167413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4.89936851975899"/>
    <n v="743.910619641165"/>
    <n v="0.55281235129999995"/>
  </r>
  <r>
    <n v="830000"/>
    <n v="2400000"/>
    <n v="2400000"/>
    <x v="0"/>
    <x v="0"/>
    <s v="BR3-5, BR-7"/>
    <s v="62-304.520 (10), F.A.C."/>
    <n v="0.59"/>
    <n v="0.64"/>
    <s v="City of Cocoa Beach"/>
    <n v="2.1396649986149999E-2"/>
    <n v="3771.6925830486998"/>
    <n v="9.5130834723604405"/>
    <n v="1.37851351649525"/>
    <n v="0.20354811734712"/>
    <n v="2.9495571213619998E-2"/>
    <n v="80.701586054851106"/>
    <n v="1300"/>
    <s v="Residential, High Density"/>
    <n v="1300"/>
    <s v="City of Cocoa Beach           Brevard County"/>
    <s v="City of Cocoa Beach"/>
    <m/>
    <m/>
    <m/>
    <n v="0"/>
    <n v="1"/>
    <n v="0.20354811734712"/>
    <n v="2.9495571213619998E-2"/>
    <n v="80.7015860548515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2.5932402902096"/>
    <n v="86.589170414296603"/>
    <n v="6.5451408000000003E-2"/>
  </r>
  <r>
    <n v="830000"/>
    <n v="2400000"/>
    <n v="2400000"/>
    <x v="0"/>
    <x v="0"/>
    <s v="BR3-5, BR-7"/>
    <s v="62-304.520 (10), F.A.C."/>
    <n v="0.59"/>
    <n v="0.64"/>
    <s v="FDOT District 5"/>
    <n v="1.8769727280329999E-2"/>
    <n v="3771.6925830486998"/>
    <n v="9.5130834723604405"/>
    <n v="1.37851351649525"/>
    <n v="0.17855798237123"/>
    <n v="2.587432275686E-2"/>
    <n v="70.7936411690751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17855798237123"/>
    <n v="2.587432275686E-2"/>
    <n v="70.7936411690747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8.049346685992397"/>
    <n v="75.958391391107497"/>
    <n v="5.7415767399999998E-2"/>
  </r>
  <r>
    <n v="830000"/>
    <n v="2400000"/>
    <n v="2400000"/>
    <x v="0"/>
    <x v="0"/>
    <s v="BR3-5, BR-7"/>
    <s v="62-304.520 (10), F.A.C."/>
    <n v="0.59"/>
    <n v="0.64"/>
    <s v="FDOT District 5"/>
    <n v="3.5942377488329999E-2"/>
    <n v="3771.6925830486998"/>
    <n v="9.5130834723604405"/>
    <n v="1.37851351649525"/>
    <n v="0.34192283724159001"/>
    <n v="4.9547053182640001E-2"/>
    <n v="135.563598589878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34192283724159001"/>
    <n v="4.9547053182640001E-2"/>
    <n v="135.56359858987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934737075041"/>
    <n v="145.45364117498201"/>
    <n v="0.10994614649999999"/>
  </r>
  <r>
    <n v="830000"/>
    <n v="2400000"/>
    <n v="2400000"/>
    <x v="0"/>
    <x v="0"/>
    <s v="BR3-5, BR-7"/>
    <s v="62-304.520 (10), F.A.C."/>
    <n v="0.59"/>
    <n v="0.64"/>
    <s v="City of Cocoa Beach"/>
    <n v="1.1798778274760001E-2"/>
    <n v="3771.6925830486998"/>
    <n v="9.5130834723604405"/>
    <n v="1.37851351649525"/>
    <n v="0.11224276259974"/>
    <n v="1.6264775329889999E-2"/>
    <n v="44.5013645079786"/>
    <n v="1400"/>
    <s v="Commercial and Services"/>
    <n v="1400"/>
    <s v="City of Cocoa Beach           Brevard County"/>
    <s v="City of Cocoa Beach"/>
    <m/>
    <m/>
    <m/>
    <n v="0"/>
    <n v="1"/>
    <n v="0.11224276259974"/>
    <n v="1.6264775329889999E-2"/>
    <n v="44.5013645079794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9.921716045614801"/>
    <n v="47.747961637719101"/>
    <n v="3.6091942000000002E-2"/>
  </r>
  <r>
    <n v="830000"/>
    <n v="2400000"/>
    <n v="2400000"/>
    <x v="0"/>
    <x v="0"/>
    <s v="BR3-5, BR-7"/>
    <s v="62-304.520 (10), F.A.C."/>
    <n v="0.59"/>
    <n v="0.64"/>
    <s v="FDOT District 5"/>
    <n v="5.1991010103920002E-2"/>
    <n v="3771.6925830486998"/>
    <n v="9.5130834723604405"/>
    <n v="1.37851351649525"/>
    <n v="0.49459481893092999"/>
    <n v="7.1670310164490006E-2"/>
    <n v="196.09410719416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9459481893092999"/>
    <n v="7.1670310164490006E-2"/>
    <n v="196.09410719416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4.815140976897595"/>
    <n v="210.40015314611401"/>
    <n v="0.15903820530000001"/>
  </r>
  <r>
    <n v="830000"/>
    <n v="2400000"/>
    <n v="2400000"/>
    <x v="0"/>
    <x v="0"/>
    <s v="BR3-5, BR-7"/>
    <s v="62-304.520 (10), F.A.C."/>
    <n v="0.59"/>
    <n v="0.64"/>
    <s v="FDOT District 5"/>
    <n v="0.27167309784672"/>
    <n v="3771.6925830486998"/>
    <n v="9.5130834723604405"/>
    <n v="1.37851351649525"/>
    <n v="2.5844488570106101"/>
    <n v="0.37450503744983998"/>
    <n v="1024.6674081623401"/>
    <n v="8140"/>
    <s v="Roads and Highways"/>
    <n v="8140"/>
    <s v="FDOT District 5                                 City of Cocoa Beach           Brevard County"/>
    <s v="FDOT District 5"/>
    <m/>
    <m/>
    <m/>
    <n v="0"/>
    <n v="1"/>
    <n v="2.5844488570106101"/>
    <n v="0.37450503744983998"/>
    <n v="1024.6674081623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76971421640999"/>
    <n v="1099.4220208143099"/>
    <n v="0.83103601640000002"/>
  </r>
  <r>
    <n v="830000"/>
    <n v="2400000"/>
    <n v="2400000"/>
    <x v="0"/>
    <x v="0"/>
    <s v="BR3-5, BR-7"/>
    <s v="62-304.520 (10), F.A.C."/>
    <n v="0.59"/>
    <n v="0.64"/>
    <s v="City of Cocoa Beach"/>
    <n v="6.7541803803340003E-2"/>
    <n v="3771.6925830486998"/>
    <n v="9.5130834723604405"/>
    <n v="1.37851351649525"/>
    <n v="0.64253081745500995"/>
    <n v="9.310728947138E-2"/>
    <n v="254.74692045080701"/>
    <n v="1410"/>
    <s v="Retail Sales and Services"/>
    <n v="1410"/>
    <s v="City of Cocoa Beach           Brevard County"/>
    <s v="City of Cocoa Beach"/>
    <m/>
    <m/>
    <m/>
    <n v="0"/>
    <n v="1"/>
    <n v="0.64253081745500995"/>
    <n v="9.310728947138E-2"/>
    <n v="254.74692045080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0.572748085469698"/>
    <n v="273.33198250204902"/>
    <n v="0.206607397"/>
  </r>
  <r>
    <n v="830000"/>
    <n v="2400000"/>
    <n v="2400000"/>
    <x v="0"/>
    <x v="0"/>
    <s v="BR3-5, BR-7"/>
    <s v="62-304.520 (10), F.A.C."/>
    <n v="0.59"/>
    <n v="0.64"/>
    <s v="City of Cocoa Beach"/>
    <n v="4.6525504399500001E-3"/>
    <n v="3771.6925830486998"/>
    <n v="9.5130834723604405"/>
    <n v="1.37851351649525"/>
    <n v="4.4260100694619997E-2"/>
    <n v="6.4136036676400001E-3"/>
    <n v="17.547989986623101"/>
    <n v="1300"/>
    <s v="Residential, High Density"/>
    <n v="1300"/>
    <s v="City of Cocoa Beach           Brevard County"/>
    <s v="City of Cocoa Beach"/>
    <m/>
    <m/>
    <m/>
    <n v="0"/>
    <n v="1"/>
    <n v="4.4260100694619997E-2"/>
    <n v="6.4136036676400001E-3"/>
    <n v="17.547989986622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.163426770341701"/>
    <n v="18.828203628454901"/>
    <n v="1.42319465E-2"/>
  </r>
  <r>
    <n v="830000"/>
    <n v="2400000"/>
    <n v="2400000"/>
    <x v="0"/>
    <x v="0"/>
    <s v="BR3-5, BR-7"/>
    <s v="62-304.520 (10), F.A.C."/>
    <n v="0.59"/>
    <n v="0.64"/>
    <s v="City of Cocoa Beach"/>
    <n v="0.13181216272297999"/>
    <n v="3771.6925830486998"/>
    <n v="9.5130834723604405"/>
    <n v="1.37851351649525"/>
    <n v="1.25394010665606"/>
    <n v="0.18170484795210001"/>
    <n v="497.15495649787198"/>
    <n v="1300"/>
    <s v="Residential, High Density"/>
    <n v="1300"/>
    <s v="City of Cocoa Beach           Brevard County"/>
    <s v="City of Cocoa Beach"/>
    <m/>
    <m/>
    <m/>
    <n v="0"/>
    <n v="1"/>
    <n v="1.25394010665606"/>
    <n v="0.18170484795210001"/>
    <n v="497.15495649787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36276281296099"/>
    <n v="533.42489726592396"/>
    <n v="0.40320758839999998"/>
  </r>
  <r>
    <n v="830000"/>
    <n v="2400000"/>
    <n v="2400000"/>
    <x v="0"/>
    <x v="0"/>
    <s v="BR3-5, BR-7"/>
    <s v="62-304.520 (10), F.A.C."/>
    <n v="0.59"/>
    <n v="0.64"/>
    <s v="FDOT District 5"/>
    <n v="2.18529567538E-3"/>
    <n v="3771.6925830486998"/>
    <n v="9.5130834723604405"/>
    <n v="1.37851351649525"/>
    <n v="2.0788900171719998E-2"/>
    <n v="3.0124596260499999E-3"/>
    <n v="8.2422634906180097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0788900171719998E-2"/>
    <n v="3.0124596260499999E-3"/>
    <n v="8.2422634906184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05278595591"/>
    <n v="8.8435778387752499"/>
    <n v="6.6847230000000001E-3"/>
  </r>
  <r>
    <n v="830000"/>
    <n v="2400000"/>
    <n v="2400000"/>
    <x v="0"/>
    <x v="0"/>
    <s v="BR3-5, BR-7"/>
    <s v="62-304.520 (10), F.A.C."/>
    <n v="0.59"/>
    <n v="0.64"/>
    <s v="City of Cocoa Beach"/>
    <n v="3.3020964779719997E-2"/>
    <n v="3734.3712156681399"/>
    <n v="11.752019720011299"/>
    <n v="2.3816107627885499"/>
    <n v="0.38806302926517"/>
    <n v="7.8643085117060002E-2"/>
    <n v="123.312540387011"/>
    <n v="1300"/>
    <s v="Residential, High Density"/>
    <n v="1300"/>
    <s v="City of Cocoa Beach           Brevard County"/>
    <s v="City of Cocoa Beach"/>
    <m/>
    <m/>
    <m/>
    <n v="0"/>
    <n v="1"/>
    <n v="0.38806302926517"/>
    <n v="7.8643085117060002E-2"/>
    <n v="123.31254038701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379982768499"/>
    <n v="133.63110339268999"/>
    <n v="0.1000101706"/>
  </r>
  <r>
    <n v="830000"/>
    <n v="2400000"/>
    <n v="2400000"/>
    <x v="0"/>
    <x v="0"/>
    <s v="BR3-5, BR-7"/>
    <s v="62-304.520 (10), F.A.C."/>
    <n v="0.59"/>
    <n v="0.64"/>
    <s v="City of Cocoa Beach"/>
    <n v="0.58474248902626003"/>
    <n v="3734.3712156681399"/>
    <n v="11.752019720011299"/>
    <n v="2.3816107627885499"/>
    <n v="6.8719052621651597"/>
    <n v="1.3926290053247099"/>
    <n v="2183.6455195978201"/>
    <n v="1300"/>
    <s v="Residential, High Density"/>
    <n v="1300"/>
    <s v="City of Cocoa Beach           Brevard County"/>
    <s v="City of Cocoa Beach"/>
    <m/>
    <m/>
    <m/>
    <n v="0"/>
    <n v="1"/>
    <n v="6.8719052621651597"/>
    <n v="1.3926290053247099"/>
    <n v="2183.6455195978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4.68949451943499"/>
    <n v="2366.3688971660999"/>
    <n v="1.7710020435"/>
  </r>
  <r>
    <n v="830000"/>
    <n v="2400000"/>
    <n v="2400000"/>
    <x v="0"/>
    <x v="0"/>
    <s v="BR3-5, BR-7"/>
    <s v="62-304.520 (10), F.A.C."/>
    <n v="0.59"/>
    <n v="0.64"/>
    <s v="City of Cocoa Beach"/>
    <n v="0.61776345362188001"/>
    <n v="3749.9103356529599"/>
    <n v="10.788827957176601"/>
    <n v="2.0787869299552399"/>
    <n v="6.6649436193577802"/>
    <n v="1.2841985931931801"/>
    <n v="2316.5575597253801"/>
    <n v="1300"/>
    <s v="Residential, High Density"/>
    <n v="1300"/>
    <s v="City of Cocoa Beach           Brevard County"/>
    <s v="City of Cocoa Beach"/>
    <m/>
    <m/>
    <m/>
    <n v="0"/>
    <n v="1"/>
    <n v="6.6649436193577802"/>
    <n v="1.2841985931931801"/>
    <n v="2316.5575597253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9254899"/>
    <n v="2499.99999981373"/>
    <n v="1.8787976964999999"/>
  </r>
  <r>
    <n v="830000"/>
    <n v="2400000"/>
    <n v="2400000"/>
    <x v="0"/>
    <x v="0"/>
    <s v="BR3-5, BR-7"/>
    <s v="62-304.520 (10), F.A.C."/>
    <n v="0.59"/>
    <n v="0.64"/>
    <s v="City of Cocoa Beach"/>
    <n v="0.44817233073042001"/>
    <n v="3856.2644449315899"/>
    <n v="8.5376451829908699"/>
    <n v="1.2043741867395501"/>
    <n v="3.82633634061043"/>
    <n v="0.53976718634262"/>
    <n v="1728.27102419787"/>
    <n v="1450"/>
    <s v="Tourist Services"/>
    <n v="1450"/>
    <s v="City of Cocoa Beach           Brevard County"/>
    <s v="City of Cocoa Beach"/>
    <m/>
    <m/>
    <m/>
    <n v="0"/>
    <n v="1"/>
    <n v="3.82633634061043"/>
    <n v="0.53976718634262"/>
    <n v="1728.2710241978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2.56745442562701"/>
    <n v="1813.6890749583999"/>
    <n v="1.4016796627999999"/>
  </r>
  <r>
    <n v="830000"/>
    <n v="2400000"/>
    <n v="2400000"/>
    <x v="0"/>
    <x v="0"/>
    <s v="BR3-5, BR-7"/>
    <s v="62-304.520 (10), F.A.C."/>
    <n v="0.59"/>
    <n v="0.64"/>
    <s v="City of Cocoa Beach"/>
    <n v="0.16959112286844"/>
    <n v="3856.2644449315899"/>
    <n v="8.5376451829908699"/>
    <n v="1.2043741867395501"/>
    <n v="1.4479088332357899"/>
    <n v="0.20425117068293"/>
    <n v="653.98821729360895"/>
    <n v="1300"/>
    <s v="Residential, High Density"/>
    <n v="1300"/>
    <s v="City of Cocoa Beach           Brevard County"/>
    <s v="City of Cocoa Beach"/>
    <m/>
    <m/>
    <m/>
    <n v="0"/>
    <n v="1"/>
    <n v="1.4479088332357899"/>
    <n v="0.20425117068293"/>
    <n v="653.988217293608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7.472328407699"/>
    <n v="686.31092476219396"/>
    <n v="0.53040406920000005"/>
  </r>
  <r>
    <n v="830000"/>
    <n v="2400000"/>
    <n v="2400000"/>
    <x v="0"/>
    <x v="0"/>
    <s v="BR3-5, BR-7"/>
    <s v="62-304.520 (10), F.A.C."/>
    <n v="0.59"/>
    <n v="0.64"/>
    <s v="City of Cocoa Beach"/>
    <n v="0.22364564012665999"/>
    <n v="3857.2714873790701"/>
    <n v="9.7402266885729194"/>
    <n v="1.3068659071261499"/>
    <n v="2.1783592327446901"/>
    <n v="0.29227486235894001"/>
    <n v="862.66195093721797"/>
    <n v="1410"/>
    <s v="Retail Sales and Services"/>
    <n v="1410"/>
    <s v="City of Cocoa Beach           Brevard County"/>
    <s v="City of Cocoa Beach"/>
    <m/>
    <m/>
    <m/>
    <n v="0"/>
    <n v="1"/>
    <n v="2.1783592327446901"/>
    <n v="0.29227486235894001"/>
    <n v="862.661950937217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0.347779582445"/>
    <n v="905.06179508834703"/>
    <n v="0.69964472909999997"/>
  </r>
  <r>
    <n v="830000"/>
    <n v="2400000"/>
    <n v="2400000"/>
    <x v="0"/>
    <x v="0"/>
    <s v="BR3-5, BR-7"/>
    <s v="62-304.520 (10), F.A.C."/>
    <n v="0.59"/>
    <n v="0.64"/>
    <s v="City of Cocoa Beach"/>
    <n v="0.24120529010639"/>
    <n v="3857.2714873790701"/>
    <n v="9.7402266885729194"/>
    <n v="1.3068659071261499"/>
    <n v="2.3493942041192799"/>
    <n v="0.31522297025851997"/>
    <n v="930.39428813239499"/>
    <n v="1410"/>
    <s v="Retail Sales and Services"/>
    <n v="1410"/>
    <s v="City of Cocoa Beach           Brevard County"/>
    <s v="City of Cocoa Beach"/>
    <m/>
    <m/>
    <m/>
    <n v="0"/>
    <n v="1"/>
    <n v="2.3493942041192799"/>
    <n v="0.31522297025851997"/>
    <n v="1520.2194043969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1.373892067225"/>
    <n v="976.12317738392096"/>
    <n v="1.2329435558999999"/>
  </r>
  <r>
    <n v="830000"/>
    <n v="2400000"/>
    <n v="2400000"/>
    <x v="0"/>
    <x v="0"/>
    <s v="BR3-5, BR-7"/>
    <s v="62-304.520 (10), F.A.C."/>
    <n v="0.59"/>
    <n v="0.64"/>
    <s v="City of Cocoa Beach"/>
    <n v="4.4840568825870002E-2"/>
    <n v="3736.0362290200201"/>
    <n v="10.128101302741401"/>
    <n v="1.48523579384198"/>
    <n v="0.45414982354102001"/>
    <n v="6.6598817836419993E-2"/>
    <n v="167.52598966333801"/>
    <n v="1300"/>
    <s v="Residential, High Density"/>
    <n v="1300"/>
    <s v="City of Cocoa Beach           Brevard County"/>
    <s v="City of Cocoa Beach"/>
    <m/>
    <m/>
    <m/>
    <n v="0"/>
    <n v="1"/>
    <n v="0.45414982354102001"/>
    <n v="6.6598817836419993E-2"/>
    <n v="217.2847577998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6.642651956622203"/>
    <n v="181.46334393706601"/>
    <n v="0.17622445889999999"/>
  </r>
  <r>
    <n v="830000"/>
    <n v="2400000"/>
    <n v="2400000"/>
    <x v="0"/>
    <x v="0"/>
    <s v="BR3-5, BR-7"/>
    <s v="62-304.520 (10), F.A.C."/>
    <n v="0.59"/>
    <n v="0.64"/>
    <s v="City of Cocoa Beach"/>
    <n v="1.8816413179310001E-2"/>
    <n v="3736.0362290200201"/>
    <n v="10.128101302741401"/>
    <n v="1.48523579384198"/>
    <n v="0.19057453883438"/>
    <n v="2.794681036564E-2"/>
    <n v="70.298801338145594"/>
    <n v="1400"/>
    <s v="Commercial and Services"/>
    <n v="1400"/>
    <s v="City of Cocoa Beach           Brevard County"/>
    <s v="City of Cocoa Beach"/>
    <m/>
    <m/>
    <m/>
    <n v="0"/>
    <n v="1"/>
    <n v="0.19057453883438"/>
    <n v="2.794681036564E-2"/>
    <n v="89.9393714864104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2.230105137767303"/>
    <n v="76.147322521258403"/>
    <n v="7.2943529199999996E-2"/>
  </r>
  <r>
    <n v="830000"/>
    <n v="2400000"/>
    <n v="2400000"/>
    <x v="0"/>
    <x v="0"/>
    <s v="BR3-5, BR-7"/>
    <s v="62-304.520 (10), F.A.C."/>
    <n v="0.59"/>
    <n v="0.64"/>
    <s v="City of Cocoa Beach"/>
    <n v="0.13951520431325001"/>
    <n v="3736.0362290200201"/>
    <n v="10.128101302741401"/>
    <n v="1.48523579384198"/>
    <n v="1.4130241225573299"/>
    <n v="0.20721297523122001"/>
    <n v="521.23385781345905"/>
    <n v="1410"/>
    <s v="Retail Sales and Services"/>
    <n v="1410"/>
    <s v="City of Cocoa Beach           Brevard County"/>
    <s v="City of Cocoa Beach"/>
    <m/>
    <m/>
    <m/>
    <n v="0"/>
    <n v="1"/>
    <n v="1.4130241225573299"/>
    <n v="0.20721297523122001"/>
    <n v="618.963683277229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50689867538399"/>
    <n v="564.59800059755105"/>
    <n v="0.50199812109999997"/>
  </r>
  <r>
    <n v="830000"/>
    <n v="2400000"/>
    <n v="2400000"/>
    <x v="0"/>
    <x v="0"/>
    <s v="BR3-5, BR-7"/>
    <s v="62-304.520 (10), F.A.C."/>
    <n v="0.59"/>
    <n v="0.64"/>
    <s v="City of Cocoa Beach"/>
    <n v="3.8776668145799999E-3"/>
    <n v="3736.0362290200201"/>
    <n v="10.128101302741401"/>
    <n v="1.48523579384198"/>
    <n v="3.9273402316379998E-2"/>
    <n v="5.75924954961E-3"/>
    <n v="14.487103703354499"/>
    <n v="1300"/>
    <s v="Residential, High Density"/>
    <n v="1300"/>
    <s v="City of Cocoa Beach           Brevard County"/>
    <s v="City of Cocoa Beach"/>
    <m/>
    <m/>
    <m/>
    <n v="0"/>
    <n v="1"/>
    <n v="3.9273402316379998E-2"/>
    <n v="5.75924954961E-3"/>
    <n v="14.487103703355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8.631919871692901"/>
    <n v="15.692360852527701"/>
    <n v="1.1749475800000001E-2"/>
  </r>
  <r>
    <n v="830000"/>
    <n v="2400000"/>
    <n v="2400000"/>
    <x v="0"/>
    <x v="0"/>
    <s v="BR3-5, BR-7"/>
    <s v="62-304.520 (10), F.A.C."/>
    <n v="0.59"/>
    <n v="0.64"/>
    <s v="City of Cocoa Beach"/>
    <n v="0.25552343546433998"/>
    <n v="3780.00023508298"/>
    <n v="10.964294763689299"/>
    <n v="1.44475102368618"/>
    <n v="2.80163426546157"/>
    <n v="0.36916774496290999"/>
    <n v="965.87864612441695"/>
    <n v="1400"/>
    <s v="Commercial and Services"/>
    <n v="1400"/>
    <s v="City of Cocoa Beach           Brevard County"/>
    <s v="City of Cocoa Beach"/>
    <m/>
    <m/>
    <m/>
    <n v="0"/>
    <n v="1"/>
    <n v="2.80163426546157"/>
    <n v="0.36916774496290999"/>
    <n v="965.878646124416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7.93842725873"/>
    <n v="1034.0666558825701"/>
    <n v="0.78335656620000005"/>
  </r>
  <r>
    <n v="830000"/>
    <n v="2400000"/>
    <n v="2400000"/>
    <x v="0"/>
    <x v="0"/>
    <s v="BR3-5, BR-7"/>
    <s v="62-304.520 (10), F.A.C."/>
    <n v="0.59"/>
    <n v="0.64"/>
    <s v="FDOT District 5"/>
    <n v="6.2153150803439999E-2"/>
    <n v="3780.00023508298"/>
    <n v="10.964294763689299"/>
    <n v="1.44475102368618"/>
    <n v="0.68146546590103996"/>
    <n v="8.9795828248599996E-2"/>
    <n v="234.938924648185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68146546590103996"/>
    <n v="8.9795828248599996E-2"/>
    <n v="234.93892464818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0.32942365060499"/>
    <n v="251.52487750133201"/>
    <n v="0.19054251799999999"/>
  </r>
  <r>
    <n v="830000"/>
    <n v="2400000"/>
    <n v="2400000"/>
    <x v="0"/>
    <x v="0"/>
    <s v="BR3-5, BR-7"/>
    <s v="62-304.520 (10), F.A.C."/>
    <n v="0.59"/>
    <n v="0.64"/>
    <s v="FDOT District 5"/>
    <n v="0.14140492864852"/>
    <n v="3780.00023508298"/>
    <n v="10.964294763689299"/>
    <n v="1.44475102368618"/>
    <n v="1.55040531874083"/>
    <n v="0.20429491541922001"/>
    <n v="534.51066353329804"/>
    <n v="8140"/>
    <s v="Roads and Highways"/>
    <n v="8140"/>
    <s v="FDOT District 5                                 City of Cocoa Beach           Brevard County"/>
    <s v="FDOT District 5"/>
    <m/>
    <m/>
    <m/>
    <n v="0"/>
    <n v="1"/>
    <n v="1.55040531874083"/>
    <n v="0.20429491541922001"/>
    <n v="534.510663533298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2.596342668364"/>
    <n v="572.24544366027703"/>
    <n v="0.4335041878"/>
  </r>
  <r>
    <n v="830000"/>
    <n v="2400000"/>
    <n v="2400000"/>
    <x v="0"/>
    <x v="0"/>
    <s v="BR3-5, BR-7"/>
    <s v="62-304.520 (10), F.A.C."/>
    <n v="0.59"/>
    <n v="0.64"/>
    <s v="City of Cocoa Beach"/>
    <n v="0.15560503803319001"/>
    <n v="3780.00023508298"/>
    <n v="10.964294763689299"/>
    <n v="1.44475102368618"/>
    <n v="1.70609950371107"/>
    <n v="0.22481053798919001"/>
    <n v="588.18708034558495"/>
    <n v="1410"/>
    <s v="Retail Sales and Services"/>
    <n v="1410"/>
    <s v="City of Cocoa Beach           Brevard County"/>
    <s v="City of Cocoa Beach"/>
    <m/>
    <m/>
    <m/>
    <n v="0"/>
    <n v="1"/>
    <n v="1.70609950371107"/>
    <n v="0.22481053798919001"/>
    <n v="588.187080345584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078734685949"/>
    <n v="629.71124752244305"/>
    <n v="0.4770373725"/>
  </r>
  <r>
    <n v="830000"/>
    <n v="2400000"/>
    <n v="2400000"/>
    <x v="0"/>
    <x v="0"/>
    <s v="BR3-5, BR-7"/>
    <s v="62-304.520 (10), F.A.C."/>
    <n v="0.59"/>
    <n v="0.64"/>
    <s v="City of Cocoa Beach"/>
    <n v="3.0769009945599999E-3"/>
    <n v="3780.00023508298"/>
    <n v="10.964294763689299"/>
    <n v="1.44475102368618"/>
    <n v="3.3736049463129997E-2"/>
    <n v="4.4453558616799997E-3"/>
    <n v="11.630686482794101"/>
    <n v="1450"/>
    <s v="Tourist Services"/>
    <n v="1450"/>
    <s v="City of Cocoa Beach           Brevard County"/>
    <s v="City of Cocoa Beach"/>
    <m/>
    <m/>
    <m/>
    <n v="0"/>
    <n v="1"/>
    <n v="3.3736049463129997E-2"/>
    <n v="4.4453558616799997E-3"/>
    <n v="11.630686482795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2.302811272597303"/>
    <n v="12.4517765509577"/>
    <n v="9.4328358000000008E-3"/>
  </r>
  <r>
    <n v="830000"/>
    <n v="2400000"/>
    <n v="2400000"/>
    <x v="0"/>
    <x v="0"/>
    <s v="BR3-5, BR-7"/>
    <s v="62-304.520 (10), F.A.C."/>
    <n v="0.59"/>
    <n v="0.64"/>
    <s v="City of Cocoa Beach"/>
    <n v="0.61776345378298003"/>
    <n v="3747.7351291761902"/>
    <n v="10.7827144152253"/>
    <n v="2.0776258089206801"/>
    <n v="6.6611668983051402"/>
    <n v="1.2834812953875001"/>
    <n v="2315.2137972636901"/>
    <n v="1300"/>
    <s v="Residential, High Density"/>
    <n v="1300"/>
    <s v="City of Cocoa Beach           Brevard County"/>
    <s v="City of Cocoa Beach"/>
    <m/>
    <m/>
    <m/>
    <n v="0"/>
    <n v="1"/>
    <n v="6.6611668983051402"/>
    <n v="1.2834812953875001"/>
    <n v="2315.2137972636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18626"/>
    <n v="2500.0000004656599"/>
    <n v="1.8777078648000001"/>
  </r>
  <r>
    <n v="830000"/>
    <n v="2400000"/>
    <n v="2400000"/>
    <x v="0"/>
    <x v="0"/>
    <s v="BR3-5, BR-7"/>
    <s v="62-304.520 (10), F.A.C."/>
    <n v="0.59"/>
    <n v="0.64"/>
    <s v="City of Cocoa Beach"/>
    <n v="0.61776345371394004"/>
    <n v="3777.9106737731699"/>
    <n v="11.6080743098172"/>
    <n v="1.5325543323947699"/>
    <n v="7.1710440766007704"/>
    <n v="0.94675605738446"/>
    <n v="2333.8551456528699"/>
    <n v="1450"/>
    <s v="Tourist Services"/>
    <n v="1450"/>
    <s v="City of Cocoa Beach           Brevard County"/>
    <s v="City of Cocoa Beach"/>
    <m/>
    <m/>
    <m/>
    <n v="0"/>
    <n v="1"/>
    <n v="7.1710440766007704"/>
    <n v="0.94675605738446"/>
    <n v="2333.8551456528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0745001"/>
    <n v="2500.00000018626"/>
    <n v="1.8928265577000001"/>
  </r>
  <r>
    <n v="830000"/>
    <n v="2400000"/>
    <n v="2400000"/>
    <x v="0"/>
    <x v="0"/>
    <s v="BR3-5, BR-7"/>
    <s v="62-304.520 (10), F.A.C."/>
    <n v="0.59"/>
    <n v="0.64"/>
    <s v="City of Cocoa Beach"/>
    <n v="0.10602508095521999"/>
    <n v="3782.1091691373299"/>
    <n v="11.6204057133546"/>
    <n v="1.53418801912293"/>
    <n v="1.2320544564909801"/>
    <n v="0.16266240892803999"/>
    <n v="400.99843083928403"/>
    <n v="1400"/>
    <s v="Commercial and Services"/>
    <n v="1400"/>
    <s v="City of Cocoa Beach           Brevard County"/>
    <s v="City of Cocoa Beach"/>
    <m/>
    <m/>
    <m/>
    <n v="0"/>
    <n v="1"/>
    <n v="1.2320544564909801"/>
    <n v="0.16266240892803999"/>
    <n v="401.13126111626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0.84135140122399"/>
    <n v="429.06827979913101"/>
    <n v="0.32532949"/>
  </r>
  <r>
    <n v="830000"/>
    <n v="2400000"/>
    <n v="2400000"/>
    <x v="0"/>
    <x v="0"/>
    <s v="BR3-5, BR-7"/>
    <s v="62-304.520 (10), F.A.C."/>
    <n v="0.59"/>
    <n v="0.64"/>
    <s v="FDOT District 5"/>
    <n v="3.9664010864860003E-2"/>
    <n v="3782.1091691373299"/>
    <n v="11.6204057133546"/>
    <n v="1.53418801912293"/>
    <n v="0.46091189846866998"/>
    <n v="6.0852050259240002E-2"/>
    <n v="150.0136191767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6091189846866998"/>
    <n v="6.0852050259240002E-2"/>
    <n v="169.96779631161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223850612653"/>
    <n v="160.51455710663399"/>
    <n v="0.1378489832"/>
  </r>
  <r>
    <n v="830000"/>
    <n v="2400000"/>
    <n v="2400000"/>
    <x v="0"/>
    <x v="0"/>
    <s v="BR3-5, BR-7"/>
    <s v="62-304.520 (10), F.A.C."/>
    <n v="0.59"/>
    <n v="0.64"/>
    <s v="City of Cocoa Beach"/>
    <n v="0.27753773635015999"/>
    <n v="3782.1091691373299"/>
    <n v="11.6204057133546"/>
    <n v="1.53418801912293"/>
    <n v="3.2251010971549898"/>
    <n v="0.42579506996291999"/>
    <n v="1049.67801743158"/>
    <n v="1410"/>
    <s v="Retail Sales and Services"/>
    <n v="1410"/>
    <s v="City of Cocoa Beach           Brevard County"/>
    <s v="City of Cocoa Beach"/>
    <m/>
    <m/>
    <m/>
    <n v="0"/>
    <n v="1"/>
    <n v="3.2251010971549898"/>
    <n v="0.42579506996291999"/>
    <n v="1049.6780174315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1.05101670046199"/>
    <n v="1123.1553708070301"/>
    <n v="0.85132037100000002"/>
  </r>
  <r>
    <n v="830000"/>
    <n v="2400000"/>
    <n v="2400000"/>
    <x v="0"/>
    <x v="0"/>
    <s v="BR3-5, BR-7"/>
    <s v="62-304.520 (10), F.A.C."/>
    <n v="0.59"/>
    <n v="0.64"/>
    <s v="City of Cocoa Beach"/>
    <n v="0.1892255659366"/>
    <n v="3782.1091691373299"/>
    <n v="11.6204057133546"/>
    <n v="1.53418801912293"/>
    <n v="2.1988778475225099"/>
    <n v="0.29030759617169"/>
    <n v="715.67174796404197"/>
    <n v="1430"/>
    <s v="Professional Services"/>
    <n v="1430"/>
    <s v="City of Cocoa Beach           Brevard County"/>
    <s v="City of Cocoa Beach"/>
    <m/>
    <m/>
    <m/>
    <n v="0"/>
    <n v="1"/>
    <n v="2.1988778475225099"/>
    <n v="0.29030759617169"/>
    <n v="715.671747964041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6.21998854943"/>
    <n v="765.76869679283402"/>
    <n v="0.58043126359999997"/>
  </r>
  <r>
    <n v="830000"/>
    <n v="2400000"/>
    <n v="2400000"/>
    <x v="0"/>
    <x v="0"/>
    <s v="BR3-5, BR-7"/>
    <s v="62-304.520 (10), F.A.C."/>
    <n v="0.59"/>
    <n v="0.64"/>
    <s v="City of Cocoa Beach"/>
    <n v="0.61776345362188001"/>
    <n v="3777.9106743361199"/>
    <n v="11.608074311546901"/>
    <n v="1.5325543326231399"/>
    <n v="7.1710440766007704"/>
    <n v="0.94675605738446"/>
    <n v="2333.8551456528699"/>
    <n v="1450"/>
    <s v="Tourist Services"/>
    <n v="1450"/>
    <s v="City of Cocoa Beach           Brevard County"/>
    <s v="City of Cocoa Beach"/>
    <m/>
    <m/>
    <m/>
    <n v="0"/>
    <n v="1"/>
    <n v="7.1710440766007704"/>
    <n v="0.94675605738446"/>
    <n v="2333.8551456528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9254899"/>
    <n v="2499.99999981373"/>
    <n v="1.8928265577000001"/>
  </r>
  <r>
    <n v="830000"/>
    <n v="2400000"/>
    <n v="2400000"/>
    <x v="0"/>
    <x v="0"/>
    <s v="BR3-5, BR-7"/>
    <s v="62-304.520 (10), F.A.C."/>
    <n v="0.59"/>
    <n v="0.64"/>
    <s v="City of Cocoa Beach"/>
    <n v="0.61776345366790997"/>
    <n v="3752.2321464822298"/>
    <n v="10.794972646832999"/>
    <n v="2.0799086134848701"/>
    <n v="6.66873958455826"/>
    <n v="1.2848915283800499"/>
    <n v="2317.9918897746302"/>
    <n v="1300"/>
    <s v="Residential, High Density"/>
    <n v="1300"/>
    <s v="City of Cocoa Beach           Brevard County"/>
    <s v="City of Cocoa Beach"/>
    <m/>
    <m/>
    <m/>
    <n v="0"/>
    <n v="1"/>
    <n v="6.66873958455826"/>
    <n v="1.2848915283800499"/>
    <n v="2317.9918897746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799609812"/>
  </r>
  <r>
    <n v="830000"/>
    <n v="2400000"/>
    <n v="2400000"/>
    <x v="0"/>
    <x v="0"/>
    <s v="BR3-5, BR-7"/>
    <s v="62-304.520 (10), F.A.C."/>
    <n v="0.59"/>
    <n v="0.64"/>
    <s v="City of Cocoa Beach"/>
    <n v="0.26750130258268001"/>
    <n v="3772.7604150873699"/>
    <n v="9.3602968513812499"/>
    <n v="1.6297278792958001"/>
    <n v="2.5038916003051002"/>
    <n v="0.43595433056694"/>
    <n v="1009.21832536826"/>
    <n v="1300"/>
    <s v="Residential, High Density"/>
    <n v="1300"/>
    <s v="City of Cocoa Beach           Brevard County"/>
    <s v="City of Cocoa Beach"/>
    <m/>
    <m/>
    <m/>
    <n v="0"/>
    <n v="1"/>
    <n v="2.5038916003051002"/>
    <n v="0.43595433056694"/>
    <n v="1009.2183253682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30838275285899"/>
    <n v="1082.5393643571001"/>
    <n v="0.81850634659999999"/>
  </r>
  <r>
    <n v="830000"/>
    <n v="2400000"/>
    <n v="2400000"/>
    <x v="0"/>
    <x v="0"/>
    <s v="BR3-5, BR-7"/>
    <s v="62-304.520 (10), F.A.C."/>
    <n v="0.59"/>
    <n v="0.64"/>
    <s v="City of Cocoa Beach"/>
    <n v="0.35026215113124998"/>
    <n v="3772.7604150873699"/>
    <n v="9.3602968513812499"/>
    <n v="1.6297278792958001"/>
    <n v="3.2785577103919001"/>
    <n v="0.57083199276072005"/>
    <n v="1321.4551786913401"/>
    <n v="1300"/>
    <s v="Residential, High Density"/>
    <n v="1300"/>
    <s v="City of Cocoa Beach           Brevard County"/>
    <s v="City of Cocoa Beach"/>
    <m/>
    <m/>
    <m/>
    <n v="0"/>
    <n v="1"/>
    <n v="3.2785577103919001"/>
    <n v="0.57083199276072005"/>
    <n v="1321.4551786913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6.705233610742"/>
    <n v="1417.4606358291501"/>
    <n v="1.0717398042999999"/>
  </r>
  <r>
    <n v="830000"/>
    <n v="2400000"/>
    <n v="2400000"/>
    <x v="0"/>
    <x v="0"/>
    <s v="BR3-5, BR-7"/>
    <s v="62-304.520 (10), F.A.C."/>
    <n v="0.59"/>
    <n v="0.64"/>
    <s v="City of Cocoa Beach"/>
    <n v="8.2174776792670004E-2"/>
    <n v="3752.9178030766998"/>
    <n v="10.797052918359"/>
    <n v="2.0803219523404501"/>
    <n v="0.88724541358484998"/>
    <n v="0.17094999209046999"/>
    <n v="308.395182789084"/>
    <n v="1300"/>
    <s v="Residential, High Density"/>
    <n v="1300"/>
    <s v="City of Cocoa Beach           Brevard County"/>
    <s v="City of Cocoa Beach"/>
    <m/>
    <m/>
    <m/>
    <n v="0"/>
    <n v="1"/>
    <n v="0.88724541358484998"/>
    <n v="0.17094999209046999"/>
    <n v="308.39518278908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8.419162452903706"/>
    <n v="332.54952322272197"/>
    <n v="0.2501177476"/>
  </r>
  <r>
    <n v="830000"/>
    <n v="2400000"/>
    <n v="2400000"/>
    <x v="0"/>
    <x v="0"/>
    <s v="BR3-5, BR-7"/>
    <s v="62-304.520 (10), F.A.C."/>
    <n v="0.59"/>
    <n v="0.64"/>
    <s v="City of Cocoa Beach"/>
    <n v="0.52254539388152998"/>
    <n v="3752.9178030766998"/>
    <n v="10.797052918359"/>
    <n v="2.0803219523404501"/>
    <n v="5.6419502699837496"/>
    <n v="1.0870626539861501"/>
    <n v="1961.06991161375"/>
    <n v="1300"/>
    <s v="Residential, High Density"/>
    <n v="1300"/>
    <s v="City of Cocoa Beach           Brevard County"/>
    <s v="City of Cocoa Beach"/>
    <m/>
    <m/>
    <m/>
    <n v="0"/>
    <n v="1"/>
    <n v="5.6419502699837496"/>
    <n v="1.0870626539861501"/>
    <n v="1961.0699116137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8.37253301284201"/>
    <n v="2114.6661832250402"/>
    <n v="1.5904865463"/>
  </r>
  <r>
    <n v="830000"/>
    <n v="2400000"/>
    <n v="2400000"/>
    <x v="0"/>
    <x v="0"/>
    <s v="BR3-5, BR-7"/>
    <s v="62-304.520 (10), F.A.C."/>
    <n v="0.59"/>
    <n v="0.64"/>
    <s v="City of Cocoa Beach"/>
    <n v="1.304328285562E-2"/>
    <n v="3752.9178030766998"/>
    <n v="10.797052918359"/>
    <n v="2.0803219523404501"/>
    <n v="0.14082901522124999"/>
    <n v="2.7134227655129999E-2"/>
    <n v="48.950368439421403"/>
    <n v="1300"/>
    <s v="Residential, High Density"/>
    <n v="1300"/>
    <s v="City of Cocoa Beach           Brevard County"/>
    <s v="City of Cocoa Beach"/>
    <m/>
    <m/>
    <m/>
    <n v="0"/>
    <n v="1"/>
    <n v="0.14082901522124999"/>
    <n v="2.7134227655129999E-2"/>
    <n v="48.95036843942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146110329755"/>
    <n v="52.784292993444701"/>
    <n v="3.9700217699999998E-2"/>
  </r>
  <r>
    <n v="830000"/>
    <n v="2400000"/>
    <n v="2400000"/>
    <x v="0"/>
    <x v="0"/>
    <s v="BR3-5, BR-7"/>
    <s v="62-304.520 (10), F.A.C."/>
    <n v="0.59"/>
    <n v="0.64"/>
    <s v="City of Cocoa Beach"/>
    <n v="0.32440671718787001"/>
    <n v="3747.7351300138698"/>
    <n v="10.7827144176354"/>
    <n v="2.0776258093850699"/>
    <n v="3.4979849865994801"/>
    <n v="0.67399576836741004"/>
    <n v="1215.7904504174701"/>
    <n v="1300"/>
    <s v="Residential, High Density"/>
    <n v="1300"/>
    <s v="City of Cocoa Beach           Brevard County"/>
    <s v="City of Cocoa Beach"/>
    <m/>
    <m/>
    <m/>
    <n v="0"/>
    <n v="1"/>
    <n v="3.4979849865994801"/>
    <n v="0.67399576836741004"/>
    <n v="1215.7904504174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2.54973675708399"/>
    <n v="1312.8274069214399"/>
    <n v="0.98604253890000004"/>
  </r>
  <r>
    <n v="830000"/>
    <n v="2400000"/>
    <n v="2400000"/>
    <x v="0"/>
    <x v="0"/>
    <s v="BR3-5, BR-7"/>
    <s v="62-304.520 (10), F.A.C."/>
    <n v="0.59"/>
    <n v="0.64"/>
    <s v="City of Cocoa Beach"/>
    <n v="0.29335673641099003"/>
    <n v="3747.7351300138698"/>
    <n v="10.7827144176354"/>
    <n v="2.0776258093850699"/>
    <n v="3.1631819112093602"/>
    <n v="0.60948552692446001"/>
    <n v="1099.4233466737201"/>
    <n v="1300"/>
    <s v="Residential, High Density"/>
    <n v="1300"/>
    <s v="City of Cocoa Beach           Brevard County"/>
    <s v="City of Cocoa Beach"/>
    <m/>
    <m/>
    <m/>
    <n v="0"/>
    <n v="1"/>
    <n v="3.1631819112093602"/>
    <n v="0.60948552692446001"/>
    <n v="1099.4233466737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52354419256599"/>
    <n v="1187.1725927991499"/>
    <n v="0.89166532580000002"/>
  </r>
  <r>
    <n v="830000"/>
    <n v="2400000"/>
    <n v="2400000"/>
    <x v="0"/>
    <x v="0"/>
    <s v="BR3-5, BR-7"/>
    <s v="62-304.520 (10), F.A.C."/>
    <n v="0.59"/>
    <n v="0.64"/>
    <s v="City of Cocoa Beach"/>
    <n v="8.1483570707920006E-2"/>
    <n v="3707.8260829399201"/>
    <n v="7.9517851832758302"/>
    <n v="1.0790172386046"/>
    <n v="0.64793985023569001"/>
    <n v="8.7922177456899994E-2"/>
    <n v="302.12690880192702"/>
    <n v="1450"/>
    <s v="Tourist Services"/>
    <n v="1450"/>
    <s v="City of Cocoa Beach           Brevard County"/>
    <s v="City of Cocoa Beach"/>
    <m/>
    <m/>
    <m/>
    <n v="0"/>
    <n v="1"/>
    <n v="0.64793985023569001"/>
    <n v="8.7922177456899994E-2"/>
    <n v="302.12690880192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21490420674"/>
    <n v="329.75231143945598"/>
    <n v="0.2450339893"/>
  </r>
  <r>
    <n v="830000"/>
    <n v="2400000"/>
    <n v="2400000"/>
    <x v="0"/>
    <x v="0"/>
    <s v="BR3-5, BR-7"/>
    <s v="62-304.520 (10), F.A.C."/>
    <n v="0.59"/>
    <n v="0.64"/>
    <s v="City of Cocoa Beach"/>
    <n v="0.61776345362188001"/>
    <n v="3882.5384879909002"/>
    <n v="8.6413750181892706"/>
    <n v="1.1734419275405199"/>
    <n v="5.3383256752784902"/>
    <n v="0.72490953778214995"/>
    <n v="2398.4903851611498"/>
    <n v="1450"/>
    <s v="Tourist Services"/>
    <n v="1450"/>
    <s v="City of Cocoa Beach           Brevard County"/>
    <s v="City of Cocoa Beach"/>
    <m/>
    <m/>
    <m/>
    <n v="0"/>
    <n v="1"/>
    <n v="5.3383256752784902"/>
    <n v="0.72490953778214995"/>
    <n v="2398.4903851611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9254899"/>
    <n v="2499.99999981373"/>
    <n v="1.9452476765"/>
  </r>
  <r>
    <n v="830000"/>
    <n v="2400000"/>
    <n v="2400000"/>
    <x v="0"/>
    <x v="0"/>
    <s v="BR3-5, BR-7"/>
    <s v="62-304.520 (10), F.A.C."/>
    <n v="0.59"/>
    <n v="0.64"/>
    <s v="City of Cocoa Beach"/>
    <n v="2.1864220656590001E-2"/>
    <n v="3749.9103356529599"/>
    <n v="10.788827957176601"/>
    <n v="2.0787869299552399"/>
    <n v="0.23588931508170999"/>
    <n v="4.5451056134579997E-2"/>
    <n v="81.988867021151293"/>
    <n v="1300"/>
    <s v="Residential, High Density"/>
    <n v="1300"/>
    <s v="City of Cocoa Beach           Brevard County"/>
    <s v="City of Cocoa Beach"/>
    <m/>
    <m/>
    <m/>
    <n v="0"/>
    <n v="1"/>
    <n v="0.23588931508170999"/>
    <n v="4.5451056134579997E-2"/>
    <n v="81.9888670211505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65516343657499"/>
    <n v="88.481361784899093"/>
    <n v="6.6495431499999993E-2"/>
  </r>
  <r>
    <n v="830000"/>
    <n v="2400000"/>
    <n v="2400000"/>
    <x v="0"/>
    <x v="0"/>
    <s v="BR3-5, BR-7"/>
    <s v="62-304.520 (10), F.A.C."/>
    <n v="0.59"/>
    <n v="0.64"/>
    <s v="City of Cocoa Beach"/>
    <n v="0.59589923310337001"/>
    <n v="3749.9103356529599"/>
    <n v="10.788827957176601"/>
    <n v="2.0787869299552399"/>
    <n v="6.4290543057658001"/>
    <n v="1.23874753734565"/>
    <n v="2234.5686932220201"/>
    <n v="1300"/>
    <s v="Residential, High Density"/>
    <n v="1300"/>
    <s v="City of Cocoa Beach           Brevard County"/>
    <s v="City of Cocoa Beach"/>
    <m/>
    <m/>
    <m/>
    <n v="0"/>
    <n v="1"/>
    <n v="6.4290543057658001"/>
    <n v="1.23874753734565"/>
    <n v="2234.5686932220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6.576654515607"/>
    <n v="2411.51863858763"/>
    <n v="1.8123022654000001"/>
  </r>
  <r>
    <n v="830000"/>
    <n v="2400000"/>
    <n v="2400000"/>
    <x v="0"/>
    <x v="0"/>
    <s v="BR3-5, BR-7"/>
    <s v="62-304.520 (10), F.A.C."/>
    <n v="0.59"/>
    <n v="0.64"/>
    <s v="Natural Lands"/>
    <n v="3.1467489580700001E-3"/>
    <n v="1473.66753036821"/>
    <n v="4.4055090446335301"/>
    <n v="0.86811800259353"/>
    <n v="1.386303099598E-2"/>
    <n v="2.7317494201399999E-3"/>
    <n v="4.6372617657336699"/>
    <n v="5400"/>
    <s v="Bays and estuaries"/>
    <n v="5400"/>
    <s v="City of Cocoa Beach           Brevard County"/>
    <s v="City of Cocoa Beach"/>
    <m/>
    <m/>
    <s v="Natural Lands"/>
    <n v="0"/>
    <n v="1"/>
    <n v="1.386303099598E-2"/>
    <n v="2.7317494201399999E-3"/>
    <n v="381.979598692137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2.495043089924998"/>
    <n v="12.734441230660201"/>
    <n v="0.309796917"/>
  </r>
  <r>
    <n v="830000"/>
    <n v="2400000"/>
    <n v="2400000"/>
    <x v="0"/>
    <x v="0"/>
    <s v="BR3-5, BR-7"/>
    <s v="62-304.520 (10), F.A.C."/>
    <n v="0.59"/>
    <n v="0.64"/>
    <s v="City of Cocoa Beach"/>
    <n v="8.8666730526040002E-2"/>
    <n v="1473.66753036821"/>
    <n v="4.4055090446335301"/>
    <n v="0.86811800259353"/>
    <n v="0.39062208329057002"/>
    <n v="7.6973185000760003E-2"/>
    <n v="130.66528180013901"/>
    <n v="1300"/>
    <s v="Residential, High Density"/>
    <n v="1300"/>
    <s v="City of Cocoa Beach           Brevard County"/>
    <s v="City of Cocoa Beach"/>
    <m/>
    <m/>
    <m/>
    <n v="0"/>
    <n v="1"/>
    <n v="0.39062208329057002"/>
    <n v="7.6973185000760003E-2"/>
    <n v="130.66528180014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6.332871897232707"/>
    <n v="358.821527882532"/>
    <n v="0.1059734646"/>
  </r>
  <r>
    <n v="830000"/>
    <n v="2400000"/>
    <n v="2400000"/>
    <x v="0"/>
    <x v="0"/>
    <s v="BR3-5, BR-7"/>
    <s v="62-304.520 (10), F.A.C."/>
    <n v="0.59"/>
    <n v="0.64"/>
    <s v="City of Cocoa Beach"/>
    <n v="0.17522986396236001"/>
    <n v="1473.66753036821"/>
    <n v="4.4055090446335301"/>
    <n v="0.86811800259353"/>
    <n v="0.77197675057611004"/>
    <n v="0.15212019949774"/>
    <n v="258.230560872181"/>
    <n v="1300"/>
    <s v="Residential, High Density"/>
    <n v="1300"/>
    <s v="City of Cocoa Beach           Brevard County"/>
    <s v="City of Cocoa Beach"/>
    <m/>
    <m/>
    <m/>
    <n v="0"/>
    <n v="1"/>
    <n v="0.77197675057611004"/>
    <n v="0.15212019949774"/>
    <n v="262.2309624662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89422485847"/>
    <n v="709.13010037238803"/>
    <n v="0.21267717959999999"/>
  </r>
  <r>
    <n v="830000"/>
    <n v="2400000"/>
    <n v="2400000"/>
    <x v="0"/>
    <x v="0"/>
    <s v="BR3-5, BR-7"/>
    <s v="62-304.520 (10), F.A.C."/>
    <n v="0.59"/>
    <n v="0.64"/>
    <s v="City of Cocoa Beach"/>
    <n v="8.0768496004299997E-3"/>
    <n v="3643.2206340984098"/>
    <n v="10.019319719120601"/>
    <n v="1.87546419611564"/>
    <n v="8.0924538470030005E-2"/>
    <n v="1.5147842243030001E-2"/>
    <n v="29.425745122821599"/>
    <n v="1300"/>
    <s v="Residential, High Density"/>
    <n v="1300"/>
    <s v="City of Cocoa Beach           Brevard County"/>
    <s v="City of Cocoa Beach"/>
    <m/>
    <m/>
    <m/>
    <n v="0"/>
    <n v="1"/>
    <n v="8.0924538470030005E-2"/>
    <n v="1.5147842243030001E-2"/>
    <n v="29.425745122819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224594872327"/>
    <n v="32.685850678285398"/>
    <n v="2.3865162299999999E-2"/>
  </r>
  <r>
    <n v="830000"/>
    <n v="2400000"/>
    <n v="2400000"/>
    <x v="0"/>
    <x v="0"/>
    <s v="BR3-5, BR-7"/>
    <s v="62-304.520 (10), F.A.C."/>
    <n v="0.59"/>
    <n v="0.64"/>
    <s v="Natural Lands"/>
    <n v="0.10014114128248"/>
    <n v="3643.2206340984098"/>
    <n v="10.019319719120601"/>
    <n v="1.87546419611564"/>
    <n v="1.0033461115468001"/>
    <n v="0.18781112503344999"/>
    <n v="364.83627224249898"/>
    <n v="3200"/>
    <s v="Shrub and Brushland"/>
    <n v="3200"/>
    <s v="City of Cocoa Beach           Brevard County"/>
    <s v="City of Cocoa Beach"/>
    <m/>
    <m/>
    <s v="Natural Lands"/>
    <n v="0"/>
    <n v="1"/>
    <n v="1.0033461115468001"/>
    <n v="0.18781112503344999"/>
    <n v="364.83627224249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0.12244842276601"/>
    <n v="405.25682074547399"/>
    <n v="0.2958931648"/>
  </r>
  <r>
    <n v="830000"/>
    <n v="2400000"/>
    <n v="2400000"/>
    <x v="0"/>
    <x v="0"/>
    <s v="BR3-5, BR-7"/>
    <s v="62-304.520 (10), F.A.C."/>
    <n v="0.59"/>
    <n v="0.64"/>
    <s v="City of Cocoa Beach"/>
    <n v="0.46509458897716"/>
    <n v="3643.2206340984098"/>
    <n v="10.019319719120601"/>
    <n v="1.87546419611564"/>
    <n v="4.6599313865952103"/>
    <n v="0.87226824943379"/>
    <n v="1694.4422033691201"/>
    <n v="1300"/>
    <s v="Residential, High Density"/>
    <n v="1300"/>
    <s v="City of Cocoa Beach           Brevard County"/>
    <s v="City of Cocoa Beach"/>
    <m/>
    <m/>
    <m/>
    <n v="0"/>
    <n v="1"/>
    <n v="4.6599313865952103"/>
    <n v="0.87226824943379"/>
    <n v="1694.4422033691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3.73274768988"/>
    <n v="1882.1710244257199"/>
    <n v="1.3742434739"/>
  </r>
  <r>
    <n v="830000"/>
    <n v="2400000"/>
    <n v="2400000"/>
    <x v="0"/>
    <x v="0"/>
    <s v="BR3-5, BR-7"/>
    <s v="62-304.520 (10), F.A.C."/>
    <n v="0.59"/>
    <n v="0.64"/>
    <s v="City of Cocoa Beach"/>
    <n v="3.345783139038E-2"/>
    <n v="3643.2206340984098"/>
    <n v="10.019319719120601"/>
    <n v="1.87546419611564"/>
    <n v="0.33522470980871"/>
    <n v="6.2748964852339995E-2"/>
    <n v="121.894261693643"/>
    <n v="1300"/>
    <s v="Residential, High Density"/>
    <n v="1300"/>
    <s v="City of Cocoa Beach           Brevard County"/>
    <s v="City of Cocoa Beach"/>
    <m/>
    <m/>
    <m/>
    <n v="0"/>
    <n v="1"/>
    <n v="0.33522470980871"/>
    <n v="6.2748964852339995E-2"/>
    <n v="121.89426169364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3.406420892500194"/>
    <n v="135.399039841762"/>
    <n v="9.8859903999999998E-2"/>
  </r>
  <r>
    <n v="830000"/>
    <n v="2400000"/>
    <n v="2400000"/>
    <x v="0"/>
    <x v="0"/>
    <s v="BR3-5, BR-7"/>
    <s v="62-304.520 (10), F.A.C."/>
    <n v="0.59"/>
    <n v="0.64"/>
    <s v="City of Cocoa Beach"/>
    <n v="1.0876895588E-4"/>
    <n v="3643.2206340984098"/>
    <n v="10.019319719120601"/>
    <n v="1.87546419611564"/>
    <n v="1.0897909444999999E-3"/>
    <n v="2.0399228240000001E-4"/>
    <n v="0.39626930442227998"/>
    <n v="1300"/>
    <s v="Residential, High Density"/>
    <n v="1300"/>
    <s v="City of Cocoa Beach           Brevard County"/>
    <s v="City of Cocoa Beach"/>
    <m/>
    <m/>
    <m/>
    <n v="0"/>
    <n v="1"/>
    <n v="1.0897909444999999E-3"/>
    <n v="2.0399228240000001E-4"/>
    <n v="0.39626930442120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.2252136132386902"/>
    <n v="0.44017234767164998"/>
    <n v="3.213863E-4"/>
  </r>
  <r>
    <n v="830000"/>
    <n v="2400000"/>
    <n v="2400000"/>
    <x v="0"/>
    <x v="0"/>
    <s v="BR3-5, BR-7"/>
    <s v="62-304.520 (10), F.A.C."/>
    <n v="0.59"/>
    <n v="0.64"/>
    <s v="City of Cocoa Beach"/>
    <n v="3.47100546823E-3"/>
    <n v="3643.2206340984098"/>
    <n v="10.019319719120601"/>
    <n v="1.87546419611564"/>
    <n v="3.4777113533070003E-2"/>
    <n v="6.50974648019E-3"/>
    <n v="12.645638742945801"/>
    <n v="1300"/>
    <s v="Residential, High Density"/>
    <n v="1300"/>
    <s v="City of Cocoa Beach           Brevard County"/>
    <s v="City of Cocoa Beach"/>
    <m/>
    <m/>
    <m/>
    <n v="0"/>
    <n v="1"/>
    <n v="3.4777113533070003E-2"/>
    <n v="6.50974648019E-3"/>
    <n v="12.64563874294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.992364072330799"/>
    <n v="14.046660771317701"/>
    <n v="1.02559925E-2"/>
  </r>
  <r>
    <n v="830000"/>
    <n v="2400000"/>
    <n v="2400000"/>
    <x v="0"/>
    <x v="0"/>
    <s v="BR3-5, BR-7"/>
    <s v="62-304.520 (10), F.A.C."/>
    <n v="0.59"/>
    <n v="0.64"/>
    <s v="City of Cocoa Beach"/>
    <n v="7.4132678782499999E-3"/>
    <n v="3643.2206340984098"/>
    <n v="10.019319719120601"/>
    <n v="1.87546419611564"/>
    <n v="7.4275901035750005E-2"/>
    <n v="1.3903318481880001E-2"/>
    <n v="27.0081705001685"/>
    <n v="1300"/>
    <s v="Residential, High Density"/>
    <n v="1300"/>
    <s v="City of Cocoa Beach           Brevard County"/>
    <s v="City of Cocoa Beach"/>
    <m/>
    <m/>
    <m/>
    <n v="0"/>
    <n v="1"/>
    <n v="7.4275901035750005E-2"/>
    <n v="1.3903318481880001E-2"/>
    <n v="27.008170500169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4.8880682620972"/>
    <n v="30.000430724101101"/>
    <n v="2.1904436699999998E-2"/>
  </r>
  <r>
    <n v="830000"/>
    <n v="2400000"/>
    <n v="2400000"/>
    <x v="0"/>
    <x v="0"/>
    <s v="BR3-5, BR-7"/>
    <s v="62-304.520 (10), F.A.C."/>
    <n v="0.59"/>
    <n v="0.64"/>
    <s v="FDOT District 5"/>
    <n v="3.4142514951700001E-3"/>
    <n v="3724.5547691608899"/>
    <n v="8.1072001934389402"/>
    <n v="1.08242589716147"/>
    <n v="2.7680020382100001E-2"/>
    <n v="3.6956742377899999E-3"/>
    <n v="12.7165666894574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7680020382100001E-2"/>
    <n v="3.6956742377899999E-3"/>
    <n v="12.716566689457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.6585523077008"/>
    <n v="13.816985590925199"/>
    <n v="1.03135172E-2"/>
  </r>
  <r>
    <n v="830000"/>
    <n v="2400000"/>
    <n v="2400000"/>
    <x v="0"/>
    <x v="0"/>
    <s v="BR3-5, BR-7"/>
    <s v="62-304.520 (10), F.A.C."/>
    <n v="0.59"/>
    <n v="0.64"/>
    <s v="FDOT District 5"/>
    <n v="2.8799530959289998E-2"/>
    <n v="3724.5547691608899"/>
    <n v="8.1072001934389402"/>
    <n v="1.08242589716147"/>
    <n v="0.23348356296413"/>
    <n v="3.117335813644E-2"/>
    <n v="107.265430384035"/>
    <n v="1850"/>
    <s v="Parks and Zoos"/>
    <n v="1850"/>
    <s v="FDOT District 5                                 City of Cocoa Beach           Brevard County"/>
    <s v="FDOT District 5"/>
    <m/>
    <m/>
    <m/>
    <n v="0"/>
    <n v="1"/>
    <n v="0.23348356296413"/>
    <n v="3.117335813644E-2"/>
    <n v="107.26543038403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5.009310522281197"/>
    <n v="116.547566824725"/>
    <n v="8.6995482900000004E-2"/>
  </r>
  <r>
    <n v="830000"/>
    <n v="2400000"/>
    <n v="2400000"/>
    <x v="0"/>
    <x v="0"/>
    <s v="BR3-5, BR-7"/>
    <s v="62-304.520 (10), F.A.C."/>
    <n v="0.59"/>
    <n v="0.64"/>
    <s v="FDOT District 5"/>
    <n v="0.16187425656276999"/>
    <n v="3724.5547691608899"/>
    <n v="8.1072001934389402"/>
    <n v="1.08242589716147"/>
    <n v="1.3123470041185299"/>
    <n v="0.17521688738731001"/>
    <n v="602.90953428526495"/>
    <n v="8140"/>
    <s v="Roads and Highways"/>
    <n v="8140"/>
    <s v="FDOT District 5                                 City of Cocoa Beach           Brevard County"/>
    <s v="FDOT District 5"/>
    <m/>
    <m/>
    <m/>
    <n v="0"/>
    <n v="1"/>
    <n v="1.3123470041185299"/>
    <n v="0.17521688738731001"/>
    <n v="977.429055665116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6.28547973152099"/>
    <n v="655.08187479230003"/>
    <n v="0.79272429489999996"/>
  </r>
  <r>
    <n v="830000"/>
    <n v="2400000"/>
    <n v="2400000"/>
    <x v="0"/>
    <x v="0"/>
    <s v="BR3-5, BR-7"/>
    <s v="62-304.520 (10), F.A.C."/>
    <n v="0.59"/>
    <n v="0.64"/>
    <s v="City of Cocoa Beach"/>
    <n v="1.475767033973E-2"/>
    <n v="3724.5547691608899"/>
    <n v="8.1072001934389402"/>
    <n v="1.08242589716147"/>
    <n v="0.11964338783299"/>
    <n v="1.5974084557490002E-2"/>
    <n v="54.965751445556798"/>
    <n v="1450"/>
    <s v="Tourist Services"/>
    <n v="1450"/>
    <s v="City of Cocoa Beach           Brevard County"/>
    <s v="City of Cocoa Beach"/>
    <m/>
    <m/>
    <m/>
    <n v="0"/>
    <n v="1"/>
    <n v="0.11964338783299"/>
    <n v="1.5974084557490002E-2"/>
    <n v="54.965751445556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7.906953963400497"/>
    <n v="59.722172994009497"/>
    <n v="4.4578873800000002E-2"/>
  </r>
  <r>
    <n v="830000"/>
    <n v="2400000"/>
    <n v="2400000"/>
    <x v="0"/>
    <x v="0"/>
    <s v="BR3-5, BR-7"/>
    <s v="62-304.520 (10), F.A.C."/>
    <n v="0.59"/>
    <n v="0.64"/>
    <s v="FDOT District 5"/>
    <n v="7.9461757010000004E-5"/>
    <n v="3724.5547691608899"/>
    <n v="8.1072001934389402"/>
    <n v="1.08242589716147"/>
    <n v="6.4421237185999995E-4"/>
    <n v="8.6011463630000006E-5"/>
    <n v="0.29595966606729002"/>
    <n v="1450"/>
    <s v="Tourist Services"/>
    <n v="1450"/>
    <s v="FDOT District 5                                 City of Cocoa Beach           Brevard County"/>
    <s v="FDOT District 5"/>
    <m/>
    <m/>
    <m/>
    <n v="0"/>
    <n v="1"/>
    <n v="6.4421237185999995E-4"/>
    <n v="8.6011463630000006E-5"/>
    <n v="0.29595966606589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.9833286314083098"/>
    <n v="0.32157032172195998"/>
    <n v="2.4003220000000001E-4"/>
  </r>
  <r>
    <n v="830000"/>
    <n v="2400000"/>
    <n v="2400000"/>
    <x v="0"/>
    <x v="0"/>
    <s v="BR3-5, BR-7"/>
    <s v="62-304.520 (10), F.A.C."/>
    <n v="0.59"/>
    <n v="0.64"/>
    <s v="City of Cocoa Beach"/>
    <n v="0.37690652952154002"/>
    <n v="3747.7253748365301"/>
    <n v="10.782686350730801"/>
    <n v="2.0776204014205999"/>
    <n v="4.0640648913733104"/>
    <n v="0.78306869516260003"/>
    <n v="1412.5421646294701"/>
    <n v="1300"/>
    <s v="Residential, High Density"/>
    <n v="1300"/>
    <s v="City of Cocoa Beach           Brevard County"/>
    <s v="City of Cocoa Beach"/>
    <m/>
    <m/>
    <m/>
    <n v="0"/>
    <n v="1"/>
    <n v="4.0640648913733104"/>
    <n v="0.78306869516260003"/>
    <n v="1412.5421646294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0.889462214308"/>
    <n v="1525.28660963875"/>
    <n v="1.1456140831999999"/>
  </r>
  <r>
    <n v="830000"/>
    <n v="2400000"/>
    <n v="2400000"/>
    <x v="0"/>
    <x v="0"/>
    <s v="BR3-5, BR-7"/>
    <s v="62-304.520 (10), F.A.C."/>
    <n v="0.59"/>
    <n v="0.64"/>
    <s v="City of Cocoa Beach"/>
    <n v="2.17146138036E-3"/>
    <n v="3782.0470552777701"/>
    <n v="11.620236560922701"/>
    <n v="1.5341654718870601"/>
    <n v="2.5232894922789999E-2"/>
    <n v="3.3313810732899999E-3"/>
    <n v="8.21256911927399"/>
    <n v="1400"/>
    <s v="Commercial and Services"/>
    <n v="1400"/>
    <s v="City of Cocoa Beach           Brevard County"/>
    <s v="City of Cocoa Beach"/>
    <m/>
    <m/>
    <m/>
    <n v="0"/>
    <n v="1"/>
    <n v="2.5232894922789999E-2"/>
    <n v="3.3313810732899999E-3"/>
    <n v="8.21256911927473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91345978986"/>
    <n v="8.7875924331406807"/>
    <n v="6.6606399999999998E-3"/>
  </r>
  <r>
    <n v="830000"/>
    <n v="2400000"/>
    <n v="2400000"/>
    <x v="0"/>
    <x v="0"/>
    <s v="BR3-5, BR-7"/>
    <s v="62-304.520 (10), F.A.C."/>
    <n v="0.59"/>
    <n v="0.64"/>
    <s v="FDOT District 5"/>
    <n v="2.7409592509140001E-2"/>
    <n v="3782.0470552777701"/>
    <n v="11.620236560922701"/>
    <n v="1.5341654718870601"/>
    <n v="0.31850594899479001"/>
    <n v="4.2050850426019998E-2"/>
    <n v="103.66436863558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1850594899479001"/>
    <n v="4.2050850426019998E-2"/>
    <n v="103.66436863558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450265330364"/>
    <n v="110.92268548101001"/>
    <n v="8.4074913700000004E-2"/>
  </r>
  <r>
    <n v="830000"/>
    <n v="2400000"/>
    <n v="2400000"/>
    <x v="0"/>
    <x v="0"/>
    <s v="BR3-5, BR-7"/>
    <s v="62-304.520 (10), F.A.C."/>
    <n v="0.59"/>
    <n v="0.64"/>
    <s v="City of Cocoa Beach"/>
    <n v="0.56670147647807001"/>
    <n v="3782.0470552777701"/>
    <n v="11.620236560922701"/>
    <n v="1.5341654718870601"/>
    <n v="6.5852052160994301"/>
    <n v="0.86941383808007999"/>
    <n v="2143.29165033546"/>
    <n v="1430"/>
    <s v="Professional Services"/>
    <n v="1430"/>
    <s v="City of Cocoa Beach           Brevard County"/>
    <s v="City of Cocoa Beach"/>
    <m/>
    <m/>
    <m/>
    <n v="0"/>
    <n v="1"/>
    <n v="6.5852052160994301"/>
    <n v="0.86941383808007999"/>
    <n v="2143.2916503354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1.54248727762601"/>
    <n v="2293.35950966885"/>
    <n v="1.7382738445999999"/>
  </r>
  <r>
    <n v="830000"/>
    <n v="2400000"/>
    <n v="2400000"/>
    <x v="0"/>
    <x v="0"/>
    <s v="BR3-5, BR-7"/>
    <s v="62-304.520 (10), F.A.C."/>
    <n v="0.59"/>
    <n v="0.64"/>
    <s v="City of Cocoa Beach"/>
    <n v="2.1480923438399999E-2"/>
    <n v="3782.0470552777701"/>
    <n v="11.620236560922701"/>
    <n v="1.5341654718870601"/>
    <n v="0.24961341190131001"/>
    <n v="3.2955291043439999E-2"/>
    <n v="81.241863234859395"/>
    <n v="1430"/>
    <s v="Professional Services"/>
    <n v="1430"/>
    <s v="City of Cocoa Beach           Brevard County"/>
    <s v="City of Cocoa Beach"/>
    <m/>
    <m/>
    <m/>
    <n v="0"/>
    <n v="1"/>
    <n v="0.24961341190131001"/>
    <n v="3.2955291043439999E-2"/>
    <n v="81.241863234861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7.668069113491796"/>
    <n v="86.930212975785807"/>
    <n v="6.5889588999999998E-2"/>
  </r>
  <r>
    <n v="830000"/>
    <n v="2400000"/>
    <n v="2400000"/>
    <x v="0"/>
    <x v="0"/>
    <s v="BR3-5, BR-7"/>
    <s v="62-304.520 (10), F.A.C."/>
    <n v="0.59"/>
    <n v="0.64"/>
    <s v="City of Cocoa Beach"/>
    <n v="0.61776345366790997"/>
    <n v="3786.6370366656402"/>
    <n v="8.2631422490321302"/>
    <n v="1.2860662679408801"/>
    <n v="5.10466729391133"/>
    <n v="0.79448473932896002"/>
    <n v="2339.2459735573898"/>
    <n v="1300"/>
    <s v="Residential, High Density"/>
    <n v="1300"/>
    <s v="City of Cocoa Beach           Brevard County"/>
    <s v="City of Cocoa Beach"/>
    <m/>
    <m/>
    <m/>
    <n v="0"/>
    <n v="1"/>
    <n v="5.10466729391133"/>
    <n v="0.79448473932896002"/>
    <n v="2339.2459735573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971986809000001"/>
  </r>
  <r>
    <n v="830000"/>
    <n v="2400000"/>
    <n v="2400000"/>
    <x v="0"/>
    <x v="0"/>
    <s v="BR3-5, BR-7"/>
    <s v="62-304.520 (10), F.A.C."/>
    <n v="0.59"/>
    <n v="0.64"/>
    <s v="City of Cocoa Beach"/>
    <n v="0.36080342260133003"/>
    <n v="3701.6378281606198"/>
    <n v="9.2271126750535206"/>
    <n v="1.3570614955731499"/>
    <n v="3.3291738338874701"/>
    <n v="0.48963243228328002"/>
    <n v="1335.56359763092"/>
    <n v="1200"/>
    <s v="Residential, Medium Density-Two-five dwellingunits per acre"/>
    <n v="1200"/>
    <s v="City of Cocoa Beach           Brevard County"/>
    <s v="City of Cocoa Beach"/>
    <m/>
    <m/>
    <m/>
    <n v="0"/>
    <n v="1"/>
    <n v="3.3291738338874701"/>
    <n v="0.48963243228328002"/>
    <n v="1335.5635976309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8.42504111721601"/>
    <n v="1460.1196479781099"/>
    <n v="1.0831821554000001"/>
  </r>
  <r>
    <n v="830000"/>
    <n v="2400000"/>
    <n v="2400000"/>
    <x v="0"/>
    <x v="0"/>
    <s v="BR3-5, BR-7"/>
    <s v="62-304.520 (10), F.A.C."/>
    <n v="0.59"/>
    <n v="0.64"/>
    <s v="City of Cocoa Beach"/>
    <n v="2.1221847278309999E-2"/>
    <n v="3701.6378281606198"/>
    <n v="9.2271126750535206"/>
    <n v="1.3570614955731499"/>
    <n v="0.19581637600974999"/>
    <n v="2.879935180633E-2"/>
    <n v="78.555592668843502"/>
    <n v="1210"/>
    <s v="Fixed Single Family Units"/>
    <n v="1210"/>
    <s v="City of Cocoa Beach           Brevard County"/>
    <s v="City of Cocoa Beach"/>
    <m/>
    <m/>
    <m/>
    <n v="0"/>
    <n v="1"/>
    <n v="0.19581637600974999"/>
    <n v="2.879935180633E-2"/>
    <n v="78.5555926688428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8.936576531530498"/>
    <n v="85.8817689534241"/>
    <n v="6.3710943000000006E-2"/>
  </r>
  <r>
    <n v="830000"/>
    <n v="2400000"/>
    <n v="2400000"/>
    <x v="0"/>
    <x v="0"/>
    <s v="BR3-5, BR-7"/>
    <s v="62-304.520 (10), F.A.C."/>
    <n v="0.59"/>
    <n v="0.64"/>
    <s v="City of Cocoa Beach"/>
    <n v="8.391564824851E-2"/>
    <n v="3701.6378281606198"/>
    <n v="9.2271126750535206"/>
    <n v="1.3570614955731499"/>
    <n v="0.77429914158915003"/>
    <n v="0.11387869511411"/>
    <n v="310.62533793130501"/>
    <n v="1210"/>
    <s v="Fixed Single Family Units"/>
    <n v="1210"/>
    <s v="City of Cocoa Beach           Brevard County"/>
    <s v="City of Cocoa Beach"/>
    <m/>
    <m/>
    <m/>
    <n v="0"/>
    <n v="1"/>
    <n v="0.77429914158915003"/>
    <n v="0.11387869511411"/>
    <n v="310.62533793130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8.973779547849006"/>
    <n v="339.594580054343"/>
    <n v="0.25192647029999998"/>
  </r>
  <r>
    <n v="830000"/>
    <n v="2400000"/>
    <n v="2400000"/>
    <x v="0"/>
    <x v="0"/>
    <s v="BR3-5, BR-7"/>
    <s v="62-304.520 (10), F.A.C."/>
    <n v="0.59"/>
    <n v="0.64"/>
    <s v="City of Cocoa Beach"/>
    <n v="2.0115833579350002E-2"/>
    <n v="3701.6378281606198"/>
    <n v="9.2271126750535206"/>
    <n v="1.3570614955731499"/>
    <n v="0.18561106298930999"/>
    <n v="2.729842320189E-2"/>
    <n v="74.461530522316707"/>
    <n v="1210"/>
    <s v="Fixed Single Family Units"/>
    <n v="1210"/>
    <s v="City of Cocoa Beach           Brevard County"/>
    <s v="City of Cocoa Beach"/>
    <m/>
    <m/>
    <m/>
    <n v="0"/>
    <n v="1"/>
    <n v="0.18561106298930999"/>
    <n v="2.729842320189E-2"/>
    <n v="74.461530522317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6.294624479589899"/>
    <n v="81.405890312535504"/>
    <n v="6.0390535699999998E-2"/>
  </r>
  <r>
    <n v="830000"/>
    <n v="2400000"/>
    <n v="2400000"/>
    <x v="0"/>
    <x v="0"/>
    <s v="BR3-5, BR-7"/>
    <s v="62-304.520 (10), F.A.C."/>
    <n v="0.59"/>
    <n v="0.64"/>
    <s v="City of Cocoa Beach"/>
    <n v="5.6275325558689998E-2"/>
    <n v="3701.6378281606198"/>
    <n v="9.2271126750535206"/>
    <n v="1.3570614955731499"/>
    <n v="0.51925876975535001"/>
    <n v="7.6369077466539995E-2"/>
    <n v="208.31087388010101"/>
    <n v="1210"/>
    <s v="Fixed Single Family Units"/>
    <n v="1210"/>
    <s v="City of Cocoa Beach           Brevard County"/>
    <s v="City of Cocoa Beach"/>
    <m/>
    <m/>
    <m/>
    <n v="0"/>
    <n v="1"/>
    <n v="0.51925876975535001"/>
    <n v="7.6369077466539995E-2"/>
    <n v="208.31087388009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4.420735625819006"/>
    <n v="227.73816265983399"/>
    <n v="0.16894636969999999"/>
  </r>
  <r>
    <n v="830000"/>
    <n v="2400000"/>
    <n v="2400000"/>
    <x v="0"/>
    <x v="0"/>
    <s v="BR3-5, BR-7"/>
    <s v="62-304.520 (10), F.A.C."/>
    <n v="0.59"/>
    <n v="0.64"/>
    <s v="City of Cocoa Beach"/>
    <n v="6.9355911356240002E-2"/>
    <n v="3701.6378281606198"/>
    <n v="9.2271126750535206"/>
    <n v="1.3570614955731499"/>
    <n v="0.63995480876509003"/>
    <n v="9.4120236791939996E-2"/>
    <n v="256.73046508283102"/>
    <n v="1210"/>
    <s v="Fixed Single Family Units"/>
    <n v="1210"/>
    <s v="City of Cocoa Beach           Brevard County"/>
    <s v="City of Cocoa Beach"/>
    <m/>
    <m/>
    <m/>
    <n v="0"/>
    <n v="1"/>
    <n v="0.63995480876509003"/>
    <n v="9.4120236791939996E-2"/>
    <n v="256.730465082831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3.642850582568499"/>
    <n v="280.67341530342497"/>
    <n v="0.2082161112"/>
  </r>
  <r>
    <n v="830000"/>
    <n v="2400000"/>
    <n v="2400000"/>
    <x v="0"/>
    <x v="0"/>
    <s v="BR3-5, BR-7"/>
    <s v="62-304.520 (10), F.A.C."/>
    <n v="0.59"/>
    <n v="0.64"/>
    <s v="City of Cocoa Beach"/>
    <n v="6.07546511451E-3"/>
    <n v="3701.6378281606198"/>
    <n v="9.2271126750535206"/>
    <n v="1.3570614955731499"/>
    <n v="5.6059001164940003E-2"/>
    <n v="8.2447797745900005E-3"/>
    <n v="22.4891714915404"/>
    <n v="1210"/>
    <s v="Fixed Single Family Units"/>
    <n v="1210"/>
    <s v="City of Cocoa Beach           Brevard County"/>
    <s v="City of Cocoa Beach"/>
    <m/>
    <m/>
    <m/>
    <n v="0"/>
    <n v="1"/>
    <n v="5.6059001164940003E-2"/>
    <n v="8.2447797745900005E-3"/>
    <n v="22.489171491538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6.3833366400643"/>
    <n v="24.5865350177199"/>
    <n v="1.8239392900000002E-2"/>
  </r>
  <r>
    <n v="830000"/>
    <n v="2400000"/>
    <n v="2400000"/>
    <x v="0"/>
    <x v="0"/>
    <s v="BR3-5, BR-7"/>
    <s v="62-304.520 (10), F.A.C."/>
    <n v="0.59"/>
    <n v="0.64"/>
    <s v="City of Cocoa Beach"/>
    <n v="2.1667212869300001E-3"/>
    <n v="3792.1086898615899"/>
    <n v="9.3288510273703693"/>
    <n v="1.4025818563479899"/>
    <n v="2.0213020103659999E-2"/>
    <n v="3.0390039648200001E-3"/>
    <n v="8.2164426207018906"/>
    <n v="1300"/>
    <s v="Residential, High Density"/>
    <n v="1300"/>
    <s v="City of Cocoa Beach           Brevard County"/>
    <s v="City of Cocoa Beach"/>
    <m/>
    <m/>
    <m/>
    <n v="0"/>
    <n v="1"/>
    <n v="2.0213020103659999E-2"/>
    <n v="3.0390039648200001E-3"/>
    <n v="8.21644262070332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88223075051"/>
    <n v="8.7684099555933095"/>
    <n v="6.6637815000000003E-3"/>
  </r>
  <r>
    <n v="830000"/>
    <n v="2400000"/>
    <n v="2400000"/>
    <x v="0"/>
    <x v="0"/>
    <s v="BR3-5, BR-7"/>
    <s v="62-304.520 (10), F.A.C."/>
    <n v="0.59"/>
    <n v="0.64"/>
    <s v="FDOT District 5"/>
    <n v="8.7469951683230004E-2"/>
    <n v="3792.1086898615899"/>
    <n v="9.3288510273703693"/>
    <n v="1.4025818563479899"/>
    <n v="0.81599414862422004"/>
    <n v="0.12268376720654001"/>
    <n v="331.69556387978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81599414862422004"/>
    <n v="0.12268376720654001"/>
    <n v="331.69556387978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936044325415"/>
    <n v="353.97833573633301"/>
    <n v="0.26901505590000002"/>
  </r>
  <r>
    <n v="830000"/>
    <n v="2400000"/>
    <n v="2400000"/>
    <x v="0"/>
    <x v="0"/>
    <s v="BR3-5, BR-7"/>
    <s v="62-304.520 (10), F.A.C."/>
    <n v="0.59"/>
    <n v="0.64"/>
    <s v="FDOT District 5"/>
    <n v="2.162884504284E-2"/>
    <n v="3792.1086898615899"/>
    <n v="9.3288510273703693"/>
    <n v="1.4025818563479899"/>
    <n v="0.20177227329878999"/>
    <n v="3.0336225630860001E-2"/>
    <n v="82.0189312386498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0177227329878999"/>
    <n v="3.0336225630860001E-2"/>
    <n v="82.0189312386488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94900258755"/>
    <n v="87.528830470738697"/>
    <n v="6.6519814499999996E-2"/>
  </r>
  <r>
    <n v="830000"/>
    <n v="2400000"/>
    <n v="2400000"/>
    <x v="0"/>
    <x v="0"/>
    <s v="BR3-5, BR-7"/>
    <s v="62-304.520 (10), F.A.C."/>
    <n v="0.59"/>
    <n v="0.64"/>
    <s v="FDOT District 5"/>
    <n v="1.8467895609999999E-5"/>
    <n v="3792.1086898615899"/>
    <n v="9.3288510273703693"/>
    <n v="1.4025818563479899"/>
    <n v="1.7228424698999999E-4"/>
    <n v="2.5902735309999999E-5"/>
    <n v="7.0032267448890004E-2"/>
    <n v="3200"/>
    <s v="Shrub and Brushland"/>
    <n v="3200"/>
    <s v="FDOT District 5                                 City of Cocoa Beach           Brevard County"/>
    <s v="FDOT District 5"/>
    <m/>
    <m/>
    <s v="Natural Lands"/>
    <n v="0"/>
    <n v="1"/>
    <n v="1.7228424698999999E-4"/>
    <n v="2.5902735309999999E-5"/>
    <n v="7.0032267450730004E-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.42953207374963"/>
    <n v="7.473692198378E-2"/>
    <n v="5.6798300000000001E-5"/>
  </r>
  <r>
    <n v="830000"/>
    <n v="2400000"/>
    <n v="2400000"/>
    <x v="0"/>
    <x v="0"/>
    <s v="BR3-5, BR-7"/>
    <s v="62-304.520 (10), F.A.C."/>
    <n v="0.59"/>
    <n v="0.64"/>
    <s v="FDOT District 5"/>
    <n v="0.2667166201526"/>
    <n v="3792.1086898615899"/>
    <n v="9.3288510273703693"/>
    <n v="1.4025818563479899"/>
    <n v="2.48815961592741"/>
    <n v="0.3740918922125"/>
    <n v="1011.41841301121"/>
    <n v="8140"/>
    <s v="Roads and Highways"/>
    <n v="8140"/>
    <s v="FDOT District 5                                 City of Cocoa Beach           Brevard County"/>
    <s v="FDOT District 5"/>
    <m/>
    <m/>
    <m/>
    <n v="0"/>
    <n v="1"/>
    <n v="2.48815961592741"/>
    <n v="0.3740918922125"/>
    <n v="1011.4184130112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2.97544367492401"/>
    <n v="1079.3638672254001"/>
    <n v="0.82029068370000002"/>
  </r>
  <r>
    <n v="830000"/>
    <n v="2400000"/>
    <n v="2400000"/>
    <x v="0"/>
    <x v="0"/>
    <s v="BR3-5, BR-7"/>
    <s v="62-304.520 (10), F.A.C."/>
    <n v="0.59"/>
    <n v="0.64"/>
    <s v="City of Cocoa Beach"/>
    <n v="0.16942814333577999"/>
    <n v="3792.1086898615899"/>
    <n v="9.3288510273703693"/>
    <n v="1.4025818563479899"/>
    <n v="1.58056990902345"/>
    <n v="0.23763683979749001"/>
    <n v="642.48993465072999"/>
    <n v="1450"/>
    <s v="Tourist Services"/>
    <n v="1450"/>
    <s v="City of Cocoa Beach           Brevard County"/>
    <s v="City of Cocoa Beach"/>
    <m/>
    <m/>
    <m/>
    <n v="0"/>
    <n v="1"/>
    <n v="1.58056990902345"/>
    <n v="0.23763683979749001"/>
    <n v="642.48993465072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7.44755926686599"/>
    <n v="685.65136999371202"/>
    <n v="0.52107861690000001"/>
  </r>
  <r>
    <n v="830000"/>
    <n v="2400000"/>
    <n v="2400000"/>
    <x v="0"/>
    <x v="0"/>
    <s v="BR3-5, BR-7"/>
    <s v="62-304.520 (10), F.A.C."/>
    <n v="0.59"/>
    <n v="0.64"/>
    <s v="FDOT District 5"/>
    <n v="2.1740129045400001E-3"/>
    <n v="3792.1086898615899"/>
    <n v="9.3288510273703693"/>
    <n v="1.4025818563479899"/>
    <n v="2.0281042518080002E-2"/>
    <n v="3.04923105538E-3"/>
    <n v="8.2440932271963305"/>
    <n v="1450"/>
    <s v="Tourist Services"/>
    <n v="1450"/>
    <s v="FDOT District 5                                 City of Cocoa Beach           Brevard County"/>
    <s v="FDOT District 5"/>
    <m/>
    <m/>
    <m/>
    <n v="0"/>
    <n v="1"/>
    <n v="2.0281042518080002E-2"/>
    <n v="3.04923105538E-3"/>
    <n v="8.244093227196820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94924831607"/>
    <n v="8.7979180851389494"/>
    <n v="6.6862069999999996E-3"/>
  </r>
  <r>
    <n v="830000"/>
    <n v="2400000"/>
    <n v="2400000"/>
    <x v="0"/>
    <x v="0"/>
    <s v="BR3-5, BR-7"/>
    <s v="62-304.520 (10), F.A.C."/>
    <n v="0.59"/>
    <n v="0.64"/>
    <s v="City of Cocoa Beach"/>
    <n v="6.8160691320309996E-2"/>
    <n v="3792.1086898615899"/>
    <n v="9.3288510273703693"/>
    <n v="1.4025818563479899"/>
    <n v="0.63586093524977005"/>
    <n v="9.5600948961999999E-2"/>
    <n v="258.47274986273197"/>
    <n v="1300"/>
    <s v="Residential, High Density"/>
    <n v="1300"/>
    <s v="City of Cocoa Beach           Brevard County"/>
    <s v="City of Cocoa Beach"/>
    <m/>
    <m/>
    <m/>
    <n v="0"/>
    <n v="1"/>
    <n v="0.63586093524977005"/>
    <n v="9.5600948961999999E-2"/>
    <n v="258.472749862731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1.052204592235"/>
    <n v="275.836531424832"/>
    <n v="0.20962915639999999"/>
  </r>
  <r>
    <n v="830000"/>
    <n v="2400000"/>
    <n v="2400000"/>
    <x v="0"/>
    <x v="0"/>
    <s v="BR3-5, BR-7"/>
    <s v="62-304.520 (10), F.A.C."/>
    <n v="0.59"/>
    <n v="0.64"/>
    <s v="FDOT District 5"/>
    <n v="4.7208639504200001E-3"/>
    <n v="3770.9210889115402"/>
    <n v="10.300598610886601"/>
    <n v="1.4317422418236401"/>
    <n v="4.8627724649899999E-2"/>
    <n v="6.7590603357200003E-3"/>
    <n v="17.8020054285284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4.8627724649899999E-2"/>
    <n v="6.7590603357200003E-3"/>
    <n v="217.37438932942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.505821526672399"/>
    <n v="19.104658597043699"/>
    <n v="0.17629715269999999"/>
  </r>
  <r>
    <n v="830000"/>
    <n v="2400000"/>
    <n v="2400000"/>
    <x v="0"/>
    <x v="0"/>
    <s v="BR3-5, BR-7"/>
    <s v="62-304.520 (10), F.A.C."/>
    <n v="0.59"/>
    <n v="0.64"/>
    <s v="City of Cocoa Beach"/>
    <n v="1.3868701327E-4"/>
    <n v="3770.9210889115402"/>
    <n v="10.300598610886601"/>
    <n v="1.4317422418236401"/>
    <n v="1.42855925624E-3"/>
    <n v="1.9856405528999999E-4"/>
    <n v="0.52297778310176002"/>
    <n v="1400"/>
    <s v="Commercial and Services"/>
    <n v="1400"/>
    <s v="City of Cocoa Beach           Brevard County"/>
    <s v="City of Cocoa Beach"/>
    <m/>
    <m/>
    <m/>
    <n v="0"/>
    <n v="1"/>
    <n v="1.42855925624E-3"/>
    <n v="1.9856405528999999E-4"/>
    <n v="8.1624543739044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.78034726740706"/>
    <n v="0.56124643036073996"/>
    <n v="6.6199954000000002E-3"/>
  </r>
  <r>
    <n v="830000"/>
    <n v="2400000"/>
    <n v="2400000"/>
    <x v="0"/>
    <x v="0"/>
    <s v="BR3-5, BR-7"/>
    <s v="62-304.520 (10), F.A.C."/>
    <n v="0.59"/>
    <n v="0.64"/>
    <s v="FDOT District 5"/>
    <n v="4.2555823536800002E-3"/>
    <n v="3770.9210889115402"/>
    <n v="10.300598610886601"/>
    <n v="1.4317422418236401"/>
    <n v="4.3835045680849997E-2"/>
    <n v="6.0928970193200004E-3"/>
    <n v="16.0474652430992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3835045680849997E-2"/>
    <n v="6.0928970193200004E-3"/>
    <n v="261.68713533705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.0430612845133"/>
    <n v="17.221730779048698"/>
    <n v="0.21223611949999999"/>
  </r>
  <r>
    <n v="830000"/>
    <n v="2400000"/>
    <n v="2400000"/>
    <x v="0"/>
    <x v="0"/>
    <s v="BR3-5, BR-7"/>
    <s v="62-304.520 (10), F.A.C."/>
    <n v="0.59"/>
    <n v="0.64"/>
    <s v="FDOT District 5"/>
    <n v="1.9936778510740001E-2"/>
    <n v="3770.9210889115402"/>
    <n v="10.300598610886601"/>
    <n v="1.4317422418236401"/>
    <n v="0.20536075303334"/>
    <n v="2.854432795971E-2"/>
    <n v="75.1800185311306"/>
    <n v="8140"/>
    <s v="Roads and Highways"/>
    <n v="8140"/>
    <s v="FDOT District 5                                 City of Cocoa Beach           Brevard County"/>
    <s v="FDOT District 5"/>
    <m/>
    <m/>
    <m/>
    <n v="0"/>
    <n v="1"/>
    <n v="0.20536075303334"/>
    <n v="2.854432795971E-2"/>
    <n v="985.50478380984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0.457333946604599"/>
    <n v="80.681280158179902"/>
    <n v="0.79927395280000002"/>
  </r>
  <r>
    <n v="830000"/>
    <n v="2400000"/>
    <n v="2400000"/>
    <x v="0"/>
    <x v="0"/>
    <s v="BR3-5, BR-7"/>
    <s v="62-304.520 (10), F.A.C."/>
    <n v="0.59"/>
    <n v="0.64"/>
    <s v="City of Cocoa Beach"/>
    <n v="1.1977272396050001E-2"/>
    <n v="3770.9210889115402"/>
    <n v="10.300598610886601"/>
    <n v="1.4317422418236401"/>
    <n v="0.12337307540505001"/>
    <n v="1.714836683126E-2"/>
    <n v="45.165349065937001"/>
    <n v="1430"/>
    <s v="Professional Services"/>
    <n v="1430"/>
    <s v="City of Cocoa Beach           Brevard County"/>
    <s v="City of Cocoa Beach"/>
    <m/>
    <m/>
    <m/>
    <n v="0"/>
    <n v="1"/>
    <n v="0.12337307540505001"/>
    <n v="1.714836683126E-2"/>
    <n v="103.93342071558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8.978033565515901"/>
    <n v="48.470301718824302"/>
    <n v="8.4293122999999998E-2"/>
  </r>
  <r>
    <n v="830000"/>
    <n v="2400000"/>
    <n v="2400000"/>
    <x v="0"/>
    <x v="0"/>
    <s v="BR3-5, BR-7"/>
    <s v="62-304.520 (10), F.A.C."/>
    <n v="0.59"/>
    <n v="0.64"/>
    <s v="City of Cocoa Beach"/>
    <n v="2.0015616896599999E-3"/>
    <n v="3770.9210889115402"/>
    <n v="10.300598610886601"/>
    <n v="1.4317422418236401"/>
    <n v="2.0617283560130002E-2"/>
    <n v="2.8657204207E-3"/>
    <n v="7.5477311863038601"/>
    <n v="1300"/>
    <s v="Residential, High Density"/>
    <n v="1300"/>
    <s v="City of Cocoa Beach           Brevard County"/>
    <s v="City of Cocoa Beach"/>
    <m/>
    <m/>
    <m/>
    <n v="0"/>
    <n v="1"/>
    <n v="2.0617283560130002E-2"/>
    <n v="2.8657204207E-3"/>
    <n v="48.1640926663171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.3951379281381"/>
    <n v="8.1000327786373099"/>
    <n v="3.9062524500000001E-2"/>
  </r>
  <r>
    <n v="830000"/>
    <n v="2400000"/>
    <n v="2400000"/>
    <x v="0"/>
    <x v="0"/>
    <s v="BR3-5, BR-7"/>
    <s v="62-304.520 (10), F.A.C."/>
    <n v="0.59"/>
    <n v="0.64"/>
    <s v="FDOT District 5"/>
    <n v="1.8911479280000001E-4"/>
    <n v="3770.9210889115402"/>
    <n v="10.300598610886601"/>
    <n v="1.4317422418236401"/>
    <n v="1.9479955720499999E-3"/>
    <n v="2.7076363740999998E-4"/>
    <n v="0.7131369604097399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9479955720499999E-3"/>
    <n v="2.7076363740999998E-4"/>
    <n v="8.3176040594730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.9359590551012396"/>
    <n v="0.76532041383039995"/>
    <n v="6.7458264999999996E-3"/>
  </r>
  <r>
    <n v="830000"/>
    <n v="2400000"/>
    <n v="2400000"/>
    <x v="0"/>
    <x v="0"/>
    <s v="BR3-5, BR-7"/>
    <s v="62-304.520 (10), F.A.C."/>
    <n v="0.59"/>
    <n v="0.64"/>
    <s v="City of Cocoa Beach"/>
    <n v="2.1667214024E-3"/>
    <n v="3782.1009874333799"/>
    <n v="9.38148415768757"/>
    <n v="1.43444339027359"/>
    <n v="2.0327062510809998E-2"/>
    <n v="3.1080391942399999E-3"/>
    <n v="8.1947591555403392"/>
    <n v="1300"/>
    <s v="Residential, High Density"/>
    <n v="1300"/>
    <s v="City of Cocoa Beach           Brevard County"/>
    <s v="City of Cocoa Beach"/>
    <m/>
    <m/>
    <m/>
    <n v="0"/>
    <n v="1"/>
    <n v="2.0327062510809998E-2"/>
    <n v="3.1080391942399999E-3"/>
    <n v="8.19475915554174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8822311219501"/>
    <n v="8.7684104228878503"/>
    <n v="6.6461955999999999E-3"/>
  </r>
  <r>
    <n v="830000"/>
    <n v="2400000"/>
    <n v="2400000"/>
    <x v="0"/>
    <x v="0"/>
    <s v="BR3-5, BR-7"/>
    <s v="62-304.520 (10), F.A.C."/>
    <n v="0.59"/>
    <n v="0.64"/>
    <s v="FDOT District 5"/>
    <n v="7.7629403090630003E-2"/>
    <n v="3782.1009874333799"/>
    <n v="9.38148415768757"/>
    <n v="1.43444339027359"/>
    <n v="0.72827901526554994"/>
    <n v="0.11135498415424"/>
    <n v="293.602242082961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72827901526554994"/>
    <n v="0.11135498415424"/>
    <n v="293.60224208296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691903189968"/>
    <n v="314.15504846442201"/>
    <n v="0.2381202288"/>
  </r>
  <r>
    <n v="830000"/>
    <n v="2400000"/>
    <n v="2400000"/>
    <x v="0"/>
    <x v="0"/>
    <s v="BR3-5, BR-7"/>
    <s v="62-304.520 (10), F.A.C."/>
    <n v="0.59"/>
    <n v="0.64"/>
    <s v="FDOT District 5"/>
    <n v="6.6460258796900004E-3"/>
    <n v="3782.1009874333799"/>
    <n v="9.38148415768757"/>
    <n v="1.43444339027359"/>
    <n v="6.2349586501930003E-2"/>
    <n v="9.5333478947099998E-3"/>
    <n v="25.1359410420985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2349586501930003E-2"/>
    <n v="9.5333478947099998E-3"/>
    <n v="25.1359410420983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4.263760101324699"/>
    <n v="26.895512514676199"/>
    <n v="2.03860025E-2"/>
  </r>
  <r>
    <n v="830000"/>
    <n v="2400000"/>
    <n v="2400000"/>
    <x v="0"/>
    <x v="0"/>
    <s v="BR3-5, BR-7"/>
    <s v="62-304.520 (10), F.A.C."/>
    <n v="0.59"/>
    <n v="0.64"/>
    <s v="FDOT District 5"/>
    <n v="2.8044828503899999E-2"/>
    <n v="3782.1009874333799"/>
    <n v="9.38148415768757"/>
    <n v="1.43444339027359"/>
    <n v="0.26310211431446001"/>
    <n v="4.0228718878779997E-2"/>
    <n v="106.068373577025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6310211431446001"/>
    <n v="4.0228718878779997E-2"/>
    <n v="106.06837357702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6.892818270563694"/>
    <n v="113.493394346144"/>
    <n v="8.6024633899999994E-2"/>
  </r>
  <r>
    <n v="830000"/>
    <n v="2400000"/>
    <n v="2400000"/>
    <x v="0"/>
    <x v="0"/>
    <s v="BR3-5, BR-7"/>
    <s v="62-304.520 (10), F.A.C."/>
    <n v="0.59"/>
    <n v="0.64"/>
    <s v="FDOT District 5"/>
    <n v="0.26479156416513999"/>
    <n v="3782.1009874333799"/>
    <n v="9.38148415768757"/>
    <n v="1.43444339027359"/>
    <n v="2.4841378643046101"/>
    <n v="0.37982850901689003"/>
    <n v="1001.46843629302"/>
    <n v="8140"/>
    <s v="Roads and Highways"/>
    <n v="8140"/>
    <s v="FDOT District 5                                 City of Cocoa Beach           Brevard County"/>
    <s v="FDOT District 5"/>
    <m/>
    <m/>
    <m/>
    <n v="0"/>
    <n v="1"/>
    <n v="2.4841378643046101"/>
    <n v="0.37982850901689003"/>
    <n v="1001.46843629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18663346279999"/>
    <n v="1071.57344203905"/>
    <n v="0.81222095400000005"/>
  </r>
  <r>
    <n v="830000"/>
    <n v="2400000"/>
    <n v="2400000"/>
    <x v="0"/>
    <x v="0"/>
    <s v="BR3-5, BR-7"/>
    <s v="62-304.520 (10), F.A.C."/>
    <n v="0.59"/>
    <n v="0.64"/>
    <s v="City of Cocoa Beach"/>
    <n v="0.10899919590394"/>
    <n v="3782.1009874333799"/>
    <n v="9.38148415768757"/>
    <n v="1.43444339027359"/>
    <n v="1.02257422957355"/>
    <n v="0.15635317610954999"/>
    <n v="412.24596645775898"/>
    <n v="1450"/>
    <s v="Tourist Services"/>
    <n v="1450"/>
    <s v="City of Cocoa Beach           Brevard County"/>
    <s v="City of Cocoa Beach"/>
    <m/>
    <m/>
    <m/>
    <n v="0"/>
    <n v="1"/>
    <n v="1.02257422957355"/>
    <n v="0.15635317610954999"/>
    <n v="412.24596645775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5.745127765922106"/>
    <n v="441.10409598031902"/>
    <n v="0.33434384950000001"/>
  </r>
  <r>
    <n v="830000"/>
    <n v="2400000"/>
    <n v="2400000"/>
    <x v="0"/>
    <x v="0"/>
    <s v="BR3-5, BR-7"/>
    <s v="62-304.520 (10), F.A.C."/>
    <n v="0.59"/>
    <n v="0.64"/>
    <s v="FDOT District 5"/>
    <n v="1.5320820843199999E-3"/>
    <n v="3782.1009874333799"/>
    <n v="9.38148415768757"/>
    <n v="1.43444339027359"/>
    <n v="1.437320380238E-2"/>
    <n v="2.1976850192099999E-3"/>
    <n v="5.7944891639583602"/>
    <n v="1450"/>
    <s v="Tourist Services"/>
    <n v="1450"/>
    <s v="FDOT District 5                                 City of Cocoa Beach           Brevard County"/>
    <s v="FDOT District 5"/>
    <m/>
    <m/>
    <m/>
    <n v="0"/>
    <n v="1"/>
    <n v="1.437320380238E-2"/>
    <n v="2.1976850192099999E-3"/>
    <n v="5.79448916395832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0.841544440193502"/>
    <n v="6.2001162225986004"/>
    <n v="4.6995046000000004E-3"/>
  </r>
  <r>
    <n v="830000"/>
    <n v="2400000"/>
    <n v="2400000"/>
    <x v="0"/>
    <x v="0"/>
    <s v="BR3-5, BR-7"/>
    <s v="62-304.520 (10), F.A.C."/>
    <n v="0.59"/>
    <n v="0.64"/>
    <s v="City of Cocoa Beach"/>
    <n v="8.5077421390660005E-2"/>
    <n v="3782.1009874333799"/>
    <n v="9.38148415768757"/>
    <n v="1.43444339027359"/>
    <n v="0.79815248095343005"/>
    <n v="0.12203874477536"/>
    <n v="321.77139944992001"/>
    <n v="1300"/>
    <s v="Residential, High Density"/>
    <n v="1300"/>
    <s v="City of Cocoa Beach           Brevard County"/>
    <s v="City of Cocoa Beach"/>
    <m/>
    <m/>
    <m/>
    <n v="0"/>
    <n v="1"/>
    <n v="0.79815248095343005"/>
    <n v="0.12203874477536"/>
    <n v="321.771399449920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79058771795"/>
    <n v="344.29610915604502"/>
    <n v="0.26096626070000001"/>
  </r>
  <r>
    <n v="830000"/>
    <n v="2400000"/>
    <n v="2400000"/>
    <x v="0"/>
    <x v="0"/>
    <s v="BR3-5, BR-7"/>
    <s v="62-304.520 (10), F.A.C."/>
    <n v="0.59"/>
    <n v="0.64"/>
    <s v="City of Cocoa Beach"/>
    <n v="4.2230512859120002E-2"/>
    <n v="3782.1009874333799"/>
    <n v="9.38148415768757"/>
    <n v="1.43444339027359"/>
    <n v="0.39618488735886997"/>
    <n v="6.0577280038629999E-2"/>
    <n v="159.72006438430299"/>
    <n v="1300"/>
    <s v="Residential, High Density"/>
    <n v="1300"/>
    <s v="City of Cocoa Beach           Brevard County"/>
    <s v="City of Cocoa Beach"/>
    <m/>
    <m/>
    <m/>
    <n v="0"/>
    <n v="1"/>
    <n v="0.39618488735886997"/>
    <n v="6.0577280038629999E-2"/>
    <n v="159.72006438430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2.628892870388597"/>
    <n v="170.90082218518299"/>
    <n v="0.12953776510000001"/>
  </r>
  <r>
    <n v="830000"/>
    <n v="2400000"/>
    <n v="2400000"/>
    <x v="0"/>
    <x v="0"/>
    <s v="BR3-5, BR-7"/>
    <s v="62-304.520 (10), F.A.C."/>
    <n v="0.59"/>
    <n v="0.64"/>
    <s v="FDOT District 5"/>
    <n v="6.4569845709999999E-4"/>
    <n v="3782.1009874333799"/>
    <n v="9.38148415768757"/>
    <n v="1.43444339027359"/>
    <n v="6.0576098459500004E-3"/>
    <n v="9.2621788389999997E-4"/>
    <n v="2.44209677219346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0576098459500004E-3"/>
    <n v="9.2621788389999997E-4"/>
    <n v="2.4420967721937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9.911171181428699"/>
    <n v="2.6130489480613601"/>
    <n v="1.9806137999999998E-3"/>
  </r>
  <r>
    <n v="830000"/>
    <n v="2400000"/>
    <n v="2400000"/>
    <x v="0"/>
    <x v="0"/>
    <s v="BR3-5, BR-7"/>
    <s v="62-304.520 (10), F.A.C."/>
    <n v="0.59"/>
    <n v="0.64"/>
    <s v="City of Cocoa Beach"/>
    <n v="0.10642350525188"/>
    <n v="3752.2321463424501"/>
    <n v="10.794972646430899"/>
    <n v="2.0799086134073899"/>
    <n v="1.14883882813135"/>
    <n v="0.22135116524239001"/>
    <n v="399.32569753255302"/>
    <n v="1300"/>
    <s v="Residential, High Density"/>
    <n v="1300"/>
    <s v="City of Cocoa Beach           Brevard County"/>
    <s v="City of Cocoa Beach"/>
    <m/>
    <m/>
    <m/>
    <n v="0"/>
    <n v="1"/>
    <n v="1.14883882813135"/>
    <n v="0.22135116524239001"/>
    <n v="2317.9918899473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256293557541"/>
    <n v="430.68064572289501"/>
    <n v="1.8799609813"/>
  </r>
  <r>
    <n v="830000"/>
    <n v="2400000"/>
    <n v="2400000"/>
    <x v="0"/>
    <x v="0"/>
    <s v="BR3-5, BR-7"/>
    <s v="62-304.520 (10), F.A.C."/>
    <n v="0.59"/>
    <n v="0.64"/>
    <s v="City of Cocoa Beach"/>
    <n v="0.30729919654741"/>
    <n v="3747.72409373661"/>
    <n v="10.782682664841699"/>
    <n v="2.0776196912191902"/>
    <n v="3.3135097195316399"/>
    <n v="0.63845086184275002"/>
    <n v="1151.6726028866599"/>
    <n v="1300"/>
    <s v="Residential, High Density"/>
    <n v="1300"/>
    <s v="City of Cocoa Beach           Brevard County"/>
    <s v="City of Cocoa Beach"/>
    <m/>
    <m/>
    <m/>
    <n v="0"/>
    <n v="1"/>
    <n v="3.3135097195316399"/>
    <n v="0.63845086184275002"/>
    <n v="1151.6726028866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0.95426207256901"/>
    <n v="1243.5957271462801"/>
    <n v="0.93404104050000003"/>
  </r>
  <r>
    <n v="830000"/>
    <n v="2400000"/>
    <n v="2400000"/>
    <x v="0"/>
    <x v="0"/>
    <s v="BR3-5, BR-7"/>
    <s v="62-304.520 (10), F.A.C."/>
    <n v="0.59"/>
    <n v="0.64"/>
    <s v="City of Cocoa Beach"/>
    <n v="0.21516129451728"/>
    <n v="3702.2594921384198"/>
    <n v="9.2285786783813197"/>
    <n v="1.3572742640630799"/>
    <n v="1.9856329349951101"/>
    <n v="0.29203288767079999"/>
    <n v="796.58294496739904"/>
    <n v="1200"/>
    <s v="Residential, Medium Density-Two-five dwellingunits per acre"/>
    <n v="1200"/>
    <s v="City of Cocoa Beach           Brevard County"/>
    <s v="City of Cocoa Beach"/>
    <m/>
    <m/>
    <m/>
    <n v="0"/>
    <n v="1"/>
    <n v="1.9856329349951101"/>
    <n v="0.29203288767079999"/>
    <n v="796.582944967399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4.14590779106501"/>
    <n v="870.72686656915903"/>
    <n v="0.64605267229999996"/>
  </r>
  <r>
    <n v="830000"/>
    <n v="2400000"/>
    <n v="2400000"/>
    <x v="0"/>
    <x v="0"/>
    <s v="BR3-5, BR-7"/>
    <s v="62-304.520 (10), F.A.C."/>
    <n v="0.59"/>
    <n v="0.64"/>
    <s v="City of Cocoa Beach"/>
    <n v="0.25414637499276999"/>
    <n v="3702.2594921384198"/>
    <n v="9.2285786783813197"/>
    <n v="1.3572742640630799"/>
    <n v="2.3454098174462299"/>
    <n v="0.34494633408261999"/>
    <n v="940.91582920957705"/>
    <n v="1210"/>
    <s v="Fixed Single Family Units"/>
    <n v="1210"/>
    <s v="City of Cocoa Beach           Brevard County"/>
    <s v="City of Cocoa Beach"/>
    <m/>
    <m/>
    <m/>
    <n v="0"/>
    <n v="1"/>
    <n v="2.3454098174462299"/>
    <n v="0.34494633408261999"/>
    <n v="940.915829209577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6.52108904781699"/>
    <n v="1028.4938898691901"/>
    <n v="0.76311097260000005"/>
  </r>
  <r>
    <n v="830000"/>
    <n v="2400000"/>
    <n v="2400000"/>
    <x v="0"/>
    <x v="0"/>
    <s v="BR3-5, BR-7"/>
    <s v="62-304.520 (10), F.A.C."/>
    <n v="0.59"/>
    <n v="0.64"/>
    <s v="City of Cocoa Beach"/>
    <n v="0.14845578424990999"/>
    <n v="3702.2594921384198"/>
    <n v="9.2285786783813197"/>
    <n v="1.3572742640630799"/>
    <n v="1.3700358852110901"/>
    <n v="0.20149521531369999"/>
    <n v="549.62183640208298"/>
    <n v="1210"/>
    <s v="Fixed Single Family Units"/>
    <n v="1210"/>
    <s v="City of Cocoa Beach           Brevard County"/>
    <s v="City of Cocoa Beach"/>
    <m/>
    <m/>
    <m/>
    <n v="0"/>
    <n v="1"/>
    <n v="1.3700358852110901"/>
    <n v="0.20149521531369999"/>
    <n v="549.62183640208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241119168138"/>
    <n v="600.77924393417504"/>
    <n v="0.44575980240000002"/>
  </r>
  <r>
    <n v="830000"/>
    <n v="2400000"/>
    <n v="2400000"/>
    <x v="0"/>
    <x v="0"/>
    <s v="BR3-5, BR-7"/>
    <s v="62-304.520 (10), F.A.C."/>
    <n v="0.59"/>
    <n v="0.64"/>
    <s v="City of Cocoa Beach"/>
    <n v="8.4216271518599995E-3"/>
    <n v="3649.3014877856299"/>
    <n v="7.4108151567419496"/>
    <n v="1.0063952351009"/>
    <n v="6.2411122141429999E-2"/>
    <n v="8.4754854374199991E-3"/>
    <n v="30.733056494858499"/>
    <n v="1850"/>
    <s v="Parks and Zoos"/>
    <n v="1850"/>
    <s v="City of Cocoa Beach           Brevard County"/>
    <s v="City of Cocoa Beach"/>
    <m/>
    <m/>
    <m/>
    <n v="0"/>
    <n v="1"/>
    <n v="6.2411122141429999E-2"/>
    <n v="8.4754854374199991E-3"/>
    <n v="30.733056494859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9.015688997533498"/>
    <n v="34.081115926563697"/>
    <n v="2.4925431099999999E-2"/>
  </r>
  <r>
    <n v="830000"/>
    <n v="2400000"/>
    <n v="2400000"/>
    <x v="0"/>
    <x v="0"/>
    <s v="BR3-5, BR-7"/>
    <s v="62-304.520 (10), F.A.C."/>
    <n v="0.59"/>
    <n v="0.64"/>
    <s v="Natural Lands"/>
    <n v="4.3107736645399998E-3"/>
    <n v="3649.3014877856299"/>
    <n v="7.4108151567419496"/>
    <n v="1.0063952351009"/>
    <n v="3.1946346810459998E-2"/>
    <n v="4.3383420755899998E-3"/>
    <n v="15.731312747516601"/>
    <n v="4200"/>
    <s v="Upland Hardwood Forest"/>
    <n v="4200"/>
    <s v="City of Cocoa Beach           Brevard County"/>
    <s v="City of Cocoa Beach"/>
    <m/>
    <m/>
    <s v="Natural Lands"/>
    <n v="0"/>
    <n v="1"/>
    <n v="3.1946346810459998E-2"/>
    <n v="4.3383420755899998E-3"/>
    <n v="15.731312747516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.7618842398929"/>
    <n v="17.445082089860598"/>
    <n v="1.27585667E-2"/>
  </r>
  <r>
    <n v="830000"/>
    <n v="2400000"/>
    <n v="2400000"/>
    <x v="0"/>
    <x v="0"/>
    <s v="BR3-5, BR-7"/>
    <s v="62-304.520 (10), F.A.C."/>
    <n v="0.59"/>
    <n v="0.64"/>
    <s v="FDOT District 5"/>
    <n v="3.7144918622599998E-3"/>
    <n v="3746.39664558406"/>
    <n v="10.1188920431567"/>
    <n v="1.77640549151062"/>
    <n v="3.7586542149409999E-2"/>
    <n v="6.5984437422900001E-3"/>
    <n v="13.915959852827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7586542149409999E-2"/>
    <n v="6.5984437422900001E-3"/>
    <n v="13.915959852828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4.2665163118577"/>
    <n v="15.032015248747999"/>
    <n v="1.1286261000000001E-2"/>
  </r>
  <r>
    <n v="830000"/>
    <n v="2400000"/>
    <n v="2400000"/>
    <x v="0"/>
    <x v="0"/>
    <s v="BR3-5, BR-7"/>
    <s v="62-304.520 (10), F.A.C."/>
    <n v="0.59"/>
    <n v="0.64"/>
    <s v="FDOT District 5"/>
    <n v="1.7569991090499999E-3"/>
    <n v="3746.39664558406"/>
    <n v="10.1188920431567"/>
    <n v="1.77640549151062"/>
    <n v="1.7778884304490001E-2"/>
    <n v="3.1211428659099999E-3"/>
    <n v="6.58241556847282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7778884304490001E-2"/>
    <n v="3.1211428659099999E-3"/>
    <n v="6.58241556847304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.340195542646301"/>
    <n v="7.1103231286467503"/>
    <n v="5.3385365999999998E-3"/>
  </r>
  <r>
    <n v="830000"/>
    <n v="2400000"/>
    <n v="2400000"/>
    <x v="0"/>
    <x v="0"/>
    <s v="BR3-5, BR-7"/>
    <s v="62-304.520 (10), F.A.C."/>
    <n v="0.59"/>
    <n v="0.64"/>
    <s v="FDOT District 5"/>
    <n v="0.19611166064294"/>
    <n v="3746.39664558406"/>
    <n v="10.1188920431567"/>
    <n v="1.77640549151062"/>
    <n v="1.9844327224501199"/>
    <n v="0.34837383091538998"/>
    <n v="734.71206759263703"/>
    <n v="8140"/>
    <s v="Roads and Highways"/>
    <n v="8140"/>
    <s v="FDOT District 5                                 City of Cocoa Beach           Brevard County"/>
    <s v="FDOT District 5"/>
    <m/>
    <m/>
    <m/>
    <n v="0"/>
    <n v="1"/>
    <n v="1.9844327224501199"/>
    <n v="0.34837383091538998"/>
    <n v="734.712067592637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2.07946706561401"/>
    <n v="793.63573338041704"/>
    <n v="0.59587353409999999"/>
  </r>
  <r>
    <n v="830000"/>
    <n v="2400000"/>
    <n v="2400000"/>
    <x v="0"/>
    <x v="0"/>
    <s v="BR3-5, BR-7"/>
    <s v="62-304.520 (10), F.A.C."/>
    <n v="0.59"/>
    <n v="0.64"/>
    <s v="City of Cocoa Beach"/>
    <n v="6.6396164630970006E-2"/>
    <n v="3746.39664558406"/>
    <n v="10.1188920431567"/>
    <n v="1.77640549151062"/>
    <n v="0.67185562198054005"/>
    <n v="0.11794651146571"/>
    <n v="248.746368453146"/>
    <n v="1300"/>
    <s v="Residential, High Density"/>
    <n v="1300"/>
    <s v="City of Cocoa Beach           Brevard County"/>
    <s v="City of Cocoa Beach"/>
    <m/>
    <m/>
    <m/>
    <n v="0"/>
    <n v="1"/>
    <n v="0.67185562198054005"/>
    <n v="0.11794651146571"/>
    <n v="248.74636845314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9.030485730935993"/>
    <n v="268.695745259604"/>
    <n v="0.2017407692"/>
  </r>
  <r>
    <n v="830000"/>
    <n v="2400000"/>
    <n v="2400000"/>
    <x v="0"/>
    <x v="0"/>
    <s v="BR3-5, BR-7"/>
    <s v="62-304.520 (10), F.A.C."/>
    <n v="0.59"/>
    <n v="0.64"/>
    <s v="FDOT District 5"/>
    <n v="1.9009626350000001E-4"/>
    <n v="3746.39664558406"/>
    <n v="10.1188920431567"/>
    <n v="1.77640549151062"/>
    <n v="1.92356356821E-3"/>
    <n v="3.376880464E-4"/>
    <n v="0.7121760039331900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92356356821E-3"/>
    <n v="3.376880464E-4"/>
    <n v="0.712176003931920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.229217163565998"/>
    <n v="0.76929228483807999"/>
    <n v="5.7759610000000002E-4"/>
  </r>
  <r>
    <n v="830000"/>
    <n v="2400000"/>
    <n v="2400000"/>
    <x v="0"/>
    <x v="0"/>
    <s v="BR3-5, BR-7"/>
    <s v="62-304.520 (10), F.A.C."/>
    <n v="0.59"/>
    <n v="0.64"/>
    <s v="City of Cocoa Beach"/>
    <n v="7.1105652780959996E-2"/>
    <n v="3746.39664558406"/>
    <n v="10.1188920431567"/>
    <n v="1.77640549151062"/>
    <n v="0.71951042414877997"/>
    <n v="0.12631247207755"/>
    <n v="266.38997906067499"/>
    <n v="1300"/>
    <s v="Residential, High Density"/>
    <n v="1300"/>
    <s v="City of Cocoa Beach           Brevard County"/>
    <s v="City of Cocoa Beach"/>
    <m/>
    <m/>
    <m/>
    <n v="0"/>
    <n v="1"/>
    <n v="0.71951042414877997"/>
    <n v="0.12631247207755"/>
    <n v="266.389979060676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6.246113756283407"/>
    <n v="287.75436762559798"/>
    <n v="0.21605026690000001"/>
  </r>
  <r>
    <n v="830000"/>
    <n v="2400000"/>
    <n v="2400000"/>
    <x v="0"/>
    <x v="0"/>
    <s v="BR3-5, BR-7"/>
    <s v="62-304.520 (10), F.A.C."/>
    <n v="0.59"/>
    <n v="0.64"/>
    <s v="FDOT District 5"/>
    <n v="1.4775363522000001E-4"/>
    <n v="3746.39664558406"/>
    <n v="10.1188920431567"/>
    <n v="1.77640549151062"/>
    <n v="1.4951030837800001E-3"/>
    <n v="2.6247036899000001E-4"/>
    <n v="0.5535437233647999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4951030837800001E-3"/>
    <n v="2.6247036899000001E-4"/>
    <n v="0.553543723365240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.903177925364201"/>
    <n v="0.59793774762752006"/>
    <n v="4.4894059999999998E-4"/>
  </r>
  <r>
    <n v="830000"/>
    <n v="2400000"/>
    <n v="2400000"/>
    <x v="0"/>
    <x v="0"/>
    <s v="BR3-5, BR-7"/>
    <s v="62-304.520 (10), F.A.C."/>
    <n v="0.59"/>
    <n v="0.64"/>
    <s v="City of Cocoa Beach"/>
    <n v="0.24726861251856999"/>
    <n v="3746.39664558406"/>
    <n v="10.1188920431567"/>
    <n v="1.77640549151062"/>
    <n v="2.5020843957366301"/>
    <n v="0.43924932115621002"/>
    <n v="926.36630049781695"/>
    <n v="1300"/>
    <s v="Residential, High Density"/>
    <n v="1300"/>
    <s v="City of Cocoa Beach           Brevard County"/>
    <s v="City of Cocoa Beach"/>
    <m/>
    <m/>
    <m/>
    <n v="0"/>
    <n v="1"/>
    <n v="2.5020843957366301"/>
    <n v="0.43924932115621002"/>
    <n v="926.366300497816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8.44271132330101"/>
    <n v="1000.6605726287301"/>
    <n v="0.75131086820000004"/>
  </r>
  <r>
    <n v="830000"/>
    <n v="2400000"/>
    <n v="2400000"/>
    <x v="0"/>
    <x v="0"/>
    <s v="BR3-5, BR-7"/>
    <s v="62-304.520 (10), F.A.C."/>
    <n v="0.59"/>
    <n v="0.64"/>
    <s v="FDOT District 5"/>
    <n v="7.9349580888999998E-4"/>
    <n v="3746.39664558406"/>
    <n v="10.1188920431567"/>
    <n v="1.77640549151062"/>
    <n v="8.0292984268899997E-3"/>
    <n v="1.40957031241E-3"/>
    <n v="2.97275003672549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8.0292984268899997E-3"/>
    <n v="1.40957031241E-3"/>
    <n v="2.9727500367265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7.072474198899997"/>
    <n v="3.2111636103713401"/>
    <n v="2.4109894999999998E-3"/>
  </r>
  <r>
    <n v="830000"/>
    <n v="2400000"/>
    <n v="2400000"/>
    <x v="0"/>
    <x v="0"/>
    <s v="BR3-5, BR-7"/>
    <s v="62-304.520 (10), F.A.C."/>
    <n v="0.59"/>
    <n v="0.64"/>
    <s v="City of Cocoa Beach"/>
    <n v="3.0215771912889999E-2"/>
    <n v="3746.39664558406"/>
    <n v="10.1188920431567"/>
    <n v="1.77640549151062"/>
    <n v="0.30575013398717998"/>
    <n v="5.3675463156290001E-2"/>
    <n v="113.200266538184"/>
    <n v="1300"/>
    <s v="Residential, High Density"/>
    <n v="1300"/>
    <s v="City of Cocoa Beach           Brevard County"/>
    <s v="City of Cocoa Beach"/>
    <m/>
    <m/>
    <m/>
    <n v="0"/>
    <n v="1"/>
    <n v="0.30575013398717998"/>
    <n v="5.3675463156290001E-2"/>
    <n v="113.20026653818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7.159317402383095"/>
    <n v="122.27889062345299"/>
    <n v="9.1808813099999997E-2"/>
  </r>
  <r>
    <n v="830000"/>
    <n v="2400000"/>
    <n v="2400000"/>
    <x v="0"/>
    <x v="0"/>
    <s v="BR3-5, BR-7"/>
    <s v="62-304.520 (10), F.A.C."/>
    <n v="0.59"/>
    <n v="0.64"/>
    <s v="FDOT District 5"/>
    <n v="6.2754433570000001E-5"/>
    <n v="3746.39664558406"/>
    <n v="10.1188920431567"/>
    <n v="1.77640549151062"/>
    <n v="6.3500533860000004E-4"/>
    <n v="1.1147732042E-4"/>
    <n v="0.2351029994521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3500533860000004E-4"/>
    <n v="1.1147732042E-4"/>
    <n v="0.23510299945388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.9423750318431301"/>
    <n v="0.25395818256108998"/>
    <n v="1.906756E-4"/>
  </r>
  <r>
    <n v="830000"/>
    <n v="2400000"/>
    <n v="2400000"/>
    <x v="0"/>
    <x v="0"/>
    <s v="BR3-5, BR-7"/>
    <s v="62-304.520 (10), F.A.C."/>
    <n v="0.59"/>
    <n v="0.64"/>
    <s v="FDOT District 5"/>
    <n v="1.559509221375E-2"/>
    <n v="3730.32324874714"/>
    <n v="10.0467101090869"/>
    <n v="1.77106116047442"/>
    <n v="0.15667937059605"/>
    <n v="2.761986211379E-2"/>
    <n v="58.174735051318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15667937059605"/>
    <n v="2.761986211379E-2"/>
    <n v="58.1747350513175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2.095568406241597"/>
    <n v="63.111099083145803"/>
    <n v="4.7181455800000001E-2"/>
  </r>
  <r>
    <n v="830000"/>
    <n v="2400000"/>
    <n v="2400000"/>
    <x v="0"/>
    <x v="0"/>
    <s v="BR3-5, BR-7"/>
    <s v="62-304.520 (10), F.A.C."/>
    <n v="0.59"/>
    <n v="0.64"/>
    <s v="FDOT District 5"/>
    <n v="1.9548601690479998E-2"/>
    <n v="3730.32324874714"/>
    <n v="10.0467101090869"/>
    <n v="1.77106116047442"/>
    <n v="0.19639913422232999"/>
    <n v="3.4621769195599998E-2"/>
    <n v="72.922603366525095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19639913422232999"/>
    <n v="3.4621769195599998E-2"/>
    <n v="72.92260336652549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0.031657491273599"/>
    <n v="79.110384300091397"/>
    <n v="5.9142419600000003E-2"/>
  </r>
  <r>
    <n v="830000"/>
    <n v="2400000"/>
    <n v="2400000"/>
    <x v="0"/>
    <x v="0"/>
    <s v="BR3-5, BR-7"/>
    <s v="62-304.520 (10), F.A.C."/>
    <n v="0.59"/>
    <n v="0.64"/>
    <s v="FDOT District 5"/>
    <n v="0.17591366951286"/>
    <n v="3730.32324874714"/>
    <n v="10.0467101090869"/>
    <n v="1.77106116047442"/>
    <n v="1.7673536418214399"/>
    <n v="0.31155386767075999"/>
    <n v="656.21485115625103"/>
    <n v="8140"/>
    <s v="Roads and Highways"/>
    <n v="8140"/>
    <s v="FDOT District 5                                 City of Cocoa Beach           Brevard County"/>
    <s v="FDOT District 5"/>
    <m/>
    <m/>
    <m/>
    <n v="0"/>
    <n v="1"/>
    <n v="1.7673536418214399"/>
    <n v="0.31155386767075999"/>
    <n v="656.214851156251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9.09665308794001"/>
    <n v="711.89736325607805"/>
    <n v="0.5322099361"/>
  </r>
  <r>
    <n v="830000"/>
    <n v="2400000"/>
    <n v="2400000"/>
    <x v="0"/>
    <x v="0"/>
    <s v="BR3-5, BR-7"/>
    <s v="62-304.520 (10), F.A.C."/>
    <n v="0.59"/>
    <n v="0.64"/>
    <s v="City of Cocoa Beach"/>
    <n v="0.40575895619570002"/>
    <n v="3730.32324874714"/>
    <n v="10.0467101090869"/>
    <n v="1.77106116047442"/>
    <n v="4.0765426070639599"/>
    <n v="0.71862392783286"/>
    <n v="1513.6120676842199"/>
    <n v="1300"/>
    <s v="Residential, High Density"/>
    <n v="1300"/>
    <s v="City of Cocoa Beach           Brevard County"/>
    <s v="City of Cocoa Beach"/>
    <m/>
    <m/>
    <m/>
    <n v="0"/>
    <n v="1"/>
    <n v="4.0765426070639599"/>
    <n v="0.71862392783286"/>
    <n v="1513.6120676842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5.559152141471"/>
    <n v="1642.0482378269101"/>
    <n v="1.2275848075"/>
  </r>
  <r>
    <n v="830000"/>
    <n v="2400000"/>
    <n v="2400000"/>
    <x v="0"/>
    <x v="0"/>
    <s v="BR3-5, BR-7"/>
    <s v="62-304.520 (10), F.A.C."/>
    <n v="0.59"/>
    <n v="0.64"/>
    <s v="FDOT District 5"/>
    <n v="9.4713412414000001E-4"/>
    <n v="3730.32324874714"/>
    <n v="10.0467101090869"/>
    <n v="1.77106116047442"/>
    <n v="9.5155819796800007E-3"/>
    <n v="1.67743246103E-3"/>
    <n v="3.53311644297239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9.5155819796800007E-3"/>
    <n v="1.67743246103E-3"/>
    <n v="3.5331164429737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54519284123199"/>
    <n v="3.8329158131637602"/>
    <n v="2.8654635000000001E-3"/>
  </r>
  <r>
    <n v="830000"/>
    <n v="2400000"/>
    <n v="2400000"/>
    <x v="0"/>
    <x v="0"/>
    <s v="BR3-5, BR-7"/>
    <s v="62-304.520 (10), F.A.C."/>
    <n v="0.59"/>
    <n v="0.64"/>
    <s v="City of Cocoa Beach"/>
    <n v="0.61776345348380002"/>
    <n v="3882.5384879909002"/>
    <n v="8.6413750181892706"/>
    <n v="1.1734419275405199"/>
    <n v="5.3383256740852802"/>
    <n v="0.72490953762012"/>
    <n v="2398.49038462505"/>
    <n v="1450"/>
    <s v="Tourist Services"/>
    <n v="1450"/>
    <s v="City of Cocoa Beach           Brevard County"/>
    <s v="City of Cocoa Beach"/>
    <m/>
    <m/>
    <m/>
    <n v="0"/>
    <n v="1"/>
    <n v="5.3383256740852802"/>
    <n v="0.72490953762012"/>
    <n v="2398.490384625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0197"/>
    <n v="2499.9999992549401"/>
    <n v="1.9452476760999999"/>
  </r>
  <r>
    <n v="830000"/>
    <n v="2400000"/>
    <n v="2400000"/>
    <x v="0"/>
    <x v="0"/>
    <s v="BR3-5, BR-7"/>
    <s v="62-304.520 (10), F.A.C."/>
    <n v="0.59"/>
    <n v="0.64"/>
    <s v="City of Cocoa Beach"/>
    <n v="0.61564412493325005"/>
    <n v="3756.4692926047901"/>
    <n v="10.8064271545274"/>
    <n v="2.0820300371093401"/>
    <n v="6.6529133892040599"/>
    <n v="1.2817895602809299"/>
    <n v="2312.6482504843202"/>
    <n v="1300"/>
    <s v="Residential, High Density"/>
    <n v="1300"/>
    <s v="City of Cocoa Beach           Brevard County"/>
    <s v="City of Cocoa Beach"/>
    <m/>
    <m/>
    <m/>
    <n v="0"/>
    <n v="1"/>
    <n v="6.6529133892040599"/>
    <n v="1.2817895602809299"/>
    <n v="2320.60944379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24819495705501"/>
    <n v="2491.4233808989702"/>
    <n v="1.8820838959999999"/>
  </r>
  <r>
    <n v="830000"/>
    <n v="2400000"/>
    <n v="2400000"/>
    <x v="0"/>
    <x v="0"/>
    <s v="BR3-5, BR-7"/>
    <s v="62-304.520 (10), F.A.C."/>
    <n v="0.59"/>
    <n v="0.64"/>
    <s v="City of Cocoa Beach"/>
    <n v="0.47984936538695"/>
    <n v="3885.05372713427"/>
    <n v="8.6468520391944992"/>
    <n v="1.17418732744239"/>
    <n v="4.1491864636024003"/>
    <n v="0.56343304391863003"/>
    <n v="1864.24056545961"/>
    <n v="1410"/>
    <s v="Retail Sales and Services"/>
    <n v="1410"/>
    <s v="City of Cocoa Beach           Brevard County"/>
    <s v="City of Cocoa Beach"/>
    <m/>
    <m/>
    <m/>
    <n v="0"/>
    <n v="1"/>
    <n v="4.1491864636024003"/>
    <n v="0.56343304391863003"/>
    <n v="2400.0442082492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7.68999354078699"/>
    <n v="1941.88148610077"/>
    <n v="1.9465078736999999"/>
  </r>
  <r>
    <n v="830000"/>
    <n v="2400000"/>
    <n v="2400000"/>
    <x v="0"/>
    <x v="0"/>
    <s v="BR3-5, BR-7"/>
    <s v="62-304.520 (10), F.A.C."/>
    <n v="0.59"/>
    <n v="0.64"/>
    <s v="City of Cocoa Beach"/>
    <n v="0.61776345366790997"/>
    <n v="3777.9106740546399"/>
    <n v="11.608074310682101"/>
    <n v="1.5325543325089599"/>
    <n v="7.1710440766007704"/>
    <n v="0.94675605738446"/>
    <n v="2333.8551456528699"/>
    <n v="1450"/>
    <s v="Tourist Services"/>
    <n v="1450"/>
    <s v="City of Cocoa Beach           Brevard County"/>
    <s v="City of Cocoa Beach"/>
    <m/>
    <m/>
    <m/>
    <n v="0"/>
    <n v="1"/>
    <n v="7.1710440766007704"/>
    <n v="0.94675605738446"/>
    <n v="2333.8551456528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928265577000001"/>
  </r>
  <r>
    <n v="830000"/>
    <n v="2400000"/>
    <n v="2400000"/>
    <x v="0"/>
    <x v="0"/>
    <s v="BR3-5, BR-7"/>
    <s v="62-304.520 (10), F.A.C."/>
    <n v="0.59"/>
    <n v="0.64"/>
    <s v="City of Cocoa Beach"/>
    <n v="4.5482947814039998E-2"/>
    <n v="3774.3108456365399"/>
    <n v="11.580054974133899"/>
    <n v="1.52902303747277"/>
    <n v="0.52669503607232004"/>
    <n v="6.9544475019850005E-2"/>
    <n v="171.666783226078"/>
    <n v="1400"/>
    <s v="Commercial and Services"/>
    <n v="1400"/>
    <s v="City of Cocoa Beach           Brevard County"/>
    <s v="City of Cocoa Beach"/>
    <m/>
    <m/>
    <m/>
    <n v="0"/>
    <n v="1"/>
    <n v="0.52669503607232004"/>
    <n v="6.9544475019850005E-2"/>
    <n v="409.22068847373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1.991140096313003"/>
    <n v="184.06295947096001"/>
    <n v="0.33189025830000002"/>
  </r>
  <r>
    <n v="830000"/>
    <n v="2400000"/>
    <n v="2400000"/>
    <x v="0"/>
    <x v="0"/>
    <s v="BR3-5, BR-7"/>
    <s v="62-304.520 (10), F.A.C."/>
    <n v="0.59"/>
    <n v="0.64"/>
    <s v="FDOT District 5"/>
    <n v="3.0199053272069998E-2"/>
    <n v="3774.3108456365399"/>
    <n v="11.580054974133899"/>
    <n v="1.52902303747277"/>
    <n v="0.34970669705746998"/>
    <n v="4.6175048162869999E-2"/>
    <n v="113.98061429276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4970669705746998"/>
    <n v="4.6175048162869999E-2"/>
    <n v="834.94090292884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2.740944193829399"/>
    <n v="122.211232684511"/>
    <n v="0.67716212730000003"/>
  </r>
  <r>
    <n v="830000"/>
    <n v="2400000"/>
    <n v="2400000"/>
    <x v="0"/>
    <x v="0"/>
    <s v="BR3-5, BR-7"/>
    <s v="62-304.520 (10), F.A.C."/>
    <n v="0.59"/>
    <n v="0.64"/>
    <s v="City of Cocoa Beach"/>
    <n v="3.2077960034299999E-3"/>
    <n v="3774.3108456365399"/>
    <n v="11.580054974133899"/>
    <n v="1.52902303747277"/>
    <n v="3.7146454065520002E-2"/>
    <n v="4.9047939887499996E-3"/>
    <n v="12.107219246335401"/>
    <n v="1430"/>
    <s v="Professional Services"/>
    <n v="1430"/>
    <s v="City of Cocoa Beach           Brevard County"/>
    <s v="City of Cocoa Beach"/>
    <m/>
    <m/>
    <m/>
    <n v="0"/>
    <n v="1"/>
    <n v="3.7146454065520002E-2"/>
    <n v="4.9047939887499996E-3"/>
    <n v="12.107219246336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4.642018672291996"/>
    <n v="12.9814898582314"/>
    <n v="9.8193181000000001E-3"/>
  </r>
  <r>
    <n v="830000"/>
    <n v="2400000"/>
    <n v="2400000"/>
    <x v="0"/>
    <x v="0"/>
    <s v="BR3-5, BR-7"/>
    <s v="62-304.520 (10), F.A.C."/>
    <n v="0.59"/>
    <n v="0.64"/>
    <s v="City of Cocoa Beach"/>
    <n v="0.61776345348380002"/>
    <n v="3777.9106743361199"/>
    <n v="11.608074311546901"/>
    <n v="1.5325543326231399"/>
    <n v="7.1710440749979103"/>
    <n v="0.94675605717283995"/>
    <n v="2333.8551451312101"/>
    <n v="1450"/>
    <s v="Tourist Services"/>
    <n v="1450"/>
    <s v="City of Cocoa Beach           Brevard County"/>
    <s v="City of Cocoa Beach"/>
    <m/>
    <m/>
    <m/>
    <n v="0"/>
    <n v="1"/>
    <n v="7.1710440749979103"/>
    <n v="0.94675605717283995"/>
    <n v="2333.8551451312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0197"/>
    <n v="2499.9999992549401"/>
    <n v="1.8928265573"/>
  </r>
  <r>
    <n v="830000"/>
    <n v="2400000"/>
    <n v="2400000"/>
    <x v="0"/>
    <x v="0"/>
    <s v="BR3-5, BR-7"/>
    <s v="62-304.520 (10), F.A.C."/>
    <n v="0.59"/>
    <n v="0.64"/>
    <s v="City of Cocoa Beach"/>
    <n v="4.7881545387399999E-2"/>
    <n v="3781.8716354419298"/>
    <n v="11.579550042135599"/>
    <n v="1.5286200724267101"/>
    <n v="0.55444675090821005"/>
    <n v="7.3192691377990005E-2"/>
    <n v="181.08185836174101"/>
    <n v="1410"/>
    <s v="Retail Sales and Services"/>
    <n v="1410"/>
    <s v="City of Cocoa Beach           Brevard County"/>
    <s v="City of Cocoa Beach"/>
    <m/>
    <m/>
    <m/>
    <n v="0"/>
    <n v="1"/>
    <n v="0.55444675090821005"/>
    <n v="7.3192691377990005E-2"/>
    <n v="1986.6389106970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4.814641161538702"/>
    <n v="193.76973946544399"/>
    <n v="1.6112237719"/>
  </r>
  <r>
    <n v="830000"/>
    <n v="2400000"/>
    <n v="2400000"/>
    <x v="0"/>
    <x v="0"/>
    <s v="BR3-5, BR-7"/>
    <s v="62-304.520 (10), F.A.C."/>
    <n v="0.59"/>
    <n v="0.64"/>
    <s v="Natural Lands"/>
    <n v="0.53984310565037996"/>
    <n v="3120.0168105094299"/>
    <n v="6.10409027808684"/>
    <n v="0.83243253844505005"/>
    <n v="3.2952510528927301"/>
    <n v="0.44938296679861001"/>
    <n v="1684.31956466683"/>
    <n v="4200"/>
    <s v="Upland Hardwood Forest"/>
    <n v="4200"/>
    <s v="City of Cocoa Beach           Brevard County"/>
    <s v="City of Cocoa Beach"/>
    <m/>
    <m/>
    <s v="Natural Lands"/>
    <n v="0"/>
    <n v="1"/>
    <n v="3.2952510528927301"/>
    <n v="0.44938296679861001"/>
    <n v="1927.4323600032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7.40143566116399"/>
    <n v="2184.6675391896301"/>
    <n v="1.5632054825999999"/>
  </r>
  <r>
    <n v="830000"/>
    <n v="2400000"/>
    <n v="2400000"/>
    <x v="0"/>
    <x v="0"/>
    <s v="BR3-5, BR-7"/>
    <s v="62-304.520 (10), F.A.C."/>
    <n v="0.59"/>
    <n v="0.64"/>
    <s v="City of Cocoa Beach"/>
    <n v="2.75511446617E-2"/>
    <n v="3752.8105449066202"/>
    <n v="10.6434789165361"/>
    <n v="1.9789777567598901"/>
    <n v="0.29324002733326998"/>
    <n v="5.4523102458779997E-2"/>
    <n v="103.394226210686"/>
    <n v="1300"/>
    <s v="Residential, High Density"/>
    <n v="1300"/>
    <s v="City of Cocoa Beach           Brevard County"/>
    <s v="City of Cocoa Beach"/>
    <m/>
    <m/>
    <m/>
    <n v="0"/>
    <n v="1"/>
    <n v="0.29324002733326998"/>
    <n v="5.4523102458779997E-2"/>
    <n v="992.516326966754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48922562702801"/>
    <n v="111.495526718682"/>
    <n v="0.80496052470000001"/>
  </r>
  <r>
    <n v="830000"/>
    <n v="2400000"/>
    <n v="2400000"/>
    <x v="0"/>
    <x v="0"/>
    <s v="BR3-5, BR-7"/>
    <s v="62-304.520 (10), F.A.C."/>
    <n v="0.59"/>
    <n v="0.64"/>
    <s v="City of Cocoa Beach"/>
    <n v="5.076549399797E-2"/>
    <n v="3752.8105449066202"/>
    <n v="10.6434789165361"/>
    <n v="1.9789777567598901"/>
    <n v="0.54032146505501999"/>
    <n v="0.10046378343292001"/>
    <n v="190.51328119300501"/>
    <n v="1400"/>
    <s v="Commercial and Services"/>
    <n v="1400"/>
    <s v="City of Cocoa Beach           Brevard County"/>
    <s v="City of Cocoa Beach"/>
    <m/>
    <m/>
    <m/>
    <n v="0"/>
    <n v="1"/>
    <n v="0.54032146505501999"/>
    <n v="0.10046378343292001"/>
    <n v="190.51328119300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426903110494"/>
    <n v="205.440665422026"/>
    <n v="0.15451198799999999"/>
  </r>
  <r>
    <n v="830000"/>
    <n v="2400000"/>
    <n v="2400000"/>
    <x v="0"/>
    <x v="0"/>
    <s v="BR3-5, BR-7"/>
    <s v="62-304.520 (10), F.A.C."/>
    <n v="0.59"/>
    <n v="0.64"/>
    <s v="City of Cocoa Beach"/>
    <n v="3.2955662295100002E-3"/>
    <n v="3752.8105449066202"/>
    <n v="10.6434789165361"/>
    <n v="1.9789777567598901"/>
    <n v="3.5076289681839998E-2"/>
    <n v="6.5218522641299998E-3"/>
    <n v="12.367635697547"/>
    <n v="1300"/>
    <s v="Residential, High Density"/>
    <n v="1300"/>
    <s v="City of Cocoa Beach           Brevard County"/>
    <s v="City of Cocoa Beach"/>
    <m/>
    <m/>
    <m/>
    <n v="0"/>
    <n v="1"/>
    <n v="3.5076289681839998E-2"/>
    <n v="6.5218522641299998E-3"/>
    <n v="12.367635697547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.1424927381474"/>
    <n v="13.336683361341199"/>
    <n v="1.00305237E-2"/>
  </r>
  <r>
    <n v="830000"/>
    <n v="2400000"/>
    <n v="2400000"/>
    <x v="0"/>
    <x v="0"/>
    <s v="BR3-5, BR-7"/>
    <s v="62-304.520 (10), F.A.C."/>
    <n v="0.59"/>
    <n v="0.64"/>
    <s v="City of Cocoa Beach"/>
    <n v="0.61776345371394004"/>
    <n v="3747.7351295950298"/>
    <n v="10.7827144164304"/>
    <n v="2.0776258091528699"/>
    <n v="6.6611668983051402"/>
    <n v="1.2834812953875001"/>
    <n v="2315.2137972636801"/>
    <n v="1300"/>
    <s v="Residential, High Density"/>
    <n v="1300"/>
    <s v="City of Cocoa Beach           Brevard County"/>
    <s v="City of Cocoa Beach"/>
    <m/>
    <m/>
    <m/>
    <n v="0"/>
    <n v="1"/>
    <n v="6.6611668983051402"/>
    <n v="1.2834812953875001"/>
    <n v="2315.2137972636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0745001"/>
    <n v="2500.00000018626"/>
    <n v="1.8777078648000001"/>
  </r>
  <r>
    <n v="830000"/>
    <n v="2400000"/>
    <n v="2400000"/>
    <x v="0"/>
    <x v="0"/>
    <s v="BR3-5, BR-7"/>
    <s v="62-304.520 (10), F.A.C."/>
    <n v="0.59"/>
    <n v="0.64"/>
    <s v="City of Cocoa Beach"/>
    <n v="0.26381790253993997"/>
    <n v="3746.9312451753399"/>
    <n v="10.780471751685001"/>
    <n v="2.0772018569227502"/>
    <n v="2.84408144592064"/>
    <n v="0.54800303704542996"/>
    <n v="988.50754206353497"/>
    <n v="1300"/>
    <s v="Residential, High Density"/>
    <n v="1300"/>
    <s v="City of Cocoa Beach           Brevard County"/>
    <s v="City of Cocoa Beach"/>
    <m/>
    <m/>
    <m/>
    <n v="0"/>
    <n v="1"/>
    <n v="2.84408144592064"/>
    <n v="0.54800303704542996"/>
    <n v="988.507542063534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1.396559525177"/>
    <n v="1067.6331732378601"/>
    <n v="0.80170927989999996"/>
  </r>
  <r>
    <n v="830000"/>
    <n v="2400000"/>
    <n v="2400000"/>
    <x v="0"/>
    <x v="0"/>
    <s v="BR3-5, BR-7"/>
    <s v="62-304.520 (10), F.A.C."/>
    <n v="0.59"/>
    <n v="0.64"/>
    <s v="City of Cocoa Beach"/>
    <n v="5.35831913366E-3"/>
    <n v="3746.9312451753399"/>
    <n v="10.780471751685001"/>
    <n v="2.0772018569227502"/>
    <n v="5.7765208057029997E-2"/>
    <n v="1.113031045444E-2"/>
    <n v="20.0772533835652"/>
    <n v="1300"/>
    <s v="Residential, High Density"/>
    <n v="1300"/>
    <s v="City of Cocoa Beach           Brevard County"/>
    <s v="City of Cocoa Beach"/>
    <m/>
    <m/>
    <m/>
    <n v="0"/>
    <n v="1"/>
    <n v="5.7765208057029997E-2"/>
    <n v="1.113031045444E-2"/>
    <n v="20.077253383563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7.150284924661698"/>
    <n v="21.684348199355899"/>
    <n v="1.6283255E-2"/>
  </r>
  <r>
    <n v="830000"/>
    <n v="2400000"/>
    <n v="2400000"/>
    <x v="0"/>
    <x v="0"/>
    <s v="BR3-5, BR-7"/>
    <s v="62-304.520 (10), F.A.C."/>
    <n v="0.59"/>
    <n v="0.64"/>
    <s v="City of Cocoa Beach"/>
    <n v="0.28801992287116002"/>
    <n v="3749.80819673511"/>
    <n v="10.7884498132138"/>
    <n v="2.0787042659494599"/>
    <n v="3.1072884831012999"/>
    <n v="0.59870824235071995"/>
    <n v="1080.01946760531"/>
    <n v="1300"/>
    <s v="Residential, High Density"/>
    <n v="1300"/>
    <s v="City of Cocoa Beach           Brevard County"/>
    <s v="City of Cocoa Beach"/>
    <m/>
    <m/>
    <m/>
    <n v="0"/>
    <n v="1"/>
    <n v="3.1072884831012999"/>
    <n v="0.59870824235071995"/>
    <n v="1080.0194676053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4.61465449846301"/>
    <n v="1165.5752746503299"/>
    <n v="0.87592819759999996"/>
  </r>
  <r>
    <n v="830000"/>
    <n v="2400000"/>
    <n v="2400000"/>
    <x v="0"/>
    <x v="0"/>
    <s v="BR3-5, BR-7"/>
    <s v="62-304.520 (10), F.A.C."/>
    <n v="0.59"/>
    <n v="0.64"/>
    <s v="City of Cocoa Beach"/>
    <n v="0.32974353061264"/>
    <n v="3749.80819673511"/>
    <n v="10.7884498132138"/>
    <n v="2.0787042659494599"/>
    <n v="3.5574215312464101"/>
    <n v="0.68543928375372998"/>
    <n v="1236.47499391165"/>
    <n v="1300"/>
    <s v="Residential, High Density"/>
    <n v="1300"/>
    <s v="City of Cocoa Beach           Brevard County"/>
    <s v="City of Cocoa Beach"/>
    <m/>
    <m/>
    <m/>
    <n v="0"/>
    <n v="1"/>
    <n v="3.5574215312464101"/>
    <n v="0.68543928375372998"/>
    <n v="1236.4749939116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4.26821085280699"/>
    <n v="1334.42472460461"/>
    <n v="1.0028183243"/>
  </r>
  <r>
    <n v="830000"/>
    <n v="2400000"/>
    <n v="2400000"/>
    <x v="0"/>
    <x v="0"/>
    <s v="BR3-5, BR-7"/>
    <s v="62-304.520 (10), F.A.C."/>
    <n v="0.59"/>
    <n v="0.64"/>
    <s v="City of Cocoa Beach"/>
    <n v="7.7925954703589997E-2"/>
    <n v="2226.0480261681901"/>
    <n v="6.6641870572027404"/>
    <n v="0.89734605010361002"/>
    <n v="0.51931313875584995"/>
    <n v="6.9926547653820004E-2"/>
    <n v="173.46691765520501"/>
    <n v="1410"/>
    <s v="Retail Sales and Services"/>
    <n v="1410"/>
    <s v="City of Cocoa Beach           Brevard County"/>
    <s v="City of Cocoa Beach"/>
    <m/>
    <m/>
    <m/>
    <n v="0"/>
    <n v="1"/>
    <n v="0.51931313875584995"/>
    <n v="6.9926547653820004E-2"/>
    <n v="206.16082908931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1.040591951523794"/>
    <n v="315.355150263886"/>
    <n v="0.16720261889999999"/>
  </r>
  <r>
    <n v="830000"/>
    <n v="2400000"/>
    <n v="2400000"/>
    <x v="0"/>
    <x v="0"/>
    <s v="BR3-5, BR-7"/>
    <s v="62-304.520 (10), F.A.C."/>
    <n v="0.59"/>
    <n v="0.64"/>
    <s v="City of Cocoa Beach"/>
    <n v="0.14412227096655"/>
    <n v="2226.0480261681901"/>
    <n v="6.6641870572027404"/>
    <n v="0.89734605010361002"/>
    <n v="0.96045777282995004"/>
    <n v="0.12932755058379"/>
    <n v="320.82309681196898"/>
    <n v="1430"/>
    <s v="Professional Services"/>
    <n v="1430"/>
    <s v="City of Cocoa Beach           Brevard County"/>
    <s v="City of Cocoa Beach"/>
    <m/>
    <m/>
    <m/>
    <n v="0"/>
    <n v="1"/>
    <n v="0.96045777282995004"/>
    <n v="0.12932755058379"/>
    <n v="376.481214123237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51659311468499"/>
    <n v="583.24213787186"/>
    <n v="0.30533756210000002"/>
  </r>
  <r>
    <n v="830000"/>
    <n v="2400000"/>
    <n v="2400000"/>
    <x v="0"/>
    <x v="0"/>
    <s v="BR3-5, BR-7"/>
    <s v="62-304.520 (10), F.A.C."/>
    <n v="0.59"/>
    <n v="0.64"/>
    <s v="City of Cocoa Beach"/>
    <n v="1.373805872085E-2"/>
    <n v="3702.2594911729898"/>
    <n v="9.2285786759747808"/>
    <n v="1.3572742637091399"/>
    <n v="0.12678275576059"/>
    <n v="1.8646313535139999E-2"/>
    <n v="50.861858289584703"/>
    <n v="1200"/>
    <s v="Residential, Medium Density-Two-five dwellingunits per acre"/>
    <n v="1200"/>
    <s v="City of Cocoa Beach           Brevard County"/>
    <s v="City of Cocoa Beach"/>
    <m/>
    <m/>
    <m/>
    <n v="0"/>
    <n v="1"/>
    <n v="0.12678275576059"/>
    <n v="1.8646313535139999E-2"/>
    <n v="288.81051851883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9.853741546167601"/>
    <n v="55.595951165808799"/>
    <n v="0.23423399719999999"/>
  </r>
  <r>
    <n v="830000"/>
    <n v="2400000"/>
    <n v="2400000"/>
    <x v="0"/>
    <x v="0"/>
    <s v="BR3-5, BR-7"/>
    <s v="62-304.520 (10), F.A.C."/>
    <n v="0.59"/>
    <n v="0.64"/>
    <s v="City of Cocoa Beach"/>
    <n v="8.8322927837519993E-2"/>
    <n v="3702.2594911729898"/>
    <n v="9.2285786759747808"/>
    <n v="1.3572742637091399"/>
    <n v="0.81509508844108003"/>
    <n v="0.11987843684931"/>
    <n v="326.99439787467799"/>
    <n v="1210"/>
    <s v="Fixed Single Family Units"/>
    <n v="1210"/>
    <s v="City of Cocoa Beach           Brevard County"/>
    <s v="City of Cocoa Beach"/>
    <m/>
    <m/>
    <m/>
    <n v="0"/>
    <n v="1"/>
    <n v="0.81509508844108003"/>
    <n v="0.11987843684931"/>
    <n v="422.21204333010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340092143397"/>
    <n v="357.43020776447503"/>
    <n v="0.34242663690000003"/>
  </r>
  <r>
    <n v="830000"/>
    <n v="2400000"/>
    <n v="2400000"/>
    <x v="0"/>
    <x v="0"/>
    <s v="BR3-5, BR-7"/>
    <s v="62-304.520 (10), F.A.C."/>
    <n v="0.59"/>
    <n v="0.64"/>
    <s v="City of Cocoa Beach"/>
    <n v="2.5873733400000002E-7"/>
    <n v="3702.2594911729898"/>
    <n v="9.2285786759747808"/>
    <n v="1.3572742637091399"/>
    <n v="2.3877778432309999E-6"/>
    <n v="3.5117752449889999E-7"/>
    <n v="9.5791275051999999E-4"/>
    <n v="1210"/>
    <s v="Fixed Single Family Units"/>
    <n v="1210"/>
    <s v="City of Cocoa Beach           Brevard County"/>
    <s v="City of Cocoa Beach"/>
    <m/>
    <m/>
    <m/>
    <n v="0"/>
    <n v="1"/>
    <n v="2.3877778432309999E-6"/>
    <n v="3.5117752449889999E-7"/>
    <n v="1.5447676894315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0.47496640042039001"/>
    <n v="1.0470728404200001E-3"/>
    <n v="1.252853E-3"/>
  </r>
  <r>
    <n v="830000"/>
    <n v="2400000"/>
    <n v="2400000"/>
    <x v="0"/>
    <x v="0"/>
    <s v="BR3-5, BR-7"/>
    <s v="62-304.520 (10), F.A.C."/>
    <n v="0.59"/>
    <n v="0.64"/>
    <s v="City of Cocoa Beach"/>
    <n v="0.61776345366790997"/>
    <n v="3777.9106740546399"/>
    <n v="11.608074310682101"/>
    <n v="1.5325543325089599"/>
    <n v="7.1710440766007704"/>
    <n v="0.94675605738446"/>
    <n v="2333.8551456528699"/>
    <n v="1450"/>
    <s v="Tourist Services"/>
    <n v="1450"/>
    <s v="City of Cocoa Beach           Brevard County"/>
    <s v="City of Cocoa Beach"/>
    <m/>
    <m/>
    <m/>
    <n v="0"/>
    <n v="1"/>
    <n v="7.1710440766007704"/>
    <n v="0.94675605738446"/>
    <n v="2333.8551456528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928265577000001"/>
  </r>
  <r>
    <n v="830000"/>
    <n v="2400000"/>
    <n v="2400000"/>
    <x v="0"/>
    <x v="0"/>
    <s v="BR3-5, BR-7"/>
    <s v="62-304.520 (10), F.A.C."/>
    <n v="0.59"/>
    <n v="0.64"/>
    <s v="City of Cocoa Beach"/>
    <n v="4.3758943097599997E-3"/>
    <n v="3746.2567983774102"/>
    <n v="10.7785897933791"/>
    <n v="2.0768460448711799"/>
    <n v="4.7165969744109998E-2"/>
    <n v="9.0880587900000007E-3"/>
    <n v="16.3932238069306"/>
    <n v="1300"/>
    <s v="Residential, High Density"/>
    <n v="1300"/>
    <s v="City of Cocoa Beach           Brevard County"/>
    <s v="City of Cocoa Beach"/>
    <m/>
    <m/>
    <m/>
    <n v="0"/>
    <n v="1"/>
    <n v="4.7165969744109998E-2"/>
    <n v="9.0880587900000007E-3"/>
    <n v="16.393223806931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297541632420302"/>
    <n v="17.708615991208799"/>
    <n v="1.3295396399999999E-2"/>
  </r>
  <r>
    <n v="830000"/>
    <n v="2400000"/>
    <n v="2400000"/>
    <x v="0"/>
    <x v="0"/>
    <s v="BR3-5, BR-7"/>
    <s v="62-304.520 (10), F.A.C."/>
    <n v="0.59"/>
    <n v="0.64"/>
    <s v="City of Cocoa Beach"/>
    <n v="0.19742763773814001"/>
    <n v="3746.2567983774102"/>
    <n v="10.7785897933791"/>
    <n v="2.0768460448711799"/>
    <n v="2.1279915210553302"/>
    <n v="0.41002680858472002"/>
    <n v="739.61463006411805"/>
    <n v="1300"/>
    <s v="Residential, High Density"/>
    <n v="1300"/>
    <s v="City of Cocoa Beach           Brevard County"/>
    <s v="City of Cocoa Beach"/>
    <m/>
    <m/>
    <m/>
    <n v="0"/>
    <n v="1"/>
    <n v="2.1279915210553302"/>
    <n v="0.41002680858472002"/>
    <n v="739.614630064118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0.75898618276"/>
    <n v="798.96130373987205"/>
    <n v="0.59984965940000001"/>
  </r>
  <r>
    <n v="830000"/>
    <n v="2400000"/>
    <n v="2400000"/>
    <x v="0"/>
    <x v="0"/>
    <s v="BR3-5, BR-7"/>
    <s v="62-304.520 (10), F.A.C."/>
    <n v="0.59"/>
    <n v="0.64"/>
    <s v="City of Cocoa Beach"/>
    <n v="8.5355623754029997E-2"/>
    <n v="3752.23214606289"/>
    <n v="10.794972645626601"/>
    <n v="2.07990861325242"/>
    <n v="0.92141162357522"/>
    <n v="0.17753189703555"/>
    <n v="320.274115297143"/>
    <n v="1300"/>
    <s v="Residential, High Density"/>
    <n v="1300"/>
    <s v="City of Cocoa Beach           Brevard County"/>
    <s v="City of Cocoa Beach"/>
    <m/>
    <m/>
    <m/>
    <n v="0"/>
    <n v="1"/>
    <n v="0.92141162357522"/>
    <n v="0.17753189703555"/>
    <n v="2317.9918899473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84594590212301"/>
    <n v="345.42195417697798"/>
    <n v="1.8799609813"/>
  </r>
  <r>
    <n v="830000"/>
    <n v="2400000"/>
    <n v="2400000"/>
    <x v="0"/>
    <x v="0"/>
    <s v="BR3-5, BR-7"/>
    <s v="62-304.520 (10), F.A.C."/>
    <n v="0.59"/>
    <n v="0.64"/>
    <s v="City of Cocoa Beach"/>
    <n v="2.09270333386E-3"/>
    <n v="3819.1307605721699"/>
    <n v="10.320692041614"/>
    <n v="1.50208131607216"/>
    <n v="2.159814664325E-2"/>
    <n v="3.1434105778699998E-3"/>
    <n v="7.9923076751081199"/>
    <n v="1400"/>
    <s v="Commercial and Services"/>
    <n v="1400"/>
    <s v="City of Cocoa Beach           Brevard County"/>
    <s v="City of Cocoa Beach"/>
    <m/>
    <m/>
    <m/>
    <n v="0"/>
    <n v="1"/>
    <n v="2.159814664325E-2"/>
    <n v="3.1434105778699998E-3"/>
    <n v="7.99230767510644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21837981919499"/>
    <n v="8.4688699268196093"/>
    <n v="6.4820014000000004E-3"/>
  </r>
  <r>
    <n v="830000"/>
    <n v="2400000"/>
    <n v="2400000"/>
    <x v="0"/>
    <x v="0"/>
    <s v="BR3-5, BR-7"/>
    <s v="62-304.520 (10), F.A.C."/>
    <n v="0.59"/>
    <n v="0.64"/>
    <s v="FDOT District 5"/>
    <n v="0.25873506908491001"/>
    <n v="3819.1307605721699"/>
    <n v="10.320692041614"/>
    <n v="1.50208131607216"/>
    <n v="2.6703249683911099"/>
    <n v="0.38864111308507998"/>
    <n v="988.1430611809580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6703249683911099"/>
    <n v="0.38864111308507998"/>
    <n v="988.143061180958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1.819050899014"/>
    <n v="1047.0636760263801"/>
    <n v="0.80141367490000004"/>
  </r>
  <r>
    <n v="830000"/>
    <n v="2400000"/>
    <n v="2400000"/>
    <x v="0"/>
    <x v="0"/>
    <s v="BR3-5, BR-7"/>
    <s v="62-304.520 (10), F.A.C."/>
    <n v="0.59"/>
    <n v="0.64"/>
    <s v="City of Cocoa Beach"/>
    <n v="0.23701868922193001"/>
    <n v="3819.1307605721699"/>
    <n v="10.320692041614"/>
    <n v="1.50208131607216"/>
    <n v="2.4461968995665799"/>
    <n v="0.35602134464016999"/>
    <n v="905.20536683797695"/>
    <n v="1430"/>
    <s v="Professional Services"/>
    <n v="1430"/>
    <s v="City of Cocoa Beach           Brevard County"/>
    <s v="City of Cocoa Beach"/>
    <m/>
    <m/>
    <m/>
    <n v="0"/>
    <n v="1"/>
    <n v="2.4461968995665799"/>
    <n v="0.35602134464016999"/>
    <n v="905.205366837976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4.143546263937"/>
    <n v="959.18060470660396"/>
    <n v="0.73414871599999998"/>
  </r>
  <r>
    <n v="830000"/>
    <n v="2400000"/>
    <n v="2400000"/>
    <x v="0"/>
    <x v="0"/>
    <s v="BR3-5, BR-7"/>
    <s v="62-304.520 (10), F.A.C."/>
    <n v="0.59"/>
    <n v="0.64"/>
    <s v="City of Cocoa Beach"/>
    <n v="0.11991699195816"/>
    <n v="3819.1307605721699"/>
    <n v="10.320692041614"/>
    <n v="1.50208131607216"/>
    <n v="1.23762634455693"/>
    <n v="0.18012507309993001"/>
    <n v="457.97867270271701"/>
    <n v="1300"/>
    <s v="Residential, High Density"/>
    <n v="1300"/>
    <s v="City of Cocoa Beach           Brevard County"/>
    <s v="City of Cocoa Beach"/>
    <m/>
    <m/>
    <m/>
    <n v="0"/>
    <n v="1"/>
    <n v="1.23762634455693"/>
    <n v="0.18012507309993001"/>
    <n v="457.97867270271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1.459380097207003"/>
    <n v="485.28684906079201"/>
    <n v="0.37143444660000002"/>
  </r>
  <r>
    <n v="830000"/>
    <n v="2400000"/>
    <n v="2400000"/>
    <x v="0"/>
    <x v="0"/>
    <s v="BR3-5, BR-7"/>
    <s v="62-304.520 (10), F.A.C."/>
    <n v="0.59"/>
    <n v="0.64"/>
    <s v="City of Cocoa Beach"/>
    <n v="0.61776345348380002"/>
    <n v="3786.63703694776"/>
    <n v="8.26314224964778"/>
    <n v="1.2860662680367001"/>
    <n v="5.1046672927703503"/>
    <n v="0.79448473915137996"/>
    <n v="2339.2459730345299"/>
    <n v="1300"/>
    <s v="Residential, High Density"/>
    <n v="1300"/>
    <s v="City of Cocoa Beach           Brevard County"/>
    <s v="City of Cocoa Beach"/>
    <m/>
    <m/>
    <m/>
    <n v="0"/>
    <n v="1"/>
    <n v="5.1046672927703503"/>
    <n v="0.79448473915137996"/>
    <n v="2339.2459730345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0197"/>
    <n v="2499.9999992549401"/>
    <n v="1.8971986805000001"/>
  </r>
  <r>
    <n v="830000"/>
    <n v="2400000"/>
    <n v="2400000"/>
    <x v="0"/>
    <x v="0"/>
    <s v="BR3-5, BR-7"/>
    <s v="62-304.520 (10), F.A.C."/>
    <n v="0.59"/>
    <n v="0.64"/>
    <s v="City of Cocoa Beach"/>
    <n v="0.58545919020342996"/>
    <n v="3733.4819079490499"/>
    <n v="11.7942550344107"/>
    <n v="2.3949589695612898"/>
    <n v="6.9050550014988303"/>
    <n v="1.4021507388898"/>
    <n v="2185.8012944670099"/>
    <n v="1300"/>
    <s v="Residential, High Density"/>
    <n v="1300"/>
    <s v="City of Cocoa Beach           Brevard County"/>
    <s v="City of Cocoa Beach"/>
    <m/>
    <m/>
    <m/>
    <n v="0"/>
    <n v="1"/>
    <n v="6.9050550014988303"/>
    <n v="1.4021507388898"/>
    <n v="2185.8012944670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3.767733252553"/>
    <n v="2369.2692839278502"/>
    <n v="1.7727504415999999"/>
  </r>
  <r>
    <n v="830000"/>
    <n v="2400000"/>
    <n v="2400000"/>
    <x v="0"/>
    <x v="0"/>
    <s v="BR3-5, BR-7"/>
    <s v="62-304.520 (10), F.A.C."/>
    <n v="0.59"/>
    <n v="0.64"/>
    <s v="City of Cocoa Beach"/>
    <n v="1.127726700305E-2"/>
    <n v="3733.4819079490499"/>
    <n v="11.7942550344107"/>
    <n v="2.3949589695612898"/>
    <n v="0.13300696312516999"/>
    <n v="2.7008591761100001E-2"/>
    <n v="42.103472327016704"/>
    <n v="1300"/>
    <s v="Residential, High Density"/>
    <n v="1300"/>
    <s v="City of Cocoa Beach           Brevard County"/>
    <s v="City of Cocoa Beach"/>
    <m/>
    <m/>
    <m/>
    <n v="0"/>
    <n v="1"/>
    <n v="0.13300696312516999"/>
    <n v="2.7008591761100001E-2"/>
    <n v="42.103472327016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6.351010746605894"/>
    <n v="45.637480398432402"/>
    <n v="3.4147179499999999E-2"/>
  </r>
  <r>
    <n v="830000"/>
    <n v="2400000"/>
    <n v="2400000"/>
    <x v="0"/>
    <x v="0"/>
    <s v="BR3-5, BR-7"/>
    <s v="62-304.520 (10), F.A.C."/>
    <n v="0.59"/>
    <n v="0.64"/>
    <s v="City of Cocoa Beach"/>
    <n v="0.61776345352982998"/>
    <n v="3777.9106740546399"/>
    <n v="11.608074310682101"/>
    <n v="1.5325543325089599"/>
    <n v="7.1710440749979103"/>
    <n v="0.94675605717283995"/>
    <n v="2333.8551451312101"/>
    <n v="1450"/>
    <s v="Tourist Services"/>
    <n v="1450"/>
    <s v="City of Cocoa Beach           Brevard County"/>
    <s v="City of Cocoa Beach"/>
    <m/>
    <m/>
    <m/>
    <n v="0"/>
    <n v="1"/>
    <n v="7.1710440749979103"/>
    <n v="0.94675605717283995"/>
    <n v="2333.8551451312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7648"/>
    <n v="2499.9999994412001"/>
    <n v="1.8928265573"/>
  </r>
  <r>
    <n v="830000"/>
    <n v="2400000"/>
    <n v="2400000"/>
    <x v="0"/>
    <x v="0"/>
    <s v="BR3-5, BR-7"/>
    <s v="62-304.520 (10), F.A.C."/>
    <n v="0.59"/>
    <n v="0.64"/>
    <s v="City of Cocoa Beach"/>
    <n v="0.61776345359886997"/>
    <n v="3746.2716028988598"/>
    <n v="10.7786323883923"/>
    <n v="2.0768542521862501"/>
    <n v="6.6586451693259097"/>
    <n v="1.28300465545208"/>
    <n v="2314.3096835261899"/>
    <n v="1300"/>
    <s v="Residential, High Density"/>
    <n v="1300"/>
    <s v="City of Cocoa Beach           Brevard County"/>
    <s v="City of Cocoa Beach"/>
    <m/>
    <m/>
    <m/>
    <n v="0"/>
    <n v="1"/>
    <n v="6.6586451693259097"/>
    <n v="1.28300465545208"/>
    <n v="2314.3096835261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8882399"/>
    <n v="2499.9999997206"/>
    <n v="1.8769746013999999"/>
  </r>
  <r>
    <n v="830000"/>
    <n v="2400000"/>
    <n v="2400000"/>
    <x v="0"/>
    <x v="0"/>
    <s v="BR3-5, BR-7"/>
    <s v="62-304.520 (10), F.A.C."/>
    <n v="0.59"/>
    <n v="0.64"/>
    <s v="City of Cocoa Beach"/>
    <n v="3.7150410799999999E-6"/>
    <n v="3756.34928830836"/>
    <n v="11.43058587825"/>
    <n v="1.52655675792151"/>
    <n v="4.2465096100000002E-5"/>
    <n v="5.6712210666300002E-6"/>
    <n v="1.395499191689E-2"/>
    <n v="1300"/>
    <s v="Residential, High Density"/>
    <n v="1300"/>
    <s v="City of Cocoa Beach           Brevard County"/>
    <s v="City of Cocoa Beach"/>
    <m/>
    <m/>
    <m/>
    <n v="0"/>
    <n v="1"/>
    <n v="4.2465096100000002E-5"/>
    <n v="5.6712210666300002E-6"/>
    <n v="1.3954991918510001E-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.7603397583284299"/>
    <n v="1.5034237855820001E-2"/>
    <n v="1.1317900000000001E-5"/>
  </r>
  <r>
    <n v="830000"/>
    <n v="2400000"/>
    <n v="2400000"/>
    <x v="0"/>
    <x v="0"/>
    <s v="BR3-5, BR-7"/>
    <s v="62-304.520 (10), F.A.C."/>
    <n v="0.59"/>
    <n v="0.64"/>
    <s v="City of Cocoa Beach"/>
    <n v="0.15723532901171999"/>
    <n v="3756.34928830836"/>
    <n v="11.43058587825"/>
    <n v="1.52655675792151"/>
    <n v="1.7972919313634601"/>
    <n v="0.24002865408686"/>
    <n v="590.630816230135"/>
    <n v="1400"/>
    <s v="Commercial and Services"/>
    <n v="1400"/>
    <s v="City of Cocoa Beach           Brevard County"/>
    <s v="City of Cocoa Beach"/>
    <m/>
    <m/>
    <m/>
    <n v="0"/>
    <n v="1"/>
    <n v="1.7972919313634601"/>
    <n v="0.24002865408686"/>
    <n v="590.63081623013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6.553151431781"/>
    <n v="636.308801039287"/>
    <n v="0.4790193157"/>
  </r>
  <r>
    <n v="830000"/>
    <n v="2400000"/>
    <n v="2400000"/>
    <x v="0"/>
    <x v="0"/>
    <s v="BR3-5, BR-7"/>
    <s v="62-304.520 (10), F.A.C."/>
    <n v="0.59"/>
    <n v="0.64"/>
    <s v="Natural Lands"/>
    <n v="1.6371601620229999E-2"/>
    <n v="3756.34928830836"/>
    <n v="11.43058587825"/>
    <n v="1.52655675792151"/>
    <n v="0.18713699828460001"/>
    <n v="2.4992179091370002E-2"/>
    <n v="61.497454094641498"/>
    <n v="3200"/>
    <s v="Shrub and Brushland"/>
    <n v="3200"/>
    <s v="City of Cocoa Beach           Brevard County"/>
    <s v="City of Cocoa Beach"/>
    <m/>
    <m/>
    <s v="Natural Lands"/>
    <n v="0"/>
    <n v="1"/>
    <n v="0.18713699828460001"/>
    <n v="2.4992179091370002E-2"/>
    <n v="61.497454094641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5.670029182508202"/>
    <n v="66.253521161826399"/>
    <n v="4.9876280699999997E-2"/>
  </r>
  <r>
    <n v="830000"/>
    <n v="2400000"/>
    <n v="2400000"/>
    <x v="0"/>
    <x v="0"/>
    <s v="BR3-5, BR-7"/>
    <s v="62-304.520 (10), F.A.C."/>
    <n v="0.59"/>
    <n v="0.64"/>
    <s v="City of Cocoa Beach"/>
    <n v="0.42844313497494002"/>
    <n v="3756.34928830836"/>
    <n v="11.43058587825"/>
    <n v="1.52655675792151"/>
    <n v="4.8973560482778096"/>
    <n v="0.65404276308108"/>
    <n v="1609.38206514374"/>
    <n v="1410"/>
    <s v="Retail Sales and Services"/>
    <n v="1410"/>
    <s v="City of Cocoa Beach           Brevard County"/>
    <s v="City of Cocoa Beach"/>
    <m/>
    <m/>
    <m/>
    <n v="0"/>
    <n v="1"/>
    <n v="4.8973560482778096"/>
    <n v="0.65404276308108"/>
    <n v="1609.3820651437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7.240214528292"/>
    <n v="1733.8478524065499"/>
    <n v="1.3052571493"/>
  </r>
  <r>
    <n v="830000"/>
    <n v="2400000"/>
    <n v="2400000"/>
    <x v="0"/>
    <x v="0"/>
    <s v="BR3-5, BR-7"/>
    <s v="62-304.520 (10), F.A.C."/>
    <n v="0.59"/>
    <n v="0.64"/>
    <s v="City of Cocoa Beach"/>
    <n v="1.4028680471709999E-2"/>
    <n v="3756.34928830836"/>
    <n v="11.43058587825"/>
    <n v="1.52655675792151"/>
    <n v="0.16035603689042"/>
    <n v="2.141557697881E-2"/>
    <n v="52.696623905816999"/>
    <n v="1300"/>
    <s v="Residential, High Density"/>
    <n v="1300"/>
    <s v="City of Cocoa Beach           Brevard County"/>
    <s v="City of Cocoa Beach"/>
    <m/>
    <m/>
    <m/>
    <n v="0"/>
    <n v="1"/>
    <n v="0.16035603689042"/>
    <n v="2.141557697881E-2"/>
    <n v="52.6966239058151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8.446671135374402"/>
    <n v="56.772055664739099"/>
    <n v="4.2738543300000001E-2"/>
  </r>
  <r>
    <n v="830000"/>
    <n v="2400000"/>
    <n v="2400000"/>
    <x v="0"/>
    <x v="0"/>
    <s v="BR3-5, BR-7"/>
    <s v="62-304.520 (10), F.A.C."/>
    <n v="0.59"/>
    <n v="0.64"/>
    <s v="City of Cocoa Beach"/>
    <n v="1.0416556224199999E-3"/>
    <n v="3756.34928830836"/>
    <n v="11.43058587825"/>
    <n v="1.52655675792151"/>
    <n v="1.190673404766E-2"/>
    <n v="1.5901464298299999E-3"/>
    <n v="3.91282235595104"/>
    <n v="1300"/>
    <s v="Residential, High Density"/>
    <n v="1300"/>
    <s v="City of Cocoa Beach           Brevard County"/>
    <s v="City of Cocoa Beach"/>
    <m/>
    <m/>
    <m/>
    <n v="0"/>
    <n v="1"/>
    <n v="1.190673404766E-2"/>
    <n v="1.5901464298299999E-3"/>
    <n v="3.91282235594968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.4635438190872598"/>
    <n v="4.2154307455301296"/>
    <n v="3.1734163000000002E-3"/>
  </r>
  <r>
    <n v="830000"/>
    <n v="2400000"/>
    <n v="2400000"/>
    <x v="0"/>
    <x v="0"/>
    <s v="BR3-5, BR-7"/>
    <s v="62-304.520 (10), F.A.C."/>
    <n v="0.59"/>
    <n v="0.64"/>
    <s v="City of Cocoa Beach"/>
    <n v="6.3933699482999996E-4"/>
    <n v="3756.34928830836"/>
    <n v="11.43058587825"/>
    <n v="1.52655675792151"/>
    <n v="7.3079964245400001E-3"/>
    <n v="9.7598421003999999E-4"/>
    <n v="2.4015730655188698"/>
    <n v="1300"/>
    <s v="Residential, High Density"/>
    <n v="1300"/>
    <s v="City of Cocoa Beach           Brevard County"/>
    <s v="City of Cocoa Beach"/>
    <m/>
    <m/>
    <m/>
    <n v="0"/>
    <n v="1"/>
    <n v="7.3079964245400001E-3"/>
    <n v="9.7598421003999999E-4"/>
    <n v="2.4015730655201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.6609580913482702"/>
    <n v="2.5873050236071"/>
    <n v="1.9477477999999999E-3"/>
  </r>
  <r>
    <n v="830000"/>
    <n v="2400000"/>
    <n v="2400000"/>
    <x v="0"/>
    <x v="0"/>
    <s v="BR3-5, BR-7"/>
    <s v="62-304.520 (10), F.A.C."/>
    <n v="0.59"/>
    <n v="0.64"/>
    <s v="FDOT District 5"/>
    <n v="2.6312487667870001E-2"/>
    <n v="3755.4184646812701"/>
    <n v="10.3659758128312"/>
    <n v="1.88392875083533"/>
    <n v="0.27275461074056001"/>
    <n v="4.9570852023499999E-2"/>
    <n v="98.81440203961740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7275461074056001"/>
    <n v="4.9570852023499999E-2"/>
    <n v="98.8144020396169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444728860487"/>
    <n v="106.482859708039"/>
    <n v="8.0141445300000003E-2"/>
  </r>
  <r>
    <n v="830000"/>
    <n v="2400000"/>
    <n v="2400000"/>
    <x v="0"/>
    <x v="0"/>
    <s v="BR3-5, BR-7"/>
    <s v="62-304.520 (10), F.A.C."/>
    <n v="0.59"/>
    <n v="0.64"/>
    <s v="FDOT District 5"/>
    <n v="0.12939772521099999"/>
    <n v="3755.4184646812701"/>
    <n v="10.3659758128312"/>
    <n v="1.88392875083533"/>
    <n v="1.3413336897727"/>
    <n v="0.24377609481771001"/>
    <n v="485.942606545177"/>
    <n v="8140"/>
    <s v="Roads and Highways"/>
    <n v="8140"/>
    <s v="FDOT District 5                                 City of Cocoa Beach           Brevard County"/>
    <s v="FDOT District 5"/>
    <m/>
    <m/>
    <m/>
    <n v="0"/>
    <n v="1"/>
    <n v="1.3413336897727"/>
    <n v="0.24377609481771001"/>
    <n v="485.94260654517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029919271667"/>
    <n v="523.65401531412294"/>
    <n v="0.39411403610000001"/>
  </r>
  <r>
    <n v="830000"/>
    <n v="2400000"/>
    <n v="2400000"/>
    <x v="0"/>
    <x v="0"/>
    <s v="BR3-5, BR-7"/>
    <s v="62-304.520 (10), F.A.C."/>
    <n v="0.59"/>
    <n v="0.64"/>
    <s v="City of Cocoa Beach"/>
    <n v="0.23886468642333999"/>
    <n v="3755.4184646812701"/>
    <n v="10.3659758128312"/>
    <n v="1.88392875083533"/>
    <n v="2.4760655620039498"/>
    <n v="0.45000405031221002"/>
    <n v="897.03685395454795"/>
    <n v="1300"/>
    <s v="Residential, High Density"/>
    <n v="1300"/>
    <s v="City of Cocoa Beach           Brevard County"/>
    <s v="City of Cocoa Beach"/>
    <m/>
    <m/>
    <m/>
    <n v="0"/>
    <n v="1"/>
    <n v="2.4760655620039498"/>
    <n v="0.45000405031221002"/>
    <n v="897.036853954547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6.61761537631899"/>
    <n v="966.65109033689396"/>
    <n v="0.72752380689999996"/>
  </r>
  <r>
    <n v="830000"/>
    <n v="2400000"/>
    <n v="2400000"/>
    <x v="0"/>
    <x v="0"/>
    <s v="BR3-5, BR-7"/>
    <s v="62-304.520 (10), F.A.C."/>
    <n v="0.59"/>
    <n v="0.64"/>
    <s v="FDOT District 5"/>
    <n v="8.7032670599000001E-4"/>
    <n v="3755.4184646812701"/>
    <n v="10.3659758128312"/>
    <n v="1.88392875083533"/>
    <n v="9.0217855835499992E-3"/>
    <n v="1.63963350403E-3"/>
    <n v="3.26844098198007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9.0217855835499992E-3"/>
    <n v="1.63963350403E-3"/>
    <n v="3.2684409819790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0.176639951307997"/>
    <n v="3.5220872197207398"/>
    <n v="2.6508037E-3"/>
  </r>
  <r>
    <n v="830000"/>
    <n v="2400000"/>
    <n v="2400000"/>
    <x v="0"/>
    <x v="0"/>
    <s v="BR3-5, BR-7"/>
    <s v="62-304.520 (10), F.A.C."/>
    <n v="0.59"/>
    <n v="0.64"/>
    <s v="City of Cocoa Beach"/>
    <n v="0.19711010941203999"/>
    <n v="3755.4184646812701"/>
    <n v="10.3659758128312"/>
    <n v="1.88392875083533"/>
    <n v="2.0432386266297602"/>
    <n v="0.37134140220164003"/>
    <n v="740.230944461337"/>
    <n v="1300"/>
    <s v="Residential, High Density"/>
    <n v="1300"/>
    <s v="City of Cocoa Beach           Brevard County"/>
    <s v="City of Cocoa Beach"/>
    <m/>
    <m/>
    <m/>
    <n v="0"/>
    <n v="1"/>
    <n v="2.0432386266297602"/>
    <n v="0.37134140220164003"/>
    <n v="740.23094446133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180816286032"/>
    <n v="797.67631219409498"/>
    <n v="0.60034950890000005"/>
  </r>
  <r>
    <n v="830000"/>
    <n v="2400000"/>
    <n v="2400000"/>
    <x v="0"/>
    <x v="0"/>
    <s v="BR3-5, BR-7"/>
    <s v="62-304.520 (10), F.A.C."/>
    <n v="0.59"/>
    <n v="0.64"/>
    <s v="FDOT District 5"/>
    <n v="9.4879890486000002E-4"/>
    <n v="3755.4184646812701"/>
    <n v="10.3659758128312"/>
    <n v="1.88392875083533"/>
    <n v="9.8352264990399993E-3"/>
    <n v="1.7874695356300001E-3"/>
    <n v="3.56313692658812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9.8352264990399993E-3"/>
    <n v="1.7874695356300001E-3"/>
    <n v="3.5631369265866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3.796373378695201"/>
    <n v="3.8396529417053298"/>
    <n v="2.8898109999999999E-3"/>
  </r>
  <r>
    <n v="830000"/>
    <n v="2400000"/>
    <n v="2400000"/>
    <x v="0"/>
    <x v="0"/>
    <s v="BR3-5, BR-7"/>
    <s v="62-304.520 (10), F.A.C."/>
    <n v="0.59"/>
    <n v="0.64"/>
    <s v="City of Cocoa Beach"/>
    <n v="2.4112122112499999E-2"/>
    <n v="3755.4184646812701"/>
    <n v="10.3659758128312"/>
    <n v="1.88392875083533"/>
    <n v="0.24994567461428999"/>
    <n v="4.5425520091400003E-2"/>
    <n v="90.551108603962206"/>
    <n v="1300"/>
    <s v="Residential, High Density"/>
    <n v="1300"/>
    <s v="City of Cocoa Beach           Brevard County"/>
    <s v="City of Cocoa Beach"/>
    <m/>
    <m/>
    <m/>
    <n v="0"/>
    <n v="1"/>
    <n v="0.24994567461428999"/>
    <n v="4.5425520091400003E-2"/>
    <n v="90.551108603963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8.481286616059407"/>
    <n v="97.578296228697397"/>
    <n v="7.3439666299999998E-2"/>
  </r>
  <r>
    <n v="830000"/>
    <n v="2400000"/>
    <n v="2400000"/>
    <x v="0"/>
    <x v="0"/>
    <s v="BR3-5, BR-7"/>
    <s v="62-304.520 (10), F.A.C."/>
    <n v="0.59"/>
    <n v="0.64"/>
    <s v="FDOT District 5"/>
    <n v="1.4719723027999999E-4"/>
    <n v="3755.4184646812701"/>
    <n v="10.3659758128312"/>
    <n v="1.88392875083533"/>
    <n v="1.52584292881E-3"/>
    <n v="2.7730909416999997E-4"/>
    <n v="0.552787196550959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52584292881E-3"/>
    <n v="2.7730909416999997E-4"/>
    <n v="0.552787196549579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.0714561505252602"/>
    <n v="0.59568605672470998"/>
    <n v="4.4832699999999999E-4"/>
  </r>
  <r>
    <n v="830000"/>
    <n v="2400000"/>
    <n v="2400000"/>
    <x v="0"/>
    <x v="0"/>
    <s v="BR3-5, BR-7"/>
    <s v="62-304.520 (10), F.A.C."/>
    <n v="0.59"/>
    <n v="0.64"/>
    <s v="City of Cocoa Beach"/>
    <n v="1.5787426905670001E-2"/>
    <n v="3746.4515509402499"/>
    <n v="11.8787099802384"/>
    <n v="2.0781284775914202"/>
    <n v="0.18753426554670999"/>
    <n v="3.2808301440570002E-2"/>
    <n v="59.146830016118201"/>
    <n v="1300"/>
    <s v="Residential, High Density"/>
    <n v="1300"/>
    <s v="City of Cocoa Beach           Brevard County"/>
    <s v="City of Cocoa Beach"/>
    <m/>
    <m/>
    <m/>
    <n v="0"/>
    <n v="1"/>
    <n v="0.18753426554670999"/>
    <n v="3.2808301440570002E-2"/>
    <n v="59.146830016117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8.121343024060998"/>
    <n v="63.889449966396299"/>
    <n v="4.7969853999999999E-2"/>
  </r>
  <r>
    <n v="830000"/>
    <n v="2400000"/>
    <n v="2400000"/>
    <x v="0"/>
    <x v="0"/>
    <s v="BR3-5, BR-7"/>
    <s v="62-304.520 (10), F.A.C."/>
    <n v="0.59"/>
    <n v="0.64"/>
    <s v="City of Cocoa Beach"/>
    <n v="5.7342622383000003E-4"/>
    <n v="3746.4515509402499"/>
    <n v="11.8787099802384"/>
    <n v="2.0781284775914202"/>
    <n v="6.81156380795E-3"/>
    <n v="1.1916533655399999E-3"/>
    <n v="2.1483135656214598"/>
    <n v="1450"/>
    <s v="Tourist Services"/>
    <n v="1450"/>
    <s v="City of Cocoa Beach           Brevard County"/>
    <s v="City of Cocoa Beach"/>
    <m/>
    <m/>
    <m/>
    <n v="0"/>
    <n v="1"/>
    <n v="6.81156380795E-3"/>
    <n v="1.1916533655399999E-3"/>
    <n v="2.1483135656200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.5766935943418199"/>
    <n v="2.32057359668149"/>
    <n v="1.7423467999999999E-3"/>
  </r>
  <r>
    <n v="830000"/>
    <n v="2400000"/>
    <n v="2400000"/>
    <x v="0"/>
    <x v="0"/>
    <s v="BR3-5, BR-7"/>
    <s v="62-304.520 (10), F.A.C."/>
    <n v="0.59"/>
    <n v="0.64"/>
    <s v="City of Cocoa Beach"/>
    <n v="2.6779554374879999E-2"/>
    <n v="3746.4515509402499"/>
    <n v="11.8787099802384"/>
    <n v="2.0781284775914202"/>
    <n v="0.31810655981926"/>
    <n v="5.5651354563650002E-2"/>
    <n v="100.32830302126899"/>
    <n v="1300"/>
    <s v="Residential, High Density"/>
    <n v="1300"/>
    <s v="City of Cocoa Beach           Brevard County"/>
    <s v="City of Cocoa Beach"/>
    <m/>
    <m/>
    <m/>
    <n v="0"/>
    <n v="1"/>
    <n v="0.31810655981926"/>
    <n v="5.5651354563650002E-2"/>
    <n v="100.32830302126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4.802377357297402"/>
    <n v="108.373011611005"/>
    <n v="8.1369264400000002E-2"/>
  </r>
  <r>
    <n v="830000"/>
    <n v="2400000"/>
    <n v="2400000"/>
    <x v="0"/>
    <x v="0"/>
    <s v="BR3-5, BR-7"/>
    <s v="62-304.520 (10), F.A.C."/>
    <n v="0.59"/>
    <n v="0.64"/>
    <s v="City of Cocoa Beach"/>
    <n v="0.27769618740592"/>
    <n v="3772.1578557585699"/>
    <n v="9.4019674621254392"/>
    <n v="1.6428056320798301"/>
    <n v="2.6108905183467899"/>
    <n v="0.45620086067755"/>
    <n v="1047.51385483746"/>
    <n v="1300"/>
    <s v="Residential, High Density"/>
    <n v="1300"/>
    <s v="City of Cocoa Beach           Brevard County"/>
    <s v="City of Cocoa Beach"/>
    <m/>
    <m/>
    <m/>
    <n v="0"/>
    <n v="1"/>
    <n v="2.6108905183467899"/>
    <n v="0.45620086067755"/>
    <n v="1047.5138548374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4.95867214132599"/>
    <n v="1123.79659947966"/>
    <n v="0.8495651702"/>
  </r>
  <r>
    <n v="830000"/>
    <n v="2400000"/>
    <n v="2400000"/>
    <x v="0"/>
    <x v="0"/>
    <s v="BR3-5, BR-7"/>
    <s v="62-304.520 (10), F.A.C."/>
    <n v="0.59"/>
    <n v="0.64"/>
    <s v="City of Cocoa Beach"/>
    <n v="0.34006726612389998"/>
    <n v="3772.1578557585699"/>
    <n v="9.4019674621254392"/>
    <n v="1.6428056320798301"/>
    <n v="3.1973013710309299"/>
    <n v="0.55866442007434003"/>
    <n v="1282.78740939564"/>
    <n v="1300"/>
    <s v="Residential, High Density"/>
    <n v="1300"/>
    <s v="City of Cocoa Beach           Brevard County"/>
    <s v="City of Cocoa Beach"/>
    <m/>
    <m/>
    <m/>
    <n v="0"/>
    <n v="1"/>
    <n v="3.1973013710309299"/>
    <n v="0.55866442007434003"/>
    <n v="1282.7874093956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5.05494416285799"/>
    <n v="1376.2033999615401"/>
    <n v="1.0403790829999999"/>
  </r>
  <r>
    <n v="830000"/>
    <n v="2400000"/>
    <n v="2400000"/>
    <x v="0"/>
    <x v="0"/>
    <s v="BR3-5, BR-7"/>
    <s v="62-304.520 (10), F.A.C."/>
    <n v="0.59"/>
    <n v="0.64"/>
    <s v="City of Cocoa Beach"/>
    <n v="6.2020006546620002E-2"/>
    <n v="3703.6532917064201"/>
    <n v="7.8158993568162298"/>
    <n v="1.0621180944037401"/>
    <n v="0.48474212927751997"/>
    <n v="6.5872571168210006E-2"/>
    <n v="229.70060139806799"/>
    <n v="1450"/>
    <s v="Tourist Services"/>
    <n v="1450"/>
    <s v="City of Cocoa Beach           Brevard County"/>
    <s v="City of Cocoa Beach"/>
    <m/>
    <m/>
    <m/>
    <n v="0"/>
    <n v="1"/>
    <n v="0.48474212927751997"/>
    <n v="6.5872571168210006E-2"/>
    <n v="229.70060139806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0.064253460763"/>
    <n v="250.98606181050499"/>
    <n v="0.18629408059999999"/>
  </r>
  <r>
    <n v="830000"/>
    <n v="2400000"/>
    <n v="2400000"/>
    <x v="0"/>
    <x v="0"/>
    <s v="BR3-5, BR-7"/>
    <s v="62-304.520 (10), F.A.C."/>
    <n v="0.59"/>
    <n v="0.64"/>
    <s v="City of Cocoa Beach"/>
    <n v="4.0985237628710001E-2"/>
    <n v="3701.46234073202"/>
    <n v="7.4631608493218904"/>
    <n v="1.01878397874913"/>
    <n v="0.30587942087078002"/>
    <n v="4.1755103461360001E-2"/>
    <n v="151.70531360864501"/>
    <n v="1450"/>
    <s v="Tourist Services"/>
    <n v="1450"/>
    <s v="City of Cocoa Beach           Brevard County"/>
    <s v="City of Cocoa Beach"/>
    <m/>
    <m/>
    <m/>
    <n v="0"/>
    <n v="1"/>
    <n v="0.30587942087078002"/>
    <n v="4.1755103461360001E-2"/>
    <n v="151.70531360864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650378195393"/>
    <n v="165.86137212135799"/>
    <n v="0.12303756170000001"/>
  </r>
  <r>
    <n v="830000"/>
    <n v="2400000"/>
    <n v="2400000"/>
    <x v="0"/>
    <x v="0"/>
    <s v="BR3-5, BR-7"/>
    <s v="62-304.520 (10), F.A.C."/>
    <n v="0.59"/>
    <n v="0.64"/>
    <s v="City of Cocoa Beach"/>
    <n v="0.20903184137151001"/>
    <n v="3759.49731767804"/>
    <n v="8.0615853241044597"/>
    <n v="1.14374272956833"/>
    <n v="1.68512802467116"/>
    <n v="0.23907864881695001"/>
    <n v="785.854646945524"/>
    <n v="1400"/>
    <s v="Commercial and Services"/>
    <n v="1400"/>
    <s v="City of Cocoa Beach           Brevard County"/>
    <s v="City of Cocoa Beach"/>
    <m/>
    <m/>
    <m/>
    <n v="0"/>
    <n v="1"/>
    <n v="1.68512802467116"/>
    <n v="0.23907864881695001"/>
    <n v="785.85464694552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3.84631458548901"/>
    <n v="845.92184974042596"/>
    <n v="0.63735170070000002"/>
  </r>
  <r>
    <n v="830000"/>
    <n v="2400000"/>
    <n v="2400000"/>
    <x v="0"/>
    <x v="0"/>
    <s v="BR3-5, BR-7"/>
    <s v="62-304.520 (10), F.A.C."/>
    <n v="0.59"/>
    <n v="0.64"/>
    <s v="City of Cocoa Beach"/>
    <n v="4.5988064047379998E-2"/>
    <n v="3759.49731767804"/>
    <n v="8.0615853241044597"/>
    <n v="1.14374272956833"/>
    <n v="0.37073670220839"/>
    <n v="5.2598513901119998E-2"/>
    <n v="172.89200343135701"/>
    <n v="1300"/>
    <s v="Residential, High Density"/>
    <n v="1300"/>
    <s v="City of Cocoa Beach           Brevard County"/>
    <s v="City of Cocoa Beach"/>
    <m/>
    <m/>
    <m/>
    <n v="0"/>
    <n v="1"/>
    <n v="0.37073670220839"/>
    <n v="5.2598513901119998E-2"/>
    <n v="172.89200343135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7.449177869968"/>
    <n v="186.10709234390899"/>
    <n v="0.14022060289999999"/>
  </r>
  <r>
    <n v="830000"/>
    <n v="2400000"/>
    <n v="2400000"/>
    <x v="0"/>
    <x v="0"/>
    <s v="BR3-5, BR-7"/>
    <s v="62-304.520 (10), F.A.C."/>
    <n v="0.59"/>
    <n v="0.64"/>
    <s v="City of Cocoa Beach"/>
    <n v="9.5131205900170004E-2"/>
    <n v="3701.6378278848201"/>
    <n v="9.2271126743660403"/>
    <n v="1.3570614954720499"/>
    <n v="0.87778635568924002"/>
    <n v="0.12909889654494999"/>
    <n v="352.14127037239501"/>
    <n v="1200"/>
    <s v="Residential, Medium Density-Two-five dwellingunits per acre"/>
    <n v="1200"/>
    <s v="City of Cocoa Beach           Brevard County"/>
    <s v="City of Cocoa Beach"/>
    <m/>
    <m/>
    <m/>
    <n v="0"/>
    <n v="1"/>
    <n v="0.87778635568924002"/>
    <n v="0.12909889654494999"/>
    <n v="1351.2561788608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4.981823560137101"/>
    <n v="384.98233156778701"/>
    <n v="1.0959093096999999"/>
  </r>
  <r>
    <n v="830000"/>
    <n v="2400000"/>
    <n v="2400000"/>
    <x v="0"/>
    <x v="0"/>
    <s v="BR3-5, BR-7"/>
    <s v="62-304.520 (10), F.A.C."/>
    <n v="0.59"/>
    <n v="0.64"/>
    <s v="City of Cocoa Beach"/>
    <n v="3.0164138632620002E-2"/>
    <n v="3701.6378278848201"/>
    <n v="9.2271126743660403"/>
    <n v="1.3570614954720499"/>
    <n v="0.27832790588841"/>
    <n v="4.0934591082410002E-2"/>
    <n v="111.65671660807899"/>
    <n v="1210"/>
    <s v="Fixed Single Family Units"/>
    <n v="1210"/>
    <s v="City of Cocoa Beach           Brevard County"/>
    <s v="City of Cocoa Beach"/>
    <m/>
    <m/>
    <m/>
    <n v="0"/>
    <n v="1"/>
    <n v="0.27832790588841"/>
    <n v="4.0934591082410002E-2"/>
    <n v="184.73087102467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4.590504054359897"/>
    <n v="122.069938151592"/>
    <n v="0.14982227980000001"/>
  </r>
  <r>
    <n v="830000"/>
    <n v="2400000"/>
    <n v="2400000"/>
    <x v="0"/>
    <x v="0"/>
    <s v="BR3-5, BR-7"/>
    <s v="62-304.520 (10), F.A.C."/>
    <n v="0.59"/>
    <n v="0.64"/>
    <s v="City of Cocoa Beach"/>
    <n v="3.6759390984190003E-2"/>
    <n v="3701.6378278848201"/>
    <n v="9.2271126743660403"/>
    <n v="1.3570614954720499"/>
    <n v="0.33918304245219999"/>
    <n v="4.9884754101639998E-2"/>
    <n v="136.06995219708901"/>
    <n v="1210"/>
    <s v="Fixed Single Family Units"/>
    <n v="1210"/>
    <s v="City of Cocoa Beach           Brevard County"/>
    <s v="City of Cocoa Beach"/>
    <m/>
    <m/>
    <m/>
    <n v="0"/>
    <n v="1"/>
    <n v="0.33918304245219999"/>
    <n v="4.9884754101639998E-2"/>
    <n v="234.34102351799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9.0758656035662"/>
    <n v="148.759977487887"/>
    <n v="0.19005760220000001"/>
  </r>
  <r>
    <n v="830000"/>
    <n v="2400000"/>
    <n v="2400000"/>
    <x v="0"/>
    <x v="0"/>
    <s v="BR3-5, BR-7"/>
    <s v="62-304.520 (10), F.A.C."/>
    <n v="0.59"/>
    <n v="0.64"/>
    <s v="City of Cocoa Beach"/>
    <n v="0.61776345366790997"/>
    <n v="3752.9178025176302"/>
    <n v="10.7970529167505"/>
    <n v="2.0803219520304999"/>
    <n v="6.6700246992869996"/>
    <n v="1.28514687382753"/>
    <n v="2318.4154630150902"/>
    <n v="1300"/>
    <s v="Residential, High Density"/>
    <n v="1300"/>
    <s v="City of Cocoa Beach           Brevard County"/>
    <s v="City of Cocoa Beach"/>
    <m/>
    <m/>
    <m/>
    <n v="0"/>
    <n v="1"/>
    <n v="6.6700246992869996"/>
    <n v="1.28514687382753"/>
    <n v="2318.4154630150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803045117999999"/>
  </r>
  <r>
    <n v="830000"/>
    <n v="2400000"/>
    <n v="2400000"/>
    <x v="0"/>
    <x v="0"/>
    <s v="BR3-5, BR-7"/>
    <s v="62-304.520 (10), F.A.C."/>
    <n v="0.59"/>
    <n v="0.64"/>
    <s v="City of Cocoa Beach"/>
    <n v="2.2749129344700001E-3"/>
    <n v="3733.4838596110799"/>
    <n v="11.7942611998131"/>
    <n v="2.39496022151762"/>
    <n v="2.6830917356E-2"/>
    <n v="5.4483259854700003E-3"/>
    <n v="8.4933507228754195"/>
    <n v="1300"/>
    <s v="Residential, High Density"/>
    <n v="1300"/>
    <s v="City of Cocoa Beach           Brevard County"/>
    <s v="City of Cocoa Beach"/>
    <m/>
    <m/>
    <m/>
    <n v="0"/>
    <n v="1"/>
    <n v="2.6830917356E-2"/>
    <n v="5.4483259854700003E-3"/>
    <n v="8.4933507228738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.169270985165801"/>
    <n v="9.2062460192711892"/>
    <n v="6.8883623E-3"/>
  </r>
  <r>
    <n v="830000"/>
    <n v="2400000"/>
    <n v="2400000"/>
    <x v="0"/>
    <x v="0"/>
    <s v="BR3-5, BR-7"/>
    <s v="62-304.520 (10), F.A.C."/>
    <n v="0.59"/>
    <n v="0.64"/>
    <s v="City of Cocoa Beach"/>
    <n v="5.6971348866659999E-2"/>
    <n v="3733.4838596110799"/>
    <n v="11.7942611998131"/>
    <n v="2.39496022151762"/>
    <n v="0.67193496943909004"/>
    <n v="0.13644411430184999"/>
    <n v="212.701611453954"/>
    <n v="1300"/>
    <s v="Residential, High Density"/>
    <n v="1300"/>
    <s v="City of Cocoa Beach           Brevard County"/>
    <s v="City of Cocoa Beach"/>
    <m/>
    <m/>
    <m/>
    <n v="0"/>
    <n v="1"/>
    <n v="0.67193496943909004"/>
    <n v="0.13644411430184999"/>
    <n v="212.70161145395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521770862043"/>
    <n v="230.554869053842"/>
    <n v="0.17250738970000001"/>
  </r>
  <r>
    <n v="830000"/>
    <n v="2400000"/>
    <n v="2400000"/>
    <x v="0"/>
    <x v="0"/>
    <s v="BR3-5, BR-7"/>
    <s v="62-304.520 (10), F.A.C."/>
    <n v="0.59"/>
    <n v="0.64"/>
    <s v="City of Cocoa Beach"/>
    <n v="0.16117243238076001"/>
    <n v="3672.8799240073099"/>
    <n v="7.4739828555063204"/>
    <n v="1.01459676622211"/>
    <n v="1.2045999963940599"/>
    <n v="0.16352502869766999"/>
    <n v="591.96699119472601"/>
    <n v="1850"/>
    <s v="Parks and Zoos"/>
    <n v="1850"/>
    <s v="City of Cocoa Beach           Brevard County"/>
    <s v="City of Cocoa Beach"/>
    <m/>
    <m/>
    <m/>
    <n v="0"/>
    <n v="1"/>
    <n v="1.2045999963940599"/>
    <n v="0.16352502869766999"/>
    <n v="591.96699119472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6.146142345854"/>
    <n v="652.24169309391596"/>
    <n v="0.48010299369999998"/>
  </r>
  <r>
    <n v="830000"/>
    <n v="2400000"/>
    <n v="2400000"/>
    <x v="0"/>
    <x v="0"/>
    <s v="BR3-5, BR-7"/>
    <s v="62-304.520 (10), F.A.C."/>
    <n v="0.59"/>
    <n v="0.64"/>
    <s v="Natural Lands"/>
    <n v="1.528844766003E-2"/>
    <n v="3672.8799240073099"/>
    <n v="7.4739828555063204"/>
    <n v="1.01459676622211"/>
    <n v="0.11426559569838"/>
    <n v="1.5511609556419999E-2"/>
    <n v="56.152632479768101"/>
    <n v="4200"/>
    <s v="Upland Hardwood Forest"/>
    <n v="4200"/>
    <s v="City of Cocoa Beach           Brevard County"/>
    <s v="City of Cocoa Beach"/>
    <m/>
    <m/>
    <s v="Natural Lands"/>
    <n v="0"/>
    <n v="1"/>
    <n v="0.11426559569838"/>
    <n v="1.5511609556419999E-2"/>
    <n v="56.1526324797677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537576967975"/>
    <n v="61.870152601526499"/>
    <n v="4.5541470000000001E-2"/>
  </r>
  <r>
    <n v="830000"/>
    <n v="2400000"/>
    <n v="2400000"/>
    <x v="0"/>
    <x v="0"/>
    <s v="BR3-5, BR-7"/>
    <s v="62-304.520 (10), F.A.C."/>
    <n v="0.59"/>
    <n v="0.64"/>
    <s v="FDOT District 5"/>
    <n v="4.6198315858829997E-2"/>
    <n v="3774.46272523159"/>
    <n v="10.6418536584173"/>
    <n v="1.4008455664980699"/>
    <n v="0.49163571663506"/>
    <n v="6.4716705950519995E-2"/>
    <n v="174.373821177648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9163571663506"/>
    <n v="6.4716705950519995E-2"/>
    <n v="174.37382117764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7.55461832427901"/>
    <n v="186.95795123738901"/>
    <n v="0.1414224016"/>
  </r>
  <r>
    <n v="830000"/>
    <n v="2400000"/>
    <n v="2400000"/>
    <x v="0"/>
    <x v="0"/>
    <s v="BR3-5, BR-7"/>
    <s v="62-304.520 (10), F.A.C."/>
    <n v="0.59"/>
    <n v="0.64"/>
    <s v="FDOT District 5"/>
    <n v="0.16987375751990999"/>
    <n v="3774.46272523159"/>
    <n v="10.6418536584173"/>
    <n v="1.4008455664980699"/>
    <n v="1.80777166793243"/>
    <n v="0.23796690008613999"/>
    <n v="641.18216575396002"/>
    <n v="8140"/>
    <s v="Roads and Highways"/>
    <n v="8140"/>
    <s v="FDOT District 5                                 City of Cocoa Beach           Brevard County"/>
    <s v="FDOT District 5"/>
    <m/>
    <m/>
    <m/>
    <n v="0"/>
    <n v="1"/>
    <n v="1.80777166793243"/>
    <n v="0.23796690008613999"/>
    <n v="786.013813580884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7.608839904942"/>
    <n v="687.45470661669901"/>
    <n v="0.63748078959999999"/>
  </r>
  <r>
    <n v="830000"/>
    <n v="2400000"/>
    <n v="2400000"/>
    <x v="0"/>
    <x v="0"/>
    <s v="BR3-5, BR-7"/>
    <s v="62-304.520 (10), F.A.C."/>
    <n v="0.59"/>
    <n v="0.64"/>
    <s v="City of Cocoa Beach"/>
    <n v="0.36112961370273"/>
    <n v="3774.46272523159"/>
    <n v="10.6418536584173"/>
    <n v="1.4008455664980699"/>
    <n v="3.8430885007453099"/>
    <n v="0.50588681828663995"/>
    <n v="1363.07026589826"/>
    <n v="1450"/>
    <s v="Tourist Services"/>
    <n v="1450"/>
    <s v="City of Cocoa Beach           Brevard County"/>
    <s v="City of Cocoa Beach"/>
    <m/>
    <m/>
    <m/>
    <n v="0"/>
    <n v="1"/>
    <n v="3.8430885007453099"/>
    <n v="0.50588681828663995"/>
    <n v="1363.0702658982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8.48316595109901"/>
    <n v="1461.4396965317501"/>
    <n v="1.1054908887999999"/>
  </r>
  <r>
    <n v="830000"/>
    <n v="2400000"/>
    <n v="2400000"/>
    <x v="0"/>
    <x v="0"/>
    <s v="BR3-5, BR-7"/>
    <s v="62-304.520 (10), F.A.C."/>
    <n v="0.59"/>
    <n v="0.64"/>
    <s v="FDOT District 5"/>
    <n v="2.1903059653500001E-3"/>
    <n v="3774.46272523159"/>
    <n v="10.6418536584173"/>
    <n v="1.4008455664980699"/>
    <n v="2.3308915550420001E-2"/>
    <n v="3.0682804008299999E-3"/>
    <n v="8.2672282230697505"/>
    <n v="1450"/>
    <s v="Tourist Services"/>
    <n v="1450"/>
    <s v="FDOT District 5                                 City of Cocoa Beach           Brevard County"/>
    <s v="FDOT District 5"/>
    <m/>
    <m/>
    <m/>
    <n v="0"/>
    <n v="1"/>
    <n v="2.3308915550420001E-2"/>
    <n v="3.0682804008299999E-3"/>
    <n v="8.2672282230693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08772347601"/>
    <n v="8.8638537629013001"/>
    <n v="6.7049702000000003E-3"/>
  </r>
  <r>
    <n v="830000"/>
    <n v="2400000"/>
    <n v="2400000"/>
    <x v="0"/>
    <x v="0"/>
    <s v="BR3-5, BR-7"/>
    <s v="62-304.520 (10), F.A.C."/>
    <n v="0.59"/>
    <n v="0.64"/>
    <s v="City of Cocoa Beach"/>
    <n v="1.0397169587100001E-3"/>
    <n v="3552.9250313555699"/>
    <n v="8.9846101347280598"/>
    <n v="1.1926649910545599"/>
    <n v="9.3414515244900007E-3"/>
    <n v="1.24003401726E-3"/>
    <n v="3.6940364081327499"/>
    <n v="1400"/>
    <s v="Commercial and Services"/>
    <n v="1400"/>
    <s v="City of Cocoa Beach           Brevard County"/>
    <s v="City of Cocoa Beach"/>
    <m/>
    <m/>
    <m/>
    <n v="0"/>
    <n v="1"/>
    <n v="9.3414515244900007E-3"/>
    <n v="1.24003401726E-3"/>
    <n v="3.6940364081320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8.268899064293699"/>
    <n v="4.2075852518409897"/>
    <n v="2.9959743999999999E-3"/>
  </r>
  <r>
    <n v="830000"/>
    <n v="2400000"/>
    <n v="2400000"/>
    <x v="0"/>
    <x v="0"/>
    <s v="BR3-5, BR-7"/>
    <s v="62-304.520 (10), F.A.C."/>
    <n v="0.59"/>
    <n v="0.64"/>
    <s v="FDOT District 5"/>
    <n v="3.3832649949449997E-2"/>
    <n v="3552.9250313555699"/>
    <n v="8.9846101347280598"/>
    <n v="1.1926649910545599"/>
    <n v="0.30397316962059001"/>
    <n v="4.0351017149319997E-2"/>
    <n v="120.20486888251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0397316962059001"/>
    <n v="4.0351017149319997E-2"/>
    <n v="120.20486888251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9.188027154549403"/>
    <n v="136.91587673477099"/>
    <n v="9.7489755799999994E-2"/>
  </r>
  <r>
    <n v="830000"/>
    <n v="2400000"/>
    <n v="2400000"/>
    <x v="0"/>
    <x v="0"/>
    <s v="BR3-5, BR-7"/>
    <s v="62-304.520 (10), F.A.C."/>
    <n v="0.59"/>
    <n v="0.64"/>
    <s v="Natural Lands"/>
    <n v="0.18029455700304001"/>
    <n v="3552.9250313555699"/>
    <n v="8.9846101347280598"/>
    <n v="1.1926649910545599"/>
    <n v="1.6198763040858599"/>
    <n v="0.21503100621522001"/>
    <n v="640.57304459328304"/>
    <n v="4200"/>
    <s v="Upland Hardwood Forest"/>
    <n v="4200"/>
    <s v="City of Cocoa Beach           Brevard County"/>
    <s v="City of Cocoa Beach"/>
    <m/>
    <m/>
    <s v="Natural Lands"/>
    <n v="0"/>
    <n v="1"/>
    <n v="1.6198763040858599"/>
    <n v="0.21503100621522001"/>
    <n v="640.573044593283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4.44316755825299"/>
    <n v="729.62618593153604"/>
    <n v="0.51952396160000003"/>
  </r>
  <r>
    <n v="830000"/>
    <n v="2400000"/>
    <n v="2400000"/>
    <x v="0"/>
    <x v="0"/>
    <s v="BR3-5, BR-7"/>
    <s v="62-304.520 (10), F.A.C."/>
    <n v="0.59"/>
    <n v="0.64"/>
    <s v="FDOT District 5"/>
    <n v="3.8161360092959999E-2"/>
    <n v="3552.9250313555699"/>
    <n v="8.9846101347280598"/>
    <n v="1.1926649910545599"/>
    <n v="0.34286494264621997"/>
    <n v="4.5513718193900002E-2"/>
    <n v="135.584451504854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34286494264621997"/>
    <n v="4.5513718193900002E-2"/>
    <n v="135.58445150485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4.115319084338196"/>
    <n v="154.43354517971599"/>
    <n v="0.1099630588"/>
  </r>
  <r>
    <n v="830000"/>
    <n v="2400000"/>
    <n v="2400000"/>
    <x v="0"/>
    <x v="0"/>
    <s v="BR3-5, BR-7"/>
    <s v="62-304.520 (10), F.A.C."/>
    <n v="0.59"/>
    <n v="0.64"/>
    <s v="FDOT District 5"/>
    <n v="0.15052544544442001"/>
    <n v="3552.9250313555699"/>
    <n v="8.9846101347280598"/>
    <n v="1.1926649910545599"/>
    <n v="1.3524124426744699"/>
    <n v="0.17952642904446001"/>
    <n v="534.80562297545896"/>
    <n v="8140"/>
    <s v="Roads and Highways"/>
    <n v="8140"/>
    <s v="FDOT District 5                                 City of Cocoa Beach           Brevard County"/>
    <s v="FDOT District 5"/>
    <m/>
    <m/>
    <m/>
    <n v="0"/>
    <n v="1"/>
    <n v="1.3524124426744699"/>
    <n v="0.17952642904446001"/>
    <n v="534.805622975458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3.971570932468"/>
    <n v="609.15486563140905"/>
    <n v="0.4337434087"/>
  </r>
  <r>
    <n v="830000"/>
    <n v="2400000"/>
    <n v="2400000"/>
    <x v="0"/>
    <x v="0"/>
    <s v="BR3-5, BR-7"/>
    <s v="62-304.520 (10), F.A.C."/>
    <n v="0.59"/>
    <n v="0.64"/>
    <s v="City of Cocoa Beach"/>
    <n v="0.21390972435739"/>
    <n v="3552.9250313555699"/>
    <n v="8.9846101347280598"/>
    <n v="1.1926649910545599"/>
    <n v="1.9218954773782899"/>
    <n v="0.25512263948718999"/>
    <n v="760.00521411974205"/>
    <n v="1410"/>
    <s v="Retail Sales and Services"/>
    <n v="1410"/>
    <s v="City of Cocoa Beach           Brevard County"/>
    <s v="City of Cocoa Beach"/>
    <m/>
    <m/>
    <m/>
    <n v="0"/>
    <n v="1"/>
    <n v="1.9218954773782899"/>
    <n v="0.25512263948718999"/>
    <n v="760.005214119742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8.202054145616"/>
    <n v="865.66194182951904"/>
    <n v="0.61638703500000003"/>
  </r>
  <r>
    <n v="830000"/>
    <n v="2400000"/>
    <n v="2400000"/>
    <x v="0"/>
    <x v="0"/>
    <s v="BR3-5, BR-7"/>
    <s v="62-304.520 (10), F.A.C."/>
    <n v="0.59"/>
    <n v="0.64"/>
    <s v="City of Cocoa Beach"/>
    <n v="0.40902739147485001"/>
    <n v="3769.57365293564"/>
    <n v="11.3312801317694"/>
    <n v="1.7170505951625199"/>
    <n v="4.63480395436848"/>
    <n v="0.70232072596966999"/>
    <n v="1541.8588782326001"/>
    <n v="1410"/>
    <s v="Retail Sales and Services"/>
    <n v="1410"/>
    <s v="City of Cocoa Beach           Brevard County"/>
    <s v="City of Cocoa Beach"/>
    <m/>
    <m/>
    <m/>
    <n v="0"/>
    <n v="1"/>
    <n v="4.63480395436848"/>
    <n v="0.70232072596966999"/>
    <n v="1541.8588782326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6.211068541727"/>
    <n v="1655.27512612752"/>
    <n v="1.2504938185000001"/>
  </r>
  <r>
    <n v="830000"/>
    <n v="2400000"/>
    <n v="2400000"/>
    <x v="0"/>
    <x v="0"/>
    <s v="BR3-5, BR-7"/>
    <s v="62-304.520 (10), F.A.C."/>
    <n v="0.59"/>
    <n v="0.64"/>
    <s v="City of Cocoa Beach"/>
    <n v="0.20873606207799"/>
    <n v="3769.57365293564"/>
    <n v="11.3312801317694"/>
    <n v="1.7170505951625199"/>
    <n v="2.3652467930081502"/>
    <n v="0.35841037962290001"/>
    <n v="786.84596002674198"/>
    <n v="1300"/>
    <s v="Residential, High Density"/>
    <n v="1300"/>
    <s v="City of Cocoa Beach           Brevard County"/>
    <s v="City of Cocoa Beach"/>
    <m/>
    <m/>
    <m/>
    <n v="0"/>
    <n v="1"/>
    <n v="2.3652467930081502"/>
    <n v="0.35841037962290001"/>
    <n v="786.84596002674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3.789058432899"/>
    <n v="844.72487340681198"/>
    <n v="0.6381556853"/>
  </r>
  <r>
    <n v="830000"/>
    <n v="2400000"/>
    <n v="2400000"/>
    <x v="0"/>
    <x v="0"/>
    <s v="BR3-5, BR-7"/>
    <s v="62-304.520 (10), F.A.C."/>
    <n v="0.59"/>
    <n v="0.64"/>
    <s v="FDOT District 5"/>
    <n v="3.0406770390850001E-2"/>
    <n v="3750.1361160933702"/>
    <n v="10.327900290150501"/>
    <n v="1.8705883523956801"/>
    <n v="0.31403809274227001"/>
    <n v="5.6878550527100002E-2"/>
    <n v="114.029527816511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31403809274227001"/>
    <n v="5.6878550527100002E-2"/>
    <n v="114.02952781651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748794652732"/>
    <n v="123.051834040682"/>
    <n v="9.2481368899999999E-2"/>
  </r>
  <r>
    <n v="830000"/>
    <n v="2400000"/>
    <n v="2400000"/>
    <x v="0"/>
    <x v="0"/>
    <s v="BR3-5, BR-7"/>
    <s v="62-304.520 (10), F.A.C."/>
    <n v="0.59"/>
    <n v="0.64"/>
    <s v="FDOT District 5"/>
    <n v="0.13650378613292"/>
    <n v="3750.1361160933702"/>
    <n v="10.327900290150501"/>
    <n v="1.8705883523956801"/>
    <n v="1.40979749240892"/>
    <n v="0.25534239239815998"/>
    <n v="511.90777836057902"/>
    <n v="8140"/>
    <s v="Roads and Highways"/>
    <n v="8140"/>
    <s v="FDOT District 5                                 City of Cocoa Beach           Brevard County"/>
    <s v="FDOT District 5"/>
    <m/>
    <m/>
    <m/>
    <n v="0"/>
    <n v="1"/>
    <n v="1.40979749240892"/>
    <n v="0.25534239239815998"/>
    <n v="511.90777836057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933955081395"/>
    <n v="552.41122359395501"/>
    <n v="0.41517256959999999"/>
  </r>
  <r>
    <n v="830000"/>
    <n v="2400000"/>
    <n v="2400000"/>
    <x v="0"/>
    <x v="0"/>
    <s v="BR3-5, BR-7"/>
    <s v="62-304.520 (10), F.A.C."/>
    <n v="0.59"/>
    <n v="0.64"/>
    <s v="City of Cocoa Beach"/>
    <n v="0.20025667662248001"/>
    <n v="3750.1361160933702"/>
    <n v="10.327900290150501"/>
    <n v="1.8705883523956801"/>
    <n v="2.0682309885939301"/>
    <n v="0.37459780677948001"/>
    <n v="750.98979549080605"/>
    <n v="1300"/>
    <s v="Residential, High Density"/>
    <n v="1300"/>
    <s v="City of Cocoa Beach           Brevard County"/>
    <s v="City of Cocoa Beach"/>
    <m/>
    <m/>
    <m/>
    <n v="0"/>
    <n v="1"/>
    <n v="2.0682309885939301"/>
    <n v="0.37459780677948001"/>
    <n v="750.989795490806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6.77485869027799"/>
    <n v="810.41001791817598"/>
    <n v="0.6090752599"/>
  </r>
  <r>
    <n v="830000"/>
    <n v="2400000"/>
    <n v="2400000"/>
    <x v="0"/>
    <x v="0"/>
    <s v="BR3-5, BR-7"/>
    <s v="62-304.520 (10), F.A.C."/>
    <n v="0.59"/>
    <n v="0.64"/>
    <s v="FDOT District 5"/>
    <n v="4.0892512233E-4"/>
    <n v="3750.1361160933702"/>
    <n v="10.327900290150501"/>
    <n v="1.8705883523956801"/>
    <n v="4.2233378896199998E-3"/>
    <n v="7.6493057083999998E-4"/>
    <n v="1.53352487005013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4.2233378896199998E-3"/>
    <n v="7.6493057083999998E-4"/>
    <n v="1.5335248700496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4.294945306826598"/>
    <n v="1.6548612576056401"/>
    <n v="1.2437347000000001E-3"/>
  </r>
  <r>
    <n v="830000"/>
    <n v="2400000"/>
    <n v="2400000"/>
    <x v="0"/>
    <x v="0"/>
    <s v="BR3-5, BR-7"/>
    <s v="62-304.520 (10), F.A.C."/>
    <n v="0.59"/>
    <n v="0.64"/>
    <s v="City of Cocoa Beach"/>
    <n v="0.24940574423611001"/>
    <n v="3750.1361160933702"/>
    <n v="10.327900290150501"/>
    <n v="1.8705883523956801"/>
    <n v="2.5758376582614"/>
    <n v="0.46653548018864999"/>
    <n v="935.305489021006"/>
    <n v="1300"/>
    <s v="Residential, High Density"/>
    <n v="1300"/>
    <s v="City of Cocoa Beach           Brevard County"/>
    <s v="City of Cocoa Beach"/>
    <m/>
    <m/>
    <m/>
    <n v="0"/>
    <n v="1"/>
    <n v="2.5758376582614"/>
    <n v="0.46653548018864999"/>
    <n v="935.3054890210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8.44840830527301"/>
    <n v="1009.30923784537"/>
    <n v="0.75856081829999999"/>
  </r>
  <r>
    <n v="830000"/>
    <n v="2400000"/>
    <n v="2400000"/>
    <x v="0"/>
    <x v="0"/>
    <s v="BR3-5, BR-7"/>
    <s v="62-304.520 (10), F.A.C."/>
    <n v="0.59"/>
    <n v="0.64"/>
    <s v="FDOT District 5"/>
    <n v="7.8155104811999997E-4"/>
    <n v="3750.1361160933702"/>
    <n v="10.327900290150501"/>
    <n v="1.8705883523956801"/>
    <n v="8.0717812966999997E-3"/>
    <n v="1.4619602874199999E-3"/>
    <n v="2.93092281214793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8.0717812966999997E-3"/>
    <n v="1.4619602874199999E-3"/>
    <n v="2.9309228121465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6.338809038198697"/>
    <n v="3.1628248785406399"/>
    <n v="2.3770663999999999E-3"/>
  </r>
  <r>
    <n v="830000"/>
    <n v="2400000"/>
    <n v="2400000"/>
    <x v="0"/>
    <x v="0"/>
    <s v="BR3-5, BR-7"/>
    <s v="62-304.520 (10), F.A.C."/>
    <n v="0.59"/>
    <n v="0.64"/>
    <s v="City of Cocoa Beach"/>
    <n v="2.0405038038629999E-2"/>
    <n v="3761.5557009618501"/>
    <n v="11.0123278048905"/>
    <n v="1.90039453450717"/>
    <n v="0.22470696775273999"/>
    <n v="3.8777622765030002E-2"/>
    <n v="76.754687162582201"/>
    <n v="1300"/>
    <s v="Residential, High Density"/>
    <n v="1300"/>
    <s v="City of Cocoa Beach           Brevard County"/>
    <s v="City of Cocoa Beach"/>
    <m/>
    <m/>
    <m/>
    <n v="0"/>
    <n v="1"/>
    <n v="0.22470696775273999"/>
    <n v="3.8777622765030002E-2"/>
    <n v="331.483633299407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8.543594670314306"/>
    <n v="82.576259235977801"/>
    <n v="0.2688431738"/>
  </r>
  <r>
    <n v="830000"/>
    <n v="2400000"/>
    <n v="2400000"/>
    <x v="0"/>
    <x v="0"/>
    <s v="BR3-5, BR-7"/>
    <s v="62-304.520 (10), F.A.C."/>
    <n v="0.59"/>
    <n v="0.64"/>
    <s v="City of Cocoa Beach"/>
    <n v="5.0572200016560001E-2"/>
    <n v="3761.5557009618501"/>
    <n v="11.0123278048905"/>
    <n v="1.90039453450717"/>
    <n v="0.55691764439688995"/>
    <n v="9.6107132509479998E-2"/>
    <n v="190.23014728248901"/>
    <n v="1400"/>
    <s v="Commercial and Services"/>
    <n v="1400"/>
    <s v="City of Cocoa Beach           Brevard County"/>
    <s v="City of Cocoa Beach"/>
    <m/>
    <m/>
    <m/>
    <n v="0"/>
    <n v="1"/>
    <n v="0.55691764439688995"/>
    <n v="9.6107132509479998E-2"/>
    <n v="283.673083564230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1.575305680787"/>
    <n v="204.65843243193001"/>
    <n v="0.23006738330000001"/>
  </r>
  <r>
    <n v="830000"/>
    <n v="2400000"/>
    <n v="2400000"/>
    <x v="0"/>
    <x v="0"/>
    <s v="BR3-5, BR-7"/>
    <s v="62-304.520 (10), F.A.C."/>
    <n v="0.59"/>
    <n v="0.64"/>
    <s v="City of Cocoa Beach"/>
    <n v="7.8091062743200004E-3"/>
    <n v="3761.5557009618501"/>
    <n v="11.0123278048905"/>
    <n v="1.90039453450717"/>
    <n v="8.5996438156109994E-2"/>
    <n v="1.4840382883109999E-2"/>
    <n v="29.3743882256117"/>
    <n v="1430"/>
    <s v="Professional Services"/>
    <n v="1430"/>
    <s v="City of Cocoa Beach           Brevard County"/>
    <s v="City of Cocoa Beach"/>
    <m/>
    <m/>
    <m/>
    <n v="0"/>
    <n v="1"/>
    <n v="8.5996438156109994E-2"/>
    <n v="1.4840382883109999E-2"/>
    <n v="29.374388225612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8.556064967352299"/>
    <n v="31.602331879464799"/>
    <n v="2.38235103E-2"/>
  </r>
  <r>
    <n v="830000"/>
    <n v="2400000"/>
    <n v="2400000"/>
    <x v="0"/>
    <x v="0"/>
    <s v="BR3-5, BR-7"/>
    <s v="62-304.520 (10), F.A.C."/>
    <n v="0.59"/>
    <n v="0.64"/>
    <s v="City of Cocoa Beach"/>
    <n v="1.508550975955E-2"/>
    <n v="3761.5557009618501"/>
    <n v="11.0123278048905"/>
    <n v="1.90039453450717"/>
    <n v="0.16612657857609001"/>
    <n v="2.866842029731E-2"/>
    <n v="56.744985237969701"/>
    <n v="1300"/>
    <s v="Residential, High Density"/>
    <n v="1300"/>
    <s v="City of Cocoa Beach           Brevard County"/>
    <s v="City of Cocoa Beach"/>
    <m/>
    <m/>
    <m/>
    <n v="0"/>
    <n v="1"/>
    <n v="0.16612657857609001"/>
    <n v="2.866842029731E-2"/>
    <n v="56.744985237971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8.738877031233102"/>
    <n v="61.048892055635001"/>
    <n v="4.6021885800000002E-2"/>
  </r>
  <r>
    <n v="830000"/>
    <n v="2400000"/>
    <n v="2400000"/>
    <x v="0"/>
    <x v="0"/>
    <s v="BR3-5, BR-7"/>
    <s v="62-304.520 (10), F.A.C."/>
    <n v="0.59"/>
    <n v="0.64"/>
    <s v="City of Cocoa Beach"/>
    <n v="1.3333417118769999E-2"/>
    <n v="3479.2192043318701"/>
    <n v="9.7515968682342198"/>
    <n v="1.70589508875323"/>
    <n v="0.13002210861832"/>
    <n v="2.2745410779220002E-2"/>
    <n v="46.389880899016298"/>
    <n v="1200"/>
    <s v="Residential, Medium Density-Two-five dwellingunits per acre"/>
    <n v="1200"/>
    <s v="City of Cocoa Beach           Brevard County"/>
    <s v="City of Cocoa Beach"/>
    <m/>
    <m/>
    <m/>
    <n v="0"/>
    <n v="1"/>
    <n v="0.13002210861832"/>
    <n v="2.2745410779220002E-2"/>
    <n v="46.389880899017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8.191758419498598"/>
    <n v="53.958424699662302"/>
    <n v="3.7623585500000001E-2"/>
  </r>
  <r>
    <n v="830000"/>
    <n v="2400000"/>
    <n v="2400000"/>
    <x v="0"/>
    <x v="0"/>
    <s v="BR3-5, BR-7"/>
    <s v="62-304.520 (10), F.A.C."/>
    <n v="0.59"/>
    <n v="0.64"/>
    <s v="Natural Lands"/>
    <n v="3.6780172208929998E-2"/>
    <n v="3479.2192043318701"/>
    <n v="9.7515968682342198"/>
    <n v="1.70589508875323"/>
    <n v="0.35866541212571001"/>
    <n v="6.2743115134709995E-2"/>
    <n v="127.966281487942"/>
    <n v="5400"/>
    <s v="Bays and estuaries"/>
    <n v="5400"/>
    <s v="City of Cocoa Beach           Brevard County"/>
    <s v="City of Cocoa Beach"/>
    <m/>
    <m/>
    <s v="Natural Lands"/>
    <n v="0"/>
    <n v="1"/>
    <n v="0.35866541212571001"/>
    <n v="6.2743115134709995E-2"/>
    <n v="127.96628148794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5.211147856098407"/>
    <n v="148.844076120685"/>
    <n v="0.1037844943"/>
  </r>
  <r>
    <n v="830000"/>
    <n v="2400000"/>
    <n v="2400000"/>
    <x v="0"/>
    <x v="0"/>
    <s v="BR3-5, BR-7"/>
    <s v="62-304.520 (10), F.A.C."/>
    <n v="0.59"/>
    <n v="0.64"/>
    <s v="City of Cocoa Beach"/>
    <n v="4.1454914797799999E-3"/>
    <n v="3479.2192043318701"/>
    <n v="9.7515968682342198"/>
    <n v="1.70589508875323"/>
    <n v="4.0425161731550002E-2"/>
    <n v="7.07177355583E-3"/>
    <n v="14.4230735678586"/>
    <n v="1210"/>
    <s v="Fixed Single Family Units"/>
    <n v="1210"/>
    <s v="City of Cocoa Beach           Brevard County"/>
    <s v="City of Cocoa Beach"/>
    <m/>
    <m/>
    <m/>
    <n v="0"/>
    <n v="1"/>
    <n v="4.0425161731550002E-2"/>
    <n v="7.07177355583E-3"/>
    <n v="14.4230735678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.689425165084302"/>
    <n v="16.776208818969799"/>
    <n v="1.16975455E-2"/>
  </r>
  <r>
    <n v="830000"/>
    <n v="2400000"/>
    <n v="2400000"/>
    <x v="0"/>
    <x v="0"/>
    <s v="BR3-5, BR-7"/>
    <s v="62-304.520 (10), F.A.C."/>
    <n v="0.59"/>
    <n v="0.64"/>
    <s v="City of Cocoa Beach"/>
    <n v="0.14694995055985"/>
    <n v="3479.2192043318701"/>
    <n v="9.7515968682342198"/>
    <n v="1.70589508875323"/>
    <n v="1.4329966776666101"/>
    <n v="0.25068119895258001"/>
    <n v="511.27109006345302"/>
    <n v="1210"/>
    <s v="Fixed Single Family Units"/>
    <n v="1210"/>
    <s v="City of Cocoa Beach           Brevard County"/>
    <s v="City of Cocoa Beach"/>
    <m/>
    <m/>
    <m/>
    <n v="0"/>
    <n v="1"/>
    <n v="1.4329966776666101"/>
    <n v="0.25068119895258001"/>
    <n v="511.27109006345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5.910074115917197"/>
    <n v="594.68535119449598"/>
    <n v="0.4146561963"/>
  </r>
  <r>
    <n v="830000"/>
    <n v="2400000"/>
    <n v="2400000"/>
    <x v="0"/>
    <x v="0"/>
    <s v="BR3-5, BR-7"/>
    <s v="62-304.520 (10), F.A.C."/>
    <n v="0.59"/>
    <n v="0.64"/>
    <s v="City of Cocoa Beach"/>
    <n v="0.16923200929442"/>
    <n v="3479.2192043318701"/>
    <n v="9.7515968682342198"/>
    <n v="1.70589508875323"/>
    <n v="1.65028233184052"/>
    <n v="0.2886920535152"/>
    <n v="588.79525672484397"/>
    <n v="1210"/>
    <s v="Fixed Single Family Units"/>
    <n v="1210"/>
    <s v="City of Cocoa Beach           Brevard County"/>
    <s v="City of Cocoa Beach"/>
    <m/>
    <m/>
    <m/>
    <n v="0"/>
    <n v="1"/>
    <n v="1.65028233184052"/>
    <n v="0.2886920535152"/>
    <n v="588.795256724843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73630926782801"/>
    <n v="684.85764368881303"/>
    <n v="0.4775306218"/>
  </r>
  <r>
    <n v="830000"/>
    <n v="2400000"/>
    <n v="2400000"/>
    <x v="0"/>
    <x v="0"/>
    <s v="BR3-5, BR-7"/>
    <s v="62-304.520 (10), F.A.C."/>
    <n v="0.59"/>
    <n v="0.64"/>
    <s v="City of Cocoa Beach"/>
    <n v="1.1775461278539999E-2"/>
    <n v="3479.2192043318701"/>
    <n v="9.7515968682342198"/>
    <n v="1.70589508875323"/>
    <n v="0.11482955132583"/>
    <n v="2.0087701562860001E-2"/>
    <n v="40.969411020166199"/>
    <n v="1210"/>
    <s v="Fixed Single Family Units"/>
    <n v="1210"/>
    <s v="City of Cocoa Beach           Brevard County"/>
    <s v="City of Cocoa Beach"/>
    <m/>
    <m/>
    <m/>
    <n v="0"/>
    <n v="1"/>
    <n v="0.11482955132583"/>
    <n v="2.0087701562860001E-2"/>
    <n v="40.969411020167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6.807116253537203"/>
    <n v="47.653601101787302"/>
    <n v="3.3227421799999997E-2"/>
  </r>
  <r>
    <n v="830000"/>
    <n v="2400000"/>
    <n v="2400000"/>
    <x v="0"/>
    <x v="0"/>
    <s v="BR3-5, BR-7"/>
    <s v="62-304.520 (10), F.A.C."/>
    <n v="0.59"/>
    <n v="0.64"/>
    <s v="City of Cocoa Beach"/>
    <n v="0.23554695168157"/>
    <n v="3479.2192043318701"/>
    <n v="9.7515968682342198"/>
    <n v="1.70589508875323"/>
    <n v="2.29695891634015"/>
    <n v="0.40181838804439002"/>
    <n v="819.51947781236402"/>
    <n v="1300"/>
    <s v="Residential, High Density"/>
    <n v="1300"/>
    <s v="City of Cocoa Beach           Brevard County"/>
    <s v="City of Cocoa Beach"/>
    <m/>
    <m/>
    <m/>
    <n v="0"/>
    <n v="1"/>
    <n v="2.29695891634015"/>
    <n v="0.40181838804439002"/>
    <n v="819.519477812364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6.71187222923899"/>
    <n v="953.22469418931996"/>
    <n v="0.6646548887"/>
  </r>
  <r>
    <n v="830000"/>
    <n v="2400000"/>
    <n v="2400000"/>
    <x v="0"/>
    <x v="0"/>
    <s v="BR3-5, BR-7"/>
    <s v="62-304.520 (10), F.A.C."/>
    <n v="0.59"/>
    <n v="0.64"/>
    <s v="City of Cocoa Beach"/>
    <n v="0.61776345348380002"/>
    <n v="3779.1325310953198"/>
    <n v="11.6116997690464"/>
    <n v="1.5330342591461601"/>
    <n v="7.1732837501432201"/>
    <n v="0.94705253823911995"/>
    <n v="2334.6099635824398"/>
    <n v="1450"/>
    <s v="Tourist Services"/>
    <n v="1450"/>
    <s v="City of Cocoa Beach           Brevard County"/>
    <s v="City of Cocoa Beach"/>
    <m/>
    <m/>
    <m/>
    <n v="0"/>
    <n v="1"/>
    <n v="7.1732837501432201"/>
    <n v="0.94705253823911995"/>
    <n v="2334.60996358243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0197"/>
    <n v="2499.9999992549401"/>
    <n v="1.8934387376999999"/>
  </r>
  <r>
    <n v="830000"/>
    <n v="2400000"/>
    <n v="2400000"/>
    <x v="0"/>
    <x v="0"/>
    <s v="BR3-5, BR-7"/>
    <s v="62-304.520 (10), F.A.C."/>
    <n v="0.59"/>
    <n v="0.64"/>
    <s v="City of Cocoa Beach"/>
    <n v="0.61776345375996"/>
    <n v="3777.8979850190599"/>
    <n v="11.607767305589199"/>
    <n v="1.5325164546010399"/>
    <n v="7.1708544211428498"/>
    <n v="0.94673265793830996"/>
    <n v="2333.84730717819"/>
    <n v="1410"/>
    <s v="Retail Sales and Services"/>
    <n v="1410"/>
    <s v="City of Cocoa Beach           Brevard County"/>
    <s v="City of Cocoa Beach"/>
    <m/>
    <m/>
    <m/>
    <n v="0"/>
    <n v="1"/>
    <n v="7.1708544211428498"/>
    <n v="0.94673265793830996"/>
    <n v="2333.8473071781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1490099"/>
    <n v="2500.0000003725199"/>
    <n v="1.8928202005000001"/>
  </r>
  <r>
    <n v="830000"/>
    <n v="2400000"/>
    <n v="2400000"/>
    <x v="0"/>
    <x v="0"/>
    <s v="BR3-5, BR-7"/>
    <s v="62-304.520 (10), F.A.C."/>
    <n v="0.59"/>
    <n v="0.64"/>
    <s v="City of Cocoa Beach"/>
    <n v="4.0945869764040001E-2"/>
    <n v="3817.4301523215699"/>
    <n v="9.9298790340724103"/>
    <n v="1.3521374183667001"/>
    <n v="0.40658753370182998"/>
    <n v="5.5364442635530003E-2"/>
    <n v="156.30799785029001"/>
    <n v="1200"/>
    <s v="Residential, Medium Density-Two-five dwellingunits per acre"/>
    <n v="1200"/>
    <s v="City of Cocoa Beach           Brevard County"/>
    <s v="City of Cocoa Beach"/>
    <m/>
    <m/>
    <m/>
    <n v="0"/>
    <n v="1"/>
    <n v="0.40658753370182998"/>
    <n v="5.5364442635530003E-2"/>
    <n v="468.067727972435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5.109534604436206"/>
    <n v="165.70205602537101"/>
    <n v="0.37961697319999999"/>
  </r>
  <r>
    <n v="830000"/>
    <n v="2400000"/>
    <n v="2400000"/>
    <x v="0"/>
    <x v="0"/>
    <s v="BR3-5, BR-7"/>
    <s v="62-304.520 (10), F.A.C."/>
    <n v="0.59"/>
    <n v="0.64"/>
    <s v="City of Cocoa Beach"/>
    <n v="0.23274509086874001"/>
    <n v="3817.4301523215699"/>
    <n v="9.9298790340724103"/>
    <n v="1.3521374183667001"/>
    <n v="2.3111305981008301"/>
    <n v="0.31470334630479002"/>
    <n v="888.48812768717596"/>
    <n v="1400"/>
    <s v="Commercial and Services"/>
    <n v="1400"/>
    <s v="City of Cocoa Beach           Brevard County"/>
    <s v="City of Cocoa Beach"/>
    <m/>
    <m/>
    <m/>
    <n v="0"/>
    <n v="1"/>
    <n v="2.3111305981008301"/>
    <n v="0.31470334630479002"/>
    <n v="910.803089520846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8.279903223014"/>
    <n v="941.88596576425505"/>
    <n v="0.73868863709999999"/>
  </r>
  <r>
    <n v="830000"/>
    <n v="2400000"/>
    <n v="2400000"/>
    <x v="0"/>
    <x v="0"/>
    <s v="BR3-5, BR-7"/>
    <s v="62-304.520 (10), F.A.C."/>
    <n v="0.59"/>
    <n v="0.64"/>
    <s v="City of Cocoa Beach"/>
    <n v="8.2663415257999999E-4"/>
    <n v="3817.4301523215699"/>
    <n v="9.9298790340724103"/>
    <n v="1.3521374183667001"/>
    <n v="8.2083771405900008E-3"/>
    <n v="1.1177229690000001E-3"/>
    <n v="3.1556181390129501"/>
    <n v="1410"/>
    <s v="Retail Sales and Services"/>
    <n v="1410"/>
    <s v="City of Cocoa Beach           Brevard County"/>
    <s v="City of Cocoa Beach"/>
    <m/>
    <m/>
    <m/>
    <n v="0"/>
    <n v="1"/>
    <n v="8.2083771405900008E-3"/>
    <n v="1.1177229690000001E-3"/>
    <n v="3.1556181390131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.7344075300618"/>
    <n v="3.34526972935994"/>
    <n v="2.5593009999999999E-3"/>
  </r>
  <r>
    <n v="830000"/>
    <n v="2400000"/>
    <n v="2400000"/>
    <x v="0"/>
    <x v="0"/>
    <s v="BR3-5, BR-7"/>
    <s v="62-304.520 (10), F.A.C."/>
    <n v="0.59"/>
    <n v="0.64"/>
    <s v="City of Cocoa Beach"/>
    <n v="0.22033020572833001"/>
    <n v="3817.4301523215699"/>
    <n v="9.9298790340724103"/>
    <n v="1.3521374183667001"/>
    <n v="2.1878522904346398"/>
    <n v="0.29791671556171001"/>
    <n v="841.09517081455795"/>
    <n v="1410"/>
    <s v="Retail Sales and Services"/>
    <n v="1410"/>
    <s v="City of Cocoa Beach           Brevard County"/>
    <s v="City of Cocoa Beach"/>
    <m/>
    <m/>
    <m/>
    <n v="0"/>
    <n v="1"/>
    <n v="2.1878522904346398"/>
    <n v="0.29791671556171001"/>
    <n v="976.24239940190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3.2214327451"/>
    <n v="891.64470810042098"/>
    <n v="0.79176188110000001"/>
  </r>
  <r>
    <n v="830000"/>
    <n v="2400000"/>
    <n v="2400000"/>
    <x v="0"/>
    <x v="0"/>
    <s v="BR3-5, BR-7"/>
    <s v="62-304.520 (10), F.A.C."/>
    <n v="0.59"/>
    <n v="0.64"/>
    <s v="City of Cocoa Beach"/>
    <n v="8.1685610743999996E-4"/>
    <n v="3779.9864986702501"/>
    <n v="9.5981039986658594"/>
    <n v="1.3949880616693899"/>
    <n v="7.8402698711600004E-3"/>
    <n v="1.13950451798E-3"/>
    <n v="3.08770505748332"/>
    <n v="1400"/>
    <s v="Commercial and Services"/>
    <n v="1400"/>
    <s v="City of Cocoa Beach           Brevard County"/>
    <s v="City of Cocoa Beach"/>
    <m/>
    <m/>
    <m/>
    <n v="0"/>
    <n v="1"/>
    <n v="7.8402698711600004E-3"/>
    <n v="1.13950451798E-3"/>
    <n v="3.0877050574828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033187767718"/>
    <n v="3.3056993845737499"/>
    <n v="2.5042214999999998E-3"/>
  </r>
  <r>
    <n v="830000"/>
    <n v="2400000"/>
    <n v="2400000"/>
    <x v="0"/>
    <x v="0"/>
    <s v="BR3-5, BR-7"/>
    <s v="62-304.520 (10), F.A.C."/>
    <n v="0.59"/>
    <n v="0.64"/>
    <s v="FDOT District 5"/>
    <n v="0.10365772484251"/>
    <n v="3779.9864986702501"/>
    <n v="9.5981039986658594"/>
    <n v="1.3949880616693899"/>
    <n v="0.99491762330351996"/>
    <n v="0.14460128865510999"/>
    <n v="391.82480038757097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99491762330351996"/>
    <n v="0.14460128865510999"/>
    <n v="391.824800387570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9.650106025287"/>
    <n v="419.48792951029202"/>
    <n v="0.31778167099999999"/>
  </r>
  <r>
    <n v="830000"/>
    <n v="2400000"/>
    <n v="2400000"/>
    <x v="0"/>
    <x v="0"/>
    <s v="BR3-5, BR-7"/>
    <s v="62-304.520 (10), F.A.C."/>
    <n v="0.59"/>
    <n v="0.64"/>
    <s v="FDOT District 5"/>
    <n v="2.1891845443E-4"/>
    <n v="3779.9864986702501"/>
    <n v="9.5981039986658594"/>
    <n v="1.3949880616693899"/>
    <n v="2.1012020929200002E-3"/>
    <n v="3.0538863041999997E-4"/>
    <n v="0.82750880208539002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2.1012020929200002E-3"/>
    <n v="3.0538863041999997E-4"/>
    <n v="0.827508802085770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.682749018859999"/>
    <n v="0.88593155332469997"/>
    <n v="6.7113450000000005E-4"/>
  </r>
  <r>
    <n v="830000"/>
    <n v="2400000"/>
    <n v="2400000"/>
    <x v="0"/>
    <x v="0"/>
    <s v="BR3-5, BR-7"/>
    <s v="62-304.520 (10), F.A.C."/>
    <n v="0.59"/>
    <n v="0.64"/>
    <s v="City of Cocoa Beach"/>
    <n v="5.4134817380000004E-6"/>
    <n v="3779.9864986702501"/>
    <n v="9.5981039986658594"/>
    <n v="1.3949880616693899"/>
    <n v="5.1959160709999997E-5"/>
    <n v="7.551742396575E-6"/>
    <n v="2.0462887880429999E-2"/>
    <n v="8140"/>
    <s v="Roads and Highways"/>
    <n v="8140"/>
    <s v="City of Cocoa Beach           Brevard County"/>
    <s v="City of Cocoa Beach"/>
    <m/>
    <m/>
    <m/>
    <n v="0"/>
    <n v="1"/>
    <n v="5.1959160709999997E-5"/>
    <n v="7.551742396575E-6"/>
    <n v="2.0462887879520001E-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.0975461432346201"/>
    <n v="2.1907583337989998E-2"/>
    <n v="1.6595999999999998E-5"/>
  </r>
  <r>
    <n v="830000"/>
    <n v="2400000"/>
    <n v="2400000"/>
    <x v="0"/>
    <x v="0"/>
    <s v="BR3-5, BR-7"/>
    <s v="62-304.520 (10), F.A.C."/>
    <n v="0.59"/>
    <n v="0.64"/>
    <s v="FDOT District 5"/>
    <n v="0.29057048819327003"/>
    <n v="3779.9864986702501"/>
    <n v="9.5981039986658594"/>
    <n v="1.3949880616693899"/>
    <n v="2.7889257646221202"/>
    <n v="0.40534236210306002"/>
    <n v="1098.3525222825799"/>
    <n v="8140"/>
    <s v="Roads and Highways"/>
    <n v="8140"/>
    <s v="FDOT District 5                                 City of Cocoa Beach           Brevard County"/>
    <s v="FDOT District 5"/>
    <m/>
    <m/>
    <m/>
    <n v="0"/>
    <n v="1"/>
    <n v="2.7889257646221202"/>
    <n v="0.40534236210306002"/>
    <n v="1098.3525222825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9.186704200473"/>
    <n v="1175.8970463048399"/>
    <n v="0.89079685509999995"/>
  </r>
  <r>
    <n v="830000"/>
    <n v="2400000"/>
    <n v="2400000"/>
    <x v="0"/>
    <x v="0"/>
    <s v="BR3-5, BR-7"/>
    <s v="62-304.520 (10), F.A.C."/>
    <n v="0.59"/>
    <n v="0.64"/>
    <s v="City of Cocoa Beach"/>
    <n v="9.0980037266349997E-2"/>
    <n v="3779.9864986702501"/>
    <n v="9.5981039986658594"/>
    <n v="1.3949880616693899"/>
    <n v="0.87323585948496996"/>
    <n v="0.12691606583680001"/>
    <n v="343.90331251533797"/>
    <n v="1300"/>
    <s v="Residential, High Density"/>
    <n v="1300"/>
    <s v="City of Cocoa Beach           Brevard County"/>
    <s v="City of Cocoa Beach"/>
    <m/>
    <m/>
    <m/>
    <n v="0"/>
    <n v="1"/>
    <n v="0.87323585948496996"/>
    <n v="0.12691606583680001"/>
    <n v="343.903312515337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924167297728"/>
    <n v="368.18314812153898"/>
    <n v="0.27891590630000002"/>
  </r>
  <r>
    <n v="830000"/>
    <n v="2400000"/>
    <n v="2400000"/>
    <x v="0"/>
    <x v="0"/>
    <s v="BR3-5, BR-7"/>
    <s v="62-304.520 (10), F.A.C."/>
    <n v="0.59"/>
    <n v="0.64"/>
    <s v="FDOT District 5"/>
    <n v="9.5917914667999996E-4"/>
    <n v="3779.9864986702501"/>
    <n v="9.5981039986658594"/>
    <n v="1.3949880616693899"/>
    <n v="9.2063012031899996E-3"/>
    <n v="1.33804345862E-3"/>
    <n v="3.62568422426023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9.2063012031899996E-3"/>
    <n v="1.33804345862E-3"/>
    <n v="3.6256842242616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4.115095310079795"/>
    <n v="3.88166028997962"/>
    <n v="2.9405387000000002E-3"/>
  </r>
  <r>
    <n v="830000"/>
    <n v="2400000"/>
    <n v="2400000"/>
    <x v="0"/>
    <x v="0"/>
    <s v="BR3-5, BR-7"/>
    <s v="62-304.520 (10), F.A.C."/>
    <n v="0.59"/>
    <n v="0.64"/>
    <s v="City of Cocoa Beach"/>
    <n v="2.896869173269E-2"/>
    <n v="3779.9864986702501"/>
    <n v="9.5981039986658594"/>
    <n v="1.3949880616693899"/>
    <n v="0.27804451595569002"/>
    <n v="4.0410979129290002E-2"/>
    <n v="109.50126363372701"/>
    <n v="1300"/>
    <s v="Residential, High Density"/>
    <n v="1300"/>
    <s v="City of Cocoa Beach           Brevard County"/>
    <s v="City of Cocoa Beach"/>
    <m/>
    <m/>
    <m/>
    <n v="0"/>
    <n v="1"/>
    <n v="0.27804451595569002"/>
    <n v="4.0410979129290002E-2"/>
    <n v="109.50126363372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5.087365129265301"/>
    <n v="117.23213618698099"/>
    <n v="8.8808810700000004E-2"/>
  </r>
  <r>
    <n v="830000"/>
    <n v="2400000"/>
    <n v="2400000"/>
    <x v="0"/>
    <x v="0"/>
    <s v="BR3-5, BR-7"/>
    <s v="62-304.520 (10), F.A.C."/>
    <n v="0.59"/>
    <n v="0.64"/>
    <s v="FDOT District 5"/>
    <n v="1.6474103306000001E-4"/>
    <n v="3779.9864986702501"/>
    <n v="9.5981039986658594"/>
    <n v="1.3949880616693899"/>
    <n v="1.5812015681599999E-3"/>
    <n v="2.2981177438E-4"/>
    <n v="0.622718880747569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5812015681599999E-3"/>
    <n v="2.2981177438E-4"/>
    <n v="0.62271888074824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.847534478645699"/>
    <n v="0.66668330767645001"/>
    <n v="5.0504369999999996E-4"/>
  </r>
  <r>
    <n v="830000"/>
    <n v="2400000"/>
    <n v="2400000"/>
    <x v="0"/>
    <x v="0"/>
    <s v="BR3-5, BR-7"/>
    <s v="62-304.520 (10), F.A.C."/>
    <n v="0.59"/>
    <n v="0.64"/>
    <s v="City of Cocoa Beach"/>
    <n v="0.10142140343273"/>
    <n v="3779.9864986702501"/>
    <n v="9.5981039986658594"/>
    <n v="1.3949880616693899"/>
    <n v="0.97345317783802998"/>
    <n v="0.14148164698641999"/>
    <n v="383.37153565192699"/>
    <n v="1410"/>
    <s v="Retail Sales and Services"/>
    <n v="1410"/>
    <s v="City of Cocoa Beach           Brevard County"/>
    <s v="City of Cocoa Beach"/>
    <m/>
    <m/>
    <m/>
    <n v="0"/>
    <n v="1"/>
    <n v="0.97345317783802998"/>
    <n v="0.14148164698641999"/>
    <n v="383.37153565192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84096050922101"/>
    <n v="410.43785785058299"/>
    <n v="0.31092581969999999"/>
  </r>
  <r>
    <n v="830000"/>
    <n v="2400000"/>
    <n v="2400000"/>
    <x v="0"/>
    <x v="0"/>
    <s v="BR3-5, BR-7"/>
    <s v="62-304.520 (10), F.A.C."/>
    <n v="0.59"/>
    <n v="0.64"/>
    <s v="FDOT District 5"/>
    <n v="2.5037409837360001E-2"/>
    <n v="3749.6178227435298"/>
    <n v="9.1118742840489908"/>
    <n v="1.29799284323793"/>
    <n v="0.22813773083624"/>
    <n v="3.2498378782110003E-2"/>
    <n v="93.880718161503097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2813773083624"/>
    <n v="3.2498378782110003E-2"/>
    <n v="93.8807181615042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07373410380301"/>
    <n v="101.322802800586"/>
    <n v="7.6140079599999994E-2"/>
  </r>
  <r>
    <n v="830000"/>
    <n v="2400000"/>
    <n v="2400000"/>
    <x v="0"/>
    <x v="0"/>
    <s v="BR3-5, BR-7"/>
    <s v="62-304.520 (10), F.A.C."/>
    <n v="0.59"/>
    <n v="0.64"/>
    <s v="City of Cocoa Beach"/>
    <n v="2.1719848154000002E-3"/>
    <n v="3749.6178227435298"/>
    <n v="9.1118742840489908"/>
    <n v="1.29799284323793"/>
    <n v="1.9790852584789999E-2"/>
    <n v="2.8192207460100002E-3"/>
    <n v="8.1441129745559095"/>
    <n v="1400"/>
    <s v="Commercial and Services"/>
    <n v="1400"/>
    <s v="City of Cocoa Beach           Brevard County"/>
    <s v="City of Cocoa Beach"/>
    <m/>
    <m/>
    <m/>
    <n v="0"/>
    <n v="1"/>
    <n v="1.9790852584789999E-2"/>
    <n v="2.8192207460100002E-3"/>
    <n v="8.14411297455579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9206044422301"/>
    <n v="8.7897106995606809"/>
    <n v="6.6051199999999999E-3"/>
  </r>
  <r>
    <n v="830000"/>
    <n v="2400000"/>
    <n v="2400000"/>
    <x v="0"/>
    <x v="0"/>
    <s v="BR3-5, BR-7"/>
    <s v="62-304.520 (10), F.A.C."/>
    <n v="0.59"/>
    <n v="0.64"/>
    <s v="FDOT District 5"/>
    <n v="4.7263780000420003E-2"/>
    <n v="3749.6178227435298"/>
    <n v="9.1118742840489908"/>
    <n v="1.29799284323793"/>
    <n v="0.43066162155283999"/>
    <n v="6.1348048184919998E-2"/>
    <n v="177.22111185982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3066162155283999"/>
    <n v="6.1348048184919998E-2"/>
    <n v="177.22111185982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7.818448791466"/>
    <n v="191.269731641627"/>
    <n v="0.14373163980000001"/>
  </r>
  <r>
    <n v="830000"/>
    <n v="2400000"/>
    <n v="2400000"/>
    <x v="0"/>
    <x v="0"/>
    <s v="BR3-5, BR-7"/>
    <s v="62-304.520 (10), F.A.C."/>
    <n v="0.59"/>
    <n v="0.64"/>
    <s v="FDOT District 5"/>
    <n v="0.30031411464865998"/>
    <n v="3749.6178227435298"/>
    <n v="9.1118742840489908"/>
    <n v="1.29799284323793"/>
    <n v="2.73642445840408"/>
    <n v="0.38980557153729001"/>
    <n v="1126.06315670806"/>
    <n v="8140"/>
    <s v="Roads and Highways"/>
    <n v="8140"/>
    <s v="FDOT District 5                                 City of Cocoa Beach           Brevard County"/>
    <s v="FDOT District 5"/>
    <m/>
    <m/>
    <m/>
    <n v="0"/>
    <n v="1"/>
    <n v="2.73642445840408"/>
    <n v="0.38980557153729001"/>
    <n v="1126.063156708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52475096188601"/>
    <n v="1215.3281036033"/>
    <n v="0.91327101109999997"/>
  </r>
  <r>
    <n v="830000"/>
    <n v="2400000"/>
    <n v="2400000"/>
    <x v="0"/>
    <x v="0"/>
    <s v="BR3-5, BR-7"/>
    <s v="62-304.520 (10), F.A.C."/>
    <n v="0.59"/>
    <n v="0.64"/>
    <s v="City of Cocoa Beach"/>
    <n v="3.582991648271E-2"/>
    <n v="3749.6178227435298"/>
    <n v="9.1118742840489908"/>
    <n v="1.29799284323793"/>
    <n v="0.32647769459845"/>
    <n v="4.6506975168369998E-2"/>
    <n v="134.34849343099299"/>
    <n v="1410"/>
    <s v="Retail Sales and Services"/>
    <n v="1410"/>
    <s v="City of Cocoa Beach           Brevard County"/>
    <s v="City of Cocoa Beach"/>
    <m/>
    <m/>
    <m/>
    <n v="0"/>
    <n v="1"/>
    <n v="0.32647769459845"/>
    <n v="4.6506975168369998E-2"/>
    <n v="134.34849343099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8.730341118992797"/>
    <n v="144.99852763212201"/>
    <n v="0.1089606597"/>
  </r>
  <r>
    <n v="830000"/>
    <n v="2400000"/>
    <n v="2400000"/>
    <x v="0"/>
    <x v="0"/>
    <s v="BR3-5, BR-7"/>
    <s v="62-304.520 (10), F.A.C."/>
    <n v="0.59"/>
    <n v="0.64"/>
    <s v="City of Cocoa Beach"/>
    <n v="6.0610893131439997E-2"/>
    <n v="3749.6178227435298"/>
    <n v="9.1118742840489908"/>
    <n v="1.29799284323793"/>
    <n v="0.55227883845765002"/>
    <n v="7.8672505506869994E-2"/>
    <n v="227.267685138069"/>
    <n v="1300"/>
    <s v="Residential, High Density"/>
    <n v="1300"/>
    <s v="City of Cocoa Beach           Brevard County"/>
    <s v="City of Cocoa Beach"/>
    <m/>
    <m/>
    <m/>
    <n v="0"/>
    <n v="1"/>
    <n v="0.55227883845765002"/>
    <n v="7.8672505506869994E-2"/>
    <n v="227.26768513806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83107832315601"/>
    <n v="245.283582136386"/>
    <n v="0.18432091249999999"/>
  </r>
  <r>
    <n v="830000"/>
    <n v="2400000"/>
    <n v="2400000"/>
    <x v="0"/>
    <x v="0"/>
    <s v="BR3-5, BR-7"/>
    <s v="62-304.520 (10), F.A.C."/>
    <n v="0.59"/>
    <n v="0.64"/>
    <s v="FDOT District 5"/>
    <n v="2.1696155774999998E-3"/>
    <n v="3749.6178227435298"/>
    <n v="9.1118742840489908"/>
    <n v="1.29799284323793"/>
    <n v="1.9769264386909999E-2"/>
    <n v="2.81614549217E-3"/>
    <n v="8.135229237903500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9769264386909999E-2"/>
    <n v="2.81614549217E-3"/>
    <n v="8.13522923790259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90674990775"/>
    <n v="8.7801227339520906"/>
    <n v="6.5979150000000002E-3"/>
  </r>
  <r>
    <n v="830000"/>
    <n v="2400000"/>
    <n v="2400000"/>
    <x v="0"/>
    <x v="0"/>
    <s v="BR3-5, BR-7"/>
    <s v="62-304.520 (10), F.A.C."/>
    <n v="0.59"/>
    <n v="0.64"/>
    <s v="City of Cocoa Beach"/>
    <n v="0.10158760708877999"/>
    <n v="3769.1017858895998"/>
    <n v="11.6969045114585"/>
    <n v="1.66902372716789"/>
    <n v="1.1882605396650401"/>
    <n v="0.16955212661738001"/>
    <n v="382.894031302575"/>
    <n v="1300"/>
    <s v="Residential, High Density"/>
    <n v="1300"/>
    <s v="City of Cocoa Beach           Brevard County"/>
    <s v="City of Cocoa Beach"/>
    <m/>
    <m/>
    <m/>
    <n v="0"/>
    <n v="1"/>
    <n v="1.1882605396650401"/>
    <n v="0.16955212661738001"/>
    <n v="382.89403130257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6.45283190188201"/>
    <n v="411.11046018347901"/>
    <n v="0.31053854930000002"/>
  </r>
  <r>
    <n v="830000"/>
    <n v="2400000"/>
    <n v="2400000"/>
    <x v="0"/>
    <x v="0"/>
    <s v="BR3-5, BR-7"/>
    <s v="62-304.520 (10), F.A.C."/>
    <n v="0.59"/>
    <n v="0.64"/>
    <s v="City of Cocoa Beach"/>
    <n v="3.3101158298020003E-2"/>
    <n v="3769.1017858895998"/>
    <n v="11.6969045114585"/>
    <n v="1.66902372716789"/>
    <n v="0.38718108783069999"/>
    <n v="5.5246618596140003E-2"/>
    <n v="124.761634856111"/>
    <n v="1400"/>
    <s v="Commercial and Services"/>
    <n v="1400"/>
    <s v="City of Cocoa Beach           Brevard County"/>
    <s v="City of Cocoa Beach"/>
    <m/>
    <m/>
    <m/>
    <n v="0"/>
    <n v="1"/>
    <n v="0.38718108783069999"/>
    <n v="5.5246618596140003E-2"/>
    <n v="124.76163485611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389371304683"/>
    <n v="133.955635047253"/>
    <n v="0.1011854297"/>
  </r>
  <r>
    <n v="830000"/>
    <n v="2400000"/>
    <n v="2400000"/>
    <x v="0"/>
    <x v="0"/>
    <s v="BR3-5, BR-7"/>
    <s v="62-304.520 (10), F.A.C."/>
    <n v="0.59"/>
    <n v="0.64"/>
    <s v="City of Cocoa Beach"/>
    <n v="0.48307468839617002"/>
    <n v="3769.1017858895998"/>
    <n v="11.6969045114585"/>
    <n v="1.66902372716789"/>
    <n v="5.65047850207264"/>
    <n v="0.80626311692744002"/>
    <n v="1820.75767075207"/>
    <n v="1450"/>
    <s v="Tourist Services"/>
    <n v="1450"/>
    <s v="City of Cocoa Beach           Brevard County"/>
    <s v="City of Cocoa Beach"/>
    <m/>
    <m/>
    <m/>
    <n v="0"/>
    <n v="1"/>
    <n v="5.65047850207264"/>
    <n v="0.80626311692744002"/>
    <n v="1820.757670752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8.220088618445"/>
    <n v="1954.9339052349201"/>
    <n v="1.4766891085"/>
  </r>
  <r>
    <n v="830000"/>
    <n v="2400000"/>
    <n v="2400000"/>
    <x v="0"/>
    <x v="0"/>
    <s v="BR3-5, BR-7"/>
    <s v="62-304.520 (10), F.A.C."/>
    <n v="0.59"/>
    <n v="0.64"/>
    <s v="City of Cocoa Beach"/>
    <n v="5.3445697863700001E-2"/>
    <n v="3775.4490399398601"/>
    <n v="10.715049529922601"/>
    <n v="1.47135991130282"/>
    <n v="0.57267329977088"/>
    <n v="7.8637857268249997E-2"/>
    <n v="201.78150868844099"/>
    <n v="1300"/>
    <s v="Residential, High Density"/>
    <n v="1300"/>
    <s v="City of Cocoa Beach           Brevard County"/>
    <s v="City of Cocoa Beach"/>
    <m/>
    <m/>
    <m/>
    <n v="0"/>
    <n v="1"/>
    <n v="0.57267329977088"/>
    <n v="7.8637857268249997E-2"/>
    <n v="201.78150868844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9.208095938254203"/>
    <n v="216.287065649384"/>
    <n v="0.1636508586"/>
  </r>
  <r>
    <n v="830000"/>
    <n v="2400000"/>
    <n v="2400000"/>
    <x v="0"/>
    <x v="0"/>
    <s v="BR3-5, BR-7"/>
    <s v="62-304.520 (10), F.A.C."/>
    <n v="0.59"/>
    <n v="0.64"/>
    <s v="FDOT District 5"/>
    <n v="3.3510835973000002E-3"/>
    <n v="3775.4490399398601"/>
    <n v="10.715049529922601"/>
    <n v="1.47135991130282"/>
    <n v="3.5907026723980003E-2"/>
    <n v="4.9306500644900001E-3"/>
    <n v="12.651845350184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5907026723980003E-2"/>
    <n v="4.9306500644900001E-3"/>
    <n v="12.651845350184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.807260940098399"/>
    <n v="13.561354177733"/>
    <n v="1.02610262E-2"/>
  </r>
  <r>
    <n v="830000"/>
    <n v="2400000"/>
    <n v="2400000"/>
    <x v="0"/>
    <x v="0"/>
    <s v="BR3-5, BR-7"/>
    <s v="62-304.520 (10), F.A.C."/>
    <n v="0.59"/>
    <n v="0.64"/>
    <s v="City of Cocoa Beach"/>
    <n v="1.301289623464E-2"/>
    <n v="3775.4490399398601"/>
    <n v="10.715049529922601"/>
    <n v="1.47135991130282"/>
    <n v="0.13943382768193999"/>
    <n v="1.9146653849589999E-2"/>
    <n v="49.129526595919998"/>
    <n v="1400"/>
    <s v="Commercial and Services"/>
    <n v="1400"/>
    <s v="City of Cocoa Beach           Brevard County"/>
    <s v="City of Cocoa Beach"/>
    <m/>
    <m/>
    <m/>
    <n v="0"/>
    <n v="1"/>
    <n v="0.13943382768193999"/>
    <n v="1.9146653849589999E-2"/>
    <n v="49.1295265959187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9.101657404124396"/>
    <n v="52.661322701188702"/>
    <n v="3.9845520400000001E-2"/>
  </r>
  <r>
    <n v="830000"/>
    <n v="2400000"/>
    <n v="2400000"/>
    <x v="0"/>
    <x v="0"/>
    <s v="BR3-5, BR-7"/>
    <s v="62-304.520 (10), F.A.C."/>
    <n v="0.59"/>
    <n v="0.64"/>
    <s v="FDOT District 5"/>
    <n v="3.4560499998480002E-2"/>
    <n v="3775.4490399398601"/>
    <n v="10.715049529922601"/>
    <n v="1.47135991130282"/>
    <n v="0.37031746926268"/>
    <n v="5.0850934212349999E-2"/>
    <n v="130.481406539129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7031746926268"/>
    <n v="5.0850934212349999E-2"/>
    <n v="130.48140653913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3.659041509706597"/>
    <n v="139.86138138023301"/>
    <n v="0.10582433619999999"/>
  </r>
  <r>
    <n v="830000"/>
    <n v="2400000"/>
    <n v="2400000"/>
    <x v="0"/>
    <x v="0"/>
    <s v="BR3-5, BR-7"/>
    <s v="62-304.520 (10), F.A.C."/>
    <n v="0.59"/>
    <n v="0.64"/>
    <s v="FDOT District 5"/>
    <n v="0.17792443407739"/>
    <n v="3775.4490399398601"/>
    <n v="10.715049529922601"/>
    <n v="1.47135991130282"/>
    <n v="1.9064691237227001"/>
    <n v="0.26179087954271002"/>
    <n v="671.74463381932901"/>
    <n v="8140"/>
    <s v="Roads and Highways"/>
    <n v="8140"/>
    <s v="FDOT District 5                                 City of Cocoa Beach           Brevard County"/>
    <s v="FDOT District 5"/>
    <m/>
    <m/>
    <m/>
    <n v="0"/>
    <n v="1"/>
    <n v="1.9064691237227001"/>
    <n v="0.26179087954271002"/>
    <n v="671.74463381932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9.33210800491901"/>
    <n v="720.03463874797399"/>
    <n v="0.54480505580000005"/>
  </r>
  <r>
    <n v="830000"/>
    <n v="2400000"/>
    <n v="2400000"/>
    <x v="0"/>
    <x v="0"/>
    <s v="BR3-5, BR-7"/>
    <s v="62-304.520 (10), F.A.C."/>
    <n v="0.59"/>
    <n v="0.64"/>
    <s v="City of Cocoa Beach"/>
    <n v="0.33362093583646002"/>
    <n v="3775.4490399398601"/>
    <n v="10.715049529922601"/>
    <n v="1.47135991130282"/>
    <n v="3.5747648517068402"/>
    <n v="0.49087647056110001"/>
    <n v="1259.56884190761"/>
    <n v="1450"/>
    <s v="Tourist Services"/>
    <n v="1450"/>
    <s v="City of Cocoa Beach           Brevard County"/>
    <s v="City of Cocoa Beach"/>
    <m/>
    <m/>
    <m/>
    <n v="0"/>
    <n v="1"/>
    <n v="3.5747648517068402"/>
    <n v="0.49087647056110001"/>
    <n v="1259.5688419076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27573917152799"/>
    <n v="1350.1160268368801"/>
    <n v="1.0215481281000001"/>
  </r>
  <r>
    <n v="830000"/>
    <n v="2400000"/>
    <n v="2400000"/>
    <x v="0"/>
    <x v="0"/>
    <s v="BR3-5, BR-7"/>
    <s v="62-304.520 (10), F.A.C."/>
    <n v="0.59"/>
    <n v="0.64"/>
    <s v="FDOT District 5"/>
    <n v="1.8479061289600001E-3"/>
    <n v="3775.4490399398601"/>
    <n v="10.715049529922601"/>
    <n v="1.47135991130282"/>
    <n v="1.9800405698500001E-2"/>
    <n v="2.7189349980099998E-3"/>
    <n v="6.9766754204999"/>
    <n v="1450"/>
    <s v="Tourist Services"/>
    <n v="1450"/>
    <s v="FDOT District 5                                 City of Cocoa Beach           Brevard County"/>
    <s v="FDOT District 5"/>
    <m/>
    <m/>
    <m/>
    <n v="0"/>
    <n v="1"/>
    <n v="1.9800405698500001E-2"/>
    <n v="2.7189349980099998E-3"/>
    <n v="6.97667542050083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5.106034680829495"/>
    <n v="7.47821078599533"/>
    <n v="5.6582930999999996E-3"/>
  </r>
  <r>
    <n v="830000"/>
    <n v="2400000"/>
    <n v="2400000"/>
    <x v="0"/>
    <x v="0"/>
    <s v="BR3-5, BR-7"/>
    <s v="62-304.520 (10), F.A.C."/>
    <n v="0.59"/>
    <n v="0.64"/>
    <s v="FDOT District 5"/>
    <n v="2.8474618120000001E-5"/>
    <n v="3707.3769272067798"/>
    <n v="9.6629750552156697"/>
    <n v="1.62943679997128"/>
    <n v="2.7514952468E-4"/>
    <n v="4.6397590639999999E-5"/>
    <n v="0.105566142262470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7514952468E-4"/>
    <n v="4.6397590639999999E-5"/>
    <n v="0.1055661422608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.2622351535290601"/>
    <n v="0.11523269124894001"/>
    <n v="8.5617299999999998E-5"/>
  </r>
  <r>
    <n v="830000"/>
    <n v="2400000"/>
    <n v="2400000"/>
    <x v="0"/>
    <x v="0"/>
    <s v="BR3-5, BR-7"/>
    <s v="62-304.520 (10), F.A.C."/>
    <n v="0.59"/>
    <n v="0.64"/>
    <s v="FDOT District 5"/>
    <n v="4.2061341982519998E-2"/>
    <n v="3707.3769272067798"/>
    <n v="9.6629750552156697"/>
    <n v="1.62943679997128"/>
    <n v="0.40643769836602001"/>
    <n v="6.8536298482499994E-2"/>
    <n v="155.93724879336301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40643769836602001"/>
    <n v="6.8536298482499994E-2"/>
    <n v="155.93724879336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851434190489"/>
    <n v="170.21621193674099"/>
    <n v="0.12646978819999999"/>
  </r>
  <r>
    <n v="830000"/>
    <n v="2400000"/>
    <n v="2400000"/>
    <x v="0"/>
    <x v="0"/>
    <s v="BR3-5, BR-7"/>
    <s v="62-304.520 (10), F.A.C."/>
    <n v="0.59"/>
    <n v="0.64"/>
    <s v="FDOT District 5"/>
    <n v="0.23896295678415"/>
    <n v="3707.3769272067798"/>
    <n v="9.6629750552156697"/>
    <n v="1.62943679997128"/>
    <n v="2.3090930905258702"/>
    <n v="0.38937503561404002"/>
    <n v="885.92575243868805"/>
    <n v="8140"/>
    <s v="Roads and Highways"/>
    <n v="8140"/>
    <s v="FDOT District 5                                 City of Cocoa Beach           Brevard County"/>
    <s v="FDOT District 5"/>
    <m/>
    <m/>
    <m/>
    <n v="0"/>
    <n v="1"/>
    <n v="2.3090930905258702"/>
    <n v="0.38937503561404002"/>
    <n v="885.925752438688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0.36457385806099"/>
    <n v="967.04877637765298"/>
    <n v="0.71851237020000003"/>
  </r>
  <r>
    <n v="830000"/>
    <n v="2400000"/>
    <n v="2400000"/>
    <x v="0"/>
    <x v="0"/>
    <s v="BR3-5, BR-7"/>
    <s v="62-304.520 (10), F.A.C."/>
    <n v="0.59"/>
    <n v="0.64"/>
    <s v="City of Cocoa Beach"/>
    <n v="0.33602169145071997"/>
    <n v="3707.3769272067798"/>
    <n v="9.6629750552156697"/>
    <n v="1.62943679997128"/>
    <n v="3.2469692224997302"/>
    <n v="0.54752610963839998"/>
    <n v="1245.7590659254099"/>
    <n v="1300"/>
    <s v="Residential, High Density"/>
    <n v="1300"/>
    <s v="City of Cocoa Beach           Brevard County"/>
    <s v="City of Cocoa Beach"/>
    <m/>
    <m/>
    <m/>
    <n v="0"/>
    <n v="1"/>
    <n v="3.2469692224997302"/>
    <n v="0.54752610963839998"/>
    <n v="1245.7590659254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4.49856670488401"/>
    <n v="1359.8315401130701"/>
    <n v="1.0103479852999999"/>
  </r>
  <r>
    <n v="830000"/>
    <n v="2400000"/>
    <n v="2400000"/>
    <x v="0"/>
    <x v="0"/>
    <s v="BR3-5, BR-7"/>
    <s v="62-304.520 (10), F.A.C."/>
    <n v="0.59"/>
    <n v="0.64"/>
    <s v="FDOT District 5"/>
    <n v="6.8898890142000003E-4"/>
    <n v="3707.3769272067798"/>
    <n v="9.6629750552156697"/>
    <n v="1.62943679997128"/>
    <n v="6.6576825677399998E-3"/>
    <n v="1.1226638707399999E-3"/>
    <n v="2.55434155622605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6576825677399998E-3"/>
    <n v="1.1226638707399999E-3"/>
    <n v="2.55434155622773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01613831569399"/>
    <n v="2.7882391606756798"/>
    <n v="2.0716477000000001E-3"/>
  </r>
  <r>
    <n v="830000"/>
    <n v="2400000"/>
    <n v="2400000"/>
    <x v="0"/>
    <x v="0"/>
    <s v="BR3-5, BR-7"/>
    <s v="62-304.520 (10), F.A.C."/>
    <n v="0.59"/>
    <n v="0.64"/>
    <s v="Natural Lands"/>
    <n v="0.55484154075904002"/>
    <n v="3122.4039788564701"/>
    <n v="6.1087629574768298"/>
    <n v="0.83306758789324997"/>
    <n v="3.3893954514581899"/>
    <n v="0.46222050402310999"/>
    <n v="1732.43943450088"/>
    <n v="4200"/>
    <s v="Upland Hardwood Forest"/>
    <n v="4200"/>
    <s v="City of Cocoa Beach           Brevard County"/>
    <s v="City of Cocoa Beach"/>
    <m/>
    <m/>
    <s v="Natural Lands"/>
    <n v="0"/>
    <n v="1"/>
    <n v="3.3893954514581899"/>
    <n v="0.46222050402310999"/>
    <n v="1928.9070655810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9.82929620056899"/>
    <n v="2245.36405263503"/>
    <n v="1.564401513"/>
  </r>
  <r>
    <n v="830000"/>
    <n v="2400000"/>
    <n v="2400000"/>
    <x v="0"/>
    <x v="0"/>
    <s v="BR3-5, BR-7"/>
    <s v="62-304.520 (10), F.A.C."/>
    <n v="0.59"/>
    <n v="0.64"/>
    <s v="City of Cocoa Beach"/>
    <n v="0.48682261518385"/>
    <n v="3783.8090208048302"/>
    <n v="11.6254551144582"/>
    <n v="1.53485638481041"/>
    <n v="5.6595344615230596"/>
    <n v="0.74720279918502996"/>
    <n v="1842.0438028644501"/>
    <n v="1450"/>
    <s v="Tourist Services"/>
    <n v="1450"/>
    <s v="City of Cocoa Beach           Brevard County"/>
    <s v="City of Cocoa Beach"/>
    <m/>
    <m/>
    <m/>
    <n v="0"/>
    <n v="1"/>
    <n v="5.6595344615230596"/>
    <n v="0.74720279918502996"/>
    <n v="2337.4989289734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1.31049504547701"/>
    <n v="1970.10122682633"/>
    <n v="1.8957817752999999"/>
  </r>
  <r>
    <n v="830000"/>
    <n v="2400000"/>
    <n v="2400000"/>
    <x v="0"/>
    <x v="0"/>
    <s v="BR3-5, BR-7"/>
    <s v="62-304.520 (10), F.A.C."/>
    <n v="0.59"/>
    <n v="0.64"/>
    <s v="City of Cocoa Beach"/>
    <n v="2.6615612841300001E-3"/>
    <n v="3780.5622874805299"/>
    <n v="11.056997262834299"/>
    <n v="1.45738493902526"/>
    <n v="2.942887583352E-2"/>
    <n v="3.87891932978E-3"/>
    <n v="10.062198216611399"/>
    <n v="1400"/>
    <s v="Commercial and Services"/>
    <n v="1400"/>
    <s v="City of Cocoa Beach           Brevard County"/>
    <s v="City of Cocoa Beach"/>
    <m/>
    <m/>
    <m/>
    <n v="0"/>
    <n v="1"/>
    <n v="2.942887583352E-2"/>
    <n v="3.87891932978E-3"/>
    <n v="10.062198216612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369193594324"/>
    <n v="10.7709563763059"/>
    <n v="8.1607447E-3"/>
  </r>
  <r>
    <n v="830000"/>
    <n v="2400000"/>
    <n v="2400000"/>
    <x v="0"/>
    <x v="0"/>
    <s v="BR3-5, BR-7"/>
    <s v="62-304.520 (10), F.A.C."/>
    <n v="0.59"/>
    <n v="0.64"/>
    <s v="FDOT District 5"/>
    <n v="5.1201386131020002E-2"/>
    <n v="3780.5622874805299"/>
    <n v="11.056997262834299"/>
    <n v="1.45738493902526"/>
    <n v="0.56613358630403998"/>
    <n v="7.4620129004570004E-2"/>
    <n v="193.570029473674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6613358630403998"/>
    <n v="7.4620129004570004E-2"/>
    <n v="193.57002947367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473220510007"/>
    <n v="207.20465830011301"/>
    <n v="0.15699110259999999"/>
  </r>
  <r>
    <n v="830000"/>
    <n v="2400000"/>
    <n v="2400000"/>
    <x v="0"/>
    <x v="0"/>
    <s v="BR3-5, BR-7"/>
    <s v="62-304.520 (10), F.A.C."/>
    <n v="0.59"/>
    <n v="0.64"/>
    <s v="FDOT District 5"/>
    <n v="0.12158987999317"/>
    <n v="3780.5622874805299"/>
    <n v="11.056997262834299"/>
    <n v="1.45738493902526"/>
    <n v="1.3444189702728799"/>
    <n v="0.17720325983994001"/>
    <n v="459.678114841477"/>
    <n v="8140"/>
    <s v="Roads and Highways"/>
    <n v="8140"/>
    <s v="FDOT District 5                                 City of Cocoa Beach           Brevard County"/>
    <s v="FDOT District 5"/>
    <m/>
    <m/>
    <m/>
    <n v="0"/>
    <n v="1"/>
    <n v="1.3444189702728799"/>
    <n v="0.17720325983994001"/>
    <n v="459.67811484147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9.759222487633"/>
    <n v="492.05678674922098"/>
    <n v="0.37281274520000002"/>
  </r>
  <r>
    <n v="830000"/>
    <n v="2400000"/>
    <n v="2400000"/>
    <x v="0"/>
    <x v="0"/>
    <s v="BR3-5, BR-7"/>
    <s v="62-304.520 (10), F.A.C."/>
    <n v="0.59"/>
    <n v="0.64"/>
    <s v="City of Cocoa Beach"/>
    <n v="0.44231062628258999"/>
    <n v="3780.5622874805299"/>
    <n v="11.056997262834299"/>
    <n v="1.45738493902526"/>
    <n v="4.8906273841292203"/>
    <n v="0.64461684511507999"/>
    <n v="1672.18287307588"/>
    <n v="1450"/>
    <s v="Tourist Services"/>
    <n v="1450"/>
    <s v="City of Cocoa Beach           Brevard County"/>
    <s v="City of Cocoa Beach"/>
    <m/>
    <m/>
    <m/>
    <n v="0"/>
    <n v="1"/>
    <n v="4.8906273841292203"/>
    <n v="0.64461684511507999"/>
    <n v="1672.1828730758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1.463005468717"/>
    <n v="1789.9675986674899"/>
    <n v="1.3561904891000001"/>
  </r>
  <r>
    <n v="830000"/>
    <n v="2400000"/>
    <n v="2400000"/>
    <x v="0"/>
    <x v="0"/>
    <s v="BR3-5, BR-7"/>
    <s v="62-304.520 (10), F.A.C."/>
    <n v="0.59"/>
    <n v="0.64"/>
    <s v="City of Cocoa Beach"/>
    <n v="9.8820943668379999E-2"/>
    <n v="3746.2716023406301"/>
    <n v="10.7786323867861"/>
    <n v="2.0768542518767799"/>
    <n v="1.0651546239168499"/>
    <n v="0.20523669703215999"/>
    <n v="370.21009498138102"/>
    <n v="1300"/>
    <s v="Residential, High Density"/>
    <n v="1300"/>
    <s v="City of Cocoa Beach           Brevard County"/>
    <s v="City of Cocoa Beach"/>
    <m/>
    <m/>
    <m/>
    <n v="0"/>
    <n v="1"/>
    <n v="1.0651546239168499"/>
    <n v="0.20523669703215999"/>
    <n v="370.210094981378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6.042525439065"/>
    <n v="399.914170552038"/>
    <n v="0.30025149629999998"/>
  </r>
  <r>
    <n v="830000"/>
    <n v="2400000"/>
    <n v="2400000"/>
    <x v="0"/>
    <x v="0"/>
    <s v="BR3-5, BR-7"/>
    <s v="62-304.520 (10), F.A.C."/>
    <n v="0.59"/>
    <n v="0.64"/>
    <s v="City of Cocoa Beach"/>
    <n v="0.14832254190673999"/>
    <n v="3746.2716023406301"/>
    <n v="10.7786323867861"/>
    <n v="2.0768542518767799"/>
    <n v="1.59871415388646"/>
    <n v="0.30804430180817999"/>
    <n v="555.65652673220495"/>
    <n v="1300"/>
    <s v="Residential, High Density"/>
    <n v="1300"/>
    <s v="City of Cocoa Beach           Brevard County"/>
    <s v="City of Cocoa Beach"/>
    <m/>
    <m/>
    <m/>
    <n v="0"/>
    <n v="1"/>
    <n v="1.59871415388646"/>
    <n v="0.30804430180817999"/>
    <n v="555.656526732204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4.047670796034"/>
    <n v="600.24003130199299"/>
    <n v="0.4506541174"/>
  </r>
  <r>
    <n v="830000"/>
    <n v="2400000"/>
    <n v="2400000"/>
    <x v="0"/>
    <x v="0"/>
    <s v="BR3-5, BR-7"/>
    <s v="62-304.520 (10), F.A.C."/>
    <n v="0.59"/>
    <n v="0.64"/>
    <s v="City of Cocoa Beach"/>
    <n v="0.35311062280845001"/>
    <n v="3746.2716023406301"/>
    <n v="10.7786323867861"/>
    <n v="2.0768542518767799"/>
    <n v="3.8060495951214199"/>
    <n v="0.73335929836258995"/>
    <n v="1322.8482987121099"/>
    <n v="1300"/>
    <s v="Residential, High Density"/>
    <n v="1300"/>
    <s v="City of Cocoa Beach           Brevard County"/>
    <s v="City of Cocoa Beach"/>
    <m/>
    <m/>
    <m/>
    <n v="0"/>
    <n v="1"/>
    <n v="3.8060495951214199"/>
    <n v="0.73335929836258995"/>
    <n v="1322.8482987121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7.19875198133701"/>
    <n v="1428.98799173004"/>
    <n v="1.0728696663999999"/>
  </r>
  <r>
    <n v="830000"/>
    <n v="2400000"/>
    <n v="2400000"/>
    <x v="0"/>
    <x v="0"/>
    <s v="BR3-5, BR-7"/>
    <s v="62-304.520 (10), F.A.C."/>
    <n v="0.59"/>
    <n v="0.64"/>
    <s v="City of Cocoa Beach"/>
    <n v="1.7509345399400002E-2"/>
    <n v="3746.2716023406301"/>
    <n v="10.7786323867861"/>
    <n v="2.0768542518767799"/>
    <n v="0.18872679739338999"/>
    <n v="3.6364358440320002E-2"/>
    <n v="65.594763445345805"/>
    <n v="1300"/>
    <s v="Residential, High Density"/>
    <n v="1300"/>
    <s v="City of Cocoa Beach           Brevard County"/>
    <s v="City of Cocoa Beach"/>
    <m/>
    <m/>
    <m/>
    <n v="0"/>
    <n v="1"/>
    <n v="0.18872679739338999"/>
    <n v="3.6364358440320002E-2"/>
    <n v="65.5947634453449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865655519014"/>
    <n v="70.857806881580998"/>
    <n v="5.3199321500000001E-2"/>
  </r>
  <r>
    <n v="830000"/>
    <n v="2400000"/>
    <n v="2400000"/>
    <x v="0"/>
    <x v="0"/>
    <s v="BR3-5, BR-7"/>
    <s v="62-304.520 (10), F.A.C."/>
    <n v="0.59"/>
    <n v="0.64"/>
    <s v="City of Cocoa Beach"/>
    <n v="0.61776345373694996"/>
    <n v="3756.4692924648498"/>
    <n v="10.806427154124901"/>
    <n v="2.0820300370317799"/>
    <n v="6.6758157612890097"/>
    <n v="1.28620206646083"/>
    <n v="2320.60944396989"/>
    <n v="1300"/>
    <s v="Residential, High Density"/>
    <n v="1300"/>
    <s v="City of Cocoa Beach           Brevard County"/>
    <s v="City of Cocoa Beach"/>
    <m/>
    <m/>
    <m/>
    <n v="0"/>
    <n v="1"/>
    <n v="6.6758157612890097"/>
    <n v="1.28620206646083"/>
    <n v="2320.6094439698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1117499"/>
    <n v="2500.00000027939"/>
    <n v="1.8820838961999999"/>
  </r>
  <r>
    <n v="830000"/>
    <n v="2400000"/>
    <n v="2400000"/>
    <x v="0"/>
    <x v="0"/>
    <s v="BR3-5, BR-7"/>
    <s v="62-304.520 (10), F.A.C."/>
    <n v="0.59"/>
    <n v="0.64"/>
    <s v="City of Cocoa Beach"/>
    <n v="3.2711089696900002E-3"/>
    <n v="2219.9004176418098"/>
    <n v="5.8536609132079498"/>
    <n v="0.92371232190231001"/>
    <n v="1.9147962718720001E-2"/>
    <n v="3.0215636615800001E-3"/>
    <n v="7.2615361679689201"/>
    <n v="1200"/>
    <s v="Residential, Medium Density-Two-five dwellingunits per acre"/>
    <n v="1200"/>
    <s v="City of Cocoa Beach           Brevard County"/>
    <s v="City of Cocoa Beach"/>
    <m/>
    <m/>
    <m/>
    <n v="0"/>
    <n v="1"/>
    <n v="1.9147962718720001E-2"/>
    <n v="3.0215636615800001E-3"/>
    <n v="29.936606420967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0.614166188975499"/>
    <n v="13.2377083423639"/>
    <n v="2.4279486100000001E-2"/>
  </r>
  <r>
    <n v="830000"/>
    <n v="2400000"/>
    <n v="2400000"/>
    <x v="0"/>
    <x v="0"/>
    <s v="BR3-5, BR-7"/>
    <s v="62-304.520 (10), F.A.C."/>
    <n v="0.59"/>
    <n v="0.64"/>
    <s v="Natural Lands"/>
    <n v="3.0908283237849998E-2"/>
    <n v="2219.9004176418098"/>
    <n v="5.8536609132079498"/>
    <n v="0.92371232190231001"/>
    <n v="0.18092660948378"/>
    <n v="2.8550362075649999E-2"/>
    <n v="68.613310868303401"/>
    <n v="5400"/>
    <s v="Bays and estuaries"/>
    <n v="5400"/>
    <s v="City of Cocoa Beach           Brevard County"/>
    <s v="City of Cocoa Beach"/>
    <m/>
    <m/>
    <s v="Natural Lands"/>
    <n v="0"/>
    <n v="1"/>
    <n v="0.18092660948378"/>
    <n v="2.8550362075649999E-2"/>
    <n v="516.128087783779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4.4503104322376"/>
    <n v="125.08138452646899"/>
    <n v="0.41859536720000001"/>
  </r>
  <r>
    <n v="830000"/>
    <n v="2400000"/>
    <n v="2400000"/>
    <x v="0"/>
    <x v="0"/>
    <s v="BR3-5, BR-7"/>
    <s v="62-304.520 (10), F.A.C."/>
    <n v="0.59"/>
    <n v="0.64"/>
    <s v="City of Cocoa Beach"/>
    <n v="9.2066948427760004E-2"/>
    <n v="2219.9004176418098"/>
    <n v="5.8536609132079498"/>
    <n v="0.92371232190231001"/>
    <n v="0.53892869740994997"/>
    <n v="8.5043374702669997E-2"/>
    <n v="204.37945726580901"/>
    <n v="1210"/>
    <s v="Fixed Single Family Units"/>
    <n v="1210"/>
    <s v="City of Cocoa Beach           Brevard County"/>
    <s v="City of Cocoa Beach"/>
    <m/>
    <m/>
    <m/>
    <n v="0"/>
    <n v="1"/>
    <n v="0.53892869740994997"/>
    <n v="8.5043374702669997E-2"/>
    <n v="350.49761467377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1.151788613588195"/>
    <n v="372.58172153568302"/>
    <n v="0.28426408330000003"/>
  </r>
  <r>
    <n v="830000"/>
    <n v="2400000"/>
    <n v="2400000"/>
    <x v="0"/>
    <x v="0"/>
    <s v="BR3-5, BR-7"/>
    <s v="62-304.520 (10), F.A.C."/>
    <n v="0.59"/>
    <n v="0.64"/>
    <s v="City of Cocoa Beach"/>
    <n v="5.080676745091E-2"/>
    <n v="2219.9004176418098"/>
    <n v="5.8536609132079498"/>
    <n v="0.92371232190231001"/>
    <n v="0.29740558875385997"/>
    <n v="4.6930837130430003E-2"/>
    <n v="112.785964283314"/>
    <n v="1300"/>
    <s v="Residential, High Density"/>
    <n v="1300"/>
    <s v="City of Cocoa Beach           Brevard County"/>
    <s v="City of Cocoa Beach"/>
    <m/>
    <m/>
    <m/>
    <n v="0"/>
    <n v="1"/>
    <n v="0.29740558875385997"/>
    <n v="4.6930837130430003E-2"/>
    <n v="112.78596428331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7.619421702880501"/>
    <n v="205.607693160113"/>
    <n v="9.1472801500000006E-2"/>
  </r>
  <r>
    <n v="830000"/>
    <n v="2400000"/>
    <n v="2400000"/>
    <x v="0"/>
    <x v="0"/>
    <s v="BR3-5, BR-7"/>
    <s v="62-304.520 (10), F.A.C."/>
    <n v="0.59"/>
    <n v="0.64"/>
    <s v="City of Cocoa Beach"/>
    <n v="9.1387341304269995E-2"/>
    <n v="3752.9178034962802"/>
    <n v="10.797052919565999"/>
    <n v="2.0803219525729801"/>
    <n v="0.98671396024072999"/>
    <n v="0.19011509230257001"/>
    <n v="342.96918019501601"/>
    <n v="1300"/>
    <s v="Residential, High Density"/>
    <n v="1300"/>
    <s v="City of Cocoa Beach           Brevard County"/>
    <s v="City of Cocoa Beach"/>
    <m/>
    <m/>
    <m/>
    <n v="0"/>
    <n v="1"/>
    <n v="0.98671396024072999"/>
    <n v="0.19011509230257001"/>
    <n v="342.96918019501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4.816288019526"/>
    <n v="369.83144908327603"/>
    <n v="0.278158297"/>
  </r>
  <r>
    <n v="830000"/>
    <n v="2400000"/>
    <n v="2400000"/>
    <x v="0"/>
    <x v="0"/>
    <s v="BR3-5, BR-7"/>
    <s v="62-304.520 (10), F.A.C."/>
    <n v="0.59"/>
    <n v="0.64"/>
    <s v="City of Cocoa Beach"/>
    <n v="0.52637611211047997"/>
    <n v="3752.9178034962802"/>
    <n v="10.797052919565999"/>
    <n v="2.0803219525729801"/>
    <n v="5.68331073805237"/>
    <n v="1.09503178133346"/>
    <n v="1975.4462824745999"/>
    <n v="1300"/>
    <s v="Residential, High Density"/>
    <n v="1300"/>
    <s v="City of Cocoa Beach           Brevard County"/>
    <s v="City of Cocoa Beach"/>
    <m/>
    <m/>
    <m/>
    <n v="0"/>
    <n v="1"/>
    <n v="5.68331073805237"/>
    <n v="1.09503178133346"/>
    <n v="1975.4462824745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5.229772067624"/>
    <n v="2130.1685498922602"/>
    <n v="1.6021462145000001"/>
  </r>
  <r>
    <n v="830000"/>
    <n v="2400000"/>
    <n v="2400000"/>
    <x v="0"/>
    <x v="0"/>
    <s v="BR3-5, BR-7"/>
    <s v="62-304.520 (10), F.A.C."/>
    <n v="0.59"/>
    <n v="0.64"/>
    <s v="City of Cocoa Beach"/>
    <n v="7.9884795110000006E-6"/>
    <n v="3773.95615007585"/>
    <n v="9.2763505199023104"/>
    <n v="1.6033885367308101"/>
    <n v="7.4103936059999998E-5"/>
    <n v="1.280863647E-5"/>
    <n v="3.0148171380289999E-2"/>
    <n v="1300"/>
    <s v="Residential, High Density"/>
    <n v="1300"/>
    <s v="City of Cocoa Beach           Brevard County"/>
    <s v="City of Cocoa Beach"/>
    <m/>
    <m/>
    <m/>
    <n v="0"/>
    <n v="1"/>
    <n v="7.4103936059999998E-5"/>
    <n v="1.280863647E-5"/>
    <n v="3.0148171380489999E-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.01697415749139"/>
    <n v="3.2328229614509998E-2"/>
    <n v="2.44511E-5"/>
  </r>
  <r>
    <n v="830000"/>
    <n v="2400000"/>
    <n v="2400000"/>
    <x v="0"/>
    <x v="0"/>
    <s v="BR3-5, BR-7"/>
    <s v="62-304.520 (10), F.A.C."/>
    <n v="0.59"/>
    <n v="0.64"/>
    <s v="City of Cocoa Beach"/>
    <n v="0.17697783654143001"/>
    <n v="3773.95615007585"/>
    <n v="9.2763505199023104"/>
    <n v="1.6033885367308101"/>
    <n v="1.6417084460123299"/>
    <n v="0.28376423436595"/>
    <n v="667.90659464267105"/>
    <n v="1300"/>
    <s v="Residential, High Density"/>
    <n v="1300"/>
    <s v="City of Cocoa Beach           Brevard County"/>
    <s v="City of Cocoa Beach"/>
    <m/>
    <m/>
    <m/>
    <n v="0"/>
    <n v="1"/>
    <n v="1.6417084460123299"/>
    <n v="0.28376423436595"/>
    <n v="667.906594642671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626575427378"/>
    <n v="716.20389443016597"/>
    <n v="0.54169229090000004"/>
  </r>
  <r>
    <n v="830000"/>
    <n v="2400000"/>
    <n v="2400000"/>
    <x v="0"/>
    <x v="0"/>
    <s v="BR3-5, BR-7"/>
    <s v="62-304.520 (10), F.A.C."/>
    <n v="0.59"/>
    <n v="0.64"/>
    <s v="City of Cocoa Beach"/>
    <n v="0.24696413640951001"/>
    <n v="3773.95615007585"/>
    <n v="9.2763505199023104"/>
    <n v="1.6033885367308101"/>
    <n v="2.2909258951796301"/>
    <n v="0.39597946530264"/>
    <n v="932.03182145085998"/>
    <n v="1300"/>
    <s v="Residential, High Density"/>
    <n v="1300"/>
    <s v="City of Cocoa Beach           Brevard County"/>
    <s v="City of Cocoa Beach"/>
    <m/>
    <m/>
    <m/>
    <n v="0"/>
    <n v="1"/>
    <n v="2.2909258951796301"/>
    <n v="0.39597946530264"/>
    <n v="932.03182145085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9.921483245193"/>
    <n v="999.42840153131397"/>
    <n v="0.75590577569999995"/>
  </r>
  <r>
    <n v="830000"/>
    <n v="2400000"/>
    <n v="2400000"/>
    <x v="0"/>
    <x v="0"/>
    <s v="BR3-5, BR-7"/>
    <s v="62-304.520 (10), F.A.C."/>
    <n v="0.59"/>
    <n v="0.64"/>
    <s v="City of Cocoa Beach"/>
    <n v="0.19381349237553"/>
    <n v="3773.95615007585"/>
    <n v="9.2763505199023104"/>
    <n v="1.6033885367308101"/>
    <n v="1.7978818907618499"/>
    <n v="0.31075833193869001"/>
    <n v="731.44362151832104"/>
    <n v="1300"/>
    <s v="Residential, High Density"/>
    <n v="1300"/>
    <s v="City of Cocoa Beach           Brevard County"/>
    <s v="City of Cocoa Beach"/>
    <m/>
    <m/>
    <m/>
    <n v="0"/>
    <n v="1"/>
    <n v="1.7978818907618499"/>
    <n v="0.31075833193869001"/>
    <n v="731.443621518321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0.369529914037"/>
    <n v="784.33537636769802"/>
    <n v="0.59322272629999995"/>
  </r>
  <r>
    <n v="830000"/>
    <n v="2400000"/>
    <n v="2400000"/>
    <x v="0"/>
    <x v="0"/>
    <s v="BR3-5, BR-7"/>
    <s v="62-304.520 (10), F.A.C."/>
    <n v="0.59"/>
    <n v="0.64"/>
    <s v="City of Cocoa Beach"/>
    <n v="0.57913198658616005"/>
    <n v="3752.2321464822298"/>
    <n v="10.794972646832999"/>
    <n v="2.0799086134848701"/>
    <n v="6.2517139541037903"/>
    <n v="1.20454160724517"/>
    <n v="2173.0376571247298"/>
    <n v="1300"/>
    <s v="Residential, High Density"/>
    <n v="1300"/>
    <s v="City of Cocoa Beach           Brevard County"/>
    <s v="City of Cocoa Beach"/>
    <m/>
    <m/>
    <m/>
    <n v="0"/>
    <n v="1"/>
    <n v="6.2517139541037903"/>
    <n v="1.20454160724517"/>
    <n v="2173.0376571247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3.757153325709"/>
    <n v="2343.6639993335002"/>
    <n v="1.7623987486999999"/>
  </r>
  <r>
    <n v="830000"/>
    <n v="2400000"/>
    <n v="2400000"/>
    <x v="0"/>
    <x v="0"/>
    <s v="BR3-5, BR-7"/>
    <s v="62-304.520 (10), F.A.C."/>
    <n v="0.59"/>
    <n v="0.64"/>
    <s v="City of Cocoa Beach"/>
    <n v="3.8631467127769999E-2"/>
    <n v="3752.2321464822298"/>
    <n v="10.794972646832999"/>
    <n v="2.0799086134848701"/>
    <n v="0.41702563095133"/>
    <n v="8.0349921230609994E-2"/>
    <n v="144.95423282259699"/>
    <n v="1300"/>
    <s v="Residential, High Density"/>
    <n v="1300"/>
    <s v="City of Cocoa Beach           Brevard County"/>
    <s v="City of Cocoa Beach"/>
    <m/>
    <m/>
    <m/>
    <n v="0"/>
    <n v="1"/>
    <n v="0.41702563095133"/>
    <n v="8.0349921230609994E-2"/>
    <n v="144.95423282259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264033392998"/>
    <n v="156.33600085275799"/>
    <n v="0.1175622326"/>
  </r>
  <r>
    <n v="830000"/>
    <n v="2400000"/>
    <n v="2400000"/>
    <x v="0"/>
    <x v="0"/>
    <s v="BR3-5, BR-7"/>
    <s v="62-304.520 (10), F.A.C."/>
    <n v="0.59"/>
    <n v="0.64"/>
    <s v="FDOT District 5"/>
    <n v="1.7740100767050002E-2"/>
    <n v="3755.4184641216698"/>
    <n v="10.271476387542601"/>
    <n v="1.8412700597071501"/>
    <n v="0.18221702614141999"/>
    <n v="3.2664316398560003E-2"/>
    <n v="66.6215019759737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18221702614141999"/>
    <n v="3.2664316398560003E-2"/>
    <n v="66.6215019759752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25091684822"/>
    <n v="71.791640723177295"/>
    <n v="5.4032037300000002E-2"/>
  </r>
  <r>
    <n v="830000"/>
    <n v="2400000"/>
    <n v="2400000"/>
    <x v="0"/>
    <x v="0"/>
    <s v="BR3-5, BR-7"/>
    <s v="62-304.520 (10), F.A.C."/>
    <n v="0.59"/>
    <n v="0.64"/>
    <s v="FDOT District 5"/>
    <n v="0.15732684411514999"/>
    <n v="3755.4184641216698"/>
    <n v="10.271476387542601"/>
    <n v="1.8412700597071501"/>
    <n v="1.6159789644554601"/>
    <n v="0.28968120765744998"/>
    <n v="590.82813529205998"/>
    <n v="8140"/>
    <s v="Roads and Highways"/>
    <n v="8140"/>
    <s v="FDOT District 5                                 City of Cocoa Beach           Brevard County"/>
    <s v="FDOT District 5"/>
    <m/>
    <m/>
    <m/>
    <n v="0"/>
    <n v="1"/>
    <n v="1.6159789644554601"/>
    <n v="0.28968120765744998"/>
    <n v="590.82813529205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5.24808596742599"/>
    <n v="636.67914952335502"/>
    <n v="0.47917934740000001"/>
  </r>
  <r>
    <n v="830000"/>
    <n v="2400000"/>
    <n v="2400000"/>
    <x v="0"/>
    <x v="0"/>
    <s v="BR3-5, BR-7"/>
    <s v="62-304.520 (10), F.A.C."/>
    <n v="0.59"/>
    <n v="0.64"/>
    <s v="City of Cocoa Beach"/>
    <n v="0.44050379328689998"/>
    <n v="3755.4184641216698"/>
    <n v="10.271476387542601"/>
    <n v="1.8412700597071501"/>
    <n v="4.5246243113693803"/>
    <n v="0.81108644576660005"/>
    <n v="1654.2760788252599"/>
    <n v="1300"/>
    <s v="Residential, High Density"/>
    <n v="1300"/>
    <s v="City of Cocoa Beach           Brevard County"/>
    <s v="City of Cocoa Beach"/>
    <m/>
    <m/>
    <m/>
    <n v="0"/>
    <n v="1"/>
    <n v="4.5246243113693803"/>
    <n v="0.81108644576660005"/>
    <n v="1654.2760788252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1.33489710878899"/>
    <n v="1782.65560495465"/>
    <n v="1.3416675415999999"/>
  </r>
  <r>
    <n v="830000"/>
    <n v="2400000"/>
    <n v="2400000"/>
    <x v="0"/>
    <x v="0"/>
    <s v="BR3-5, BR-7"/>
    <s v="62-304.520 (10), F.A.C."/>
    <n v="0.59"/>
    <n v="0.64"/>
    <s v="FDOT District 5"/>
    <n v="2.1927156368800002E-3"/>
    <n v="3755.4184641216698"/>
    <n v="10.271476387542601"/>
    <n v="1.8412700597071501"/>
    <n v="2.2522426888800001E-2"/>
    <n v="4.0373816516299996E-3"/>
    <n v="8.23456478930746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2522426888800001E-2"/>
    <n v="4.0373816516299996E-3"/>
    <n v="8.2345647893066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12291276782"/>
    <n v="8.8736053576037808"/>
    <n v="6.6784790999999998E-3"/>
  </r>
  <r>
    <n v="830000"/>
    <n v="2400000"/>
    <n v="2400000"/>
    <x v="0"/>
    <x v="0"/>
    <s v="BR3-5, BR-7"/>
    <s v="62-304.520 (10), F.A.C."/>
    <n v="0.59"/>
    <n v="0.64"/>
    <s v="City of Cocoa Beach"/>
    <n v="7.076538356249E-2"/>
    <n v="3743.3596721940398"/>
    <n v="10.2908025122089"/>
    <n v="1.4518250528602199"/>
    <n v="0.72823258694231996"/>
    <n v="0.10273895673128"/>
    <n v="264.90028301517498"/>
    <n v="1400"/>
    <s v="Commercial and Services"/>
    <n v="1400"/>
    <s v="City of Cocoa Beach           Brevard County"/>
    <s v="City of Cocoa Beach"/>
    <m/>
    <m/>
    <m/>
    <n v="0"/>
    <n v="1"/>
    <n v="0.72823258694231996"/>
    <n v="0.10273895673128"/>
    <n v="328.160098364343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8.395622995184794"/>
    <n v="286.37734695347098"/>
    <n v="0.26614768719999998"/>
  </r>
  <r>
    <n v="830000"/>
    <n v="2400000"/>
    <n v="2400000"/>
    <x v="0"/>
    <x v="0"/>
    <s v="BR3-5, BR-7"/>
    <s v="62-304.520 (10), F.A.C."/>
    <n v="0.59"/>
    <n v="0.64"/>
    <s v="City of Cocoa Beach"/>
    <n v="0.15211905462122"/>
    <n v="3743.3596721940398"/>
    <n v="10.2908025122089"/>
    <n v="1.4518250528602199"/>
    <n v="1.5654271494509"/>
    <n v="0.22085025451650001"/>
    <n v="569.43633444136105"/>
    <n v="1430"/>
    <s v="Professional Services"/>
    <n v="1430"/>
    <s v="City of Cocoa Beach           Brevard County"/>
    <s v="City of Cocoa Beach"/>
    <m/>
    <m/>
    <m/>
    <n v="0"/>
    <n v="1"/>
    <n v="1.5654271494509"/>
    <n v="0.22085025451650001"/>
    <n v="649.533860773507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84705838594201"/>
    <n v="615.603973163305"/>
    <n v="0.52679145240000003"/>
  </r>
  <r>
    <n v="830000"/>
    <n v="2400000"/>
    <n v="2400000"/>
    <x v="0"/>
    <x v="0"/>
    <s v="BR3-5, BR-7"/>
    <s v="62-304.520 (10), F.A.C."/>
    <n v="0.59"/>
    <n v="0.64"/>
    <s v="City of Cocoa Beach"/>
    <n v="1.4162160080500001E-2"/>
    <n v="3743.3596721940398"/>
    <n v="10.2908025122089"/>
    <n v="1.4518250528602199"/>
    <n v="0.14573999253473"/>
    <n v="2.0560978807489999E-2"/>
    <n v="53.014058916507402"/>
    <n v="1300"/>
    <s v="Residential, High Density"/>
    <n v="1300"/>
    <s v="City of Cocoa Beach           Brevard County"/>
    <s v="City of Cocoa Beach"/>
    <m/>
    <m/>
    <m/>
    <n v="0"/>
    <n v="1"/>
    <n v="0.14573999253473"/>
    <n v="2.0560978807489999E-2"/>
    <n v="58.045325240931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5.316194991721602"/>
    <n v="57.312228476835699"/>
    <n v="4.7076500600000001E-2"/>
  </r>
  <r>
    <n v="830000"/>
    <n v="2400000"/>
    <n v="2400000"/>
    <x v="0"/>
    <x v="0"/>
    <s v="BR3-5, BR-7"/>
    <s v="62-304.520 (10), F.A.C."/>
    <n v="0.59"/>
    <n v="0.64"/>
    <s v="City of Cocoa Beach"/>
    <n v="0.35627262057158998"/>
    <n v="3783.8090206638699"/>
    <n v="11.6254551140252"/>
    <n v="1.5348563847532299"/>
    <n v="4.1418313588111504"/>
    <n v="0.54682730639707"/>
    <n v="1348.06755553434"/>
    <n v="1400"/>
    <s v="Commercial and Services"/>
    <n v="1400"/>
    <s v="City of Cocoa Beach           Brevard County"/>
    <s v="City of Cocoa Beach"/>
    <m/>
    <m/>
    <m/>
    <n v="0"/>
    <n v="1"/>
    <n v="4.1418313588111504"/>
    <n v="0.54682730639707"/>
    <n v="1418.6003603532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5.75669104550801"/>
    <n v="1441.78414268541"/>
    <n v="1.1505274618000001"/>
  </r>
  <r>
    <n v="830000"/>
    <n v="2400000"/>
    <n v="2400000"/>
    <x v="0"/>
    <x v="0"/>
    <s v="BR3-5, BR-7"/>
    <s v="62-304.520 (10), F.A.C."/>
    <n v="0.59"/>
    <n v="0.64"/>
    <s v="City of Cocoa Beach"/>
    <n v="0.20634679196589001"/>
    <n v="3783.8090206638699"/>
    <n v="11.6254551140252"/>
    <n v="1.5348563847532299"/>
    <n v="2.39887536792263"/>
    <n v="0.31671269112220002"/>
    <n v="780.77685282561299"/>
    <n v="1410"/>
    <s v="Retail Sales and Services"/>
    <n v="1410"/>
    <s v="City of Cocoa Beach           Brevard County"/>
    <s v="City of Cocoa Beach"/>
    <m/>
    <m/>
    <m/>
    <n v="0"/>
    <n v="1"/>
    <n v="2.39887536792263"/>
    <n v="0.31671269112220002"/>
    <n v="829.30584874027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9.47844749252599"/>
    <n v="835.05584030882596"/>
    <n v="0.67259192919999999"/>
  </r>
  <r>
    <n v="830000"/>
    <n v="2400000"/>
    <n v="2400000"/>
    <x v="0"/>
    <x v="0"/>
    <s v="BR3-5, BR-7"/>
    <s v="62-304.520 (10), F.A.C."/>
    <n v="0.59"/>
    <n v="0.64"/>
    <s v="City of Cocoa Beach"/>
    <n v="2.2218998658749999E-2"/>
    <n v="3783.8090206638699"/>
    <n v="11.6254551140252"/>
    <n v="1.5348563847532299"/>
    <n v="0.25830597158591001"/>
    <n v="3.4102971954209998E-2"/>
    <n v="84.072447555108099"/>
    <n v="1450"/>
    <s v="Tourist Services"/>
    <n v="1450"/>
    <s v="City of Cocoa Beach           Brevard County"/>
    <s v="City of Cocoa Beach"/>
    <m/>
    <m/>
    <m/>
    <n v="0"/>
    <n v="1"/>
    <n v="0.25830597158591001"/>
    <n v="3.4102971954209998E-2"/>
    <n v="89.5927200540552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9.6041794748662"/>
    <n v="89.917097421471397"/>
    <n v="7.2662384499999996E-2"/>
  </r>
  <r>
    <n v="830000"/>
    <n v="2400000"/>
    <n v="2400000"/>
    <x v="0"/>
    <x v="0"/>
    <s v="BR3-5, BR-7"/>
    <s v="62-304.520 (10), F.A.C."/>
    <n v="0.59"/>
    <n v="0.64"/>
    <s v="City of Cocoa Beach"/>
    <n v="0.15214714131389001"/>
    <n v="3752.2321467617899"/>
    <n v="10.7949726476373"/>
    <n v="2.0799086136398302"/>
    <n v="1.6424242288997299"/>
    <n v="0.31645214975945002"/>
    <n v="570.89139467591394"/>
    <n v="1300"/>
    <s v="Residential, High Density"/>
    <n v="1300"/>
    <s v="City of Cocoa Beach           Brevard County"/>
    <s v="City of Cocoa Beach"/>
    <m/>
    <m/>
    <m/>
    <n v="0"/>
    <n v="1"/>
    <n v="1.6424242288997299"/>
    <n v="0.31645214975945002"/>
    <n v="570.891394675913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2.665083418107"/>
    <n v="615.71763597594304"/>
    <n v="0.46301005249999999"/>
  </r>
  <r>
    <n v="830000"/>
    <n v="2400000"/>
    <n v="2400000"/>
    <x v="0"/>
    <x v="0"/>
    <s v="BR3-5, BR-7"/>
    <s v="62-304.520 (10), F.A.C."/>
    <n v="0.59"/>
    <n v="0.64"/>
    <s v="City of Cocoa Beach"/>
    <n v="0.45298438485760001"/>
    <n v="3752.2321467617899"/>
    <n v="10.7949726476373"/>
    <n v="2.0799086136398302"/>
    <n v="4.88995404434473"/>
    <n v="0.94216612390968002"/>
    <n v="1699.70257084383"/>
    <n v="1300"/>
    <s v="Residential, High Density"/>
    <n v="1300"/>
    <s v="City of Cocoa Beach           Brevard County"/>
    <s v="City of Cocoa Beach"/>
    <m/>
    <m/>
    <m/>
    <n v="0"/>
    <n v="1"/>
    <n v="4.88995404434473"/>
    <n v="0.94216612390968002"/>
    <n v="1699.7025708438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3.09690671946399"/>
    <n v="1833.16276710792"/>
    <n v="1.3785097898000001"/>
  </r>
  <r>
    <n v="830000"/>
    <n v="2400000"/>
    <n v="2400000"/>
    <x v="0"/>
    <x v="0"/>
    <s v="BR3-5, BR-7"/>
    <s v="62-304.520 (10), F.A.C."/>
    <n v="0.59"/>
    <n v="0.64"/>
    <s v="City of Cocoa Beach"/>
    <n v="1.2631927634479999E-2"/>
    <n v="3752.2321467617899"/>
    <n v="10.7949726476373"/>
    <n v="2.0799086136398302"/>
    <n v="0.13636131330123999"/>
    <n v="2.6273255093840001E-2"/>
    <n v="47.3979249456983"/>
    <n v="1300"/>
    <s v="Residential, High Density"/>
    <n v="1300"/>
    <s v="City of Cocoa Beach           Brevard County"/>
    <s v="City of Cocoa Beach"/>
    <m/>
    <m/>
    <m/>
    <n v="0"/>
    <n v="1"/>
    <n v="0.13636131330123999"/>
    <n v="2.6273255093840001E-2"/>
    <n v="47.397924945696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020358485191"/>
    <n v="51.119597474922003"/>
    <n v="3.8441139499999999E-2"/>
  </r>
  <r>
    <n v="830000"/>
    <n v="2400000"/>
    <n v="2400000"/>
    <x v="0"/>
    <x v="0"/>
    <s v="BR3-5, BR-7"/>
    <s v="62-304.520 (10), F.A.C."/>
    <n v="0.59"/>
    <n v="0.64"/>
    <s v="City of Cocoa Beach"/>
    <n v="0.22978431741391001"/>
    <n v="3780.56027944158"/>
    <n v="11.615912471890001"/>
    <n v="1.53359216609481"/>
    <n v="2.6691545184930399"/>
    <n v="0.35239542907742"/>
    <n v="868.71346325364402"/>
    <n v="1410"/>
    <s v="Retail Sales and Services"/>
    <n v="1410"/>
    <s v="City of Cocoa Beach           Brevard County"/>
    <s v="City of Cocoa Beach"/>
    <m/>
    <m/>
    <m/>
    <n v="0"/>
    <n v="1"/>
    <n v="2.6691545184930399"/>
    <n v="0.35239542907742"/>
    <n v="868.713463253644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7.19772467000001"/>
    <n v="929.90414069329995"/>
    <n v="0.70455268709999996"/>
  </r>
  <r>
    <n v="830000"/>
    <n v="2400000"/>
    <n v="2400000"/>
    <x v="0"/>
    <x v="0"/>
    <s v="BR3-5, BR-7"/>
    <s v="62-304.520 (10), F.A.C."/>
    <n v="0.59"/>
    <n v="0.64"/>
    <s v="City of Cocoa Beach"/>
    <n v="0.38797913639207998"/>
    <n v="3780.56027944158"/>
    <n v="11.615912471890001"/>
    <n v="1.53359216609481"/>
    <n v="4.5067316892499001"/>
    <n v="0.59500176417911999"/>
    <n v="1466.7785122959399"/>
    <n v="1430"/>
    <s v="Professional Services"/>
    <n v="1430"/>
    <s v="City of Cocoa Beach           Brevard County"/>
    <s v="City of Cocoa Beach"/>
    <m/>
    <m/>
    <m/>
    <n v="0"/>
    <n v="1"/>
    <n v="4.5067316892499001"/>
    <n v="0.59500176417911999"/>
    <n v="1466.7785122959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2.80539343116399"/>
    <n v="1570.09585986549"/>
    <n v="1.1896013887000001"/>
  </r>
  <r>
    <n v="830000"/>
    <n v="2400000"/>
    <n v="2400000"/>
    <x v="0"/>
    <x v="0"/>
    <s v="BR3-5, BR-7"/>
    <s v="62-304.520 (10), F.A.C."/>
    <n v="0.59"/>
    <n v="0.64"/>
    <s v="City of Cocoa Beach"/>
    <n v="0.15641842876836001"/>
    <n v="3746.4515509402499"/>
    <n v="11.8787099802384"/>
    <n v="2.0781284775914202"/>
    <n v="1.85804915090403"/>
    <n v="0.32505759124365002"/>
    <n v="586.01406505489001"/>
    <n v="1300"/>
    <s v="Residential, High Density"/>
    <n v="1300"/>
    <s v="City of Cocoa Beach           Brevard County"/>
    <s v="City of Cocoa Beach"/>
    <m/>
    <m/>
    <m/>
    <n v="0"/>
    <n v="1"/>
    <n v="1.85804915090403"/>
    <n v="0.32505759124365002"/>
    <n v="586.01406505489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7.938331289801"/>
    <n v="633.002923042985"/>
    <n v="0.4752749919"/>
  </r>
  <r>
    <n v="830000"/>
    <n v="2400000"/>
    <n v="2400000"/>
    <x v="0"/>
    <x v="0"/>
    <s v="BR3-5, BR-7"/>
    <s v="62-304.520 (10), F.A.C."/>
    <n v="0.59"/>
    <n v="0.64"/>
    <s v="City of Cocoa Beach"/>
    <n v="1.56225893241E-2"/>
    <n v="3746.4515509402499"/>
    <n v="11.8787099802384"/>
    <n v="2.0781284775914202"/>
    <n v="0.18557620772138"/>
    <n v="3.246574776813E-2"/>
    <n v="58.529274002988302"/>
    <n v="1400"/>
    <s v="Commercial and Services"/>
    <n v="1400"/>
    <s v="City of Cocoa Beach           Brevard County"/>
    <s v="City of Cocoa Beach"/>
    <m/>
    <m/>
    <m/>
    <n v="0"/>
    <n v="1"/>
    <n v="0.18557620772138"/>
    <n v="3.246574776813E-2"/>
    <n v="58.529274002989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1.8344579150057"/>
    <n v="63.222375940765602"/>
    <n v="4.74689976E-2"/>
  </r>
  <r>
    <n v="830000"/>
    <n v="2400000"/>
    <n v="2400000"/>
    <x v="0"/>
    <x v="0"/>
    <s v="BR3-5, BR-7"/>
    <s v="62-304.520 (10), F.A.C."/>
    <n v="0.59"/>
    <n v="0.64"/>
    <s v="City of Cocoa Beach"/>
    <n v="0.22496862536678"/>
    <n v="3746.4515509402499"/>
    <n v="11.8787099802384"/>
    <n v="2.0781284775914202"/>
    <n v="2.6723370553849302"/>
    <n v="0.4675137069393"/>
    <n v="842.83405541828097"/>
    <n v="1450"/>
    <s v="Tourist Services"/>
    <n v="1450"/>
    <s v="City of Cocoa Beach           Brevard County"/>
    <s v="City of Cocoa Beach"/>
    <m/>
    <m/>
    <m/>
    <n v="0"/>
    <n v="1"/>
    <n v="2.6723370553849302"/>
    <n v="0.4675137069393"/>
    <n v="842.834055418280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1.77466432095"/>
    <n v="910.415726404064"/>
    <n v="0.6835637108"/>
  </r>
  <r>
    <n v="830000"/>
    <n v="2400000"/>
    <n v="2400000"/>
    <x v="0"/>
    <x v="0"/>
    <s v="BR3-5, BR-7"/>
    <s v="62-304.520 (10), F.A.C."/>
    <n v="0.59"/>
    <n v="0.64"/>
    <s v="City of Cocoa Beach"/>
    <n v="0.22075381041577999"/>
    <n v="3746.4515509402499"/>
    <n v="11.8787099802384"/>
    <n v="2.0781284775914202"/>
    <n v="2.6222704909616001"/>
    <n v="0.45875477996184999"/>
    <n v="827.04345540817303"/>
    <n v="1300"/>
    <s v="Residential, High Density"/>
    <n v="1300"/>
    <s v="City of Cocoa Beach           Brevard County"/>
    <s v="City of Cocoa Beach"/>
    <m/>
    <m/>
    <m/>
    <n v="0"/>
    <n v="1"/>
    <n v="2.6222704909616001"/>
    <n v="0.45875477996184999"/>
    <n v="827.043455408173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0.86155790727599"/>
    <n v="893.35897545037506"/>
    <n v="0.67075706030000004"/>
  </r>
  <r>
    <n v="830000"/>
    <n v="2400000"/>
    <n v="2400000"/>
    <x v="0"/>
    <x v="0"/>
    <s v="BR3-5, BR-7"/>
    <s v="62-304.520 (10), F.A.C."/>
    <n v="0.59"/>
    <n v="0.64"/>
    <s v="City of Cocoa Beach"/>
    <n v="0.58620460568324995"/>
    <n v="3746.8570137084198"/>
    <n v="10.7802651997605"/>
    <n v="2.07716287497631"/>
    <n v="6.3194411105865997"/>
    <n v="1.2176424440653899"/>
    <n v="2196.42483827249"/>
    <n v="1300"/>
    <s v="Residential, High Density"/>
    <n v="1300"/>
    <s v="City of Cocoa Beach           Brevard County"/>
    <s v="City of Cocoa Beach"/>
    <m/>
    <m/>
    <m/>
    <n v="0"/>
    <n v="1"/>
    <n v="6.3194411105865997"/>
    <n v="1.2176424440653899"/>
    <n v="2196.4248382724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4.93967115667101"/>
    <n v="2372.2858733497501"/>
    <n v="1.7813664544000001"/>
  </r>
  <r>
    <n v="830000"/>
    <n v="2400000"/>
    <n v="2400000"/>
    <x v="0"/>
    <x v="0"/>
    <s v="BR3-5, BR-7"/>
    <s v="62-304.520 (10), F.A.C."/>
    <n v="0.59"/>
    <n v="0.64"/>
    <s v="City of Cocoa Beach"/>
    <n v="3.1558848007659998E-2"/>
    <n v="3746.8570137084198"/>
    <n v="10.7802651997605"/>
    <n v="2.07716287497631"/>
    <n v="0.34021275092158998"/>
    <n v="6.5552867458539998E-2"/>
    <n v="118.24649100208801"/>
    <n v="1300"/>
    <s v="Residential, High Density"/>
    <n v="1300"/>
    <s v="City of Cocoa Beach           Brevard County"/>
    <s v="City of Cocoa Beach"/>
    <m/>
    <m/>
    <m/>
    <n v="0"/>
    <n v="1"/>
    <n v="0.34021275092158998"/>
    <n v="6.5552867458539998E-2"/>
    <n v="118.24649100208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15680129241601"/>
    <n v="127.714126743376"/>
    <n v="9.5901452600000006E-2"/>
  </r>
  <r>
    <n v="830000"/>
    <n v="2400000"/>
    <n v="2400000"/>
    <x v="0"/>
    <x v="0"/>
    <s v="BR3-5, BR-7"/>
    <s v="62-304.520 (10), F.A.C."/>
    <n v="0.59"/>
    <n v="0.64"/>
    <s v="City of Cocoa Beach"/>
    <n v="0.25983340244897002"/>
    <n v="3737.4428956297802"/>
    <n v="10.105497719988399"/>
    <n v="1.4229258151341899"/>
    <n v="2.6257458560249498"/>
    <n v="0.36972365597880003"/>
    <n v="971.11250403023996"/>
    <n v="1200"/>
    <s v="Residential, Medium Density-Two-five dwellingunits per acre"/>
    <n v="1200"/>
    <s v="City of Cocoa Beach           Brevard County"/>
    <s v="City of Cocoa Beach"/>
    <m/>
    <m/>
    <m/>
    <n v="0"/>
    <n v="1"/>
    <n v="2.6257458560249498"/>
    <n v="0.36972365597880003"/>
    <n v="971.112504030239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7.206842858626"/>
    <n v="1051.5084734546799"/>
    <n v="0.78760138199999996"/>
  </r>
  <r>
    <n v="830000"/>
    <n v="2400000"/>
    <n v="2400000"/>
    <x v="0"/>
    <x v="0"/>
    <s v="BR3-5, BR-7"/>
    <s v="62-304.520 (10), F.A.C."/>
    <n v="0.59"/>
    <n v="0.64"/>
    <s v="City of Cocoa Beach"/>
    <n v="3.683297195554E-2"/>
    <n v="3737.4428956297802"/>
    <n v="10.105497719988399"/>
    <n v="1.4229258151341899"/>
    <n v="0.37221551411715997"/>
    <n v="5.2410586643660002E-2"/>
    <n v="137.66112936018601"/>
    <n v="1400"/>
    <s v="Commercial and Services"/>
    <n v="1400"/>
    <s v="City of Cocoa Beach           Brevard County"/>
    <s v="City of Cocoa Beach"/>
    <m/>
    <m/>
    <m/>
    <n v="0"/>
    <n v="1"/>
    <n v="0.37221551411715997"/>
    <n v="5.2410586643660002E-2"/>
    <n v="137.66112936018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1.200140278415802"/>
    <n v="149.05774911437899"/>
    <n v="0.11164730690000001"/>
  </r>
  <r>
    <n v="830000"/>
    <n v="2400000"/>
    <n v="2400000"/>
    <x v="0"/>
    <x v="0"/>
    <s v="BR3-5, BR-7"/>
    <s v="62-304.520 (10), F.A.C."/>
    <n v="0.59"/>
    <n v="0.64"/>
    <s v="City of Cocoa Beach"/>
    <n v="0.1097984757429"/>
    <n v="3737.4428956297802"/>
    <n v="10.105497719988399"/>
    <n v="1.4229258151341899"/>
    <n v="1.10956824627807"/>
    <n v="0.15623508559695001"/>
    <n v="410.36553311628097"/>
    <n v="1410"/>
    <s v="Retail Sales and Services"/>
    <n v="1410"/>
    <s v="City of Cocoa Beach           Brevard County"/>
    <s v="City of Cocoa Beach"/>
    <m/>
    <m/>
    <m/>
    <n v="0"/>
    <n v="1"/>
    <n v="1.10956824627807"/>
    <n v="0.15623508559695001"/>
    <n v="410.365533116280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4.946054595443997"/>
    <n v="444.33866672988302"/>
    <n v="0.33281876170000002"/>
  </r>
  <r>
    <n v="830000"/>
    <n v="2400000"/>
    <n v="2400000"/>
    <x v="0"/>
    <x v="0"/>
    <s v="BR3-5, BR-7"/>
    <s v="62-304.520 (10), F.A.C."/>
    <n v="0.59"/>
    <n v="0.64"/>
    <s v="City of Cocoa Beach"/>
    <n v="0.13369883183117001"/>
    <n v="3737.4428956297802"/>
    <n v="10.105497719988399"/>
    <n v="1.4229258151341899"/>
    <n v="1.351093240235"/>
    <n v="0.19024351926585001"/>
    <n v="499.691749181408"/>
    <n v="1210"/>
    <s v="Fixed Single Family Units"/>
    <n v="1210"/>
    <s v="City of Cocoa Beach           Brevard County"/>
    <s v="City of Cocoa Beach"/>
    <m/>
    <m/>
    <m/>
    <n v="0"/>
    <n v="1"/>
    <n v="1.351093240235"/>
    <n v="0.19024351926585001"/>
    <n v="499.69174918140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0.87102869252"/>
    <n v="541.05997626334704"/>
    <n v="0.40526500339999999"/>
  </r>
  <r>
    <n v="830000"/>
    <n v="2400000"/>
    <n v="2400000"/>
    <x v="0"/>
    <x v="0"/>
    <s v="BR3-5, BR-7"/>
    <s v="62-304.520 (10), F.A.C."/>
    <n v="0.59"/>
    <n v="0.64"/>
    <s v="City of Cocoa Beach"/>
    <n v="7.666439486828E-2"/>
    <n v="3737.4428956297802"/>
    <n v="10.105497719988399"/>
    <n v="1.4229258151341899"/>
    <n v="0.77473186754573997"/>
    <n v="0.10908774655972001"/>
    <n v="286.52879794822798"/>
    <n v="1430"/>
    <s v="Professional Services"/>
    <n v="1430"/>
    <s v="City of Cocoa Beach           Brevard County"/>
    <s v="City of Cocoa Beach"/>
    <m/>
    <m/>
    <m/>
    <n v="0"/>
    <n v="1"/>
    <n v="0.77473186754573997"/>
    <n v="0.10908774655972001"/>
    <n v="286.52879794822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0.498796737439406"/>
    <n v="310.24979874212698"/>
    <n v="0.23238345329999999"/>
  </r>
  <r>
    <n v="830000"/>
    <n v="2400000"/>
    <n v="2400000"/>
    <x v="0"/>
    <x v="0"/>
    <s v="BR3-5, BR-7"/>
    <s v="62-304.520 (10), F.A.C."/>
    <n v="0.59"/>
    <n v="0.64"/>
    <s v="City of Cocoa Beach"/>
    <n v="9.3537677500999999E-4"/>
    <n v="3737.4428956297802"/>
    <n v="10.105497719988399"/>
    <n v="1.4229258151341899"/>
    <n v="9.4524478672000003E-3"/>
    <n v="1.3309717600399999E-3"/>
    <n v="3.49591728250196"/>
    <n v="1210"/>
    <s v="Fixed Single Family Units"/>
    <n v="1210"/>
    <s v="City of Cocoa Beach           Brevard County"/>
    <s v="City of Cocoa Beach"/>
    <m/>
    <m/>
    <m/>
    <n v="0"/>
    <n v="1"/>
    <n v="9.4524478672000003E-3"/>
    <n v="1.3309717600399999E-3"/>
    <n v="3.4959172825001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226335626634"/>
    <n v="3.78533550931507"/>
    <n v="2.8352937999999999E-3"/>
  </r>
  <r>
    <n v="830000"/>
    <n v="2400000"/>
    <n v="2400000"/>
    <x v="0"/>
    <x v="0"/>
    <s v="BR3-5, BR-7"/>
    <s v="62-304.520 (10), F.A.C."/>
    <n v="0.59"/>
    <n v="0.64"/>
    <s v="Natural Lands"/>
    <n v="5.8887136814149997E-2"/>
    <n v="2072.81703920574"/>
    <n v="5.2698873341219299"/>
    <n v="0.77855761883112995"/>
    <n v="0.31032857643959999"/>
    <n v="4.5847029017810001E-2"/>
    <n v="122.062260578414"/>
    <n v="5400"/>
    <s v="Bays and estuaries"/>
    <n v="5400"/>
    <s v="City of Cocoa Beach           Brevard County"/>
    <s v="City of Cocoa Beach"/>
    <m/>
    <m/>
    <s v="Natural Lands"/>
    <n v="0"/>
    <n v="1"/>
    <n v="0.31032857643959999"/>
    <n v="4.5847029017810001E-2"/>
    <n v="529.12657346110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4.778370230266106"/>
    <n v="238.307787813099"/>
    <n v="0.42913752919999998"/>
  </r>
  <r>
    <n v="830000"/>
    <n v="2400000"/>
    <n v="2400000"/>
    <x v="0"/>
    <x v="0"/>
    <s v="BR3-5, BR-7"/>
    <s v="62-304.520 (10), F.A.C."/>
    <n v="0.59"/>
    <n v="0.64"/>
    <s v="City of Cocoa Beach"/>
    <n v="8.8169226138210002E-2"/>
    <n v="2072.81703920574"/>
    <n v="5.2698873341219299"/>
    <n v="0.77855761883112995"/>
    <n v="0.46464188808509999"/>
    <n v="6.8644822756350005E-2"/>
    <n v="182.758674272874"/>
    <n v="1210"/>
    <s v="Fixed Single Family Units"/>
    <n v="1210"/>
    <s v="City of Cocoa Beach           Brevard County"/>
    <s v="City of Cocoa Beach"/>
    <m/>
    <m/>
    <m/>
    <n v="0"/>
    <n v="1"/>
    <n v="0.46464188808509999"/>
    <n v="6.8644822756350005E-2"/>
    <n v="301.49647815248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2.717731904500695"/>
    <n v="356.80819905547003"/>
    <n v="0.24452269109999999"/>
  </r>
  <r>
    <n v="830000"/>
    <n v="2400000"/>
    <n v="2400000"/>
    <x v="0"/>
    <x v="0"/>
    <s v="BR3-5, BR-7"/>
    <s v="62-304.520 (10), F.A.C."/>
    <n v="0.59"/>
    <n v="0.64"/>
    <s v="City of Cocoa Beach"/>
    <n v="0.17402667056785001"/>
    <n v="3772.5504468180702"/>
    <n v="8.6581349508299699"/>
    <n v="1.1692963229364699"/>
    <n v="1.50674639882011"/>
    <n v="0.20348874598785999"/>
    <n v="656.52439380901797"/>
    <n v="1400"/>
    <s v="Commercial and Services"/>
    <n v="1400"/>
    <s v="City of Cocoa Beach           Brevard County"/>
    <s v="City of Cocoa Beach"/>
    <m/>
    <m/>
    <m/>
    <n v="0"/>
    <n v="1"/>
    <n v="1.50674639882011"/>
    <n v="0.20348874598785999"/>
    <n v="656.524393809017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394822454017"/>
    <n v="704.26094945641"/>
    <n v="0.5324609844"/>
  </r>
  <r>
    <n v="830000"/>
    <n v="2400000"/>
    <n v="2400000"/>
    <x v="0"/>
    <x v="0"/>
    <s v="BR3-5, BR-7"/>
    <s v="62-304.520 (10), F.A.C."/>
    <n v="0.59"/>
    <n v="0.64"/>
    <s v="City of Cocoa Beach"/>
    <n v="2.590011427109E-2"/>
    <n v="3772.5504468180702"/>
    <n v="8.6581349508299699"/>
    <n v="1.1692963229364699"/>
    <n v="0.22424668460103001"/>
    <n v="3.028490838082E-2"/>
    <n v="97.709487666047195"/>
    <n v="1410"/>
    <s v="Retail Sales and Services"/>
    <n v="1410"/>
    <s v="City of Cocoa Beach           Brevard County"/>
    <s v="City of Cocoa Beach"/>
    <m/>
    <m/>
    <m/>
    <n v="0"/>
    <n v="1"/>
    <n v="0.22424668460103001"/>
    <n v="3.028490838082E-2"/>
    <n v="97.7094876660453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9.311057811176397"/>
    <n v="104.81404377886"/>
    <n v="7.9245326599999999E-2"/>
  </r>
  <r>
    <n v="830000"/>
    <n v="2400000"/>
    <n v="2400000"/>
    <x v="0"/>
    <x v="0"/>
    <s v="BR3-5, BR-7"/>
    <s v="62-304.520 (10), F.A.C."/>
    <n v="0.59"/>
    <n v="0.64"/>
    <s v="City of Cocoa Beach"/>
    <n v="0.10603790486825999"/>
    <n v="3772.5504468180702"/>
    <n v="8.6581349508299699"/>
    <n v="1.1692963229364699"/>
    <n v="0.91809049025274003"/>
    <n v="0.12398973225435"/>
    <n v="400.03334539043999"/>
    <n v="1410"/>
    <s v="Retail Sales and Services"/>
    <n v="1410"/>
    <s v="City of Cocoa Beach           Brevard County"/>
    <s v="City of Cocoa Beach"/>
    <m/>
    <m/>
    <m/>
    <n v="0"/>
    <n v="1"/>
    <n v="0.91809049025274003"/>
    <n v="0.12398973225435"/>
    <n v="400.03334539043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174059062312"/>
    <n v="429.12017633399302"/>
    <n v="0.32443904740000001"/>
  </r>
  <r>
    <n v="830000"/>
    <n v="2400000"/>
    <n v="2400000"/>
    <x v="0"/>
    <x v="0"/>
    <s v="BR3-5, BR-7"/>
    <s v="62-304.520 (10), F.A.C."/>
    <n v="0.59"/>
    <n v="0.64"/>
    <s v="FDOT District 5"/>
    <n v="3.7922246872770002E-2"/>
    <n v="3769.5135110357301"/>
    <n v="9.8738789786154104"/>
    <n v="1.4111544705928301"/>
    <n v="0.37443967621892998"/>
    <n v="5.3514148209429999E-2"/>
    <n v="142.948421955750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37443967621892998"/>
    <n v="5.3514148209429999E-2"/>
    <n v="142.94842195574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08698955382"/>
    <n v="153.46588830891901"/>
    <n v="0.1159354598"/>
  </r>
  <r>
    <n v="830000"/>
    <n v="2400000"/>
    <n v="2400000"/>
    <x v="0"/>
    <x v="0"/>
    <s v="BR3-5, BR-7"/>
    <s v="62-304.520 (10), F.A.C."/>
    <n v="0.59"/>
    <n v="0.64"/>
    <s v="City of Cocoa Beach"/>
    <n v="2.16922378307E-3"/>
    <n v="3769.5135110357301"/>
    <n v="9.8738789786154104"/>
    <n v="1.4111544705928301"/>
    <n v="2.1418653111599999E-2"/>
    <n v="3.0611098392000001E-3"/>
    <n v="8.1769183587574794"/>
    <n v="1400"/>
    <s v="Commercial and Services"/>
    <n v="1400"/>
    <s v="City of Cocoa Beach           Brevard County"/>
    <s v="City of Cocoa Beach"/>
    <m/>
    <m/>
    <m/>
    <n v="0"/>
    <n v="1"/>
    <n v="2.1418653111599999E-2"/>
    <n v="3.0611098392000001E-3"/>
    <n v="8.176918358756909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91274776854"/>
    <n v="8.7785371981552291"/>
    <n v="6.6317262000000002E-3"/>
  </r>
  <r>
    <n v="830000"/>
    <n v="2400000"/>
    <n v="2400000"/>
    <x v="0"/>
    <x v="0"/>
    <s v="BR3-5, BR-7"/>
    <s v="62-304.520 (10), F.A.C."/>
    <n v="0.59"/>
    <n v="0.64"/>
    <s v="FDOT District 5"/>
    <n v="6.9315923343789998E-2"/>
    <n v="3769.5135110357301"/>
    <n v="9.8738789786154104"/>
    <n v="1.4111544705928301"/>
    <n v="0.68441703838761003"/>
    <n v="9.7815475109859995E-2"/>
    <n v="261.287309574351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68441703838761003"/>
    <n v="9.7815475109859995E-2"/>
    <n v="261.28730957435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1.071592567536"/>
    <n v="280.511589558423"/>
    <n v="0.2119118488"/>
  </r>
  <r>
    <n v="830000"/>
    <n v="2400000"/>
    <n v="2400000"/>
    <x v="0"/>
    <x v="0"/>
    <s v="BR3-5, BR-7"/>
    <s v="62-304.520 (10), F.A.C."/>
    <n v="0.59"/>
    <n v="0.64"/>
    <s v="FDOT District 5"/>
    <n v="0.27309508561349"/>
    <n v="3769.5135110357301"/>
    <n v="9.8738789786154104"/>
    <n v="1.4111544705928301"/>
    <n v="2.6965078250022101"/>
    <n v="0.38537935096040998"/>
    <n v="1029.4356150175099"/>
    <n v="8140"/>
    <s v="Roads and Highways"/>
    <n v="8140"/>
    <s v="FDOT District 5                                 City of Cocoa Beach           Brevard County"/>
    <s v="FDOT District 5"/>
    <m/>
    <m/>
    <m/>
    <n v="0"/>
    <n v="1"/>
    <n v="2.6965078250022101"/>
    <n v="0.38537935096040998"/>
    <n v="1029.4356150175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4.523090927288"/>
    <n v="1105.1766011408299"/>
    <n v="0.83490317520000001"/>
  </r>
  <r>
    <n v="830000"/>
    <n v="2400000"/>
    <n v="2400000"/>
    <x v="0"/>
    <x v="0"/>
    <s v="BR3-5, BR-7"/>
    <s v="62-304.520 (10), F.A.C."/>
    <n v="0.59"/>
    <n v="0.64"/>
    <s v="City of Cocoa Beach"/>
    <n v="4.372941960079E-2"/>
    <n v="3769.5135110357301"/>
    <n v="9.8738789786154104"/>
    <n v="1.4111544705928301"/>
    <n v="0.43177899694330002"/>
    <n v="6.1708965966079998E-2"/>
    <n v="164.838638014932"/>
    <n v="1410"/>
    <s v="Retail Sales and Services"/>
    <n v="1410"/>
    <s v="City of Cocoa Beach           Brevard County"/>
    <s v="City of Cocoa Beach"/>
    <m/>
    <m/>
    <m/>
    <n v="0"/>
    <n v="1"/>
    <n v="0.43177899694330002"/>
    <n v="6.1708965966079998E-2"/>
    <n v="164.83863801493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6.469926457984698"/>
    <n v="176.966682559285"/>
    <n v="0.13368908190000001"/>
  </r>
  <r>
    <n v="830000"/>
    <n v="2400000"/>
    <n v="2400000"/>
    <x v="0"/>
    <x v="0"/>
    <s v="BR3-5, BR-7"/>
    <s v="62-304.520 (10), F.A.C."/>
    <n v="0.59"/>
    <n v="0.64"/>
    <s v="City of Cocoa Beach"/>
    <n v="7.7794514401949996E-2"/>
    <n v="3769.5135110357301"/>
    <n v="9.8738789786154104"/>
    <n v="1.4111544705928301"/>
    <n v="0.76813362040504995"/>
    <n v="0.10978007678590999"/>
    <n v="293.24747312263298"/>
    <n v="1430"/>
    <s v="Professional Services"/>
    <n v="1430"/>
    <s v="City of Cocoa Beach           Brevard County"/>
    <s v="City of Cocoa Beach"/>
    <m/>
    <m/>
    <m/>
    <n v="0"/>
    <n v="1"/>
    <n v="0.76813362040504995"/>
    <n v="0.10978007678590999"/>
    <n v="293.24747312263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2.548136401791297"/>
    <n v="314.82323023504102"/>
    <n v="0.23783250049999999"/>
  </r>
  <r>
    <n v="830000"/>
    <n v="2400000"/>
    <n v="2400000"/>
    <x v="0"/>
    <x v="0"/>
    <s v="BR3-5, BR-7"/>
    <s v="62-304.520 (10), F.A.C."/>
    <n v="0.59"/>
    <n v="0.64"/>
    <s v="City of Cocoa Beach"/>
    <n v="4.8535659110810002E-2"/>
    <n v="3769.5135110357301"/>
    <n v="9.8738789786154104"/>
    <n v="1.4111544705928301"/>
    <n v="0.47923522420749998"/>
    <n v="6.8491312337390003E-2"/>
    <n v="182.95582278523401"/>
    <n v="1300"/>
    <s v="Residential, High Density"/>
    <n v="1300"/>
    <s v="City of Cocoa Beach           Brevard County"/>
    <s v="City of Cocoa Beach"/>
    <m/>
    <m/>
    <m/>
    <n v="0"/>
    <n v="1"/>
    <n v="0.47923522420749998"/>
    <n v="6.8491312337390003E-2"/>
    <n v="182.95582278523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3.160780436894498"/>
    <n v="196.41684378801199"/>
    <n v="0.1483826624"/>
  </r>
  <r>
    <n v="830000"/>
    <n v="2400000"/>
    <n v="2400000"/>
    <x v="0"/>
    <x v="0"/>
    <s v="BR3-5, BR-7"/>
    <s v="62-304.520 (10), F.A.C."/>
    <n v="0.59"/>
    <n v="0.64"/>
    <s v="FDOT District 5"/>
    <n v="1.0094193119899999E-3"/>
    <n v="3769.5135110357301"/>
    <n v="9.8738789786154104"/>
    <n v="1.4111544705928301"/>
    <n v="9.9668841252600008E-3"/>
    <n v="1.4244465748099999E-3"/>
    <n v="3.80501973484668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9.9668841252600008E-3"/>
    <n v="1.4244465748099999E-3"/>
    <n v="3.8050197348476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4618206177133"/>
    <n v="4.0849750256223096"/>
    <n v="3.0859851999999999E-3"/>
  </r>
  <r>
    <n v="830000"/>
    <n v="2400000"/>
    <n v="2400000"/>
    <x v="0"/>
    <x v="0"/>
    <s v="BR3-5, BR-7"/>
    <s v="62-304.520 (10), F.A.C."/>
    <n v="0.59"/>
    <n v="0.64"/>
    <s v="City of Cocoa Beach"/>
    <n v="6.3013647157649996E-2"/>
    <n v="3769.5135110357301"/>
    <n v="9.8738789786154104"/>
    <n v="1.4111544705928301"/>
    <n v="0.62218912603582999"/>
    <n v="8.8921989894879996E-2"/>
    <n v="237.53079434041101"/>
    <n v="1300"/>
    <s v="Residential, High Density"/>
    <n v="1300"/>
    <s v="City of Cocoa Beach           Brevard County"/>
    <s v="City of Cocoa Beach"/>
    <m/>
    <m/>
    <m/>
    <n v="0"/>
    <n v="1"/>
    <n v="0.62218912603582999"/>
    <n v="8.8921989894879996E-2"/>
    <n v="237.53079434041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2.950850940793401"/>
    <n v="255.007182698794"/>
    <n v="0.19264460210000001"/>
  </r>
  <r>
    <n v="830000"/>
    <n v="2400000"/>
    <n v="2400000"/>
    <x v="0"/>
    <x v="0"/>
    <s v="BR3-5, BR-7"/>
    <s v="62-304.520 (10), F.A.C."/>
    <n v="0.59"/>
    <n v="0.64"/>
    <s v="FDOT District 5"/>
    <n v="1.17831447157E-3"/>
    <n v="3769.5135110357301"/>
    <n v="9.8738789786154104"/>
    <n v="1.4111544705928301"/>
    <n v="1.1634534491120001E-2"/>
    <n v="1.6627837343299999E-3"/>
    <n v="4.44167232086596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1634534491120001E-2"/>
    <n v="1.6627837343299999E-3"/>
    <n v="4.4416723208644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4.309712214072398"/>
    <n v="4.7684694869147499"/>
    <n v="3.6023295000000002E-3"/>
  </r>
  <r>
    <n v="830000"/>
    <n v="2400000"/>
    <n v="2400000"/>
    <x v="0"/>
    <x v="0"/>
    <s v="BR3-5, BR-7"/>
    <s v="62-304.520 (10), F.A.C."/>
    <n v="0.59"/>
    <n v="0.64"/>
    <s v="City of Cocoa Beach"/>
    <n v="0.46559956388342"/>
    <n v="3858.9663390231499"/>
    <n v="8.5483085101449596"/>
    <n v="1.2011959779322201"/>
    <n v="3.9800887142644599"/>
    <n v="0.55927632346376999"/>
    <n v="1796.7330444899901"/>
    <n v="1450"/>
    <s v="Tourist Services"/>
    <n v="1450"/>
    <s v="City of Cocoa Beach           Brevard County"/>
    <s v="City of Cocoa Beach"/>
    <m/>
    <m/>
    <m/>
    <n v="0"/>
    <n v="1"/>
    <n v="3.9800887142644599"/>
    <n v="0.55927632346376999"/>
    <n v="1796.7330444899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5.388474850092"/>
    <n v="1884.21458536827"/>
    <n v="1.4572044155999999"/>
  </r>
  <r>
    <n v="830000"/>
    <n v="2400000"/>
    <n v="2400000"/>
    <x v="0"/>
    <x v="0"/>
    <s v="BR3-5, BR-7"/>
    <s v="62-304.520 (10), F.A.C."/>
    <n v="0.59"/>
    <n v="0.64"/>
    <s v="City of Cocoa Beach"/>
    <n v="0.15216388989954999"/>
    <n v="3858.9663390231499"/>
    <n v="8.5483085101449596"/>
    <n v="1.2011959779322201"/>
    <n v="1.3007438749651301"/>
    <n v="0.18277865253386"/>
    <n v="587.19532913721105"/>
    <n v="1300"/>
    <s v="Residential, High Density"/>
    <n v="1300"/>
    <s v="City of Cocoa Beach           Brevard County"/>
    <s v="City of Cocoa Beach"/>
    <m/>
    <m/>
    <m/>
    <n v="0"/>
    <n v="1"/>
    <n v="1.3007438749651301"/>
    <n v="0.18277865253386"/>
    <n v="587.195329137211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4.651308043036"/>
    <n v="615.78541509738398"/>
    <n v="0.47623303259999999"/>
  </r>
  <r>
    <n v="830000"/>
    <n v="2400000"/>
    <n v="2400000"/>
    <x v="0"/>
    <x v="0"/>
    <s v="BR3-5, BR-7"/>
    <s v="62-304.520 (10), F.A.C."/>
    <n v="0.59"/>
    <n v="0.64"/>
    <s v="City of Cocoa Beach"/>
    <n v="0.13244935352121001"/>
    <n v="3702.8586394540398"/>
    <n v="9.2460504175995197"/>
    <n v="1.3653021315681899"/>
    <n v="1.2246334004355801"/>
    <n v="0.18083338468733001"/>
    <n v="490.44123297611901"/>
    <n v="1200"/>
    <s v="Residential, Medium Density-Two-five dwellingunits per acre"/>
    <n v="1200"/>
    <s v="City of Cocoa Beach           Brevard County"/>
    <s v="City of Cocoa Beach"/>
    <m/>
    <m/>
    <m/>
    <n v="0"/>
    <n v="1"/>
    <n v="1.2246334004355801"/>
    <n v="0.18083338468733001"/>
    <n v="490.44123297611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454881634484"/>
    <n v="536.003516940042"/>
    <n v="0.39776255719999998"/>
  </r>
  <r>
    <n v="830000"/>
    <n v="2400000"/>
    <n v="2400000"/>
    <x v="0"/>
    <x v="0"/>
    <s v="BR3-5, BR-7"/>
    <s v="62-304.520 (10), F.A.C."/>
    <n v="0.59"/>
    <n v="0.64"/>
    <s v="City of Cocoa Beach"/>
    <n v="1.35632419266E-3"/>
    <n v="3702.8586394540398"/>
    <n v="9.2460504175995197"/>
    <n v="1.3653021315681899"/>
    <n v="1.254064186798E-2"/>
    <n v="1.8517923113399999E-3"/>
    <n v="5.0222767547064198"/>
    <n v="1210"/>
    <s v="Fixed Single Family Units"/>
    <n v="1210"/>
    <s v="City of Cocoa Beach           Brevard County"/>
    <s v="City of Cocoa Beach"/>
    <m/>
    <m/>
    <m/>
    <n v="0"/>
    <n v="1"/>
    <n v="1.254064186798E-2"/>
    <n v="1.8517923113399999E-3"/>
    <n v="5.0222767547077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1.692744262223599"/>
    <n v="5.4888492699402498"/>
    <n v="4.0732171999999997E-3"/>
  </r>
  <r>
    <n v="830000"/>
    <n v="2400000"/>
    <n v="2400000"/>
    <x v="0"/>
    <x v="0"/>
    <s v="BR3-5, BR-7"/>
    <s v="62-304.520 (10), F.A.C."/>
    <n v="0.59"/>
    <n v="0.64"/>
    <s v="City of Cocoa Beach"/>
    <n v="7.01326415164E-3"/>
    <n v="3702.8586394540398"/>
    <n v="9.2460504175995197"/>
    <n v="1.3653021315681899"/>
    <n v="6.4844993938059994E-2"/>
    <n v="9.57522449549E-3"/>
    <n v="25.9691257546957"/>
    <n v="1210"/>
    <s v="Fixed Single Family Units"/>
    <n v="1210"/>
    <s v="City of Cocoa Beach           Brevard County"/>
    <s v="City of Cocoa Beach"/>
    <m/>
    <m/>
    <m/>
    <n v="0"/>
    <n v="1"/>
    <n v="6.4844993938059994E-2"/>
    <n v="9.57522449549E-3"/>
    <n v="25.969125754694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1.554017107043698"/>
    <n v="28.381673074075"/>
    <n v="2.1061740299999999E-2"/>
  </r>
  <r>
    <n v="830000"/>
    <n v="2400000"/>
    <n v="2400000"/>
    <x v="0"/>
    <x v="0"/>
    <s v="BR3-5, BR-7"/>
    <s v="62-304.520 (10), F.A.C."/>
    <n v="0.59"/>
    <n v="0.64"/>
    <s v="City of Cocoa Beach"/>
    <n v="6.8455664348899999E-3"/>
    <n v="3702.8586394540398"/>
    <n v="9.2460504175995197"/>
    <n v="1.3653021315681899"/>
    <n v="6.3294452394100004E-2"/>
    <n v="9.3462664453500006E-3"/>
    <n v="25.3481648154224"/>
    <n v="1300"/>
    <s v="Residential, High Density"/>
    <n v="1300"/>
    <s v="City of Cocoa Beach           Brevard County"/>
    <s v="City of Cocoa Beach"/>
    <m/>
    <m/>
    <m/>
    <n v="0"/>
    <n v="1"/>
    <n v="6.3294452394100004E-2"/>
    <n v="9.3462664453500006E-3"/>
    <n v="25.348164815421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3.891250864992301"/>
    <n v="27.703024492035802"/>
    <n v="2.0558122299999999E-2"/>
  </r>
  <r>
    <n v="830000"/>
    <n v="2400000"/>
    <n v="2400000"/>
    <x v="0"/>
    <x v="0"/>
    <s v="BR3-5, BR-7"/>
    <s v="62-304.520 (10), F.A.C."/>
    <n v="0.59"/>
    <n v="0.64"/>
    <s v="City of Cocoa Beach"/>
    <n v="9.1279852957810007E-2"/>
    <n v="3702.8586394540398"/>
    <n v="9.2460504175995197"/>
    <n v="1.3653021315681899"/>
    <n v="0.84397812255904003"/>
    <n v="0.12462457781253"/>
    <n v="337.99639213294699"/>
    <n v="1210"/>
    <s v="Fixed Single Family Units"/>
    <n v="1210"/>
    <s v="City of Cocoa Beach           Brevard County"/>
    <s v="City of Cocoa Beach"/>
    <m/>
    <m/>
    <m/>
    <n v="0"/>
    <n v="1"/>
    <n v="0.84397812255904003"/>
    <n v="0.12462457781253"/>
    <n v="337.99639213294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5.247435790126104"/>
    <n v="369.39645917806899"/>
    <n v="0.27412521670000001"/>
  </r>
  <r>
    <n v="830000"/>
    <n v="2400000"/>
    <n v="2400000"/>
    <x v="0"/>
    <x v="0"/>
    <s v="BR3-5, BR-7"/>
    <s v="62-304.520 (10), F.A.C."/>
    <n v="0.59"/>
    <n v="0.64"/>
    <s v="City of Cocoa Beach"/>
    <n v="0.25998009280808998"/>
    <n v="3702.8586394540398"/>
    <n v="9.2460504175995197"/>
    <n v="1.3653021315681899"/>
    <n v="2.4037890456758699"/>
    <n v="0.35495137487619"/>
    <n v="962.66953274053003"/>
    <n v="1210"/>
    <s v="Fixed Single Family Units"/>
    <n v="1210"/>
    <s v="City of Cocoa Beach           Brevard County"/>
    <s v="City of Cocoa Beach"/>
    <m/>
    <m/>
    <m/>
    <n v="0"/>
    <n v="1"/>
    <n v="2.4037890456758699"/>
    <n v="0.35495137487619"/>
    <n v="962.66953274053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1.46823804248299"/>
    <n v="1052.1021082765999"/>
    <n v="0.78075387890000003"/>
  </r>
  <r>
    <n v="830000"/>
    <n v="2400000"/>
    <n v="2400000"/>
    <x v="0"/>
    <x v="0"/>
    <s v="BR3-5, BR-7"/>
    <s v="62-304.520 (10), F.A.C."/>
    <n v="0.59"/>
    <n v="0.64"/>
    <s v="City of Cocoa Beach"/>
    <n v="0.11883899955555"/>
    <n v="3702.8586394540398"/>
    <n v="9.2460504175995197"/>
    <n v="1.3653021315681899"/>
    <n v="1.0987913814677099"/>
    <n v="0.16225113940662"/>
    <n v="440.04401620834699"/>
    <n v="1210"/>
    <s v="Fixed Single Family Units"/>
    <n v="1210"/>
    <s v="City of Cocoa Beach           Brevard County"/>
    <s v="City of Cocoa Beach"/>
    <m/>
    <m/>
    <m/>
    <n v="0"/>
    <n v="1"/>
    <n v="1.0987913814677099"/>
    <n v="0.16225113940662"/>
    <n v="440.04401620834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68300806161901"/>
    <n v="480.924368582971"/>
    <n v="0.35688890200000001"/>
  </r>
  <r>
    <n v="830000"/>
    <n v="2400000"/>
    <n v="2400000"/>
    <x v="0"/>
    <x v="0"/>
    <s v="BR3-5, BR-7"/>
    <s v="62-304.520 (10), F.A.C."/>
    <n v="0.59"/>
    <n v="0.64"/>
    <s v="City of Cocoa Beach"/>
    <n v="0.25204497090201999"/>
    <n v="3147.5605163743298"/>
    <n v="8.5344823257316698"/>
    <n v="1.47543818602516"/>
    <n v="2.15107334945287"/>
    <n v="0.37187677466444002"/>
    <n v="793.32679876192901"/>
    <n v="1300"/>
    <s v="Residential, High Density"/>
    <n v="1300"/>
    <s v="City of Cocoa Beach           Brevard County"/>
    <s v="City of Cocoa Beach"/>
    <m/>
    <m/>
    <m/>
    <n v="0"/>
    <n v="1"/>
    <n v="2.15107334945287"/>
    <n v="0.37187677466444002"/>
    <n v="851.824318127980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0.81432634898101"/>
    <n v="1019.98980922847"/>
    <n v="0.69085508360000003"/>
  </r>
  <r>
    <n v="830000"/>
    <n v="2400000"/>
    <n v="2400000"/>
    <x v="0"/>
    <x v="0"/>
    <s v="BR3-5, BR-7"/>
    <s v="62-304.520 (10), F.A.C."/>
    <n v="0.59"/>
    <n v="0.64"/>
    <s v="FDOT District 5"/>
    <n v="1.570929325407E-2"/>
    <n v="3724.5902340310099"/>
    <n v="8.1031414486942204"/>
    <n v="1.0815343837899101"/>
    <n v="0.12729462529678001"/>
    <n v="1.699014079932E-2"/>
    <n v="58.510680237656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2729462529678001"/>
    <n v="1.699014079932E-2"/>
    <n v="60.3678730919934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3.875289890320005"/>
    <n v="63.573254296616398"/>
    <n v="4.8960156599999999E-2"/>
  </r>
  <r>
    <n v="830000"/>
    <n v="2400000"/>
    <n v="2400000"/>
    <x v="0"/>
    <x v="0"/>
    <s v="BR3-5, BR-7"/>
    <s v="62-304.520 (10), F.A.C."/>
    <n v="0.59"/>
    <n v="0.64"/>
    <s v="FDOT District 5"/>
    <n v="3.065949217853E-2"/>
    <n v="3724.5902340310099"/>
    <n v="8.1031414486942204"/>
    <n v="1.0815343837899101"/>
    <n v="0.24843820186779"/>
    <n v="3.3159294980620001E-2"/>
    <n v="114.194045148518"/>
    <n v="1850"/>
    <s v="Parks and Zoos"/>
    <n v="1850"/>
    <s v="FDOT District 5                                 City of Cocoa Beach           Brevard County"/>
    <s v="FDOT District 5"/>
    <m/>
    <m/>
    <m/>
    <n v="0"/>
    <n v="1"/>
    <n v="0.24843820186779"/>
    <n v="3.3159294980620001E-2"/>
    <n v="114.19404514851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085005394338"/>
    <n v="124.07456283022201"/>
    <n v="9.2614797400000004E-2"/>
  </r>
  <r>
    <n v="830000"/>
    <n v="2400000"/>
    <n v="2400000"/>
    <x v="0"/>
    <x v="0"/>
    <s v="BR3-5, BR-7"/>
    <s v="62-304.520 (10), F.A.C."/>
    <n v="0.59"/>
    <n v="0.64"/>
    <s v="FDOT District 5"/>
    <n v="0.25812029809471998"/>
    <n v="3724.5902340310099"/>
    <n v="8.1031414486942204"/>
    <n v="1.0815343837899101"/>
    <n v="2.0915852862406301"/>
    <n v="0.27916597754354"/>
    <n v="961.39234148876801"/>
    <n v="8140"/>
    <s v="Roads and Highways"/>
    <n v="8140"/>
    <s v="FDOT District 5                                 City of Cocoa Beach           Brevard County"/>
    <s v="FDOT District 5"/>
    <m/>
    <m/>
    <m/>
    <n v="0"/>
    <n v="1"/>
    <n v="2.0915852862406301"/>
    <n v="0.27916597754354"/>
    <n v="998.96236710378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04938773240099"/>
    <n v="1044.57578609641"/>
    <n v="0.81018845669999995"/>
  </r>
  <r>
    <n v="830000"/>
    <n v="2400000"/>
    <n v="2400000"/>
    <x v="0"/>
    <x v="0"/>
    <s v="BR3-5, BR-7"/>
    <s v="62-304.520 (10), F.A.C."/>
    <n v="0.59"/>
    <n v="0.64"/>
    <s v="Natural Lands"/>
    <n v="0.47442385180989999"/>
    <n v="3189.28744535337"/>
    <n v="6.6527670984788498"/>
    <n v="0.91289968272695998"/>
    <n v="3.1562313920545302"/>
    <n v="0.43310138379536001"/>
    <n v="1513.0740343535099"/>
    <n v="4200"/>
    <s v="Upland Hardwood Forest"/>
    <n v="4200"/>
    <s v="City of Cocoa Beach           Brevard County"/>
    <s v="City of Cocoa Beach"/>
    <m/>
    <m/>
    <s v="Natural Lands"/>
    <n v="0"/>
    <n v="1"/>
    <n v="3.1562313920545302"/>
    <n v="0.43310138379536001"/>
    <n v="1771.4048775256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5.42065954731299"/>
    <n v="1919.9252116366499"/>
    <n v="1.4366625122000001"/>
  </r>
  <r>
    <n v="830000"/>
    <n v="2400000"/>
    <n v="2400000"/>
    <x v="0"/>
    <x v="0"/>
    <s v="BR3-5, BR-7"/>
    <s v="62-304.520 (10), F.A.C."/>
    <n v="0.59"/>
    <n v="0.64"/>
    <s v="City of Cocoa Beach"/>
    <n v="5.0420818928889999E-2"/>
    <n v="3189.28744535337"/>
    <n v="6.6527670984788498"/>
    <n v="0.91289968272695998"/>
    <n v="0.33543796524852998"/>
    <n v="4.602914960302E-2"/>
    <n v="160.80648479436999"/>
    <n v="1410"/>
    <s v="Retail Sales and Services"/>
    <n v="1410"/>
    <s v="City of Cocoa Beach           Brevard County"/>
    <s v="City of Cocoa Beach"/>
    <m/>
    <m/>
    <m/>
    <n v="0"/>
    <n v="1"/>
    <n v="0.33543796524852998"/>
    <n v="4.602914960302E-2"/>
    <n v="166.70476140959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3.661073314700701"/>
    <n v="204.04581490507701"/>
    <n v="0.135202564"/>
  </r>
  <r>
    <n v="830000"/>
    <n v="2400000"/>
    <n v="2400000"/>
    <x v="0"/>
    <x v="0"/>
    <s v="BR3-5, BR-7"/>
    <s v="62-304.520 (10), F.A.C."/>
    <n v="0.59"/>
    <n v="0.64"/>
    <s v="City of Cocoa Beach"/>
    <n v="0.48976182463156998"/>
    <n v="3744.6720802416198"/>
    <n v="11.0680570189639"/>
    <n v="2.1668209464135599"/>
    <n v="5.42071180073411"/>
    <n v="1.0612261803654299"/>
    <n v="1833.9974306660599"/>
    <n v="1300"/>
    <s v="Residential, High Density"/>
    <n v="1300"/>
    <s v="City of Cocoa Beach           Brevard County"/>
    <s v="City of Cocoa Beach"/>
    <m/>
    <m/>
    <m/>
    <n v="0"/>
    <n v="1"/>
    <n v="5.42071180073411"/>
    <n v="1.0612261803654299"/>
    <n v="1833.9974306660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8.490209344531"/>
    <n v="1981.9957854566401"/>
    <n v="1.4874269511"/>
  </r>
  <r>
    <n v="830000"/>
    <n v="2400000"/>
    <n v="2400000"/>
    <x v="0"/>
    <x v="0"/>
    <s v="BR3-5, BR-7"/>
    <s v="62-304.520 (10), F.A.C."/>
    <n v="0.59"/>
    <n v="0.64"/>
    <s v="City of Cocoa Beach"/>
    <n v="5.4199396885099997E-2"/>
    <n v="3744.6720802416198"/>
    <n v="11.0680570189639"/>
    <n v="2.1668209464135599"/>
    <n v="0.59988201511778005"/>
    <n v="0.11744038845362"/>
    <n v="202.958968281583"/>
    <n v="1300"/>
    <s v="Residential, High Density"/>
    <n v="1300"/>
    <s v="City of Cocoa Beach           Brevard County"/>
    <s v="City of Cocoa Beach"/>
    <m/>
    <m/>
    <m/>
    <n v="0"/>
    <n v="1"/>
    <n v="0.59988201511778005"/>
    <n v="0.11744038845362"/>
    <n v="202.95896828158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59044275495199"/>
    <n v="219.337177374687"/>
    <n v="0.16460581369999999"/>
  </r>
  <r>
    <n v="830000"/>
    <n v="2400000"/>
    <n v="2400000"/>
    <x v="0"/>
    <x v="0"/>
    <s v="BR3-5, BR-7"/>
    <s v="62-304.520 (10), F.A.C."/>
    <n v="0.59"/>
    <n v="0.64"/>
    <s v="City of Cocoa Beach"/>
    <n v="6.4287742229099998E-2"/>
    <n v="3752.2321463424501"/>
    <n v="10.794972646430899"/>
    <n v="2.0799086134073899"/>
    <n v="0.69398441886396001"/>
    <n v="0.13371262879882001"/>
    <n v="241.22253300781301"/>
    <n v="1300"/>
    <s v="Residential, High Density"/>
    <n v="1300"/>
    <s v="City of Cocoa Beach           Brevard County"/>
    <s v="City of Cocoa Beach"/>
    <m/>
    <m/>
    <m/>
    <n v="0"/>
    <n v="1"/>
    <n v="0.69398441886396001"/>
    <n v="0.13371262879882001"/>
    <n v="2317.9918894292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0.435598209463"/>
    <n v="260.16326252143898"/>
    <n v="1.8799609809"/>
  </r>
  <r>
    <n v="830000"/>
    <n v="2400000"/>
    <n v="2400000"/>
    <x v="0"/>
    <x v="0"/>
    <s v="BR3-5, BR-7"/>
    <s v="62-304.520 (10), F.A.C."/>
    <n v="0.59"/>
    <n v="0.64"/>
    <s v="City of Cocoa Beach"/>
    <n v="1.0126339992700001E-3"/>
    <n v="3733.4874132284599"/>
    <n v="11.794272425868099"/>
    <n v="2.3949625010971198"/>
    <n v="1.1943281255139999E-2"/>
    <n v="2.4252204556000001E-3"/>
    <n v="3.78065629050041"/>
    <n v="1300"/>
    <s v="Residential, High Density"/>
    <n v="1300"/>
    <s v="City of Cocoa Beach           Brevard County"/>
    <s v="City of Cocoa Beach"/>
    <m/>
    <m/>
    <m/>
    <n v="0"/>
    <n v="1"/>
    <n v="1.1943281255139999E-2"/>
    <n v="2.4252204556000001E-3"/>
    <n v="3.7806562905011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.4812654762232"/>
    <n v="4.09798440350745"/>
    <n v="3.0662256999999999E-3"/>
  </r>
  <r>
    <n v="830000"/>
    <n v="2400000"/>
    <n v="2400000"/>
    <x v="0"/>
    <x v="0"/>
    <s v="BR3-5, BR-7"/>
    <s v="62-304.520 (10), F.A.C."/>
    <n v="0.59"/>
    <n v="0.64"/>
    <s v="City of Cocoa Beach"/>
    <n v="2.6543192145900001E-2"/>
    <n v="3733.4874132284599"/>
    <n v="11.794272425868099"/>
    <n v="2.3949625010971198"/>
    <n v="0.31305763922100999"/>
    <n v="6.3569949848859997E-2"/>
    <n v="99.098673783655997"/>
    <n v="1300"/>
    <s v="Residential, High Density"/>
    <n v="1300"/>
    <s v="City of Cocoa Beach           Brevard County"/>
    <s v="City of Cocoa Beach"/>
    <m/>
    <m/>
    <m/>
    <n v="0"/>
    <n v="1"/>
    <n v="0.31305763922100999"/>
    <n v="6.3569949848859997E-2"/>
    <n v="99.0986737836559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3.953346573386895"/>
    <n v="107.416487606668"/>
    <n v="8.0371998200000003E-2"/>
  </r>
  <r>
    <n v="830000"/>
    <n v="2400000"/>
    <n v="2400000"/>
    <x v="0"/>
    <x v="0"/>
    <s v="BR3-5, BR-7"/>
    <s v="62-304.520 (10), F.A.C."/>
    <n v="0.59"/>
    <n v="0.64"/>
    <s v="City of Cocoa Beach"/>
    <n v="0.59293843416601"/>
    <n v="3782.53837631235"/>
    <n v="11.5916125235444"/>
    <n v="1.5567255608630599"/>
    <n v="6.8731125791696002"/>
    <n v="0.92304241648435004"/>
    <n v="2242.8123820235"/>
    <n v="1410"/>
    <s v="Retail Sales and Services"/>
    <n v="1410"/>
    <s v="City of Cocoa Beach           Brevard County"/>
    <s v="City of Cocoa Beach"/>
    <m/>
    <m/>
    <m/>
    <n v="0"/>
    <n v="1"/>
    <n v="6.8731125791696002"/>
    <n v="0.92304241648435004"/>
    <n v="2242.812382023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6.110202948118"/>
    <n v="2399.53671039253"/>
    <n v="1.8189881444"/>
  </r>
  <r>
    <n v="830000"/>
    <n v="2400000"/>
    <n v="2400000"/>
    <x v="0"/>
    <x v="0"/>
    <s v="BR3-5, BR-7"/>
    <s v="62-304.520 (10), F.A.C."/>
    <n v="0.59"/>
    <n v="0.64"/>
    <s v="City of Cocoa Beach"/>
    <n v="2.482501970901E-2"/>
    <n v="3782.53837631235"/>
    <n v="11.5916125235444"/>
    <n v="1.5567255608630599"/>
    <n v="0.28776200935629997"/>
    <n v="3.864574272995E-2"/>
    <n v="93.901589742074904"/>
    <n v="1300"/>
    <s v="Residential, High Density"/>
    <n v="1300"/>
    <s v="City of Cocoa Beach           Brevard County"/>
    <s v="City of Cocoa Beach"/>
    <m/>
    <m/>
    <m/>
    <n v="0"/>
    <n v="1"/>
    <n v="0.28776200935629997"/>
    <n v="3.864574272995E-2"/>
    <n v="93.901589742075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97032583739799"/>
    <n v="100.463290445651"/>
    <n v="7.6157007099999993E-2"/>
  </r>
  <r>
    <n v="830000"/>
    <n v="2400000"/>
    <n v="2400000"/>
    <x v="0"/>
    <x v="0"/>
    <s v="BR3-5, BR-7"/>
    <s v="62-304.520 (10), F.A.C."/>
    <n v="0.59"/>
    <n v="0.64"/>
    <s v="City of Cocoa Beach"/>
    <n v="0.45717383106159998"/>
    <n v="3749.2876066120202"/>
    <n v="10.817476639080301"/>
    <n v="2.0878476929486198"/>
    <n v="4.9454672375077404"/>
    <n v="0.95450932845844005"/>
    <n v="1714.0761788666"/>
    <n v="1300"/>
    <s v="Residential, High Density"/>
    <n v="1300"/>
    <s v="City of Cocoa Beach           Brevard County"/>
    <s v="City of Cocoa Beach"/>
    <m/>
    <m/>
    <m/>
    <n v="0"/>
    <n v="1"/>
    <n v="4.9454672375077404"/>
    <n v="0.95450932845844005"/>
    <n v="1714.076178866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3.07754202971799"/>
    <n v="1850.1168543848501"/>
    <n v="1.3901672171999999"/>
  </r>
  <r>
    <n v="830000"/>
    <n v="2400000"/>
    <n v="2400000"/>
    <x v="0"/>
    <x v="0"/>
    <s v="BR3-5, BR-7"/>
    <s v="62-304.520 (10), F.A.C."/>
    <n v="0.59"/>
    <n v="0.64"/>
    <s v="City of Cocoa Beach"/>
    <n v="0.16058962256028"/>
    <n v="3749.2876066120202"/>
    <n v="10.817476639080301"/>
    <n v="2.0878476929486198"/>
    <n v="1.73717449052461"/>
    <n v="0.33528667297398002"/>
    <n v="602.09668161577895"/>
    <n v="1300"/>
    <s v="Residential, High Density"/>
    <n v="1300"/>
    <s v="City of Cocoa Beach           Brevard County"/>
    <s v="City of Cocoa Beach"/>
    <m/>
    <m/>
    <m/>
    <n v="0"/>
    <n v="1"/>
    <n v="1.73717449052461"/>
    <n v="0.33528667297398002"/>
    <n v="602.096681615778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450584851603"/>
    <n v="649.88314542888099"/>
    <n v="0.4883184766"/>
  </r>
  <r>
    <n v="830000"/>
    <n v="2400000"/>
    <n v="2400000"/>
    <x v="0"/>
    <x v="0"/>
    <s v="BR3-5, BR-7"/>
    <s v="62-304.520 (10), F.A.C."/>
    <n v="0.59"/>
    <n v="0.64"/>
    <s v="City of Cocoa Beach"/>
    <n v="0.61776345359886997"/>
    <n v="3747.7351297346399"/>
    <n v="10.782714416832"/>
    <n v="2.0776258092302702"/>
    <n v="6.6611668973125502"/>
    <n v="1.28348129519624"/>
    <n v="2315.2137969186902"/>
    <n v="1300"/>
    <s v="Residential, High Density"/>
    <n v="1300"/>
    <s v="City of Cocoa Beach           Brevard County"/>
    <s v="City of Cocoa Beach"/>
    <m/>
    <m/>
    <m/>
    <n v="0"/>
    <n v="1"/>
    <n v="6.6611668973125502"/>
    <n v="1.28348129519624"/>
    <n v="2315.2137969186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8882399"/>
    <n v="2499.9999997206"/>
    <n v="1.8777078645"/>
  </r>
  <r>
    <n v="830000"/>
    <n v="2400000"/>
    <n v="2400000"/>
    <x v="0"/>
    <x v="0"/>
    <s v="BR3-5, BR-7"/>
    <s v="62-304.520 (10), F.A.C."/>
    <n v="0.59"/>
    <n v="0.64"/>
    <s v="City of Cocoa Beach"/>
    <n v="3.7216231981139998E-2"/>
    <n v="3770.3992822626401"/>
    <n v="11.2717680171006"/>
    <n v="1.56601307838828"/>
    <n v="0.41949273336200998"/>
    <n v="5.828110601079E-2"/>
    <n v="140.32005435021"/>
    <n v="1200"/>
    <s v="Residential, Medium Density-Two-five dwellingunits per acre"/>
    <n v="1200"/>
    <s v="City of Cocoa Beach           Brevard County"/>
    <s v="City of Cocoa Beach"/>
    <m/>
    <m/>
    <m/>
    <n v="0"/>
    <n v="1"/>
    <n v="0.41949273336200998"/>
    <n v="5.828110601079E-2"/>
    <n v="260.28649152060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1.790322933480198"/>
    <n v="150.60874741040601"/>
    <n v="0.21110015530000001"/>
  </r>
  <r>
    <n v="830000"/>
    <n v="2400000"/>
    <n v="2400000"/>
    <x v="0"/>
    <x v="0"/>
    <s v="BR3-5, BR-7"/>
    <s v="62-304.520 (10), F.A.C."/>
    <n v="0.59"/>
    <n v="0.64"/>
    <s v="City of Cocoa Beach"/>
    <n v="1.2737888942520001E-2"/>
    <n v="3770.3992822626401"/>
    <n v="11.2717680171006"/>
    <n v="1.56601307838828"/>
    <n v="0.14357852918769001"/>
    <n v="1.9947700675039998E-2"/>
    <n v="48.026927326426197"/>
    <n v="1400"/>
    <s v="Commercial and Services"/>
    <n v="1400"/>
    <s v="City of Cocoa Beach           Brevard County"/>
    <s v="City of Cocoa Beach"/>
    <m/>
    <m/>
    <m/>
    <n v="0"/>
    <n v="1"/>
    <n v="0.14357852918769001"/>
    <n v="1.9947700675039998E-2"/>
    <n v="48.026927326425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0177417686252"/>
    <n v="51.548407674862197"/>
    <n v="3.8951279300000002E-2"/>
  </r>
  <r>
    <n v="830000"/>
    <n v="2400000"/>
    <n v="2400000"/>
    <x v="0"/>
    <x v="0"/>
    <s v="BR3-5, BR-7"/>
    <s v="62-304.520 (10), F.A.C."/>
    <n v="0.59"/>
    <n v="0.64"/>
    <s v="City of Cocoa Beach"/>
    <n v="0.45989211473583003"/>
    <n v="3770.3992822626401"/>
    <n v="11.2717680171006"/>
    <n v="1.56601307838828"/>
    <n v="5.1837972301961104"/>
    <n v="0.72019706632394997"/>
    <n v="1733.9768993182199"/>
    <n v="1410"/>
    <s v="Retail Sales and Services"/>
    <n v="1410"/>
    <s v="City of Cocoa Beach           Brevard County"/>
    <s v="City of Cocoa Beach"/>
    <m/>
    <m/>
    <m/>
    <n v="0"/>
    <n v="1"/>
    <n v="5.1837972301961104"/>
    <n v="0.72019706632394997"/>
    <n v="1799.1628063465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2.40817910638501"/>
    <n v="1861.1173581298101"/>
    <n v="1.4591750254"/>
  </r>
  <r>
    <n v="830000"/>
    <n v="2400000"/>
    <n v="2400000"/>
    <x v="0"/>
    <x v="0"/>
    <s v="BR3-5, BR-7"/>
    <s v="62-304.520 (10), F.A.C."/>
    <n v="0.59"/>
    <n v="0.64"/>
    <s v="City of Cocoa Beach"/>
    <n v="0.43182966877006002"/>
    <n v="3747.7298696224998"/>
    <n v="10.782699282803"/>
    <n v="2.07762289318674"/>
    <n v="4.6562894597400604"/>
    <n v="0.89717920579393995"/>
    <n v="1618.3809482387701"/>
    <n v="1300"/>
    <s v="Residential, High Density"/>
    <n v="1300"/>
    <s v="City of Cocoa Beach           Brevard County"/>
    <s v="City of Cocoa Beach"/>
    <m/>
    <m/>
    <m/>
    <n v="0"/>
    <n v="1"/>
    <n v="4.6562894597400604"/>
    <n v="0.89717920579393995"/>
    <n v="1618.3809482387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0.26877371901301"/>
    <n v="1747.5526684450101"/>
    <n v="1.3125555136"/>
  </r>
  <r>
    <n v="830000"/>
    <n v="2400000"/>
    <n v="2400000"/>
    <x v="0"/>
    <x v="0"/>
    <s v="BR3-5, BR-7"/>
    <s v="62-304.520 (10), F.A.C."/>
    <n v="0.59"/>
    <n v="0.64"/>
    <s v="FDOT District 5"/>
    <n v="6.3330457877999995E-4"/>
    <n v="3763.4238827784502"/>
    <n v="10.3740872741696"/>
    <n v="1.3904690021400901"/>
    <n v="6.5699569714799998E-3"/>
    <n v="8.8059038570999996E-4"/>
    <n v="2.38339357688747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5699569714799998E-3"/>
    <n v="8.8059038570999996E-4"/>
    <n v="2.3833935768887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.9415875162306"/>
    <n v="2.5628927020090102"/>
    <n v="1.9330037E-3"/>
  </r>
  <r>
    <n v="830000"/>
    <n v="2400000"/>
    <n v="2400000"/>
    <x v="0"/>
    <x v="0"/>
    <s v="BR3-5, BR-7"/>
    <s v="62-304.520 (10), F.A.C."/>
    <n v="0.59"/>
    <n v="0.64"/>
    <s v="City of Cocoa Beach"/>
    <n v="5.9035514321000005E-4"/>
    <n v="3763.4238827784502"/>
    <n v="10.3740872741696"/>
    <n v="1.3904690021400901"/>
    <n v="6.1243957784299996E-3"/>
    <n v="8.2087052688999997E-4"/>
    <n v="2.2217566452851298"/>
    <n v="1400"/>
    <s v="Commercial and Services"/>
    <n v="1400"/>
    <s v="City of Cocoa Beach           Brevard County"/>
    <s v="City of Cocoa Beach"/>
    <m/>
    <m/>
    <m/>
    <n v="0"/>
    <n v="1"/>
    <n v="6.1243957784299996E-3"/>
    <n v="8.2087052688999997E-4"/>
    <n v="2.2217566452839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45301112896"/>
    <n v="2.38908250280303"/>
    <n v="1.8019112999999999E-3"/>
  </r>
  <r>
    <n v="830000"/>
    <n v="2400000"/>
    <n v="2400000"/>
    <x v="0"/>
    <x v="0"/>
    <s v="BR3-5, BR-7"/>
    <s v="62-304.520 (10), F.A.C."/>
    <n v="0.59"/>
    <n v="0.64"/>
    <s v="FDOT District 5"/>
    <n v="8.9884712657509996E-2"/>
    <n v="3763.4238827784502"/>
    <n v="10.3740872741696"/>
    <n v="1.3904690021400901"/>
    <n v="0.93247185372271002"/>
    <n v="0.12498190671654"/>
    <n v="338.27427431196702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93247185372271002"/>
    <n v="0.12498190671654"/>
    <n v="338.274274311964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9.381776518064"/>
    <n v="363.75052669363703"/>
    <n v="0.27435058740000001"/>
  </r>
  <r>
    <n v="830000"/>
    <n v="2400000"/>
    <n v="2400000"/>
    <x v="0"/>
    <x v="0"/>
    <s v="BR3-5, BR-7"/>
    <s v="62-304.520 (10), F.A.C."/>
    <n v="0.59"/>
    <n v="0.64"/>
    <s v="FDOT District 5"/>
    <n v="1.6559121342600001E-3"/>
    <n v="3763.4238827784502"/>
    <n v="10.3740872741696"/>
    <n v="1.3904690021400901"/>
    <n v="1.7178576999189999E-2"/>
    <n v="2.3024944929499998E-3"/>
    <n v="6.2318992738642498"/>
    <n v="3200"/>
    <s v="Shrub and Brushland"/>
    <n v="3200"/>
    <s v="FDOT District 5                                 City of Cocoa Beach           Brevard County"/>
    <s v="FDOT District 5"/>
    <m/>
    <m/>
    <s v="Natural Lands"/>
    <n v="0"/>
    <n v="1"/>
    <n v="1.7178576999189999E-2"/>
    <n v="2.3024944929499998E-3"/>
    <n v="6.231899273863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6.530790099651597"/>
    <n v="6.70123865546711"/>
    <n v="5.0542573E-3"/>
  </r>
  <r>
    <n v="830000"/>
    <n v="2400000"/>
    <n v="2400000"/>
    <x v="0"/>
    <x v="0"/>
    <s v="BR3-5, BR-7"/>
    <s v="62-304.520 (10), F.A.C."/>
    <n v="0.59"/>
    <n v="0.64"/>
    <s v="FDOT District 5"/>
    <n v="0.25152801176542"/>
    <n v="3763.4238827784502"/>
    <n v="10.3740872741696"/>
    <n v="1.3904690021400901"/>
    <n v="2.60937354595286"/>
    <n v="0.34974190352973999"/>
    <n v="946.60652666576902"/>
    <n v="8140"/>
    <s v="Roads and Highways"/>
    <n v="8140"/>
    <s v="FDOT District 5                                 City of Cocoa Beach           Brevard County"/>
    <s v="FDOT District 5"/>
    <m/>
    <m/>
    <m/>
    <n v="0"/>
    <n v="1"/>
    <n v="2.60937354595286"/>
    <n v="0.34974190352973999"/>
    <n v="946.60652666576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1.049241671396"/>
    <n v="1017.8977498263999"/>
    <n v="0.767726299"/>
  </r>
  <r>
    <n v="830000"/>
    <n v="2400000"/>
    <n v="2400000"/>
    <x v="0"/>
    <x v="0"/>
    <s v="BR3-5, BR-7"/>
    <s v="62-304.520 (10), F.A.C."/>
    <n v="0.59"/>
    <n v="0.64"/>
    <s v="City of Cocoa Beach"/>
    <n v="0.23283979354152001"/>
    <n v="3763.4238827784502"/>
    <n v="10.3740872741696"/>
    <n v="1.3904690021400901"/>
    <n v="2.4155003390994101"/>
    <n v="0.32375651538417999"/>
    <n v="876.27483987537596"/>
    <n v="1410"/>
    <s v="Retail Sales and Services"/>
    <n v="1410"/>
    <s v="City of Cocoa Beach           Brevard County"/>
    <s v="City of Cocoa Beach"/>
    <m/>
    <m/>
    <m/>
    <n v="0"/>
    <n v="1"/>
    <n v="2.4155003390994101"/>
    <n v="0.32375651538417999"/>
    <n v="876.274839875375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3.96034318322901"/>
    <n v="942.26921388380697"/>
    <n v="0.71068519050000001"/>
  </r>
  <r>
    <n v="830000"/>
    <n v="2400000"/>
    <n v="2400000"/>
    <x v="0"/>
    <x v="0"/>
    <s v="BR3-5, BR-7"/>
    <s v="62-304.520 (10), F.A.C."/>
    <n v="0.59"/>
    <n v="0.64"/>
    <s v="City of Cocoa Beach"/>
    <n v="1.692715468007E-2"/>
    <n v="3763.4238827784502"/>
    <n v="10.3740872741696"/>
    <n v="1.3904690021400901"/>
    <n v="0.17560377995443999"/>
    <n v="2.3536683877069999E-2"/>
    <n v="63.704058190471798"/>
    <n v="1410"/>
    <s v="Retail Sales and Services"/>
    <n v="1410"/>
    <s v="City of Cocoa Beach           Brevard County"/>
    <s v="City of Cocoa Beach"/>
    <m/>
    <m/>
    <m/>
    <n v="0"/>
    <n v="1"/>
    <n v="0.17560377995443999"/>
    <n v="2.3536683877069999E-2"/>
    <n v="63.704058190472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5.881747397116101"/>
    <n v="68.501764630012701"/>
    <n v="5.1665902800000003E-2"/>
  </r>
  <r>
    <n v="830000"/>
    <n v="2400000"/>
    <n v="2400000"/>
    <x v="0"/>
    <x v="0"/>
    <s v="BR3-5, BR-7"/>
    <s v="62-304.520 (10), F.A.C."/>
    <n v="0.59"/>
    <n v="0.64"/>
    <s v="City of Cocoa Beach"/>
    <n v="9.3160296858699997E-3"/>
    <n v="3763.4238827784502"/>
    <n v="10.3740872741696"/>
    <n v="1.3904690021400901"/>
    <n v="9.6645305010059995E-2"/>
    <n v="1.2953650501230001E-2"/>
    <n v="35.060168612510097"/>
    <n v="1300"/>
    <s v="Residential, High Density"/>
    <n v="1300"/>
    <s v="City of Cocoa Beach           Brevard County"/>
    <s v="City of Cocoa Beach"/>
    <m/>
    <m/>
    <m/>
    <n v="0"/>
    <n v="1"/>
    <n v="9.6645305010059995E-2"/>
    <n v="1.2953650501230001E-2"/>
    <n v="35.060168612510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5.255169153677599"/>
    <n v="37.700634565568997"/>
    <n v="2.8434848799999999E-2"/>
  </r>
  <r>
    <n v="830000"/>
    <n v="2400000"/>
    <n v="2400000"/>
    <x v="0"/>
    <x v="0"/>
    <s v="BR3-5, BR-7"/>
    <s v="62-304.520 (10), F.A.C."/>
    <n v="0.59"/>
    <n v="0.64"/>
    <s v="FDOT District 5"/>
    <n v="6.3253322919999997E-5"/>
    <n v="3763.4238827784502"/>
    <n v="10.3740872741696"/>
    <n v="1.3904690021400901"/>
    <n v="6.5619549239000002E-4"/>
    <n v="8.7951784799999996E-5"/>
    <n v="0.238049066157270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5619549239000002E-4"/>
    <n v="8.7951784799999996E-5"/>
    <n v="0.2380490661583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.2459899104896"/>
    <n v="0.25597711611429003"/>
    <n v="1.9306489999999999E-4"/>
  </r>
  <r>
    <n v="830000"/>
    <n v="2400000"/>
    <n v="2400000"/>
    <x v="0"/>
    <x v="0"/>
    <s v="BR3-5, BR-7"/>
    <s v="62-304.520 (10), F.A.C."/>
    <n v="0.59"/>
    <n v="0.64"/>
    <s v="City of Cocoa Beach"/>
    <n v="1.4119365767520001E-2"/>
    <n v="3763.4238827784502"/>
    <n v="10.3740872741696"/>
    <n v="1.3904690021400901"/>
    <n v="0.14647553272825001"/>
    <n v="1.963254042962E-2"/>
    <n v="53.137158339199402"/>
    <n v="1300"/>
    <s v="Residential, High Density"/>
    <n v="1300"/>
    <s v="City of Cocoa Beach           Brevard County"/>
    <s v="City of Cocoa Beach"/>
    <m/>
    <m/>
    <m/>
    <n v="0"/>
    <n v="1"/>
    <n v="0.14647553272825001"/>
    <n v="1.963254042962E-2"/>
    <n v="53.137158339200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2.971392040567203"/>
    <n v="57.139046036537003"/>
    <n v="4.3095830000000002E-2"/>
  </r>
  <r>
    <n v="830000"/>
    <n v="2400000"/>
    <n v="2400000"/>
    <x v="0"/>
    <x v="0"/>
    <s v="BR3-5, BR-7"/>
    <s v="62-304.520 (10), F.A.C."/>
    <n v="0.59"/>
    <n v="0.64"/>
    <s v="FDOT District 5"/>
    <n v="2.0556032173999999E-4"/>
    <n v="3763.4238827784502"/>
    <n v="10.3740872741696"/>
    <n v="1.3904690021400901"/>
    <n v="2.1325007178800001E-3"/>
    <n v="2.8582525544999999E-4"/>
    <n v="0.77361062420674997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1325007178800001E-3"/>
    <n v="2.8582525544999999E-4"/>
    <n v="0.77361062420738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7.750207206217901"/>
    <n v="0.83187310824503002"/>
    <n v="6.274214E-4"/>
  </r>
  <r>
    <n v="830000"/>
    <n v="2400000"/>
    <n v="2400000"/>
    <x v="0"/>
    <x v="0"/>
    <s v="BR3-5, BR-7"/>
    <s v="62-304.520 (10), F.A.C."/>
    <n v="0.59"/>
    <n v="0.64"/>
    <s v="City of Cocoa Beach"/>
    <n v="7.2635242209089998E-2"/>
    <n v="3742.9668554221898"/>
    <n v="11.328109735828599"/>
    <n v="2.2477471750722602"/>
    <n v="0.82281999443310005"/>
    <n v="0.16326566048617999"/>
    <n v="271.87130412420203"/>
    <n v="1300"/>
    <s v="Residential, High Density"/>
    <n v="1300"/>
    <s v="City of Cocoa Beach           Brevard County"/>
    <s v="City of Cocoa Beach"/>
    <m/>
    <m/>
    <m/>
    <n v="0"/>
    <n v="1"/>
    <n v="0.82281999443310005"/>
    <n v="0.16326566048617999"/>
    <n v="271.87130412419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1.780805938922"/>
    <n v="293.94439642645"/>
    <n v="0.220495786"/>
  </r>
  <r>
    <n v="830000"/>
    <n v="2400000"/>
    <n v="2400000"/>
    <x v="0"/>
    <x v="0"/>
    <s v="BR3-5, BR-7"/>
    <s v="62-304.520 (10), F.A.C."/>
    <n v="0.59"/>
    <n v="0.64"/>
    <s v="City of Cocoa Beach"/>
    <n v="0.54512821138976997"/>
    <n v="3742.9668554221898"/>
    <n v="11.328109735828599"/>
    <n v="2.2477471750722602"/>
    <n v="6.1752721987193899"/>
    <n v="1.2253103972035699"/>
    <n v="2040.3968271875201"/>
    <n v="1300"/>
    <s v="Residential, High Density"/>
    <n v="1300"/>
    <s v="City of Cocoa Beach           Brevard County"/>
    <s v="City of Cocoa Beach"/>
    <m/>
    <m/>
    <m/>
    <n v="0"/>
    <n v="1"/>
    <n v="6.1752721987193899"/>
    <n v="1.2253103972035699"/>
    <n v="2040.3968271875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8.265254207932"/>
    <n v="2206.0556032941499"/>
    <n v="1.6548230553000001"/>
  </r>
  <r>
    <n v="830000"/>
    <n v="2400000"/>
    <n v="2400000"/>
    <x v="0"/>
    <x v="0"/>
    <s v="BR3-5, BR-7"/>
    <s v="62-304.520 (10), F.A.C."/>
    <n v="0.59"/>
    <n v="0.64"/>
    <s v="City of Cocoa Beach"/>
    <n v="0.61776345362188001"/>
    <n v="3752.2321467617899"/>
    <n v="10.7949726476373"/>
    <n v="2.0799086136398302"/>
    <n v="6.66873958455826"/>
    <n v="1.2848915283800499"/>
    <n v="2317.9918897746302"/>
    <n v="1300"/>
    <s v="Residential, High Density"/>
    <n v="1300"/>
    <s v="City of Cocoa Beach           Brevard County"/>
    <s v="City of Cocoa Beach"/>
    <m/>
    <m/>
    <m/>
    <n v="0"/>
    <n v="1"/>
    <n v="6.66873958455826"/>
    <n v="1.2848915283800499"/>
    <n v="2317.9918897746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9254899"/>
    <n v="2499.99999981373"/>
    <n v="1.8799609812"/>
  </r>
  <r>
    <n v="830000"/>
    <n v="2400000"/>
    <n v="2400000"/>
    <x v="0"/>
    <x v="0"/>
    <s v="BR3-5, BR-7"/>
    <s v="62-304.520 (10), F.A.C."/>
    <n v="0.59"/>
    <n v="0.64"/>
    <s v="Natural Lands"/>
    <n v="0.40730028255743"/>
    <n v="3250.7933178868402"/>
    <n v="6.7673584396323596"/>
    <n v="0.91276251923759999"/>
    <n v="2.75634700462972"/>
    <n v="0.37176843199331"/>
    <n v="1324.0490369111401"/>
    <n v="4200"/>
    <s v="Upland Hardwood Forest"/>
    <n v="4200"/>
    <s v="City of Cocoa Beach           Brevard County"/>
    <s v="City of Cocoa Beach"/>
    <m/>
    <m/>
    <s v="Natural Lands"/>
    <n v="0"/>
    <n v="1"/>
    <n v="2.75634700462972"/>
    <n v="0.37176843199331"/>
    <n v="1324.0490369111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9.25459517454399"/>
    <n v="1648.2857643129"/>
    <n v="1.0738435011"/>
  </r>
  <r>
    <n v="830000"/>
    <n v="2400000"/>
    <n v="2400000"/>
    <x v="0"/>
    <x v="0"/>
    <s v="BR3-5, BR-7"/>
    <s v="62-304.520 (10), F.A.C."/>
    <n v="0.59"/>
    <n v="0.64"/>
    <s v="FDOT District 5"/>
    <n v="8.6082694357550005E-2"/>
    <n v="3250.7933178868402"/>
    <n v="6.7673584396323596"/>
    <n v="0.91276251923759999"/>
    <n v="0.58255244816689999"/>
    <n v="7.8573056964560004E-2"/>
    <n v="279.83704760324201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58255244816689999"/>
    <n v="7.8573056964560004E-2"/>
    <n v="279.83704760324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886866087681"/>
    <n v="348.36430451837703"/>
    <n v="0.226956243"/>
  </r>
  <r>
    <n v="830000"/>
    <n v="2400000"/>
    <n v="2400000"/>
    <x v="0"/>
    <x v="0"/>
    <s v="BR3-5, BR-7"/>
    <s v="62-304.520 (10), F.A.C."/>
    <n v="0.59"/>
    <n v="0.64"/>
    <s v="FDOT District 5"/>
    <n v="9.5672681865930004E-2"/>
    <n v="3250.7933178868402"/>
    <n v="6.7673584396323596"/>
    <n v="0.91276251923759999"/>
    <n v="0.64745133106769004"/>
    <n v="8.7326438122159997E-2"/>
    <n v="311.01211491409498"/>
    <n v="8140"/>
    <s v="Roads and Highways"/>
    <n v="8140"/>
    <s v="FDOT District 5                                 City of Cocoa Beach           Brevard County"/>
    <s v="FDOT District 5"/>
    <m/>
    <m/>
    <m/>
    <n v="0"/>
    <n v="1"/>
    <n v="0.64745133106769004"/>
    <n v="8.7326438122159997E-2"/>
    <n v="311.01211491409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5.585945432172"/>
    <n v="387.17360705738901"/>
    <n v="0.2522401581"/>
  </r>
  <r>
    <n v="830000"/>
    <n v="2400000"/>
    <n v="2400000"/>
    <x v="0"/>
    <x v="0"/>
    <s v="BR3-5, BR-7"/>
    <s v="62-304.520 (10), F.A.C."/>
    <n v="0.59"/>
    <n v="0.64"/>
    <s v="City of Cocoa Beach"/>
    <n v="2.87077950941E-2"/>
    <n v="3250.7933178868402"/>
    <n v="6.7673584396323596"/>
    <n v="0.91276251923759999"/>
    <n v="0.19427593941332"/>
    <n v="2.6203399371850001E-2"/>
    <n v="93.323108463178002"/>
    <n v="1410"/>
    <s v="Retail Sales and Services"/>
    <n v="1410"/>
    <s v="City of Cocoa Beach           Brevard County"/>
    <s v="City of Cocoa Beach"/>
    <m/>
    <m/>
    <m/>
    <n v="0"/>
    <n v="1"/>
    <n v="0.19427593941332"/>
    <n v="2.6203399371850001E-2"/>
    <n v="93.3231084631795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0.869287499759295"/>
    <n v="116.17632494951999"/>
    <n v="7.5687841399999997E-2"/>
  </r>
  <r>
    <n v="830000"/>
    <n v="2400000"/>
    <n v="2400000"/>
    <x v="0"/>
    <x v="0"/>
    <s v="BR3-5, BR-7"/>
    <s v="62-304.520 (10), F.A.C."/>
    <n v="0.59"/>
    <n v="0.64"/>
    <s v="FDOT District 5"/>
    <n v="3.5183694426770003E-2"/>
    <n v="3746.2716031779801"/>
    <n v="10.6598377506779"/>
    <n v="2.0232282770907601"/>
    <n v="0.37505247405883002"/>
    <n v="7.1184645456759996E-2"/>
    <n v="131.80767532591099"/>
    <n v="8140"/>
    <s v="Roads and Highways"/>
    <n v="8140"/>
    <s v="FDOT District 5                                 City of Cocoa Beach           Brevard County"/>
    <s v="FDOT District 5"/>
    <m/>
    <m/>
    <m/>
    <n v="0"/>
    <n v="1"/>
    <n v="0.37505247405883002"/>
    <n v="7.1184645456759996E-2"/>
    <n v="131.80767532591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5.510287369501597"/>
    <n v="142.38335975474499"/>
    <n v="0.10689998000000001"/>
  </r>
  <r>
    <n v="830000"/>
    <n v="2400000"/>
    <n v="2400000"/>
    <x v="0"/>
    <x v="0"/>
    <s v="BR3-5, BR-7"/>
    <s v="62-304.520 (10), F.A.C."/>
    <n v="0.59"/>
    <n v="0.64"/>
    <s v="City of Cocoa Beach"/>
    <n v="0.58192498814969995"/>
    <n v="3746.2716031779801"/>
    <n v="10.6598377506779"/>
    <n v="2.0232282770907601"/>
    <n v="6.2032259567410204"/>
    <n v="1.1773670911701899"/>
    <n v="2180.0490582849202"/>
    <n v="1300"/>
    <s v="Residential, High Density"/>
    <n v="1300"/>
    <s v="City of Cocoa Beach           Brevard County"/>
    <s v="City of Cocoa Beach"/>
    <m/>
    <m/>
    <m/>
    <n v="0"/>
    <n v="1"/>
    <n v="6.2032259567410204"/>
    <n v="1.1773670911701899"/>
    <n v="2180.04905828492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2.23535717258099"/>
    <n v="2354.9668756486699"/>
    <n v="1.7680852054"/>
  </r>
  <r>
    <n v="830000"/>
    <n v="2400000"/>
    <n v="2400000"/>
    <x v="0"/>
    <x v="0"/>
    <s v="BR3-5, BR-7"/>
    <s v="62-304.520 (10), F.A.C."/>
    <n v="0.59"/>
    <n v="0.64"/>
    <s v="FDOT District 5"/>
    <n v="6.5477083828000004E-4"/>
    <n v="3746.2716031779801"/>
    <n v="10.6598377506779"/>
    <n v="2.0232282770907601"/>
    <n v="6.9797509000100004E-3"/>
    <n v="1.32475087503E-3"/>
    <n v="2.45294939806362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9797509000100004E-3"/>
    <n v="1.32475087503E-3"/>
    <n v="2.4529493980646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8.619139141097307"/>
    <n v="2.6497635721231201"/>
    <n v="1.9894155999999998E-3"/>
  </r>
  <r>
    <n v="830000"/>
    <n v="2400000"/>
    <n v="2400000"/>
    <x v="0"/>
    <x v="0"/>
    <s v="BR3-5, BR-7"/>
    <s v="62-304.520 (10), F.A.C."/>
    <n v="0.59"/>
    <n v="0.64"/>
    <s v="City of Cocoa Beach"/>
    <n v="2.1557066836899999E-3"/>
    <n v="3777.27699896275"/>
    <n v="11.4013000529535"/>
    <n v="1.6848110632694899"/>
    <n v="2.457785872699E-2"/>
    <n v="3.6319584698499999E-3"/>
    <n v="8.1427012728427304"/>
    <n v="1400"/>
    <s v="Commercial and Services"/>
    <n v="1400"/>
    <s v="City of Cocoa Beach           Brevard County"/>
    <s v="City of Cocoa Beach"/>
    <m/>
    <m/>
    <m/>
    <n v="0"/>
    <n v="1"/>
    <n v="2.457785872699E-2"/>
    <n v="3.6319584698499999E-3"/>
    <n v="8.14270127284160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81156384747"/>
    <n v="8.7238354377326495"/>
    <n v="6.6039751000000002E-3"/>
  </r>
  <r>
    <n v="830000"/>
    <n v="2400000"/>
    <n v="2400000"/>
    <x v="0"/>
    <x v="0"/>
    <s v="BR3-5, BR-7"/>
    <s v="62-304.520 (10), F.A.C."/>
    <n v="0.59"/>
    <n v="0.64"/>
    <s v="FDOT District 5"/>
    <n v="1.075878190813E-2"/>
    <n v="3777.27699896275"/>
    <n v="11.4013000529535"/>
    <n v="1.6848110632694899"/>
    <n v="0.12266410073892001"/>
    <n v="1.8126514786119999E-2"/>
    <n v="40.638899438451197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2266410073892001"/>
    <n v="1.8126514786119999E-2"/>
    <n v="40.638899438450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772234562251"/>
    <n v="43.539245662132601"/>
    <n v="3.2959366900000002E-2"/>
  </r>
  <r>
    <n v="830000"/>
    <n v="2400000"/>
    <n v="2400000"/>
    <x v="0"/>
    <x v="0"/>
    <s v="BR3-5, BR-7"/>
    <s v="62-304.520 (10), F.A.C."/>
    <n v="0.59"/>
    <n v="0.64"/>
    <s v="City of Cocoa Beach"/>
    <n v="3.6980124876469997E-2"/>
    <n v="3777.27699896275"/>
    <n v="11.4013000529535"/>
    <n v="1.6848110632694899"/>
    <n v="0.42162149971237001"/>
    <n v="6.230452351297E-2"/>
    <n v="139.68417511467501"/>
    <n v="1430"/>
    <s v="Professional Services"/>
    <n v="1430"/>
    <s v="City of Cocoa Beach           Brevard County"/>
    <s v="City of Cocoa Beach"/>
    <m/>
    <m/>
    <m/>
    <n v="0"/>
    <n v="1"/>
    <n v="0.42162149971237001"/>
    <n v="6.230452351297E-2"/>
    <n v="139.68417511467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167938059942"/>
    <n v="149.65325585751401"/>
    <n v="0.1132880577"/>
  </r>
  <r>
    <n v="830000"/>
    <n v="2400000"/>
    <n v="2400000"/>
    <x v="0"/>
    <x v="0"/>
    <s v="BR3-5, BR-7"/>
    <s v="62-304.520 (10), F.A.C."/>
    <n v="0.59"/>
    <n v="0.64"/>
    <s v="City of Cocoa Beach"/>
    <n v="0.16928319422162999"/>
    <n v="3777.27699896275"/>
    <n v="11.4013000529535"/>
    <n v="1.6848110632694899"/>
    <n v="1.9300484912432101"/>
    <n v="0.28521019845020001"/>
    <n v="639.42951584430796"/>
    <n v="1300"/>
    <s v="Residential, High Density"/>
    <n v="1300"/>
    <s v="City of Cocoa Beach           Brevard County"/>
    <s v="City of Cocoa Beach"/>
    <m/>
    <m/>
    <m/>
    <n v="0"/>
    <n v="1"/>
    <n v="1.9300484912432101"/>
    <n v="0.28521019845020001"/>
    <n v="639.429515844307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4.18618446836599"/>
    <n v="685.06478174019105"/>
    <n v="0.51859652540000001"/>
  </r>
  <r>
    <n v="830000"/>
    <n v="2400000"/>
    <n v="2400000"/>
    <x v="0"/>
    <x v="0"/>
    <s v="BR3-5, BR-7"/>
    <s v="62-304.520 (10), F.A.C."/>
    <n v="0.59"/>
    <n v="0.64"/>
    <s v="City of Cocoa Beach"/>
    <n v="0.39858564618509001"/>
    <n v="3777.27699896275"/>
    <n v="11.4013000529535"/>
    <n v="1.6848110632694899"/>
    <n v="4.5443945489566904"/>
    <n v="0.67154150635306997"/>
    <n v="1505.5683934516801"/>
    <n v="1430"/>
    <s v="Professional Services"/>
    <n v="1430"/>
    <s v="City of Cocoa Beach           Brevard County"/>
    <s v="City of Cocoa Beach"/>
    <m/>
    <m/>
    <m/>
    <n v="0"/>
    <n v="1"/>
    <n v="4.5443945489566904"/>
    <n v="0.67154150635306997"/>
    <n v="1505.5683934516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2.56927499688101"/>
    <n v="1613.01888214062"/>
    <n v="1.2210611464000001"/>
  </r>
  <r>
    <n v="830000"/>
    <n v="2400000"/>
    <n v="2400000"/>
    <x v="0"/>
    <x v="0"/>
    <s v="BR3-5, BR-7"/>
    <s v="62-304.520 (10), F.A.C."/>
    <n v="0.59"/>
    <n v="0.64"/>
    <s v="City of Cocoa Beach"/>
    <n v="0.18054946236829"/>
    <n v="3780.7859871328501"/>
    <n v="11.579200771449599"/>
    <n v="1.5614652399129101"/>
    <n v="2.0906184739397902"/>
    <n v="0.28192170957305002"/>
    <n v="682.61887730642297"/>
    <n v="1400"/>
    <s v="Commercial and Services"/>
    <n v="1400"/>
    <s v="City of Cocoa Beach           Brevard County"/>
    <s v="City of Cocoa Beach"/>
    <m/>
    <m/>
    <m/>
    <n v="0"/>
    <n v="1"/>
    <n v="2.0906184739397902"/>
    <n v="0.28192170957305002"/>
    <n v="682.618877306422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9.23374856103601"/>
    <n v="730.65775134600699"/>
    <n v="0.55362439360000004"/>
  </r>
  <r>
    <n v="830000"/>
    <n v="2400000"/>
    <n v="2400000"/>
    <x v="0"/>
    <x v="0"/>
    <s v="BR3-5, BR-7"/>
    <s v="62-304.520 (10), F.A.C."/>
    <n v="0.59"/>
    <n v="0.64"/>
    <s v="City of Cocoa Beach"/>
    <n v="0.40636404638022"/>
    <n v="3780.7859871328501"/>
    <n v="11.579200771449599"/>
    <n v="1.5614652399129101"/>
    <n v="4.7053708793353"/>
    <n v="0.63452333317306997"/>
    <n v="1536.37549222895"/>
    <n v="1430"/>
    <s v="Professional Services"/>
    <n v="1430"/>
    <s v="City of Cocoa Beach           Brevard County"/>
    <s v="City of Cocoa Beach"/>
    <m/>
    <m/>
    <m/>
    <n v="0"/>
    <n v="1"/>
    <n v="4.7053708793353"/>
    <n v="0.63452333317306997"/>
    <n v="1536.375492228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5.78396133841599"/>
    <n v="1644.4969509262501"/>
    <n v="1.2460466279"/>
  </r>
  <r>
    <n v="830000"/>
    <n v="2400000"/>
    <n v="2400000"/>
    <x v="0"/>
    <x v="0"/>
    <s v="BR3-5, BR-7"/>
    <s v="62-304.520 (10), F.A.C."/>
    <n v="0.59"/>
    <n v="0.64"/>
    <s v="City of Cocoa Beach"/>
    <n v="3.084994487336E-2"/>
    <n v="3780.7859871328501"/>
    <n v="11.579200771449599"/>
    <n v="1.5614652399129101"/>
    <n v="0.35721770547686998"/>
    <n v="4.8171116572990003E-2"/>
    <n v="116.637039281046"/>
    <n v="1300"/>
    <s v="Residential, High Density"/>
    <n v="1300"/>
    <s v="City of Cocoa Beach           Brevard County"/>
    <s v="City of Cocoa Beach"/>
    <m/>
    <m/>
    <m/>
    <n v="0"/>
    <n v="1"/>
    <n v="0.35721770547686998"/>
    <n v="4.8171116572990003E-2"/>
    <n v="116.63703928104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99716710748901"/>
    <n v="124.84529754146899"/>
    <n v="9.4596138900000001E-2"/>
  </r>
  <r>
    <n v="830000"/>
    <n v="2400000"/>
    <n v="2400000"/>
    <x v="0"/>
    <x v="0"/>
    <s v="BR3-5, BR-7"/>
    <s v="62-304.520 (10), F.A.C."/>
    <n v="0.59"/>
    <n v="0.64"/>
    <s v="City of Cocoa Beach"/>
    <n v="1.309544318128E-2"/>
    <n v="2171.3249294713301"/>
    <n v="5.5040701400167604"/>
    <n v="0.81261335809773005"/>
    <n v="7.2078237784390001E-2"/>
    <n v="1.0641532059320001E-2"/>
    <n v="28.434462241999402"/>
    <n v="1200"/>
    <s v="Residential, Medium Density-Two-five dwellingunits per acre"/>
    <n v="1200"/>
    <s v="City of Cocoa Beach           Brevard County"/>
    <s v="City of Cocoa Beach"/>
    <m/>
    <m/>
    <m/>
    <n v="0"/>
    <n v="1"/>
    <n v="7.2078237784390001E-2"/>
    <n v="1.0641532059320001E-2"/>
    <n v="28.434462241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2.874913257160998"/>
    <n v="52.995378342356801"/>
    <n v="2.3061202100000001E-2"/>
  </r>
  <r>
    <n v="830000"/>
    <n v="2400000"/>
    <n v="2400000"/>
    <x v="0"/>
    <x v="0"/>
    <s v="BR3-5, BR-7"/>
    <s v="62-304.520 (10), F.A.C."/>
    <n v="0.59"/>
    <n v="0.64"/>
    <s v="Natural Lands"/>
    <n v="0.24003495183834"/>
    <n v="2171.3249294713301"/>
    <n v="5.5040701400167604"/>
    <n v="0.81261335809773005"/>
    <n v="1.32116921097378"/>
    <n v="0.19505560827418"/>
    <n v="521.193874871042"/>
    <n v="5400"/>
    <s v="Bays and estuaries"/>
    <n v="5400"/>
    <s v="City of Cocoa Beach           Brevard County"/>
    <s v="City of Cocoa Beach"/>
    <m/>
    <m/>
    <s v="Natural Lands"/>
    <n v="0"/>
    <n v="1"/>
    <n v="1.32116921097378"/>
    <n v="0.19505560827418"/>
    <n v="521.19387487104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7.73892430180901"/>
    <n v="971.38698644747001"/>
    <n v="0.42270387259999997"/>
  </r>
  <r>
    <n v="830000"/>
    <n v="2400000"/>
    <n v="2400000"/>
    <x v="0"/>
    <x v="0"/>
    <s v="BR3-5, BR-7"/>
    <s v="62-304.520 (10), F.A.C."/>
    <n v="0.59"/>
    <n v="0.64"/>
    <s v="City of Cocoa Beach"/>
    <n v="1.9862658492100001E-3"/>
    <n v="2171.3249294713301"/>
    <n v="5.5040701400167604"/>
    <n v="0.81261335809773005"/>
    <n v="1.093254655077E-2"/>
    <n v="1.6140661618E-3"/>
    <n v="4.3128285549493901"/>
    <n v="1210"/>
    <s v="Fixed Single Family Units"/>
    <n v="1210"/>
    <s v="City of Cocoa Beach           Brevard County"/>
    <s v="City of Cocoa Beach"/>
    <m/>
    <m/>
    <m/>
    <n v="0"/>
    <n v="1"/>
    <n v="1.093254655077E-2"/>
    <n v="1.6140661618E-3"/>
    <n v="4.31282855494851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.8667572422859"/>
    <n v="8.0381327084717107"/>
    <n v="3.4978333999999998E-3"/>
  </r>
  <r>
    <n v="830000"/>
    <n v="2400000"/>
    <n v="2400000"/>
    <x v="0"/>
    <x v="0"/>
    <s v="BR3-5, BR-7"/>
    <s v="62-304.520 (10), F.A.C."/>
    <n v="0.59"/>
    <n v="0.64"/>
    <s v="City of Cocoa Beach"/>
    <n v="2.2099207417880001E-2"/>
    <n v="2171.3249294713301"/>
    <n v="5.5040701400167604"/>
    <n v="0.81261335809773005"/>
    <n v="0.12163558766684"/>
    <n v="1.7958111151139999E-2"/>
    <n v="47.984559988020102"/>
    <n v="1210"/>
    <s v="Fixed Single Family Units"/>
    <n v="1210"/>
    <s v="City of Cocoa Beach           Brevard County"/>
    <s v="City of Cocoa Beach"/>
    <m/>
    <m/>
    <m/>
    <n v="0"/>
    <n v="1"/>
    <n v="0.12163558766684"/>
    <n v="1.7958111151139999E-2"/>
    <n v="47.9845599880212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3.307204488740702"/>
    <n v="89.432319469035804"/>
    <n v="3.8916918100000003E-2"/>
  </r>
  <r>
    <n v="830000"/>
    <n v="2400000"/>
    <n v="2400000"/>
    <x v="0"/>
    <x v="0"/>
    <s v="BR3-5, BR-7"/>
    <s v="62-304.520 (10), F.A.C."/>
    <n v="0.59"/>
    <n v="0.64"/>
    <s v="City of Cocoa Beach"/>
    <n v="0.12581278379214"/>
    <n v="2171.3249294713301"/>
    <n v="5.5040701400167604"/>
    <n v="0.81261335809773005"/>
    <n v="0.6924823865027"/>
    <n v="0.10223714872895"/>
    <n v="273.18043389406199"/>
    <n v="1210"/>
    <s v="Fixed Single Family Units"/>
    <n v="1210"/>
    <s v="City of Cocoa Beach           Brevard County"/>
    <s v="City of Cocoa Beach"/>
    <m/>
    <m/>
    <m/>
    <n v="0"/>
    <n v="1"/>
    <n v="0.6924823865027"/>
    <n v="0.10223714872895"/>
    <n v="273.18043389406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2.739344789427093"/>
    <n v="509.14627210924903"/>
    <n v="0.22155752949999999"/>
  </r>
  <r>
    <n v="830000"/>
    <n v="2400000"/>
    <n v="2400000"/>
    <x v="0"/>
    <x v="0"/>
    <s v="BR3-5, BR-7"/>
    <s v="62-304.520 (10), F.A.C."/>
    <n v="0.59"/>
    <n v="0.64"/>
    <s v="City of Cocoa Beach"/>
    <n v="0.17147311343577001"/>
    <n v="2171.3249294713301"/>
    <n v="5.5040701400167604"/>
    <n v="0.81261335809773005"/>
    <n v="0.94380004347755997"/>
    <n v="0.13934134253252001"/>
    <n v="372.32384593716802"/>
    <n v="1210"/>
    <s v="Fixed Single Family Units"/>
    <n v="1210"/>
    <s v="City of Cocoa Beach           Brevard County"/>
    <s v="City of Cocoa Beach"/>
    <m/>
    <m/>
    <m/>
    <n v="0"/>
    <n v="1"/>
    <n v="0.94380004347755997"/>
    <n v="0.13934134253252001"/>
    <n v="372.323845937168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2.02620401101299"/>
    <n v="693.92707037649598"/>
    <n v="0.30196581179999998"/>
  </r>
  <r>
    <n v="830000"/>
    <n v="2400000"/>
    <n v="2400000"/>
    <x v="0"/>
    <x v="0"/>
    <s v="BR3-5, BR-7"/>
    <s v="62-304.520 (10), F.A.C."/>
    <n v="0.59"/>
    <n v="0.64"/>
    <s v="City of Cocoa Beach"/>
    <n v="4.3261688153260001E-2"/>
    <n v="2171.3249294713301"/>
    <n v="5.5040701400167604"/>
    <n v="0.81261335809773005"/>
    <n v="0.23811536597112001"/>
    <n v="3.5155025687199998E-2"/>
    <n v="93.935181978205406"/>
    <n v="1210"/>
    <s v="Fixed Single Family Units"/>
    <n v="1210"/>
    <s v="City of Cocoa Beach           Brevard County"/>
    <s v="City of Cocoa Beach"/>
    <m/>
    <m/>
    <m/>
    <n v="0"/>
    <n v="1"/>
    <n v="0.23811536597112001"/>
    <n v="3.5155025687199998E-2"/>
    <n v="93.935181978206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0.382554934520698"/>
    <n v="175.073840546919"/>
    <n v="7.61842514E-2"/>
  </r>
  <r>
    <n v="830000"/>
    <n v="2400000"/>
    <n v="2400000"/>
    <x v="0"/>
    <x v="0"/>
    <s v="BR3-5, BR-7"/>
    <s v="62-304.520 (10), F.A.C."/>
    <n v="0.59"/>
    <n v="0.64"/>
    <s v="City of Cocoa Beach"/>
    <n v="5.3546233169000004E-3"/>
    <n v="3746.2716031779801"/>
    <n v="10.778632389195399"/>
    <n v="2.0768542523409899"/>
    <n v="5.771551631552E-2"/>
    <n v="1.1120772205389999E-2"/>
    <n v="20.0598732778321"/>
    <n v="1300"/>
    <s v="Residential, High Density"/>
    <n v="1300"/>
    <s v="City of Cocoa Beach           Brevard County"/>
    <s v="City of Cocoa Beach"/>
    <m/>
    <m/>
    <m/>
    <n v="0"/>
    <n v="1"/>
    <n v="5.771551631552E-2"/>
    <n v="1.1120772205389999E-2"/>
    <n v="20.059873277834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1.226200808569899"/>
    <n v="21.6693917595477"/>
    <n v="1.6269159200000001E-2"/>
  </r>
  <r>
    <n v="830000"/>
    <n v="2400000"/>
    <n v="2400000"/>
    <x v="0"/>
    <x v="0"/>
    <s v="BR3-5, BR-7"/>
    <s v="62-304.520 (10), F.A.C."/>
    <n v="0.59"/>
    <n v="0.64"/>
    <s v="City of Cocoa Beach"/>
    <n v="0.61240883023593995"/>
    <n v="3746.2716031779801"/>
    <n v="10.778632389195399"/>
    <n v="2.0768542523409899"/>
    <n v="6.6009296530103896"/>
    <n v="1.2718838832466901"/>
    <n v="2294.2498102483501"/>
    <n v="1300"/>
    <s v="Residential, High Density"/>
    <n v="1300"/>
    <s v="City of Cocoa Beach           Brevard County"/>
    <s v="City of Cocoa Beach"/>
    <m/>
    <m/>
    <m/>
    <n v="0"/>
    <n v="1"/>
    <n v="6.6009296530103896"/>
    <n v="1.2718838832466901"/>
    <n v="2294.2498102483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8.78306623993799"/>
    <n v="2478.3306077747902"/>
    <n v="1.8607054422"/>
  </r>
  <r>
    <n v="830000"/>
    <n v="2400000"/>
    <n v="2400000"/>
    <x v="0"/>
    <x v="0"/>
    <s v="BR3-5, BR-7"/>
    <s v="62-304.520 (10), F.A.C."/>
    <n v="0.59"/>
    <n v="0.64"/>
    <s v="City of Cocoa Beach"/>
    <n v="0.25269810956152"/>
    <n v="3746.0260549578902"/>
    <n v="10.779169181903001"/>
    <n v="2.0755727976781202"/>
    <n v="2.7238756749106998"/>
    <n v="0.52449332223057998"/>
    <n v="946.61370245606497"/>
    <n v="1300"/>
    <s v="Residential, High Density"/>
    <n v="1300"/>
    <s v="City of Cocoa Beach           Brevard County"/>
    <s v="City of Cocoa Beach"/>
    <m/>
    <m/>
    <m/>
    <n v="0"/>
    <n v="1"/>
    <n v="2.7238756749106998"/>
    <n v="0.52449332223057998"/>
    <n v="1045.1318619193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6.69670336717101"/>
    <n v="1022.63296760738"/>
    <n v="0.84763330240000001"/>
  </r>
  <r>
    <n v="830000"/>
    <n v="2400000"/>
    <n v="2400000"/>
    <x v="0"/>
    <x v="0"/>
    <s v="BR3-5, BR-7"/>
    <s v="62-304.520 (10), F.A.C."/>
    <n v="0.59"/>
    <n v="0.64"/>
    <s v="City of Cocoa Beach"/>
    <n v="0.26140274839039002"/>
    <n v="3752.2321466220101"/>
    <n v="10.7949726472352"/>
    <n v="2.0799086135623499"/>
    <n v="2.8218355187864499"/>
    <n v="0.54369382798606003"/>
    <n v="980.84379572579405"/>
    <n v="1300"/>
    <s v="Residential, High Density"/>
    <n v="1300"/>
    <s v="City of Cocoa Beach           Brevard County"/>
    <s v="City of Cocoa Beach"/>
    <m/>
    <m/>
    <m/>
    <n v="0"/>
    <n v="1"/>
    <n v="2.8218355187864499"/>
    <n v="0.54369382798606003"/>
    <n v="980.843795725794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2.33674029761301"/>
    <n v="1057.85939115669"/>
    <n v="0.79549375160000002"/>
  </r>
  <r>
    <n v="830000"/>
    <n v="2400000"/>
    <n v="2400000"/>
    <x v="0"/>
    <x v="0"/>
    <s v="BR3-5, BR-7"/>
    <s v="62-304.520 (10), F.A.C."/>
    <n v="0.59"/>
    <n v="0.64"/>
    <s v="City of Cocoa Beach"/>
    <n v="6.2501326660709997E-2"/>
    <n v="3752.2321466220101"/>
    <n v="10.7949726472352"/>
    <n v="2.0799086135623499"/>
    <n v="0.67470011171830002"/>
    <n v="0.12999704768067999"/>
    <n v="234.51948710284699"/>
    <n v="1300"/>
    <s v="Residential, High Density"/>
    <n v="1300"/>
    <s v="City of Cocoa Beach           Brevard County"/>
    <s v="City of Cocoa Beach"/>
    <m/>
    <m/>
    <m/>
    <n v="0"/>
    <n v="1"/>
    <n v="0.67470011171830002"/>
    <n v="0.12999704768067999"/>
    <n v="234.51948710284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0.126005558399"/>
    <n v="252.933895205423"/>
    <n v="0.19020234150000001"/>
  </r>
  <r>
    <n v="830000"/>
    <n v="2400000"/>
    <n v="2400000"/>
    <x v="0"/>
    <x v="0"/>
    <s v="BR3-5, BR-7"/>
    <s v="62-304.520 (10), F.A.C."/>
    <n v="0.59"/>
    <n v="0.64"/>
    <s v="City of Cocoa Beach"/>
    <n v="0.29385937854776001"/>
    <n v="3752.2321466220101"/>
    <n v="10.7949726472352"/>
    <n v="2.0799086135623499"/>
    <n v="3.1722039535566502"/>
    <n v="0.61120065261756995"/>
    <n v="1102.6286067732799"/>
    <n v="1300"/>
    <s v="Residential, High Density"/>
    <n v="1300"/>
    <s v="City of Cocoa Beach           Brevard County"/>
    <s v="City of Cocoa Beach"/>
    <m/>
    <m/>
    <m/>
    <n v="0"/>
    <n v="1"/>
    <n v="3.1722039535566502"/>
    <n v="0.61120065261756995"/>
    <n v="1102.6286067732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599282957133"/>
    <n v="1189.2067133584901"/>
    <n v="0.89426488790000003"/>
  </r>
  <r>
    <n v="830000"/>
    <n v="2400000"/>
    <n v="2400000"/>
    <x v="0"/>
    <x v="0"/>
    <s v="BR3-5, BR-7"/>
    <s v="62-304.520 (10), F.A.C."/>
    <n v="0.59"/>
    <n v="0.64"/>
    <s v="City of Cocoa Beach"/>
    <n v="0.61776345366790997"/>
    <n v="3747.7351298742601"/>
    <n v="10.7827144172337"/>
    <n v="2.07762580930767"/>
    <n v="6.6611668983051304"/>
    <n v="1.2834812953875001"/>
    <n v="2315.2137972636801"/>
    <n v="1300"/>
    <s v="Residential, High Density"/>
    <n v="1300"/>
    <s v="City of Cocoa Beach           Brevard County"/>
    <s v="City of Cocoa Beach"/>
    <m/>
    <m/>
    <m/>
    <n v="0"/>
    <n v="1"/>
    <n v="6.6611668983051304"/>
    <n v="1.2834812953875001"/>
    <n v="2315.2137972636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777078648000001"/>
  </r>
  <r>
    <n v="830000"/>
    <n v="2400000"/>
    <n v="2400000"/>
    <x v="0"/>
    <x v="0"/>
    <s v="BR3-5, BR-7"/>
    <s v="62-304.520 (10), F.A.C."/>
    <n v="0.59"/>
    <n v="0.64"/>
    <s v="City of Cocoa Beach"/>
    <n v="0.46221954809774002"/>
    <n v="3777.9046240105099"/>
    <n v="11.608055721211599"/>
    <n v="1.5325518782367999"/>
    <n v="5.3654702697518504"/>
    <n v="0.70837543659496005"/>
    <n v="1746.2213680665"/>
    <n v="1450"/>
    <s v="Tourist Services"/>
    <n v="1450"/>
    <s v="City of Cocoa Beach           Brevard County"/>
    <s v="City of Cocoa Beach"/>
    <m/>
    <m/>
    <m/>
    <n v="0"/>
    <n v="1"/>
    <n v="5.3654702697518504"/>
    <n v="0.70837543659496005"/>
    <n v="1746.221368066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2.842953236715"/>
    <n v="1870.53614677817"/>
    <n v="1.4162379302999999"/>
  </r>
  <r>
    <n v="830000"/>
    <n v="2400000"/>
    <n v="2400000"/>
    <x v="0"/>
    <x v="0"/>
    <s v="BR3-5, BR-7"/>
    <s v="62-304.520 (10), F.A.C."/>
    <n v="0.59"/>
    <n v="0.64"/>
    <s v="City of Cocoa Beach"/>
    <n v="0.59983684611312005"/>
    <n v="3783.8090216505798"/>
    <n v="11.625455117056701"/>
    <n v="1.53485638515348"/>
    <n v="6.9733763320450404"/>
    <n v="0.92066341330705004"/>
    <n v="2269.6680698412702"/>
    <n v="1450"/>
    <s v="Tourist Services"/>
    <n v="1450"/>
    <s v="City of Cocoa Beach           Brevard County"/>
    <s v="City of Cocoa Beach"/>
    <m/>
    <m/>
    <m/>
    <n v="0"/>
    <n v="1"/>
    <n v="6.9733763320450404"/>
    <n v="0.92066341330705004"/>
    <n v="2337.49892879926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7.11287781879"/>
    <n v="2427.4535930850602"/>
    <n v="1.8957817751999999"/>
  </r>
  <r>
    <n v="830000"/>
    <n v="2400000"/>
    <n v="2400000"/>
    <x v="0"/>
    <x v="0"/>
    <s v="BR3-5, BR-7"/>
    <s v="62-304.520 (10), F.A.C."/>
    <n v="0.59"/>
    <n v="0.64"/>
    <s v="City of Cocoa Beach"/>
    <n v="0.61776345366790997"/>
    <n v="3744.7066073958699"/>
    <n v="11.2386885491584"/>
    <n v="2.2195340588455199"/>
    <n v="6.9428510528261702"/>
    <n v="1.3711470257259699"/>
    <n v="2313.34288675793"/>
    <n v="1300"/>
    <s v="Residential, High Density"/>
    <n v="1300"/>
    <s v="City of Cocoa Beach           Brevard County"/>
    <s v="City of Cocoa Beach"/>
    <m/>
    <m/>
    <m/>
    <n v="0"/>
    <n v="1"/>
    <n v="6.9428510528261702"/>
    <n v="1.3711470257259699"/>
    <n v="2313.3428867579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761905002000001"/>
  </r>
  <r>
    <n v="830000"/>
    <n v="2400000"/>
    <n v="2400000"/>
    <x v="0"/>
    <x v="0"/>
    <s v="BR3-5, BR-7"/>
    <s v="62-304.520 (10), F.A.C."/>
    <n v="0.59"/>
    <n v="0.64"/>
    <s v="City of Cocoa Beach"/>
    <n v="0.30126613088285997"/>
    <n v="3745.9389973823199"/>
    <n v="10.7775176266637"/>
    <n v="2.0766211024259502"/>
    <n v="3.2469010359068902"/>
    <n v="0.62561560483758005"/>
    <n v="1128.5245482646201"/>
    <n v="1300"/>
    <s v="Residential, High Density"/>
    <n v="1300"/>
    <s v="City of Cocoa Beach           Brevard County"/>
    <s v="City of Cocoa Beach"/>
    <m/>
    <m/>
    <m/>
    <n v="0"/>
    <n v="1"/>
    <n v="3.2469010359068902"/>
    <n v="0.62561560483758005"/>
    <n v="1128.5245482646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92261944487399"/>
    <n v="1219.18077661493"/>
    <n v="0.91526727350000003"/>
  </r>
  <r>
    <n v="830000"/>
    <n v="2400000"/>
    <n v="2400000"/>
    <x v="0"/>
    <x v="0"/>
    <s v="BR3-5, BR-7"/>
    <s v="62-304.520 (10), F.A.C."/>
    <n v="0.59"/>
    <n v="0.64"/>
    <s v="City of Cocoa Beach"/>
    <n v="1.6062403129999999E-3"/>
    <n v="3745.9389973823199"/>
    <n v="10.7775176266637"/>
    <n v="2.0766211024259502"/>
    <n v="1.7311283286059999E-2"/>
    <n v="3.3355525295500001E-3"/>
    <n v="6.0168782276530104"/>
    <n v="1300"/>
    <s v="Residential, High Density"/>
    <n v="1300"/>
    <s v="City of Cocoa Beach           Brevard County"/>
    <s v="City of Cocoa Beach"/>
    <m/>
    <m/>
    <m/>
    <n v="0"/>
    <n v="1"/>
    <n v="1.7311283286059999E-2"/>
    <n v="3.3355525295500001E-3"/>
    <n v="6.0168782276522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.7036197973424"/>
    <n v="6.50022392660129"/>
    <n v="4.8798688000000002E-3"/>
  </r>
  <r>
    <n v="830000"/>
    <n v="2400000"/>
    <n v="2400000"/>
    <x v="0"/>
    <x v="0"/>
    <s v="BR3-5, BR-7"/>
    <s v="62-304.520 (10), F.A.C."/>
    <n v="0.59"/>
    <n v="0.64"/>
    <s v="City of Cocoa Beach"/>
    <n v="6.9295437739199999E-3"/>
    <n v="3745.9389973823199"/>
    <n v="10.7775176266637"/>
    <n v="2.0766211024259502"/>
    <n v="7.4683280168230004E-2"/>
    <n v="1.4390036831119999E-2"/>
    <n v="25.957648256820999"/>
    <n v="1300"/>
    <s v="Residential, High Density"/>
    <n v="1300"/>
    <s v="City of Cocoa Beach           Brevard County"/>
    <s v="City of Cocoa Beach"/>
    <m/>
    <m/>
    <m/>
    <n v="0"/>
    <n v="1"/>
    <n v="7.4683280168230004E-2"/>
    <n v="1.4390036831119999E-2"/>
    <n v="25.957648256821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1.265157777127399"/>
    <n v="28.0428687258186"/>
    <n v="2.1052431699999999E-2"/>
  </r>
  <r>
    <n v="830000"/>
    <n v="2400000"/>
    <n v="2400000"/>
    <x v="0"/>
    <x v="0"/>
    <s v="BR3-5, BR-7"/>
    <s v="62-304.520 (10), F.A.C."/>
    <n v="0.59"/>
    <n v="0.64"/>
    <s v="City of Cocoa Beach"/>
    <n v="0.18013747952976"/>
    <n v="3736.7537608242401"/>
    <n v="10.332691937873401"/>
    <n v="1.86196365213806"/>
    <n v="1.86130508244604"/>
    <n v="0.33540943927217998"/>
    <n v="673.12940409825001"/>
    <n v="1210"/>
    <s v="Fixed Single Family Units"/>
    <n v="1210"/>
    <s v="City of Cocoa Beach           Brevard County"/>
    <s v="City of Cocoa Beach"/>
    <m/>
    <m/>
    <m/>
    <n v="0"/>
    <n v="1"/>
    <n v="1.86130508244604"/>
    <n v="0.33540943927217998"/>
    <n v="673.12940409825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7.751164545815"/>
    <n v="728.99051594997798"/>
    <n v="0.54592814609999996"/>
  </r>
  <r>
    <n v="830000"/>
    <n v="2400000"/>
    <n v="2400000"/>
    <x v="0"/>
    <x v="0"/>
    <s v="BR3-5, BR-7"/>
    <s v="62-304.520 (10), F.A.C."/>
    <n v="0.59"/>
    <n v="0.64"/>
    <s v="City of Cocoa Beach"/>
    <n v="1.4149390542039999E-2"/>
    <n v="3736.7537608242401"/>
    <n v="10.332691937873401"/>
    <n v="1.86196365213806"/>
    <n v="0.14620129357959999"/>
    <n v="2.6345650889190001E-2"/>
    <n v="52.872788321353902"/>
    <n v="1210"/>
    <s v="Fixed Single Family Units"/>
    <n v="1210"/>
    <s v="City of Cocoa Beach           Brevard County"/>
    <s v="City of Cocoa Beach"/>
    <m/>
    <m/>
    <m/>
    <n v="0"/>
    <n v="1"/>
    <n v="0.14620129357959999"/>
    <n v="2.6345650889190001E-2"/>
    <n v="52.872788321354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808815863088903"/>
    <n v="57.260551988116902"/>
    <n v="4.2881417900000003E-2"/>
  </r>
  <r>
    <n v="830000"/>
    <n v="2400000"/>
    <n v="2400000"/>
    <x v="0"/>
    <x v="0"/>
    <s v="BR3-5, BR-7"/>
    <s v="62-304.520 (10), F.A.C."/>
    <n v="0.59"/>
    <n v="0.64"/>
    <s v="City of Cocoa Beach"/>
    <n v="0.42347658368815"/>
    <n v="3736.7537608242401"/>
    <n v="10.332691937873401"/>
    <n v="1.86196365213806"/>
    <n v="4.3756530821528097"/>
    <n v="0.78849800635894995"/>
    <n v="1582.4277167177199"/>
    <n v="1300"/>
    <s v="Residential, High Density"/>
    <n v="1300"/>
    <s v="City of Cocoa Beach           Brevard County"/>
    <s v="City of Cocoa Beach"/>
    <m/>
    <m/>
    <m/>
    <n v="0"/>
    <n v="1"/>
    <n v="4.3756530821528097"/>
    <n v="0.78849800635894995"/>
    <n v="1582.4277167177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4.01861418544701"/>
    <n v="1713.7489324344299"/>
    <n v="1.2833963638999999"/>
  </r>
  <r>
    <n v="830000"/>
    <n v="2400000"/>
    <n v="2400000"/>
    <x v="0"/>
    <x v="0"/>
    <s v="BR3-5, BR-7"/>
    <s v="62-304.520 (10), F.A.C."/>
    <n v="0.59"/>
    <n v="0.64"/>
    <s v="FDOT District 5"/>
    <n v="3.4231511785460002E-2"/>
    <n v="3764.9838768481"/>
    <n v="10.0905542678267"/>
    <n v="1.4642176077533999"/>
    <n v="0.34541492734099999"/>
    <n v="5.012238229629E-2"/>
    <n v="128.881089952418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34541492734099999"/>
    <n v="5.012238229629E-2"/>
    <n v="128.88108995242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414678022462"/>
    <n v="138.53001331748001"/>
    <n v="0.10452643139999999"/>
  </r>
  <r>
    <n v="830000"/>
    <n v="2400000"/>
    <n v="2400000"/>
    <x v="0"/>
    <x v="0"/>
    <s v="BR3-5, BR-7"/>
    <s v="62-304.520 (10), F.A.C."/>
    <n v="0.59"/>
    <n v="0.64"/>
    <s v="City of Cocoa Beach"/>
    <n v="4.6623212561089998E-2"/>
    <n v="3764.9838768481"/>
    <n v="10.0905542678267"/>
    <n v="1.4642176077533999"/>
    <n v="0.47045405648813998"/>
    <n v="6.826652876198E-2"/>
    <n v="175.53564357938001"/>
    <n v="1400"/>
    <s v="Commercial and Services"/>
    <n v="1400"/>
    <s v="City of Cocoa Beach           Brevard County"/>
    <s v="City of Cocoa Beach"/>
    <m/>
    <m/>
    <m/>
    <n v="0"/>
    <n v="1"/>
    <n v="0.47045405648813998"/>
    <n v="6.826652876198E-2"/>
    <n v="175.53564357938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4.377271749237"/>
    <n v="188.677447185782"/>
    <n v="0.1423646744"/>
  </r>
  <r>
    <n v="830000"/>
    <n v="2400000"/>
    <n v="2400000"/>
    <x v="0"/>
    <x v="0"/>
    <s v="BR3-5, BR-7"/>
    <s v="62-304.520 (10), F.A.C."/>
    <n v="0.59"/>
    <n v="0.64"/>
    <s v="FDOT District 5"/>
    <n v="5.6893913527049998E-2"/>
    <n v="3764.9838768481"/>
    <n v="10.0905542678267"/>
    <n v="1.4642176077533999"/>
    <n v="0.57409112195380996"/>
    <n v="8.3305069960309994E-2"/>
    <n v="214.20466712015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7409112195380996"/>
    <n v="8.3305069960309994E-2"/>
    <n v="214.20466712015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847792917012"/>
    <n v="230.241499352441"/>
    <n v="0.17372641289999999"/>
  </r>
  <r>
    <n v="830000"/>
    <n v="2400000"/>
    <n v="2400000"/>
    <x v="0"/>
    <x v="0"/>
    <s v="BR3-5, BR-7"/>
    <s v="62-304.520 (10), F.A.C."/>
    <n v="0.59"/>
    <n v="0.64"/>
    <s v="FDOT District 5"/>
    <n v="0.28868771778775998"/>
    <n v="3764.9838768481"/>
    <n v="10.0905542678267"/>
    <n v="1.4642176077533999"/>
    <n v="2.9130190827924598"/>
    <n v="0.42270163952697998"/>
    <n v="1086.9046029149899"/>
    <n v="8140"/>
    <s v="Roads and Highways"/>
    <n v="8140"/>
    <s v="FDOT District 5                                 City of Cocoa Beach           Brevard County"/>
    <s v="FDOT District 5"/>
    <m/>
    <m/>
    <m/>
    <n v="0"/>
    <n v="1"/>
    <n v="2.9130190827924598"/>
    <n v="0.42270163952697998"/>
    <n v="1086.9046029149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6.897029658631"/>
    <n v="1168.2777447973999"/>
    <n v="0.88151224890000002"/>
  </r>
  <r>
    <n v="830000"/>
    <n v="2400000"/>
    <n v="2400000"/>
    <x v="0"/>
    <x v="0"/>
    <s v="BR3-5, BR-7"/>
    <s v="62-304.520 (10), F.A.C."/>
    <n v="0.59"/>
    <n v="0.64"/>
    <s v="City of Cocoa Beach"/>
    <n v="9.2068390450250004E-2"/>
    <n v="3764.9838768481"/>
    <n v="10.0905542678267"/>
    <n v="1.4642176077533999"/>
    <n v="0.92902109018971002"/>
    <n v="0.13480815841477001"/>
    <n v="346.636005612551"/>
    <n v="1430"/>
    <s v="Professional Services"/>
    <n v="1430"/>
    <s v="City of Cocoa Beach           Brevard County"/>
    <s v="City of Cocoa Beach"/>
    <m/>
    <m/>
    <m/>
    <n v="0"/>
    <n v="1"/>
    <n v="0.92902109018971002"/>
    <n v="0.13480815841477001"/>
    <n v="346.63600561254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9.826197377378904"/>
    <n v="372.58755719362699"/>
    <n v="0.28113220239999998"/>
  </r>
  <r>
    <n v="830000"/>
    <n v="2400000"/>
    <n v="2400000"/>
    <x v="0"/>
    <x v="0"/>
    <s v="BR3-5, BR-7"/>
    <s v="62-304.520 (10), F.A.C."/>
    <n v="0.59"/>
    <n v="0.64"/>
    <s v="City of Cocoa Beach"/>
    <n v="9.3583100349030002E-2"/>
    <n v="3764.9838768481"/>
    <n v="10.0905542678267"/>
    <n v="1.4642176077533999"/>
    <n v="0.94430535262341997"/>
    <n v="0.13702602331920999"/>
    <n v="352.33886395957802"/>
    <n v="1300"/>
    <s v="Residential, High Density"/>
    <n v="1300"/>
    <s v="City of Cocoa Beach           Brevard County"/>
    <s v="City of Cocoa Beach"/>
    <m/>
    <m/>
    <m/>
    <n v="0"/>
    <n v="1"/>
    <n v="0.94430535262341997"/>
    <n v="0.13702602331920999"/>
    <n v="352.338863959578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5.16561978249599"/>
    <n v="378.717370675599"/>
    <n v="0.28575739169999997"/>
  </r>
  <r>
    <n v="830000"/>
    <n v="2400000"/>
    <n v="2400000"/>
    <x v="0"/>
    <x v="0"/>
    <s v="BR3-5, BR-7"/>
    <s v="62-304.520 (10), F.A.C."/>
    <n v="0.59"/>
    <n v="0.64"/>
    <s v="FDOT District 5"/>
    <n v="2.1611097485199999E-3"/>
    <n v="3764.9838768481"/>
    <n v="10.0905542678267"/>
    <n v="1.4642176077533999"/>
    <n v="2.1806795196230001E-2"/>
    <n v="3.1643349460700001E-3"/>
    <n v="8.136543359299649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1806795196230001E-2"/>
    <n v="3.1643349460700001E-3"/>
    <n v="8.13654335929840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8367491935399"/>
    <n v="8.7457008653323491"/>
    <n v="6.5989808000000002E-3"/>
  </r>
  <r>
    <n v="830000"/>
    <n v="2400000"/>
    <n v="2400000"/>
    <x v="0"/>
    <x v="0"/>
    <s v="BR3-5, BR-7"/>
    <s v="62-304.520 (10), F.A.C."/>
    <n v="0.59"/>
    <n v="0.64"/>
    <s v="City of Cocoa Beach"/>
    <n v="3.5144974126899999E-3"/>
    <n v="3764.9838768481"/>
    <n v="10.0905542678267"/>
    <n v="1.4642176077533999"/>
    <n v="3.5463226866920002E-2"/>
    <n v="5.1459889940699997E-3"/>
    <n v="13.232026094017201"/>
    <n v="1410"/>
    <s v="Retail Sales and Services"/>
    <n v="1410"/>
    <s v="City of Cocoa Beach           Brevard County"/>
    <s v="City of Cocoa Beach"/>
    <m/>
    <m/>
    <m/>
    <n v="0"/>
    <n v="1"/>
    <n v="3.5463226866920002E-2"/>
    <n v="5.1459889940699997E-3"/>
    <n v="13.232026094016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4944254328719"/>
    <n v="14.222666426068001"/>
    <n v="1.07315702E-2"/>
  </r>
  <r>
    <n v="830000"/>
    <n v="2400000"/>
    <n v="2400000"/>
    <x v="0"/>
    <x v="0"/>
    <s v="BR3-5, BR-7"/>
    <s v="62-304.520 (10), F.A.C."/>
    <n v="0.59"/>
    <n v="0.64"/>
    <s v="City of Cocoa Beach"/>
    <n v="0.61776345348380002"/>
    <n v="3749.9103356529599"/>
    <n v="10.788827957176601"/>
    <n v="2.0787869299552399"/>
    <n v="6.6649436178680501"/>
    <n v="1.2841985929061399"/>
    <n v="2316.5575592075902"/>
    <n v="1300"/>
    <s v="Residential, High Density"/>
    <n v="1300"/>
    <s v="City of Cocoa Beach           Brevard County"/>
    <s v="City of Cocoa Beach"/>
    <m/>
    <m/>
    <m/>
    <n v="0"/>
    <n v="1"/>
    <n v="6.6649436178680501"/>
    <n v="1.2841985929061399"/>
    <n v="2316.5575592075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0197"/>
    <n v="2499.9999992549401"/>
    <n v="1.8787976959999999"/>
  </r>
  <r>
    <n v="830000"/>
    <n v="2400000"/>
    <n v="2400000"/>
    <x v="0"/>
    <x v="0"/>
    <s v="BR3-5, BR-7"/>
    <s v="62-304.520 (10), F.A.C."/>
    <n v="0.59"/>
    <n v="0.64"/>
    <s v="City of Cocoa Beach"/>
    <n v="0.34599062541178999"/>
    <n v="3830.1207291526598"/>
    <n v="10.5319342273516"/>
    <n v="1.40272381179919"/>
    <n v="3.64395051011725"/>
    <n v="0.48532928892441002"/>
    <n v="1325.1858664822"/>
    <n v="1400"/>
    <s v="Commercial and Services"/>
    <n v="1400"/>
    <s v="City of Cocoa Beach           Brevard County"/>
    <s v="City of Cocoa Beach"/>
    <m/>
    <m/>
    <m/>
    <n v="0"/>
    <n v="1"/>
    <n v="3.64395051011725"/>
    <n v="0.48532928892441002"/>
    <n v="1325.185866482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0.403044266286"/>
    <n v="1400.1743845379001"/>
    <n v="1.0747655039999999"/>
  </r>
  <r>
    <n v="830000"/>
    <n v="2400000"/>
    <n v="2400000"/>
    <x v="0"/>
    <x v="0"/>
    <s v="BR3-5, BR-7"/>
    <s v="62-304.520 (10), F.A.C."/>
    <n v="0.59"/>
    <n v="0.64"/>
    <s v="FDOT District 5"/>
    <n v="2.6616108552279999E-2"/>
    <n v="3830.1207291526598"/>
    <n v="10.5319342273516"/>
    <n v="1.40272381179919"/>
    <n v="0.28031910466073001"/>
    <n v="3.7335049243719998E-2"/>
    <n v="101.94290909549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8031910466073001"/>
    <n v="3.7335049243719998E-2"/>
    <n v="101.94290909548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9.407022223842304"/>
    <n v="107.71156983411601"/>
    <n v="8.2678758399999996E-2"/>
  </r>
  <r>
    <n v="830000"/>
    <n v="2400000"/>
    <n v="2400000"/>
    <x v="0"/>
    <x v="0"/>
    <s v="BR3-5, BR-7"/>
    <s v="62-304.520 (10), F.A.C."/>
    <n v="0.59"/>
    <n v="0.64"/>
    <s v="City of Cocoa Beach"/>
    <n v="1.549397533464E-2"/>
    <n v="3830.1207291526598"/>
    <n v="10.5319342273516"/>
    <n v="1.40272381179919"/>
    <n v="0.16318152914466999"/>
    <n v="2.173376814133E-2"/>
    <n v="59.343796106200003"/>
    <n v="1410"/>
    <s v="Retail Sales and Services"/>
    <n v="1410"/>
    <s v="City of Cocoa Beach           Brevard County"/>
    <s v="City of Cocoa Beach"/>
    <m/>
    <m/>
    <m/>
    <n v="0"/>
    <n v="1"/>
    <n v="0.16318152914466999"/>
    <n v="2.173376814133E-2"/>
    <n v="59.343796106199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7.737396150236506"/>
    <n v="62.701893591510398"/>
    <n v="4.81295994E-2"/>
  </r>
  <r>
    <n v="830000"/>
    <n v="2400000"/>
    <n v="2400000"/>
    <x v="0"/>
    <x v="0"/>
    <s v="BR3-5, BR-7"/>
    <s v="62-304.520 (10), F.A.C."/>
    <n v="0.59"/>
    <n v="0.64"/>
    <s v="City of Cocoa Beach"/>
    <n v="0.22966274450727001"/>
    <n v="3830.1207291526598"/>
    <n v="10.5319342273516"/>
    <n v="1.40272381179919"/>
    <n v="2.41879291962363"/>
    <n v="0.32215340040349999"/>
    <n v="879.63603845139005"/>
    <n v="1410"/>
    <s v="Retail Sales and Services"/>
    <n v="1410"/>
    <s v="City of Cocoa Beach           Brevard County"/>
    <s v="City of Cocoa Beach"/>
    <m/>
    <m/>
    <m/>
    <n v="0"/>
    <n v="1"/>
    <n v="2.41879291962363"/>
    <n v="0.32215340040349999"/>
    <n v="879.636038451390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5.83817822973501"/>
    <n v="929.41215259525995"/>
    <n v="0.71341122339999996"/>
  </r>
  <r>
    <n v="830000"/>
    <n v="2400000"/>
    <n v="2400000"/>
    <x v="0"/>
    <x v="0"/>
    <s v="BR3-5, BR-7"/>
    <s v="62-304.520 (10), F.A.C."/>
    <n v="0.59"/>
    <n v="0.64"/>
    <s v="City of Cocoa Beach"/>
    <n v="1.6265076439450001E-2"/>
    <n v="3744.1883093618799"/>
    <n v="10.4106381655143"/>
    <n v="1.90710301332968"/>
    <n v="0.16932982554553999"/>
    <n v="3.1019176289710002E-2"/>
    <n v="60.899509055466098"/>
    <n v="1300"/>
    <s v="Residential, High Density"/>
    <n v="1300"/>
    <s v="City of Cocoa Beach           Brevard County"/>
    <s v="City of Cocoa Beach"/>
    <m/>
    <m/>
    <m/>
    <n v="0"/>
    <n v="1"/>
    <n v="0.16932982554553999"/>
    <n v="3.1019176289710002E-2"/>
    <n v="676.86972292466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3.505806990396799"/>
    <n v="65.822429049814801"/>
    <n v="0.54896165689999998"/>
  </r>
  <r>
    <n v="830000"/>
    <n v="2400000"/>
    <n v="2400000"/>
    <x v="0"/>
    <x v="0"/>
    <s v="BR3-5, BR-7"/>
    <s v="62-304.520 (10), F.A.C."/>
    <n v="0.59"/>
    <n v="0.64"/>
    <s v="City of Cocoa Beach"/>
    <n v="1.977441195784E-2"/>
    <n v="3744.1883093618799"/>
    <n v="10.4106381655143"/>
    <n v="1.90710301332968"/>
    <n v="0.20586424782891999"/>
    <n v="3.7711840631620003E-2"/>
    <n v="74.039122077061705"/>
    <n v="1400"/>
    <s v="Commercial and Services"/>
    <n v="1400"/>
    <s v="City of Cocoa Beach           Brevard County"/>
    <s v="City of Cocoa Beach"/>
    <m/>
    <m/>
    <m/>
    <n v="0"/>
    <n v="1"/>
    <n v="0.20586424782891999"/>
    <n v="3.7711840631620003E-2"/>
    <n v="121.22429027552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4.580377071899804"/>
    <n v="80.024206030781002"/>
    <n v="9.8316537100000004E-2"/>
  </r>
  <r>
    <n v="830000"/>
    <n v="2400000"/>
    <n v="2400000"/>
    <x v="0"/>
    <x v="0"/>
    <s v="BR3-5, BR-7"/>
    <s v="62-304.520 (10), F.A.C."/>
    <n v="0.59"/>
    <n v="0.64"/>
    <s v="City of Cocoa Beach"/>
    <n v="0.29367851143424001"/>
    <n v="3749.80819645572"/>
    <n v="10.788449812410001"/>
    <n v="2.07870426579459"/>
    <n v="3.16833588159166"/>
    <n v="0.61047077449056997"/>
    <n v="1101.23808929905"/>
    <n v="1300"/>
    <s v="Residential, High Density"/>
    <n v="1300"/>
    <s v="City of Cocoa Beach           Brevard County"/>
    <s v="City of Cocoa Beach"/>
    <m/>
    <m/>
    <m/>
    <n v="0"/>
    <n v="1"/>
    <n v="3.16833588159166"/>
    <n v="0.61047077449056997"/>
    <n v="1101.238089299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54832405139101"/>
    <n v="1188.4747701185499"/>
    <n v="0.89313713650000004"/>
  </r>
  <r>
    <n v="830000"/>
    <n v="2400000"/>
    <n v="2400000"/>
    <x v="0"/>
    <x v="0"/>
    <s v="BR3-5, BR-7"/>
    <s v="62-304.520 (10), F.A.C."/>
    <n v="0.59"/>
    <n v="0.64"/>
    <s v="City of Cocoa Beach"/>
    <n v="0.32408494223366002"/>
    <n v="3749.80819645572"/>
    <n v="10.788449812410001"/>
    <n v="2.07870426579459"/>
    <n v="3.49637413424571"/>
    <n v="0.67367675190091003"/>
    <n v="1215.2563727356801"/>
    <n v="1300"/>
    <s v="Residential, High Density"/>
    <n v="1300"/>
    <s v="City of Cocoa Beach           Brevard County"/>
    <s v="City of Cocoa Beach"/>
    <m/>
    <m/>
    <m/>
    <n v="0"/>
    <n v="1"/>
    <n v="3.49637413424571"/>
    <n v="0.67367675190091003"/>
    <n v="1215.2563727356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2.470342441539"/>
    <n v="1311.5252298814401"/>
    <n v="0.98560938580000002"/>
  </r>
  <r>
    <n v="830000"/>
    <n v="2400000"/>
    <n v="2400000"/>
    <x v="0"/>
    <x v="0"/>
    <s v="BR3-5, BR-7"/>
    <s v="62-304.520 (10), F.A.C."/>
    <n v="0.59"/>
    <n v="0.64"/>
    <s v="City of Cocoa Beach"/>
    <n v="4.2556420103759998E-2"/>
    <n v="3699.3915047379601"/>
    <n v="7.6798407945968501"/>
    <n v="1.0451951489014299"/>
    <n v="0.32682653118487998"/>
    <n v="4.4479763847059997E-2"/>
    <n v="157.43285900391999"/>
    <n v="1450"/>
    <s v="Tourist Services"/>
    <n v="1450"/>
    <s v="City of Cocoa Beach           Brevard County"/>
    <s v="City of Cocoa Beach"/>
    <m/>
    <m/>
    <m/>
    <n v="0"/>
    <n v="1"/>
    <n v="0.32682653118487998"/>
    <n v="4.4479763847059997E-2"/>
    <n v="157.43285900392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913599088067"/>
    <n v="172.21972201126599"/>
    <n v="0.12768277289999999"/>
  </r>
  <r>
    <n v="830000"/>
    <n v="2400000"/>
    <n v="2400000"/>
    <x v="0"/>
    <x v="0"/>
    <s v="BR3-5, BR-7"/>
    <s v="62-304.520 (10), F.A.C."/>
    <n v="0.59"/>
    <n v="0.64"/>
    <s v="City of Cocoa Beach"/>
    <n v="5.6577032697360002E-2"/>
    <n v="3706.3972820003701"/>
    <n v="7.4950958978600397"/>
    <n v="1.0229763637866001"/>
    <n v="0.42405028568313002"/>
    <n v="5.7876967182580001E-2"/>
    <n v="209.696960213171"/>
    <n v="1450"/>
    <s v="Tourist Services"/>
    <n v="1450"/>
    <s v="City of Cocoa Beach           Brevard County"/>
    <s v="City of Cocoa Beach"/>
    <m/>
    <m/>
    <m/>
    <n v="0"/>
    <n v="1"/>
    <n v="0.42405028568313002"/>
    <n v="5.7876967182580001E-2"/>
    <n v="209.6969602131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174271294121"/>
    <n v="228.959128131678"/>
    <n v="0.1700705273"/>
  </r>
  <r>
    <n v="830000"/>
    <n v="2400000"/>
    <n v="2400000"/>
    <x v="0"/>
    <x v="0"/>
    <s v="BR3-5, BR-7"/>
    <s v="62-304.520 (10), F.A.C."/>
    <n v="0.59"/>
    <n v="0.64"/>
    <s v="City of Cocoa Beach"/>
    <n v="0.61776345352982998"/>
    <n v="3747.7351298742601"/>
    <n v="10.7827144172337"/>
    <n v="2.07762580930767"/>
    <n v="6.6611668968162503"/>
    <n v="1.28348129510062"/>
    <n v="2315.2137967461899"/>
    <n v="1300"/>
    <s v="Residential, High Density"/>
    <n v="1300"/>
    <s v="City of Cocoa Beach           Brevard County"/>
    <s v="City of Cocoa Beach"/>
    <m/>
    <m/>
    <m/>
    <n v="0"/>
    <n v="1"/>
    <n v="6.6611668968162503"/>
    <n v="1.28348129510062"/>
    <n v="2315.2137967461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7648"/>
    <n v="2499.9999994412001"/>
    <n v="1.8777078644"/>
  </r>
  <r>
    <n v="830000"/>
    <n v="2400000"/>
    <n v="2400000"/>
    <x v="0"/>
    <x v="0"/>
    <s v="BR3-5, BR-7"/>
    <s v="62-304.520 (10), F.A.C."/>
    <n v="0.59"/>
    <n v="0.64"/>
    <s v="FDOT District 5"/>
    <n v="4.9184426009220003E-2"/>
    <n v="3776.3353987987098"/>
    <n v="10.7516417475435"/>
    <n v="1.4157952348805301"/>
    <n v="0.52881332800972003"/>
    <n v="6.9635075974189997E-2"/>
    <n v="185.736889008225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2881332800972003"/>
    <n v="6.9635075974189997E-2"/>
    <n v="185.73688900822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7.66816517034501"/>
    <n v="199.04231027748"/>
    <n v="0.1506381906"/>
  </r>
  <r>
    <n v="830000"/>
    <n v="2400000"/>
    <n v="2400000"/>
    <x v="0"/>
    <x v="0"/>
    <s v="BR3-5, BR-7"/>
    <s v="62-304.520 (10), F.A.C."/>
    <n v="0.59"/>
    <n v="0.64"/>
    <s v="FDOT District 5"/>
    <n v="0.18306652609401"/>
    <n v="3776.3353987987098"/>
    <n v="10.7516417475435"/>
    <n v="1.4157952348805301"/>
    <n v="1.9682657045301399"/>
    <n v="0.25918471531003001"/>
    <n v="691.32060282392604"/>
    <n v="8140"/>
    <s v="Roads and Highways"/>
    <n v="8140"/>
    <s v="FDOT District 5                                 City of Cocoa Beach           Brevard County"/>
    <s v="FDOT District 5"/>
    <m/>
    <m/>
    <m/>
    <n v="0"/>
    <n v="1"/>
    <n v="1.9682657045301399"/>
    <n v="0.25918471531003001"/>
    <n v="700.376330380015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0.363557783397"/>
    <n v="740.84394685000905"/>
    <n v="0.56802622089999999"/>
  </r>
  <r>
    <n v="830000"/>
    <n v="2400000"/>
    <n v="2400000"/>
    <x v="0"/>
    <x v="0"/>
    <s v="BR3-5, BR-7"/>
    <s v="62-304.520 (10), F.A.C."/>
    <n v="0.59"/>
    <n v="0.64"/>
    <s v="City of Cocoa Beach"/>
    <n v="0.38093310151718002"/>
    <n v="3776.3353987987098"/>
    <n v="10.7516417475435"/>
    <n v="1.4157952348805301"/>
    <n v="4.0956562372934302"/>
    <n v="0.53932326993628998"/>
    <n v="1438.53115583354"/>
    <n v="1450"/>
    <s v="Tourist Services"/>
    <n v="1450"/>
    <s v="City of Cocoa Beach           Brevard County"/>
    <s v="City of Cocoa Beach"/>
    <m/>
    <m/>
    <m/>
    <n v="0"/>
    <n v="1"/>
    <n v="4.0956562372934302"/>
    <n v="0.53932326993628998"/>
    <n v="1438.5311558335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1.68728797928301"/>
    <n v="1541.5815683795799"/>
    <n v="1.166691935"/>
  </r>
  <r>
    <n v="830000"/>
    <n v="2400000"/>
    <n v="2400000"/>
    <x v="0"/>
    <x v="0"/>
    <s v="BR3-5, BR-7"/>
    <s v="62-304.520 (10), F.A.C."/>
    <n v="0.59"/>
    <n v="0.64"/>
    <s v="FDOT District 5"/>
    <n v="2.1813800695000001E-3"/>
    <n v="3776.3353987987098"/>
    <n v="10.7516417475435"/>
    <n v="1.4157952348805301"/>
    <n v="2.345341702252E-2"/>
    <n v="3.0883875078599999E-3"/>
    <n v="8.2376227746981794"/>
    <n v="1450"/>
    <s v="Tourist Services"/>
    <n v="1450"/>
    <s v="FDOT District 5                                 City of Cocoa Beach           Brevard County"/>
    <s v="FDOT District 5"/>
    <m/>
    <m/>
    <m/>
    <n v="0"/>
    <n v="1"/>
    <n v="2.345341702252E-2"/>
    <n v="3.0883875078599999E-3"/>
    <n v="8.237622774697529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01159815273"/>
    <n v="8.8277319439628901"/>
    <n v="6.6809592999999999E-3"/>
  </r>
  <r>
    <n v="830000"/>
    <n v="2400000"/>
    <n v="2400000"/>
    <x v="0"/>
    <x v="0"/>
    <s v="BR3-5, BR-7"/>
    <s v="62-304.520 (10), F.A.C."/>
    <n v="0.59"/>
    <n v="0.64"/>
    <s v="City of Cocoa Beach"/>
    <n v="1.106506029549E-2"/>
    <n v="3763.5484147320699"/>
    <n v="11.9466268036982"/>
    <n v="1.5734616499029701"/>
    <n v="0.13219014591073999"/>
    <n v="1.7410448028829999E-2"/>
    <n v="41.643890134040099"/>
    <n v="1450"/>
    <s v="Tourist Services"/>
    <n v="1450"/>
    <s v="City of Cocoa Beach           Brevard County"/>
    <s v="City of Cocoa Beach"/>
    <m/>
    <m/>
    <m/>
    <n v="0"/>
    <n v="1"/>
    <n v="0.13219014591073999"/>
    <n v="1.7410448028829999E-2"/>
    <n v="41.6438901340403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7.034456104599698"/>
    <n v="44.778710321083899"/>
    <n v="3.3774444600000002E-2"/>
  </r>
  <r>
    <n v="830000"/>
    <n v="2400000"/>
    <n v="2400000"/>
    <x v="0"/>
    <x v="0"/>
    <s v="BR3-5, BR-7"/>
    <s v="62-304.520 (10), F.A.C."/>
    <n v="0.59"/>
    <n v="0.64"/>
    <s v="City of Cocoa Beach"/>
    <n v="0.61776345348380002"/>
    <n v="3752.2321467617899"/>
    <n v="10.7949726476373"/>
    <n v="2.0799086136398302"/>
    <n v="6.6687395830676799"/>
    <n v="1.2848915280928599"/>
    <n v="2317.9918892565202"/>
    <n v="1300"/>
    <s v="Residential, High Density"/>
    <n v="1300"/>
    <s v="City of Cocoa Beach           Brevard County"/>
    <s v="City of Cocoa Beach"/>
    <m/>
    <m/>
    <m/>
    <n v="0"/>
    <n v="1"/>
    <n v="6.6687395830676799"/>
    <n v="1.2848915280928599"/>
    <n v="2317.99188925652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70197"/>
    <n v="2499.9999992549401"/>
    <n v="1.8799609807"/>
  </r>
  <r>
    <n v="830000"/>
    <n v="2400000"/>
    <n v="2400000"/>
    <x v="0"/>
    <x v="0"/>
    <s v="BR3-5, BR-7"/>
    <s v="62-304.520 (10), F.A.C."/>
    <n v="0.59"/>
    <n v="0.64"/>
    <s v="City of Cocoa Beach"/>
    <n v="0.11938834482051"/>
    <n v="3756.4692926047901"/>
    <n v="10.8064271545274"/>
    <n v="2.0820300371093401"/>
    <n v="1.29016145140245"/>
    <n v="0.24857011999706"/>
    <n v="448.478651213158"/>
    <n v="1300"/>
    <s v="Residential, High Density"/>
    <n v="1300"/>
    <s v="City of Cocoa Beach           Brevard County"/>
    <s v="City of Cocoa Beach"/>
    <m/>
    <m/>
    <m/>
    <n v="0"/>
    <n v="1"/>
    <n v="1.29016145140245"/>
    <n v="0.24857011999706"/>
    <n v="448.47865121315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2.29335153318101"/>
    <n v="483.14748999658599"/>
    <n v="0.36372964410000003"/>
  </r>
  <r>
    <n v="830000"/>
    <n v="2400000"/>
    <n v="2400000"/>
    <x v="0"/>
    <x v="0"/>
    <s v="BR3-5, BR-7"/>
    <s v="62-304.520 (10), F.A.C."/>
    <n v="0.59"/>
    <n v="0.64"/>
    <s v="City of Cocoa Beach"/>
    <n v="0.49837510880136998"/>
    <n v="3756.4692926047901"/>
    <n v="10.8064271545274"/>
    <n v="2.0820300371093401"/>
    <n v="5.3856543088917803"/>
    <n v="1.0376319462721"/>
    <n v="1872.1307924109401"/>
    <n v="1300"/>
    <s v="Residential, High Density"/>
    <n v="1300"/>
    <s v="City of Cocoa Beach           Brevard County"/>
    <s v="City of Cocoa Beach"/>
    <m/>
    <m/>
    <m/>
    <n v="0"/>
    <n v="1"/>
    <n v="5.3856543088917803"/>
    <n v="1.0376319462721"/>
    <n v="1872.1307924109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2.81601686990999"/>
    <n v="2016.8525098171399"/>
    <n v="1.5183542517999999"/>
  </r>
  <r>
    <n v="830000"/>
    <n v="2400000"/>
    <n v="2400000"/>
    <x v="0"/>
    <x v="0"/>
    <s v="BR3-5, BR-7"/>
    <s v="62-304.520 (10), F.A.C."/>
    <n v="0.59"/>
    <n v="0.64"/>
    <s v="City of Cocoa Beach"/>
    <n v="9.0254251218939999E-2"/>
    <n v="3777.5031897758799"/>
    <n v="11.4976848260299"/>
    <n v="1.61367052132783"/>
    <n v="1.0377149347247201"/>
    <n v="0.14564062461652"/>
    <n v="340.935721870387"/>
    <n v="1300"/>
    <s v="Residential, High Density"/>
    <n v="1300"/>
    <s v="City of Cocoa Beach           Brevard County"/>
    <s v="City of Cocoa Beach"/>
    <m/>
    <m/>
    <m/>
    <n v="0"/>
    <n v="1"/>
    <n v="1.0377149347247201"/>
    <n v="0.14564062461652"/>
    <n v="340.93572187038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4.618253317005"/>
    <n v="365.24599619427698"/>
    <n v="0.2765091013"/>
  </r>
  <r>
    <n v="830000"/>
    <n v="2400000"/>
    <n v="2400000"/>
    <x v="0"/>
    <x v="0"/>
    <s v="BR3-5, BR-7"/>
    <s v="62-304.520 (10), F.A.C."/>
    <n v="0.59"/>
    <n v="0.64"/>
    <s v="City of Cocoa Beach"/>
    <n v="2.5804024049190001E-2"/>
    <n v="3777.5031897758799"/>
    <n v="11.4976848260299"/>
    <n v="1.61367052132783"/>
    <n v="0.29668653576088"/>
    <n v="4.1639192939809999E-2"/>
    <n v="97.474783154868803"/>
    <n v="1400"/>
    <s v="Commercial and Services"/>
    <n v="1400"/>
    <s v="City of Cocoa Beach           Brevard County"/>
    <s v="City of Cocoa Beach"/>
    <m/>
    <m/>
    <m/>
    <n v="0"/>
    <n v="1"/>
    <n v="0.29668653576088"/>
    <n v="4.1639192939809999E-2"/>
    <n v="97.4747831548702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208153091941"/>
    <n v="104.42518044723001"/>
    <n v="7.9054974200000003E-2"/>
  </r>
  <r>
    <n v="830000"/>
    <n v="2400000"/>
    <n v="2400000"/>
    <x v="0"/>
    <x v="0"/>
    <s v="BR3-5, BR-7"/>
    <s v="62-304.520 (10), F.A.C."/>
    <n v="0.59"/>
    <n v="0.64"/>
    <s v="City of Cocoa Beach"/>
    <n v="0.50170517833074002"/>
    <n v="3777.5031897758799"/>
    <n v="11.4976848260299"/>
    <n v="1.61367052132783"/>
    <n v="5.7684480160340099"/>
    <n v="0.80958685666982999"/>
    <n v="1895.1929114714501"/>
    <n v="1450"/>
    <s v="Tourist Services"/>
    <n v="1450"/>
    <s v="City of Cocoa Beach           Brevard County"/>
    <s v="City of Cocoa Beach"/>
    <m/>
    <m/>
    <m/>
    <n v="0"/>
    <n v="1"/>
    <n v="5.7684480160340099"/>
    <n v="0.80958685666982999"/>
    <n v="1895.1929114714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1.23588532611399"/>
    <n v="2030.3288230790899"/>
    <n v="1.5370583224000001"/>
  </r>
  <r>
    <n v="830000"/>
    <n v="2400000"/>
    <n v="2400000"/>
    <x v="0"/>
    <x v="0"/>
    <s v="BR3-5, BR-7"/>
    <s v="62-304.520 (10), F.A.C."/>
    <n v="0.59"/>
    <n v="0.64"/>
    <s v="FDOT District 5"/>
    <n v="3.58437386319E-3"/>
    <n v="3742.59541072825"/>
    <n v="10.6525799469196"/>
    <n v="2.0250036712868802"/>
    <n v="3.8182829137280001E-2"/>
    <n v="7.2583702322200003E-3"/>
    <n v="13.4148611707092"/>
    <n v="3200"/>
    <s v="Shrub and Brushland"/>
    <n v="3200"/>
    <s v="FDOT District 5                                 City of Cocoa Beach           Brevard County"/>
    <s v="FDOT District 5"/>
    <m/>
    <m/>
    <s v="Natural Lands"/>
    <n v="0"/>
    <n v="1"/>
    <n v="3.8182829137280001E-2"/>
    <n v="7.2583702322200003E-3"/>
    <n v="13.414861170708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8.221124071280002"/>
    <n v="14.505446388532199"/>
    <n v="1.0879855000000001E-2"/>
  </r>
  <r>
    <n v="830000"/>
    <n v="2400000"/>
    <n v="2400000"/>
    <x v="0"/>
    <x v="0"/>
    <s v="BR3-5, BR-7"/>
    <s v="62-304.520 (10), F.A.C."/>
    <n v="0.59"/>
    <n v="0.64"/>
    <s v="FDOT District 5"/>
    <n v="2.9293219502959999E-2"/>
    <n v="3742.59541072825"/>
    <n v="10.6525799469196"/>
    <n v="2.0250036712868802"/>
    <n v="0.31204836265800001"/>
    <n v="5.9318877037310001E-2"/>
    <n v="109.632668877252"/>
    <n v="8140"/>
    <s v="Roads and Highways"/>
    <n v="8140"/>
    <s v="FDOT District 5                                 City of Cocoa Beach           Brevard County"/>
    <s v="FDOT District 5"/>
    <m/>
    <m/>
    <m/>
    <n v="0"/>
    <n v="1"/>
    <n v="0.31204836265800001"/>
    <n v="5.9318877037310001E-2"/>
    <n v="109.632668877254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2.041423507681102"/>
    <n v="118.54545347834799"/>
    <n v="8.8915384299999997E-2"/>
  </r>
  <r>
    <n v="830000"/>
    <n v="2400000"/>
    <n v="2400000"/>
    <x v="0"/>
    <x v="0"/>
    <s v="BR3-5, BR-7"/>
    <s v="62-304.520 (10), F.A.C."/>
    <n v="0.59"/>
    <n v="0.64"/>
    <s v="City of Cocoa Beach"/>
    <n v="2.0242493492109999E-2"/>
    <n v="3742.59541072825"/>
    <n v="10.6525799469196"/>
    <n v="2.0250036712868802"/>
    <n v="0.21563478024971999"/>
    <n v="4.0991123637519999E-2"/>
    <n v="75.759463245275001"/>
    <n v="1300"/>
    <s v="Residential, High Density"/>
    <n v="1300"/>
    <s v="City of Cocoa Beach           Brevard County"/>
    <s v="City of Cocoa Beach"/>
    <m/>
    <m/>
    <m/>
    <n v="0"/>
    <n v="1"/>
    <n v="0.21563478024971999"/>
    <n v="4.0991123637519999E-2"/>
    <n v="75.7594632452765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4.303591999616899"/>
    <n v="81.918464793945404"/>
    <n v="6.1443198099999999E-2"/>
  </r>
  <r>
    <n v="830000"/>
    <n v="2400000"/>
    <n v="2400000"/>
    <x v="0"/>
    <x v="0"/>
    <s v="BR3-5, BR-7"/>
    <s v="62-304.520 (10), F.A.C."/>
    <n v="0.59"/>
    <n v="0.64"/>
    <s v="City of Cocoa Beach"/>
    <n v="2.9011153111199998E-2"/>
    <n v="3742.59541072825"/>
    <n v="10.6525799469196"/>
    <n v="2.0250036712868802"/>
    <n v="0.30904362786943002"/>
    <n v="5.8747691558449999E-2"/>
    <n v="108.57700849392999"/>
    <n v="1300"/>
    <s v="Residential, High Density"/>
    <n v="1300"/>
    <s v="City of Cocoa Beach           Brevard County"/>
    <s v="City of Cocoa Beach"/>
    <m/>
    <m/>
    <m/>
    <n v="0"/>
    <n v="1"/>
    <n v="0.30904362786943002"/>
    <n v="5.8747691558449999E-2"/>
    <n v="108.57700849393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1.575715798321902"/>
    <n v="117.403971289311"/>
    <n v="8.8059212100000006E-2"/>
  </r>
  <r>
    <n v="830000"/>
    <n v="2400000"/>
    <n v="2400000"/>
    <x v="0"/>
    <x v="0"/>
    <s v="BR3-5, BR-7"/>
    <s v="62-304.520 (10), F.A.C."/>
    <n v="0.59"/>
    <n v="0.64"/>
    <s v="City of Cocoa Beach"/>
    <n v="0.53531665403796003"/>
    <n v="3742.59541072825"/>
    <n v="10.6525799469196"/>
    <n v="2.0250036712868802"/>
    <n v="5.7025034540569903"/>
    <n v="1.08401818972789"/>
    <n v="2003.4736526889001"/>
    <n v="1300"/>
    <s v="Residential, High Density"/>
    <n v="1300"/>
    <s v="City of Cocoa Beach           Brevard County"/>
    <s v="City of Cocoa Beach"/>
    <m/>
    <m/>
    <m/>
    <n v="0"/>
    <n v="1"/>
    <n v="5.7025034540569903"/>
    <n v="1.08401818972789"/>
    <n v="2003.4736526889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3.92182098625199"/>
    <n v="2166.3496394112199"/>
    <n v="1.6248772527999999"/>
  </r>
  <r>
    <n v="830000"/>
    <n v="2400000"/>
    <n v="2400000"/>
    <x v="0"/>
    <x v="0"/>
    <s v="BR3-5, BR-7"/>
    <s v="62-304.520 (10), F.A.C."/>
    <n v="0.59"/>
    <n v="0.64"/>
    <s v="FDOT District 5"/>
    <n v="3.1555977553999998E-4"/>
    <n v="3742.59541072825"/>
    <n v="10.6525799469196"/>
    <n v="2.0250036712868802"/>
    <n v="3.36152573697E-3"/>
    <n v="6.3900970396999998E-4"/>
    <n v="1.1810125677464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36152573697E-3"/>
    <n v="6.3900970396999998E-4"/>
    <n v="1.1810125677468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7.857486256618301"/>
    <n v="1.2770251042955401"/>
    <n v="9.5783659999999998E-4"/>
  </r>
  <r>
    <n v="830000"/>
    <n v="2400000"/>
    <n v="2400000"/>
    <x v="0"/>
    <x v="0"/>
    <s v="BR3-5, BR-7"/>
    <s v="62-304.520 (10), F.A.C."/>
    <n v="0.59"/>
    <n v="0.64"/>
    <s v="City of Cocoa Beach"/>
    <n v="2.2762751036050001E-2"/>
    <n v="2880.6500518191801"/>
    <n v="7.9508606483857802"/>
    <n v="1.3758628951487799"/>
    <n v="0.18098346146159"/>
    <n v="3.1318424542020003E-2"/>
    <n v="65.571519951567694"/>
    <n v="1300"/>
    <s v="Residential, High Density"/>
    <n v="1300"/>
    <s v="City of Cocoa Beach           Brevard County"/>
    <s v="City of Cocoa Beach"/>
    <m/>
    <m/>
    <m/>
    <n v="0"/>
    <n v="1"/>
    <n v="0.18098346146159"/>
    <n v="3.1318424542020003E-2"/>
    <n v="173.75063369894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5.196814736700702"/>
    <n v="92.117585221765296"/>
    <n v="0.14091697789999999"/>
  </r>
  <r>
    <n v="830000"/>
    <n v="2400000"/>
    <n v="2400000"/>
    <x v="0"/>
    <x v="0"/>
    <s v="BR3-5, BR-7"/>
    <s v="62-304.520 (10), F.A.C."/>
    <n v="0.59"/>
    <n v="0.64"/>
    <s v="Natural Lands"/>
    <n v="7.6815814918800001E-3"/>
    <n v="2880.6500518191801"/>
    <n v="7.9508606483857802"/>
    <n v="1.3758628951487799"/>
    <n v="6.1075184001220001E-2"/>
    <n v="1.056880295075E-2"/>
    <n v="22.127948122660399"/>
    <n v="5400"/>
    <s v="Bays and estuaries"/>
    <n v="5400"/>
    <s v="City of Cocoa Beach           Brevard County"/>
    <s v="City of Cocoa Beach"/>
    <m/>
    <m/>
    <s v="Natural Lands"/>
    <n v="0"/>
    <n v="1"/>
    <n v="6.1075184001220001E-2"/>
    <n v="1.056880295075E-2"/>
    <n v="378.321762336584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4.221625477300698"/>
    <n v="31.086257394636899"/>
    <n v="0.306830302"/>
  </r>
  <r>
    <n v="830000"/>
    <n v="2400000"/>
    <n v="2400000"/>
    <x v="0"/>
    <x v="0"/>
    <s v="BR3-5, BR-7"/>
    <s v="62-304.520 (10), F.A.C."/>
    <n v="0.59"/>
    <n v="0.64"/>
    <s v="City of Cocoa Beach"/>
    <n v="0.16160714806266999"/>
    <n v="2880.6500518191801"/>
    <n v="7.9508606483857802"/>
    <n v="1.3758628951487799"/>
    <n v="1.28491591402937"/>
    <n v="0.22234927861025"/>
    <n v="465.53363944109498"/>
    <n v="1300"/>
    <s v="Residential, High Density"/>
    <n v="1300"/>
    <s v="City of Cocoa Beach           Brevard County"/>
    <s v="City of Cocoa Beach"/>
    <m/>
    <m/>
    <m/>
    <n v="0"/>
    <n v="1"/>
    <n v="1.28491591402937"/>
    <n v="0.22234927861025"/>
    <n v="465.53363944109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6.160098720313"/>
    <n v="654.00092504318195"/>
    <n v="0.37756175139999998"/>
  </r>
  <r>
    <n v="830000"/>
    <n v="2400000"/>
    <n v="2400000"/>
    <x v="0"/>
    <x v="0"/>
    <s v="BR3-5, BR-7"/>
    <s v="62-304.520 (10), F.A.C."/>
    <n v="0.59"/>
    <n v="0.64"/>
    <s v="City of Cocoa Beach"/>
    <n v="0.60571938159081995"/>
    <n v="3763.5484147320699"/>
    <n v="11.9466268036982"/>
    <n v="1.5734616499029701"/>
    <n v="7.2363033996324004"/>
    <n v="0.95307621753609995"/>
    <n v="2279.6542183586198"/>
    <n v="1450"/>
    <s v="Tourist Services"/>
    <n v="1450"/>
    <s v="City of Cocoa Beach           Brevard County"/>
    <s v="City of Cocoa Beach"/>
    <m/>
    <m/>
    <m/>
    <n v="0"/>
    <n v="1"/>
    <n v="7.2363033996324004"/>
    <n v="0.95307621753609995"/>
    <n v="2279.6542183586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5.32490192454"/>
    <n v="2451.2593695629598"/>
    <n v="1.8488679792"/>
  </r>
  <r>
    <n v="830000"/>
    <n v="2400000"/>
    <n v="2400000"/>
    <x v="0"/>
    <x v="0"/>
    <s v="BR3-5, BR-7"/>
    <s v="62-304.520 (10), F.A.C."/>
    <n v="0.59"/>
    <n v="0.64"/>
    <s v="City of Cocoa Beach"/>
    <n v="2.8118937308980001E-2"/>
    <n v="3702.25949186259"/>
    <n v="9.2285786776937293"/>
    <n v="1.3572742639619499"/>
    <n v="0.25949782528910997"/>
    <n v="3.8165109939440001E-2"/>
    <n v="104.103602553282"/>
    <n v="1200"/>
    <s v="Residential, Medium Density-Two-five dwellingunits per acre"/>
    <n v="1200"/>
    <s v="City of Cocoa Beach           Brevard County"/>
    <s v="City of Cocoa Beach"/>
    <m/>
    <m/>
    <m/>
    <n v="0"/>
    <n v="1"/>
    <n v="0.25949782528910997"/>
    <n v="3.8165109939440001E-2"/>
    <n v="545.820590561874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2.778649736376799"/>
    <n v="113.79330203993401"/>
    <n v="0.442676878"/>
  </r>
  <r>
    <n v="830000"/>
    <n v="2400000"/>
    <n v="2400000"/>
    <x v="0"/>
    <x v="0"/>
    <s v="BR3-5, BR-7"/>
    <s v="62-304.520 (10), F.A.C."/>
    <n v="0.59"/>
    <n v="0.64"/>
    <s v="City of Cocoa Beach"/>
    <n v="3.5562205111999999E-4"/>
    <n v="3702.25949186259"/>
    <n v="9.2285786776937293"/>
    <n v="1.3572742639619499"/>
    <n v="3.2818860782899998E-3"/>
    <n v="4.8267665768E-4"/>
    <n v="1.3166051142783599"/>
    <n v="1210"/>
    <s v="Fixed Single Family Units"/>
    <n v="1210"/>
    <s v="City of Cocoa Beach           Brevard County"/>
    <s v="City of Cocoa Beach"/>
    <m/>
    <m/>
    <m/>
    <n v="0"/>
    <n v="1"/>
    <n v="3.2818860782899998E-3"/>
    <n v="4.8267665768E-4"/>
    <n v="1.3166051142773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.608773862951299"/>
    <n v="1.4391513815250001"/>
    <n v="1.0678063E-3"/>
  </r>
  <r>
    <n v="830000"/>
    <n v="2400000"/>
    <n v="2400000"/>
    <x v="0"/>
    <x v="0"/>
    <s v="BR3-5, BR-7"/>
    <s v="62-304.520 (10), F.A.C."/>
    <n v="0.59"/>
    <n v="0.64"/>
    <s v="City of Cocoa Beach"/>
    <n v="8.8585058475199999E-2"/>
    <n v="3702.25949186259"/>
    <n v="9.2285786776937293"/>
    <n v="1.3572742639619499"/>
    <n v="0.81751418180647994"/>
    <n v="0.12023422003995"/>
    <n v="327.96487357701102"/>
    <n v="1210"/>
    <s v="Fixed Single Family Units"/>
    <n v="1210"/>
    <s v="City of Cocoa Beach           Brevard County"/>
    <s v="City of Cocoa Beach"/>
    <m/>
    <m/>
    <m/>
    <n v="0"/>
    <n v="1"/>
    <n v="0.81751418180647994"/>
    <n v="0.12023422003995"/>
    <n v="583.613521815418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5.465220816626001"/>
    <n v="358.491012819042"/>
    <n v="0.47332807929999998"/>
  </r>
  <r>
    <n v="830000"/>
    <n v="2400000"/>
    <n v="2400000"/>
    <x v="0"/>
    <x v="0"/>
    <s v="BR3-5, BR-7"/>
    <s v="62-304.520 (10), F.A.C."/>
    <n v="0.59"/>
    <n v="0.64"/>
    <s v="City of Cocoa Beach"/>
    <n v="0.17787937964174999"/>
    <n v="3746.27160261975"/>
    <n v="10.7786323875892"/>
    <n v="2.0768542520315201"/>
    <n v="1.91729644249095"/>
    <n v="0.36942954595770999"/>
    <n v="666.38446864353898"/>
    <n v="1300"/>
    <s v="Residential, High Density"/>
    <n v="1300"/>
    <s v="City of Cocoa Beach           Brevard County"/>
    <s v="City of Cocoa Beach"/>
    <m/>
    <m/>
    <m/>
    <n v="0"/>
    <n v="1"/>
    <n v="1.91729644249095"/>
    <n v="0.36942954595770999"/>
    <n v="666.38446864353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0.62840350320599"/>
    <n v="719.85230991578203"/>
    <n v="0.54045780099999996"/>
  </r>
  <r>
    <n v="830000"/>
    <n v="2400000"/>
    <n v="2400000"/>
    <x v="0"/>
    <x v="0"/>
    <s v="BR3-5, BR-7"/>
    <s v="62-304.520 (10), F.A.C."/>
    <n v="0.59"/>
    <n v="0.64"/>
    <s v="City of Cocoa Beach"/>
    <n v="1.261074428197E-2"/>
    <n v="3746.27160261975"/>
    <n v="10.7786323875892"/>
    <n v="2.0768542520315201"/>
    <n v="0.13592657674927"/>
    <n v="2.6190677883289999E-2"/>
    <n v="47.243273191451003"/>
    <n v="1300"/>
    <s v="Residential, High Density"/>
    <n v="1300"/>
    <s v="City of Cocoa Beach           Brevard County"/>
    <s v="City of Cocoa Beach"/>
    <m/>
    <m/>
    <m/>
    <n v="0"/>
    <n v="1"/>
    <n v="0.13592657674927"/>
    <n v="2.6190677883289999E-2"/>
    <n v="47.2432731914506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3.933701850572398"/>
    <n v="51.033871488742001"/>
    <n v="3.8315712199999998E-2"/>
  </r>
  <r>
    <n v="830000"/>
    <n v="2400000"/>
    <n v="2400000"/>
    <x v="0"/>
    <x v="0"/>
    <s v="BR3-5, BR-7"/>
    <s v="62-304.520 (10), F.A.C."/>
    <n v="0.59"/>
    <n v="0.64"/>
    <s v="City of Cocoa Beach"/>
    <n v="0.42628658320283003"/>
    <n v="3746.27160261975"/>
    <n v="10.7786323875892"/>
    <n v="2.0768542520315201"/>
    <n v="4.5947863721048101"/>
    <n v="0.88533510290879003"/>
    <n v="1596.98532123057"/>
    <n v="1300"/>
    <s v="Residential, High Density"/>
    <n v="1300"/>
    <s v="City of Cocoa Beach           Brevard County"/>
    <s v="City of Cocoa Beach"/>
    <m/>
    <m/>
    <m/>
    <n v="0"/>
    <n v="1"/>
    <n v="4.5947863721048101"/>
    <n v="0.88533510290879003"/>
    <n v="1596.9853212305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1.19913874029001"/>
    <n v="1725.1205970173301"/>
    <n v="1.295203018"/>
  </r>
  <r>
    <n v="830000"/>
    <n v="2400000"/>
    <n v="2400000"/>
    <x v="0"/>
    <x v="0"/>
    <s v="BR3-5, BR-7"/>
    <s v="62-304.520 (10), F.A.C."/>
    <n v="0.59"/>
    <n v="0.64"/>
    <s v="City of Cocoa Beach"/>
    <n v="9.8674661038999998E-4"/>
    <n v="3746.27160261975"/>
    <n v="10.7786323875892"/>
    <n v="2.0768542520315201"/>
    <n v="1.0635778973089999E-2"/>
    <n v="2.04932889346E-3"/>
    <n v="3.6966208054853502"/>
    <n v="1300"/>
    <s v="Residential, High Density"/>
    <n v="1300"/>
    <s v="City of Cocoa Beach           Brevard County"/>
    <s v="City of Cocoa Beach"/>
    <m/>
    <m/>
    <m/>
    <n v="0"/>
    <n v="1"/>
    <n v="1.0635778973089999E-2"/>
    <n v="2.04932889346E-3"/>
    <n v="3.6966208054852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0.575821957172899"/>
    <n v="3.9932218575381202"/>
    <n v="2.9980704E-3"/>
  </r>
  <r>
    <n v="830000"/>
    <n v="2400000"/>
    <n v="2400000"/>
    <x v="0"/>
    <x v="0"/>
    <s v="BR3-5, BR-7"/>
    <s v="62-304.520 (10), F.A.C."/>
    <n v="0.59"/>
    <n v="0.64"/>
    <s v="City of Cocoa Beach"/>
    <n v="0.61776345373694996"/>
    <n v="3743.97622147228"/>
    <n v="11.305806831598501"/>
    <n v="2.2405178492083699"/>
    <n v="6.9843142755711396"/>
    <n v="1.38411004468625"/>
    <n v="2312.8916812857501"/>
    <n v="1300"/>
    <s v="Residential, High Density"/>
    <n v="1300"/>
    <s v="City of Cocoa Beach           Brevard County"/>
    <s v="City of Cocoa Beach"/>
    <m/>
    <m/>
    <m/>
    <n v="0"/>
    <n v="1"/>
    <n v="6.9843142755711396"/>
    <n v="1.38411004468625"/>
    <n v="2312.8916812857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1117499"/>
    <n v="2500.00000027939"/>
    <n v="1.875824559"/>
  </r>
  <r>
    <n v="830000"/>
    <n v="2400000"/>
    <n v="2400000"/>
    <x v="0"/>
    <x v="0"/>
    <s v="BR3-5, BR-7"/>
    <s v="62-304.520 (10), F.A.C."/>
    <n v="0.59"/>
    <n v="0.64"/>
    <s v="City of Cocoa Beach"/>
    <n v="6.2200814635900003E-3"/>
    <n v="3661.38513554765"/>
    <n v="7.3231018222776898"/>
    <n v="0.99980768342222004"/>
    <n v="4.5550289900770001E-2"/>
    <n v="6.2188852388099999E-3"/>
    <n v="22.774113812705799"/>
    <n v="1850"/>
    <s v="Parks and Zoos"/>
    <n v="1850"/>
    <s v="City of Cocoa Beach           Brevard County"/>
    <s v="City of Cocoa Beach"/>
    <m/>
    <m/>
    <m/>
    <n v="0"/>
    <n v="1"/>
    <n v="4.5550289900770001E-2"/>
    <n v="6.2188852388099999E-3"/>
    <n v="22.774113812705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2.2436163793719"/>
    <n v="25.171776618804699"/>
    <n v="1.8470489699999999E-2"/>
  </r>
  <r>
    <n v="830000"/>
    <n v="2400000"/>
    <n v="2400000"/>
    <x v="0"/>
    <x v="0"/>
    <s v="BR3-5, BR-7"/>
    <s v="62-304.520 (10), F.A.C."/>
    <n v="0.59"/>
    <n v="0.64"/>
    <s v="Natural Lands"/>
    <n v="3.0712530550759998E-2"/>
    <n v="3661.38513554765"/>
    <n v="7.3231018222776898"/>
    <n v="0.99980768342222004"/>
    <n v="0.22491098844304999"/>
    <n v="3.0706624021989998E-2"/>
    <n v="112.45040283362"/>
    <n v="4200"/>
    <s v="Upland Hardwood Forest"/>
    <n v="4200"/>
    <s v="City of Cocoa Beach           Brevard County"/>
    <s v="City of Cocoa Beach"/>
    <m/>
    <m/>
    <s v="Natural Lands"/>
    <n v="0"/>
    <n v="1"/>
    <n v="0.22491098844304999"/>
    <n v="3.0706624021989998E-2"/>
    <n v="112.4504028336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908347887513"/>
    <n v="124.289201507516"/>
    <n v="9.1200651100000002E-2"/>
  </r>
  <r>
    <n v="830000"/>
    <n v="2400000"/>
    <n v="2400000"/>
    <x v="0"/>
    <x v="0"/>
    <s v="BR3-5, BR-7"/>
    <s v="62-304.520 (10), F.A.C."/>
    <n v="0.59"/>
    <n v="0.64"/>
    <s v="City of Cocoa Beach"/>
    <n v="0.61776345378298003"/>
    <n v="3747.7351294554201"/>
    <n v="10.7827144160287"/>
    <n v="2.0776258090754798"/>
    <n v="6.6611668988014401"/>
    <n v="1.2834812954831301"/>
    <n v="2315.2137974361799"/>
    <n v="1300"/>
    <s v="Residential, High Density"/>
    <n v="1300"/>
    <s v="City of Cocoa Beach           Brevard County"/>
    <s v="City of Cocoa Beach"/>
    <m/>
    <m/>
    <m/>
    <n v="0"/>
    <n v="1"/>
    <n v="6.6611668988014401"/>
    <n v="1.2834812954831301"/>
    <n v="2315.2137974361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18626"/>
    <n v="2500.0000004656599"/>
    <n v="1.8777078649000001"/>
  </r>
  <r>
    <n v="830000"/>
    <n v="2400000"/>
    <n v="2400000"/>
    <x v="0"/>
    <x v="0"/>
    <s v="BR3-5, BR-7"/>
    <s v="62-304.520 (10), F.A.C."/>
    <n v="0.59"/>
    <n v="0.64"/>
    <s v="City of Cocoa Beach"/>
    <n v="0.10742390374614"/>
    <n v="3752.2321467617899"/>
    <n v="10.7949726476373"/>
    <n v="2.0799086136398302"/>
    <n v="1.1596381026420901"/>
    <n v="0.22343190271242999"/>
    <n v="403.07942496694102"/>
    <n v="1300"/>
    <s v="Residential, High Density"/>
    <n v="1300"/>
    <s v="City of Cocoa Beach           Brevard County"/>
    <s v="City of Cocoa Beach"/>
    <m/>
    <m/>
    <m/>
    <n v="0"/>
    <n v="1"/>
    <n v="1.1596381026420901"/>
    <n v="0.22343190271242999"/>
    <n v="403.079424966941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552173334068"/>
    <n v="434.72911479437801"/>
    <n v="0.32690950930000001"/>
  </r>
  <r>
    <n v="830000"/>
    <n v="2400000"/>
    <n v="2400000"/>
    <x v="0"/>
    <x v="0"/>
    <s v="BR3-5, BR-7"/>
    <s v="62-304.520 (10), F.A.C."/>
    <n v="0.59"/>
    <n v="0.64"/>
    <s v="City of Cocoa Beach"/>
    <n v="0.51033955001381004"/>
    <n v="3752.2321467617899"/>
    <n v="10.7949726476373"/>
    <n v="2.0799086136398302"/>
    <n v="5.5091014834067398"/>
    <n v="1.0614596259548199"/>
    <n v="1914.9124653258"/>
    <n v="1300"/>
    <s v="Residential, High Density"/>
    <n v="1300"/>
    <s v="City of Cocoa Beach           Brevard County"/>
    <s v="City of Cocoa Beach"/>
    <m/>
    <m/>
    <m/>
    <n v="0"/>
    <n v="1"/>
    <n v="5.5091014834067398"/>
    <n v="1.0614596259548199"/>
    <n v="1914.912465325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2.77384417027801"/>
    <n v="2065.2708855781498"/>
    <n v="1.5530514723"/>
  </r>
  <r>
    <n v="830000"/>
    <n v="2400000"/>
    <n v="2400000"/>
    <x v="0"/>
    <x v="0"/>
    <s v="BR3-5, BR-7"/>
    <s v="62-304.520 (10), F.A.C."/>
    <n v="0.59"/>
    <n v="0.64"/>
    <s v="FDOT District 5"/>
    <n v="3.8957487008969997E-2"/>
    <n v="3773.50880480261"/>
    <n v="10.5118458581266"/>
    <n v="1.3831271150873501"/>
    <n v="0.40951509845835998"/>
    <n v="5.3883156617780002E-2"/>
    <n v="147.006420241364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0951509845835998"/>
    <n v="5.3883156617780002E-2"/>
    <n v="147.00642024136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301625388861"/>
    <n v="157.655356502849"/>
    <n v="0.1192266182"/>
  </r>
  <r>
    <n v="830000"/>
    <n v="2400000"/>
    <n v="2400000"/>
    <x v="0"/>
    <x v="0"/>
    <s v="BR3-5, BR-7"/>
    <s v="62-304.520 (10), F.A.C."/>
    <n v="0.59"/>
    <n v="0.64"/>
    <s v="FDOT District 5"/>
    <n v="0.16626034348275001"/>
    <n v="3773.50880480261"/>
    <n v="10.5118458581266"/>
    <n v="1.3831271150873501"/>
    <n v="1.7477031030099099"/>
    <n v="0.22995918923472999"/>
    <n v="627.38487002167903"/>
    <n v="8140"/>
    <s v="Roads and Highways"/>
    <n v="8140"/>
    <s v="FDOT District 5                                 City of Cocoa Beach           Brevard County"/>
    <s v="FDOT District 5"/>
    <m/>
    <m/>
    <m/>
    <n v="0"/>
    <n v="1"/>
    <n v="1.7477031030099099"/>
    <n v="0.22995918923472999"/>
    <n v="890.495051331604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7.12851694622699"/>
    <n v="672.83173881361301"/>
    <n v="0.72221820869999998"/>
  </r>
  <r>
    <n v="830000"/>
    <n v="2400000"/>
    <n v="2400000"/>
    <x v="0"/>
    <x v="0"/>
    <s v="BR3-5, BR-7"/>
    <s v="62-304.520 (10), F.A.C."/>
    <n v="0.59"/>
    <n v="0.64"/>
    <s v="City of Cocoa Beach"/>
    <n v="0.34062891503574999"/>
    <n v="3773.50880480261"/>
    <n v="10.5118458581266"/>
    <n v="1.3831271150873501"/>
    <n v="3.5806386496767302"/>
    <n v="0.47113308856872999"/>
    <n v="1285.3662100577601"/>
    <n v="1450"/>
    <s v="Tourist Services"/>
    <n v="1450"/>
    <s v="City of Cocoa Beach           Brevard County"/>
    <s v="City of Cocoa Beach"/>
    <m/>
    <m/>
    <m/>
    <n v="0"/>
    <n v="1"/>
    <n v="3.5806386496767302"/>
    <n v="0.47113308856872999"/>
    <n v="1285.3662100577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5.16657717185601"/>
    <n v="1378.4763124675601"/>
    <n v="1.0424705677999999"/>
  </r>
  <r>
    <n v="830000"/>
    <n v="2400000"/>
    <n v="2400000"/>
    <x v="0"/>
    <x v="0"/>
    <s v="BR3-5, BR-7"/>
    <s v="62-304.520 (10), F.A.C."/>
    <n v="0.59"/>
    <n v="0.64"/>
    <s v="FDOT District 5"/>
    <n v="2.1911039100200001E-3"/>
    <n v="3773.50880480261"/>
    <n v="10.5118458581266"/>
    <n v="1.3831271150873501"/>
    <n v="2.3032546561349999E-2"/>
    <n v="3.0305752299300001E-3"/>
    <n v="8.2681498967280902"/>
    <n v="1450"/>
    <s v="Tourist Services"/>
    <n v="1450"/>
    <s v="FDOT District 5                                 City of Cocoa Beach           Brevard County"/>
    <s v="FDOT District 5"/>
    <m/>
    <m/>
    <m/>
    <n v="0"/>
    <n v="1"/>
    <n v="2.3032546561349999E-2"/>
    <n v="3.0305752299300001E-3"/>
    <n v="8.268149896726319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409731014543"/>
    <n v="8.8670829304406702"/>
    <n v="6.7057176999999997E-3"/>
  </r>
  <r>
    <n v="830000"/>
    <n v="2400000"/>
    <n v="2400000"/>
    <x v="0"/>
    <x v="0"/>
    <s v="BR3-5, BR-7"/>
    <s v="62-304.520 (10), F.A.C."/>
    <n v="0.59"/>
    <n v="0.64"/>
    <s v="City of Cocoa Beach"/>
    <n v="0.17401368611738"/>
    <n v="3786.6260318945001"/>
    <n v="8.2631182345887293"/>
    <n v="1.28606253035997"/>
    <n v="1.43789566282458"/>
    <n v="0.22379248148538999"/>
    <n v="658.92475375802098"/>
    <n v="1300"/>
    <s v="Residential, High Density"/>
    <n v="1300"/>
    <s v="City of Cocoa Beach           Brevard County"/>
    <s v="City of Cocoa Beach"/>
    <m/>
    <m/>
    <m/>
    <n v="0"/>
    <n v="1"/>
    <n v="1.43789566282458"/>
    <n v="0.22379248148538999"/>
    <n v="658.924753758020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5.259852157433"/>
    <n v="704.20840324964797"/>
    <n v="0.53440774840000005"/>
  </r>
  <r>
    <n v="830000"/>
    <n v="2400000"/>
    <n v="2400000"/>
    <x v="0"/>
    <x v="0"/>
    <s v="BR3-5, BR-7"/>
    <s v="62-304.520 (10), F.A.C."/>
    <n v="0.59"/>
    <n v="0.64"/>
    <s v="City of Cocoa Beach"/>
    <n v="1.3578548587420001E-2"/>
    <n v="3702.3559498752702"/>
    <n v="9.2287880701433505"/>
    <n v="1.3573040050012799"/>
    <n v="0.12531354721349"/>
    <n v="1.8430218379810001E-2"/>
    <n v="50.272620153327097"/>
    <n v="1200"/>
    <s v="Residential, Medium Density-Two-five dwellingunits per acre"/>
    <n v="1200"/>
    <s v="City of Cocoa Beach           Brevard County"/>
    <s v="City of Cocoa Beach"/>
    <m/>
    <m/>
    <m/>
    <n v="0"/>
    <n v="1"/>
    <n v="0.12531354721349"/>
    <n v="1.8430218379810001E-2"/>
    <n v="369.93931342016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9.663002566004"/>
    <n v="54.950436557895799"/>
    <n v="0.3000318844"/>
  </r>
  <r>
    <n v="830000"/>
    <n v="2400000"/>
    <n v="2400000"/>
    <x v="0"/>
    <x v="0"/>
    <s v="BR3-5, BR-7"/>
    <s v="62-304.520 (10), F.A.C."/>
    <n v="0.59"/>
    <n v="0.64"/>
    <s v="City of Cocoa Beach"/>
    <n v="7.3484324048220001E-2"/>
    <n v="3702.3559498752702"/>
    <n v="9.2287880701433505"/>
    <n v="1.3573040050012799"/>
    <n v="0.67817125311880999"/>
    <n v="9.9740567335459995E-2"/>
    <n v="272.06512436251199"/>
    <n v="1210"/>
    <s v="Fixed Single Family Units"/>
    <n v="1210"/>
    <s v="City of Cocoa Beach           Brevard County"/>
    <s v="City of Cocoa Beach"/>
    <m/>
    <m/>
    <m/>
    <n v="0"/>
    <n v="1"/>
    <n v="0.67817125311880999"/>
    <n v="9.9740567335459995E-2"/>
    <n v="295.38826509508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9.406095386835901"/>
    <n v="297.38050872028498"/>
    <n v="0.239568747"/>
  </r>
  <r>
    <n v="830000"/>
    <n v="2400000"/>
    <n v="2400000"/>
    <x v="0"/>
    <x v="0"/>
    <s v="BR3-5, BR-7"/>
    <s v="62-304.520 (10), F.A.C."/>
    <n v="0.59"/>
    <n v="0.64"/>
    <s v="City of Cocoa Beach"/>
    <n v="5.8462671991999997E-2"/>
    <n v="3786.63325030342"/>
    <n v="8.2631339864927398"/>
    <n v="1.28606498196893"/>
    <n v="0.48308489187831999"/>
    <n v="7.5186795201250003E-2"/>
    <n v="221.376697666512"/>
    <n v="1300"/>
    <s v="Residential, High Density"/>
    <n v="1300"/>
    <s v="City of Cocoa Beach           Brevard County"/>
    <s v="City of Cocoa Beach"/>
    <m/>
    <m/>
    <m/>
    <n v="0"/>
    <n v="1"/>
    <n v="0.48308489187831999"/>
    <n v="7.5186795201250003E-2"/>
    <n v="221.37669766651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1.055335117983503"/>
    <n v="236.590039621513"/>
    <n v="0.17954314490000001"/>
  </r>
  <r>
    <n v="830000"/>
    <n v="2400000"/>
    <n v="2400000"/>
    <x v="0"/>
    <x v="0"/>
    <s v="BR3-5, BR-7"/>
    <s v="62-304.520 (10), F.A.C."/>
    <n v="0.59"/>
    <n v="0.64"/>
    <s v="City of Cocoa Beach"/>
    <n v="0.55930078176796005"/>
    <n v="3786.63325030342"/>
    <n v="8.2631339864927398"/>
    <n v="1.28606498196893"/>
    <n v="4.6215772984988002"/>
    <n v="0.71929714981962001"/>
    <n v="2117.86693716326"/>
    <n v="1300"/>
    <s v="Residential, High Density"/>
    <n v="1300"/>
    <s v="City of Cocoa Beach           Brevard County"/>
    <s v="City of Cocoa Beach"/>
    <m/>
    <m/>
    <m/>
    <n v="0"/>
    <n v="1"/>
    <n v="4.6215772984988002"/>
    <n v="0.71929714981962001"/>
    <n v="2117.8669371632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8.979786290335"/>
    <n v="2263.4099607510102"/>
    <n v="1.7176536391999999"/>
  </r>
  <r>
    <n v="830000"/>
    <n v="2400000"/>
    <n v="2400000"/>
    <x v="0"/>
    <x v="0"/>
    <s v="BR3-5, BR-7"/>
    <s v="62-304.520 (10), F.A.C."/>
    <n v="0.59"/>
    <n v="0.64"/>
    <s v="City of Cocoa Beach"/>
    <n v="1.0877658266E-4"/>
    <n v="3752.2237215835999"/>
    <n v="10.794948408847601"/>
    <n v="2.0799039434597102"/>
    <n v="1.17423759799E-3"/>
    <n v="2.2624484324E-4"/>
    <n v="0.40815407383966001"/>
    <n v="1300"/>
    <s v="Residential, High Density"/>
    <n v="1300"/>
    <s v="City of Cocoa Beach           Brevard County"/>
    <s v="City of Cocoa Beach"/>
    <m/>
    <m/>
    <m/>
    <n v="0"/>
    <n v="1"/>
    <n v="1.17423759799E-3"/>
    <n v="2.2624484324E-4"/>
    <n v="0.860659779395529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.198796059437401"/>
    <n v="0.44020321217706998"/>
    <n v="6.9802090000000002E-4"/>
  </r>
  <r>
    <n v="830000"/>
    <n v="2400000"/>
    <n v="2400000"/>
    <x v="0"/>
    <x v="0"/>
    <s v="BR3-5, BR-7"/>
    <s v="62-304.520 (10), F.A.C."/>
    <n v="0.59"/>
    <n v="0.64"/>
    <s v="City of Cocoa Beach"/>
    <n v="6.6788259445229994E-2"/>
    <n v="3752.2237215835999"/>
    <n v="10.794948408847601"/>
    <n v="2.0799039434597102"/>
    <n v="0.72097581502805996"/>
    <n v="0.13891316419694999"/>
    <n v="250.60449141369801"/>
    <n v="1300"/>
    <s v="Residential, High Density"/>
    <n v="1300"/>
    <s v="City of Cocoa Beach           Brevard County"/>
    <s v="City of Cocoa Beach"/>
    <m/>
    <m/>
    <m/>
    <n v="0"/>
    <n v="1"/>
    <n v="0.72097581502805996"/>
    <n v="0.13891316419694999"/>
    <n v="1372.3222382669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9.801278282638805"/>
    <n v="270.28249667687402"/>
    <n v="1.1129945160000001"/>
  </r>
  <r>
    <n v="830000"/>
    <n v="2400000"/>
    <n v="2400000"/>
    <x v="0"/>
    <x v="0"/>
    <s v="BR3-5, BR-7"/>
    <s v="62-304.520 (10), F.A.C."/>
    <n v="0.59"/>
    <n v="0.64"/>
    <s v="FDOT District 5"/>
    <n v="2.2364062819049998E-2"/>
    <n v="3767.4718616404498"/>
    <n v="10.053612002682501"/>
    <n v="1.4294126703849199"/>
    <n v="0.22483961038642999"/>
    <n v="3.1967474754839999E-2"/>
    <n v="84.255977382764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2483961038642999"/>
    <n v="3.1967474754839999E-2"/>
    <n v="84.2559773827623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85432213708"/>
    <n v="90.504151250263902"/>
    <n v="6.8334125999999995E-2"/>
  </r>
  <r>
    <n v="830000"/>
    <n v="2400000"/>
    <n v="2400000"/>
    <x v="0"/>
    <x v="0"/>
    <s v="BR3-5, BR-7"/>
    <s v="62-304.520 (10), F.A.C."/>
    <n v="0.59"/>
    <n v="0.64"/>
    <s v="City of Cocoa Beach"/>
    <n v="2.15634580727E-3"/>
    <n v="3767.4718616404498"/>
    <n v="10.053612002682501"/>
    <n v="1.4294126703849199"/>
    <n v="2.1679064089970002E-2"/>
    <n v="3.0823080186500001E-3"/>
    <n v="8.1239721528824695"/>
    <n v="1400"/>
    <s v="Commercial and Services"/>
    <n v="1400"/>
    <s v="City of Cocoa Beach           Brevard County"/>
    <s v="City of Cocoa Beach"/>
    <m/>
    <m/>
    <m/>
    <n v="0"/>
    <n v="1"/>
    <n v="2.1679064089970002E-2"/>
    <n v="3.0823080186500001E-3"/>
    <n v="8.1239721528818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8400360056001"/>
    <n v="8.7264218790935502"/>
    <n v="6.5887851999999998E-3"/>
  </r>
  <r>
    <n v="830000"/>
    <n v="2400000"/>
    <n v="2400000"/>
    <x v="0"/>
    <x v="0"/>
    <s v="BR3-5, BR-7"/>
    <s v="62-304.520 (10), F.A.C."/>
    <n v="0.59"/>
    <n v="0.64"/>
    <s v="FDOT District 5"/>
    <n v="4.4057337927619997E-2"/>
    <n v="3767.4718616404498"/>
    <n v="10.053612002682501"/>
    <n v="1.4294126703849199"/>
    <n v="0.44293538139541"/>
    <n v="6.2976117057170003E-2"/>
    <n v="165.984780941112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4293538139541"/>
    <n v="6.2976117057170003E-2"/>
    <n v="165.98478094110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7.20347386437101"/>
    <n v="178.29372094625501"/>
    <n v="0.1346186382"/>
  </r>
  <r>
    <n v="830000"/>
    <n v="2400000"/>
    <n v="2400000"/>
    <x v="0"/>
    <x v="0"/>
    <s v="BR3-5, BR-7"/>
    <s v="62-304.520 (10), F.A.C."/>
    <n v="0.59"/>
    <n v="0.64"/>
    <s v="FDOT District 5"/>
    <n v="0.3054621530435"/>
    <n v="3767.4718616404498"/>
    <n v="10.053612002682501"/>
    <n v="1.4294126703849199"/>
    <n v="3.0709979682034598"/>
    <n v="0.43663147188344997"/>
    <n v="1150.82006638753"/>
    <n v="8140"/>
    <s v="Roads and Highways"/>
    <n v="8140"/>
    <s v="FDOT District 5                                 City of Cocoa Beach           Brevard County"/>
    <s v="FDOT District 5"/>
    <m/>
    <m/>
    <m/>
    <n v="0"/>
    <n v="1"/>
    <n v="3.0709979682034598"/>
    <n v="0.43663147188344997"/>
    <n v="1150.8200663875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9.349868089599"/>
    <n v="1236.1614758442499"/>
    <n v="0.93334960779999998"/>
  </r>
  <r>
    <n v="830000"/>
    <n v="2400000"/>
    <n v="2400000"/>
    <x v="0"/>
    <x v="0"/>
    <s v="BR3-5, BR-7"/>
    <s v="62-304.520 (10), F.A.C."/>
    <n v="0.59"/>
    <n v="0.64"/>
    <s v="City of Cocoa Beach"/>
    <n v="3.3428265798529998E-2"/>
    <n v="3767.4718616404498"/>
    <n v="10.053612002682501"/>
    <n v="1.4294126703849199"/>
    <n v="0.33607481426102997"/>
    <n v="4.7782786681419998E-2"/>
    <n v="125.940050779426"/>
    <n v="1300"/>
    <s v="Residential, High Density"/>
    <n v="1300"/>
    <s v="City of Cocoa Beach           Brevard County"/>
    <s v="City of Cocoa Beach"/>
    <m/>
    <m/>
    <m/>
    <n v="0"/>
    <n v="1"/>
    <n v="0.33607481426102997"/>
    <n v="4.7782786681419998E-2"/>
    <n v="125.94005077942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3.958553178303099"/>
    <n v="135.27939213650399"/>
    <n v="0.1021411604"/>
  </r>
  <r>
    <n v="830000"/>
    <n v="2400000"/>
    <n v="2400000"/>
    <x v="0"/>
    <x v="0"/>
    <s v="BR3-5, BR-7"/>
    <s v="62-304.520 (10), F.A.C."/>
    <n v="0.59"/>
    <n v="0.64"/>
    <s v="FDOT District 5"/>
    <n v="8.7416267695000001E-4"/>
    <n v="3767.4718616404498"/>
    <n v="10.053612002682501"/>
    <n v="1.4294126703849199"/>
    <n v="8.7884923813200001E-3"/>
    <n v="1.24953920641E-3"/>
    <n v="3.29338328792049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8.7884923813200001E-3"/>
    <n v="1.24953920641E-3"/>
    <n v="3.29338328791921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0.794660766670503"/>
    <n v="3.5376108434522999"/>
    <n v="2.6710327000000001E-3"/>
  </r>
  <r>
    <n v="830000"/>
    <n v="2400000"/>
    <n v="2400000"/>
    <x v="0"/>
    <x v="0"/>
    <s v="BR3-5, BR-7"/>
    <s v="62-304.520 (10), F.A.C."/>
    <n v="0.59"/>
    <n v="0.64"/>
    <s v="City of Cocoa Beach"/>
    <n v="0.16407146470959999"/>
    <n v="3767.4718616404498"/>
    <n v="10.053612002682501"/>
    <n v="1.4294126703849199"/>
    <n v="1.6495108469022199"/>
    <n v="0.23452583050452"/>
    <n v="618.13462659158699"/>
    <n v="1410"/>
    <s v="Retail Sales and Services"/>
    <n v="1410"/>
    <s v="City of Cocoa Beach           Brevard County"/>
    <s v="City of Cocoa Beach"/>
    <m/>
    <m/>
    <m/>
    <n v="0"/>
    <n v="1"/>
    <n v="1.6495108469022199"/>
    <n v="0.23452583050452"/>
    <n v="618.13462659158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6.532666295871"/>
    <n v="663.97366069265502"/>
    <n v="0.50132573120000001"/>
  </r>
  <r>
    <n v="830000"/>
    <n v="2400000"/>
    <n v="2400000"/>
    <x v="0"/>
    <x v="0"/>
    <s v="BR3-5, BR-7"/>
    <s v="62-304.520 (10), F.A.C."/>
    <n v="0.59"/>
    <n v="0.64"/>
    <s v="City of Cocoa Beach"/>
    <n v="7.8370969581899996E-3"/>
    <n v="3767.4718616404498"/>
    <n v="10.053612002682501"/>
    <n v="1.4294126703849199"/>
    <n v="7.8791132045120005E-2"/>
    <n v="1.1202445691080001E-2"/>
    <n v="29.5260422669589"/>
    <n v="1300"/>
    <s v="Residential, High Density"/>
    <n v="1300"/>
    <s v="City of Cocoa Beach           Brevard County"/>
    <s v="City of Cocoa Beach"/>
    <m/>
    <m/>
    <m/>
    <n v="0"/>
    <n v="1"/>
    <n v="7.8791132045120005E-2"/>
    <n v="1.1202445691080001E-2"/>
    <n v="29.526042266957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2.532443512967301"/>
    <n v="31.7156061582535"/>
    <n v="2.39465063E-2"/>
  </r>
  <r>
    <n v="830000"/>
    <n v="2400000"/>
    <n v="2400000"/>
    <x v="0"/>
    <x v="0"/>
    <s v="BR3-5, BR-7"/>
    <s v="62-304.520 (10), F.A.C."/>
    <n v="0.59"/>
    <n v="0.64"/>
    <s v="FDOT District 5"/>
    <n v="2.4441225369999998E-4"/>
    <n v="3767.4718616404498"/>
    <n v="10.053612002682501"/>
    <n v="1.4294126703849199"/>
    <n v="2.45722596742E-3"/>
    <n v="3.4936597222999998E-4"/>
    <n v="0.9208162884624100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45722596742E-3"/>
    <n v="3.4936597222999998E-4"/>
    <n v="0.92081628846178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.621007085247999"/>
    <n v="0.98910129860652996"/>
    <n v="7.4680959999999996E-4"/>
  </r>
  <r>
    <n v="830000"/>
    <n v="2400000"/>
    <n v="2400000"/>
    <x v="0"/>
    <x v="0"/>
    <s v="BR3-5, BR-7"/>
    <s v="62-304.520 (10), F.A.C."/>
    <n v="0.59"/>
    <n v="0.64"/>
    <s v="City of Cocoa Beach"/>
    <n v="3.6223705147690001E-2"/>
    <n v="3767.4718616404498"/>
    <n v="10.053612002682501"/>
    <n v="1.4294126703849199"/>
    <n v="0.36417907685450002"/>
    <n v="5.1778623106400003E-2"/>
    <n v="136.471789868305"/>
    <n v="1300"/>
    <s v="Residential, High Density"/>
    <n v="1300"/>
    <s v="City of Cocoa Beach           Brevard County"/>
    <s v="City of Cocoa Beach"/>
    <m/>
    <m/>
    <m/>
    <n v="0"/>
    <n v="1"/>
    <n v="0.36417907685450002"/>
    <n v="5.1778623106400003E-2"/>
    <n v="136.4717898683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0.394111014922302"/>
    <n v="146.59213382007701"/>
    <n v="0.1106827168"/>
  </r>
  <r>
    <n v="830000"/>
    <n v="2400000"/>
    <n v="2400000"/>
    <x v="0"/>
    <x v="0"/>
    <s v="BR3-5, BR-7"/>
    <s v="62-304.520 (10), F.A.C."/>
    <n v="0.59"/>
    <n v="0.64"/>
    <s v="FDOT District 5"/>
    <n v="1.0444465947800001E-3"/>
    <n v="3767.4718616404498"/>
    <n v="10.053612002682501"/>
    <n v="1.4294126703849199"/>
    <n v="1.050046082153E-2"/>
    <n v="1.4929451961299999E-3"/>
    <n v="3.93492315685374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050046082153E-2"/>
    <n v="1.4929451961299999E-3"/>
    <n v="3.9349231568540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8.671503354350598"/>
    <n v="4.2267254099759901"/>
    <n v="3.1913407999999998E-3"/>
  </r>
  <r>
    <n v="830000"/>
    <n v="2400000"/>
    <n v="2400000"/>
    <x v="0"/>
    <x v="0"/>
    <s v="BR3-5, BR-7"/>
    <s v="62-304.520 (10), F.A.C."/>
    <n v="0.59"/>
    <n v="0.64"/>
    <s v="City of Cocoa Beach"/>
    <n v="3.1846590241719999E-2"/>
    <n v="3746.27160261975"/>
    <n v="10.7786323875892"/>
    <n v="2.0768542520315201"/>
    <n v="0.34326268901376"/>
    <n v="6.6140726356230001E-2"/>
    <n v="119.30597666284901"/>
    <n v="1300"/>
    <s v="Residential, High Density"/>
    <n v="1300"/>
    <s v="City of Cocoa Beach           Brevard County"/>
    <s v="City of Cocoa Beach"/>
    <m/>
    <m/>
    <m/>
    <n v="0"/>
    <n v="1"/>
    <n v="0.34326268901376"/>
    <n v="6.6140726356230001E-2"/>
    <n v="119.30597666284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650579423811301"/>
    <n v="128.87857825127199"/>
    <n v="9.6760727199999993E-2"/>
  </r>
  <r>
    <n v="830000"/>
    <n v="2400000"/>
    <n v="2400000"/>
    <x v="0"/>
    <x v="0"/>
    <s v="BR3-5, BR-7"/>
    <s v="62-304.520 (10), F.A.C."/>
    <n v="0.59"/>
    <n v="0.64"/>
    <s v="City of Cocoa Beach"/>
    <n v="8.7373709725989998E-2"/>
    <n v="3746.27160261975"/>
    <n v="10.7786323875892"/>
    <n v="2.0768542520315201"/>
    <n v="0.94176909747644"/>
    <n v="0.18146246056019999"/>
    <n v="327.32564756203902"/>
    <n v="1300"/>
    <s v="Residential, High Density"/>
    <n v="1300"/>
    <s v="City of Cocoa Beach           Brevard County"/>
    <s v="City of Cocoa Beach"/>
    <m/>
    <m/>
    <m/>
    <n v="0"/>
    <n v="1"/>
    <n v="0.94176909747644"/>
    <n v="0.18146246056019999"/>
    <n v="327.32564756203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2.738853068378205"/>
    <n v="353.58885835356"/>
    <n v="0.26547092259999999"/>
  </r>
  <r>
    <n v="830000"/>
    <n v="2400000"/>
    <n v="2400000"/>
    <x v="0"/>
    <x v="0"/>
    <s v="BR3-5, BR-7"/>
    <s v="62-304.520 (10), F.A.C."/>
    <n v="0.59"/>
    <n v="0.64"/>
    <s v="City of Cocoa Beach"/>
    <n v="0.38637712452685002"/>
    <n v="3706.2686726377701"/>
    <n v="9.3622922957103896"/>
    <n v="1.41917635424305"/>
    <n v="3.6173755761964799"/>
    <n v="0.54833727894893003"/>
    <n v="1432.0174324577299"/>
    <n v="1200"/>
    <s v="Residential, Medium Density-Two-five dwellingunits per acre"/>
    <n v="1200"/>
    <s v="City of Cocoa Beach           Brevard County"/>
    <s v="City of Cocoa Beach"/>
    <m/>
    <m/>
    <m/>
    <n v="0"/>
    <n v="1"/>
    <n v="3.6173755761964799"/>
    <n v="0.54833727894893003"/>
    <n v="1432.0174324577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6.992168766059"/>
    <n v="1563.6127478599301"/>
    <n v="1.1614091098999999"/>
  </r>
  <r>
    <n v="830000"/>
    <n v="2400000"/>
    <n v="2400000"/>
    <x v="0"/>
    <x v="0"/>
    <s v="BR3-5, BR-7"/>
    <s v="62-304.520 (10), F.A.C."/>
    <n v="0.59"/>
    <n v="0.64"/>
    <s v="City of Cocoa Beach"/>
    <n v="6.9451426941299996E-3"/>
    <n v="3706.2686726377701"/>
    <n v="9.3622922957103896"/>
    <n v="1.41917635424305"/>
    <n v="6.5022455937910006E-2"/>
    <n v="9.8563822883599994E-3"/>
    <n v="25.740564794275301"/>
    <n v="1300"/>
    <s v="Residential, High Density"/>
    <n v="1300"/>
    <s v="City of Cocoa Beach           Brevard County"/>
    <s v="City of Cocoa Beach"/>
    <m/>
    <m/>
    <m/>
    <n v="0"/>
    <n v="1"/>
    <n v="6.5022455937910006E-2"/>
    <n v="9.8563822883599994E-3"/>
    <n v="25.74056479427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0.554467372664597"/>
    <n v="28.105995316247299"/>
    <n v="2.0876370500000001E-2"/>
  </r>
  <r>
    <n v="830000"/>
    <n v="2400000"/>
    <n v="2400000"/>
    <x v="0"/>
    <x v="0"/>
    <s v="BR3-5, BR-7"/>
    <s v="62-304.520 (10), F.A.C."/>
    <n v="0.59"/>
    <n v="0.64"/>
    <s v="City of Cocoa Beach"/>
    <n v="1.485031198159E-2"/>
    <n v="3706.2686726377701"/>
    <n v="9.3622922957103896"/>
    <n v="1.41917635424305"/>
    <n v="0.13903296145412999"/>
    <n v="2.1075211617399999E-2"/>
    <n v="55.039246076264298"/>
    <n v="1210"/>
    <s v="Fixed Single Family Units"/>
    <n v="1210"/>
    <s v="City of Cocoa Beach           Brevard County"/>
    <s v="City of Cocoa Beach"/>
    <m/>
    <m/>
    <m/>
    <n v="0"/>
    <n v="1"/>
    <n v="0.13903296145412999"/>
    <n v="2.1075211617399999E-2"/>
    <n v="55.0392460762631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5.193696044019099"/>
    <n v="60.097080417339903"/>
    <n v="4.4638480199999997E-2"/>
  </r>
  <r>
    <n v="830000"/>
    <n v="2400000"/>
    <n v="2400000"/>
    <x v="0"/>
    <x v="0"/>
    <s v="BR3-5, BR-7"/>
    <s v="62-304.520 (10), F.A.C."/>
    <n v="0.59"/>
    <n v="0.64"/>
    <s v="City of Cocoa Beach"/>
    <n v="8.6147252789600004E-2"/>
    <n v="3706.2686726377701"/>
    <n v="9.3622922957103896"/>
    <n v="1.41917635424305"/>
    <n v="0.80653576108869995"/>
    <n v="0.12225814414199999"/>
    <n v="319.28486424790799"/>
    <n v="1210"/>
    <s v="Fixed Single Family Units"/>
    <n v="1210"/>
    <s v="City of Cocoa Beach           Brevard County"/>
    <s v="City of Cocoa Beach"/>
    <m/>
    <m/>
    <m/>
    <n v="0"/>
    <n v="1"/>
    <n v="0.80653576108869995"/>
    <n v="0.12225814414199999"/>
    <n v="319.28486424790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7.924382773054305"/>
    <n v="348.62556322371802"/>
    <n v="0.258949606"/>
  </r>
  <r>
    <n v="830000"/>
    <n v="2400000"/>
    <n v="2400000"/>
    <x v="0"/>
    <x v="0"/>
    <s v="BR3-5, BR-7"/>
    <s v="62-304.520 (10), F.A.C."/>
    <n v="0.59"/>
    <n v="0.64"/>
    <s v="City of Cocoa Beach"/>
    <n v="6.8343675631759998E-2"/>
    <n v="3706.2686726377701"/>
    <n v="9.3622922957103896"/>
    <n v="1.41917635424305"/>
    <n v="0.63985346782778996"/>
    <n v="9.6991728418650003E-2"/>
    <n v="253.30002396692399"/>
    <n v="1210"/>
    <s v="Fixed Single Family Units"/>
    <n v="1210"/>
    <s v="City of Cocoa Beach           Brevard County"/>
    <s v="City of Cocoa Beach"/>
    <m/>
    <m/>
    <m/>
    <n v="0"/>
    <n v="1"/>
    <n v="0.63985346782778996"/>
    <n v="9.6991728418650003E-2"/>
    <n v="253.30002396692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4.862443039277196"/>
    <n v="276.57704266082499"/>
    <n v="0.20543392050000001"/>
  </r>
  <r>
    <n v="830000"/>
    <n v="2400000"/>
    <n v="2400000"/>
    <x v="0"/>
    <x v="0"/>
    <s v="BR3-5, BR-7"/>
    <s v="62-304.520 (10), F.A.C."/>
    <n v="0.59"/>
    <n v="0.64"/>
    <s v="City of Cocoa Beach"/>
    <n v="9.0685410720099998E-3"/>
    <n v="3706.2686726377701"/>
    <n v="9.3622922957103896"/>
    <n v="1.41917635424305"/>
    <n v="8.4902332211809997E-2"/>
    <n v="1.2869859056869999E-2"/>
    <n v="33.610449681719601"/>
    <n v="1210"/>
    <s v="Fixed Single Family Units"/>
    <n v="1210"/>
    <s v="City of Cocoa Beach           Brevard County"/>
    <s v="City of Cocoa Beach"/>
    <m/>
    <m/>
    <m/>
    <n v="0"/>
    <n v="1"/>
    <n v="8.4902332211809997E-2"/>
    <n v="1.2869859056869999E-2"/>
    <n v="33.6104496817191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775970302788501"/>
    <n v="36.699083679061303"/>
    <n v="2.72590833E-2"/>
  </r>
  <r>
    <n v="830000"/>
    <n v="2400000"/>
    <n v="2400000"/>
    <x v="0"/>
    <x v="0"/>
    <s v="BR3-5, BR-7"/>
    <s v="62-304.520 (10), F.A.C."/>
    <n v="0.59"/>
    <n v="0.64"/>
    <s v="City of Cocoa Beach"/>
    <n v="4.6031405179079998E-2"/>
    <n v="3706.2686726377701"/>
    <n v="9.3622922957103896"/>
    <n v="1.41917635424305"/>
    <n v="0.43095947006884"/>
    <n v="6.5326681782730003E-2"/>
    <n v="170.60475497272699"/>
    <n v="1300"/>
    <s v="Residential, High Density"/>
    <n v="1300"/>
    <s v="City of Cocoa Beach           Brevard County"/>
    <s v="City of Cocoa Beach"/>
    <m/>
    <m/>
    <m/>
    <n v="0"/>
    <n v="1"/>
    <n v="0.43095947006884"/>
    <n v="6.5326681782730003E-2"/>
    <n v="170.60475497272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7.765860513668898"/>
    <n v="186.28248768106201"/>
    <n v="0.1383655758"/>
  </r>
  <r>
    <n v="830000"/>
    <n v="2400000"/>
    <n v="2400000"/>
    <x v="0"/>
    <x v="0"/>
    <s v="BR3-5, BR-7"/>
    <s v="62-304.520 (10), F.A.C."/>
    <n v="0.59"/>
    <n v="0.64"/>
    <s v="City of Cocoa Beach"/>
    <n v="0.20906321811258"/>
    <n v="3760.4653990389202"/>
    <n v="8.1089533195187204"/>
    <n v="1.1585722648100401"/>
    <n v="1.69528387650331"/>
    <n v="0.24221484609717001"/>
    <n v="786.17499792410399"/>
    <n v="1400"/>
    <s v="Commercial and Services"/>
    <n v="1400"/>
    <s v="City of Cocoa Beach           Brevard County"/>
    <s v="City of Cocoa Beach"/>
    <m/>
    <m/>
    <m/>
    <n v="0"/>
    <n v="1"/>
    <n v="1.69528387650331"/>
    <n v="0.24221484609717001"/>
    <n v="786.17499792410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3.851534496157"/>
    <n v="846.04882690652801"/>
    <n v="0.63761151490000001"/>
  </r>
  <r>
    <n v="830000"/>
    <n v="2400000"/>
    <n v="2400000"/>
    <x v="0"/>
    <x v="0"/>
    <s v="BR3-5, BR-7"/>
    <s v="62-304.520 (10), F.A.C."/>
    <n v="0.59"/>
    <n v="0.64"/>
    <s v="City of Cocoa Beach"/>
    <n v="5.4522982211219997E-2"/>
    <n v="3760.4653990389202"/>
    <n v="8.1089533195187204"/>
    <n v="1.1585722648100401"/>
    <n v="0.44212431759178999"/>
    <n v="6.3168814984659996E-2"/>
    <n v="205.031788057737"/>
    <n v="1300"/>
    <s v="Residential, High Density"/>
    <n v="1300"/>
    <s v="City of Cocoa Beach           Brevard County"/>
    <s v="City of Cocoa Beach"/>
    <m/>
    <m/>
    <m/>
    <n v="0"/>
    <n v="1"/>
    <n v="0.44212431759178999"/>
    <n v="6.3168814984659996E-2"/>
    <n v="205.03178805773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83064270596"/>
    <n v="220.64668072990801"/>
    <n v="0.1662869327"/>
  </r>
  <r>
    <n v="830000"/>
    <n v="2400000"/>
    <n v="2400000"/>
    <x v="0"/>
    <x v="0"/>
    <s v="BR3-5, BR-7"/>
    <s v="62-304.520 (10), F.A.C."/>
    <n v="0.59"/>
    <n v="0.64"/>
    <s v="City of Cocoa Beach"/>
    <n v="0.34806113775070002"/>
    <n v="3747.7351302931002"/>
    <n v="10.7827144184388"/>
    <n v="2.0776258095398599"/>
    <n v="3.7530438485227999"/>
    <n v="0.72314080308868001"/>
    <n v="1304.44095343811"/>
    <n v="1300"/>
    <s v="Residential, High Density"/>
    <n v="1300"/>
    <s v="City of Cocoa Beach           Brevard County"/>
    <s v="City of Cocoa Beach"/>
    <m/>
    <m/>
    <m/>
    <n v="0"/>
    <n v="1"/>
    <n v="3.7530438485227999"/>
    <n v="0.72314080308868001"/>
    <n v="1304.4409534381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6.37877850439099"/>
    <n v="1408.5534506943"/>
    <n v="1.0579407569999999"/>
  </r>
  <r>
    <n v="830000"/>
    <n v="2400000"/>
    <n v="2400000"/>
    <x v="0"/>
    <x v="0"/>
    <s v="BR3-5, BR-7"/>
    <s v="62-304.520 (10), F.A.C."/>
    <n v="0.59"/>
    <n v="0.64"/>
    <s v="City of Cocoa Beach"/>
    <n v="0.26970231580213"/>
    <n v="3747.7351302931002"/>
    <n v="10.7827144184388"/>
    <n v="2.0776258095398599"/>
    <n v="2.9081230492860501"/>
    <n v="0.56034049220319004"/>
    <n v="1010.77284365307"/>
    <n v="1300"/>
    <s v="Residential, High Density"/>
    <n v="1300"/>
    <s v="City of Cocoa Beach           Brevard County"/>
    <s v="City of Cocoa Beach"/>
    <m/>
    <m/>
    <m/>
    <n v="0"/>
    <n v="1"/>
    <n v="2.9081230492860501"/>
    <n v="0.56034049220319004"/>
    <n v="1010.772843653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69450243022001"/>
    <n v="1091.4465488400299"/>
    <n v="0.81976710760000004"/>
  </r>
  <r>
    <n v="830000"/>
    <n v="2400000"/>
    <n v="2400000"/>
    <x v="0"/>
    <x v="0"/>
    <s v="BR3-5, BR-7"/>
    <s v="62-304.520 (10), F.A.C."/>
    <n v="0.59"/>
    <n v="0.64"/>
    <s v="City of Cocoa Beach"/>
    <n v="0.13305896766933001"/>
    <n v="3746.25088381039"/>
    <n v="10.778572776201001"/>
    <n v="2.0768427659572302"/>
    <n v="1.4341857665500599"/>
    <n v="0.27634255444978001"/>
    <n v="498.47227523012998"/>
    <n v="1300"/>
    <s v="Residential, High Density"/>
    <n v="1300"/>
    <s v="City of Cocoa Beach           Brevard County"/>
    <s v="City of Cocoa Beach"/>
    <m/>
    <m/>
    <m/>
    <n v="0"/>
    <n v="1"/>
    <n v="1.4341857665500599"/>
    <n v="0.27634255444978001"/>
    <n v="498.47227523012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2.22698144815"/>
    <n v="538.47053787054404"/>
    <n v="0.40427597339999999"/>
  </r>
  <r>
    <n v="830000"/>
    <n v="2400000"/>
    <n v="2400000"/>
    <x v="0"/>
    <x v="0"/>
    <s v="BR3-5, BR-7"/>
    <s v="62-304.520 (10), F.A.C."/>
    <n v="0.59"/>
    <n v="0.64"/>
    <s v="City of Cocoa Beach"/>
    <n v="3.1387147071600002E-3"/>
    <n v="3721.7188092839601"/>
    <n v="8.2794321320968898"/>
    <n v="1.11508129709662"/>
    <n v="2.5986775399970002E-2"/>
    <n v="3.4999220668800002E-3"/>
    <n v="11.6814135626247"/>
    <n v="1200"/>
    <s v="Residential, Medium Density-Two-five dwellingunits per acre"/>
    <n v="1200"/>
    <s v="City of Cocoa Beach           Brevard County"/>
    <s v="City of Cocoa Beach"/>
    <m/>
    <m/>
    <m/>
    <n v="0"/>
    <n v="1"/>
    <n v="2.5986775399970002E-2"/>
    <n v="3.4999220668800002E-3"/>
    <n v="11.681413562623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1.067720691772607"/>
    <n v="12.7019277707625"/>
    <n v="9.4739769000000001E-3"/>
  </r>
  <r>
    <n v="830000"/>
    <n v="2400000"/>
    <n v="2400000"/>
    <x v="0"/>
    <x v="0"/>
    <s v="BR3-5, BR-7"/>
    <s v="62-304.520 (10), F.A.C."/>
    <n v="0.59"/>
    <n v="0.64"/>
    <s v="FDOT District 5"/>
    <n v="6.4341236390590001E-2"/>
    <n v="3721.7188092839601"/>
    <n v="8.2794321320968898"/>
    <n v="1.11508129709662"/>
    <n v="0.53270889999112003"/>
    <n v="7.1745709331220001E-2"/>
    <n v="239.459989687459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53270889999112003"/>
    <n v="7.1745709331220001E-2"/>
    <n v="239.45998968745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675553910464"/>
    <n v="260.37974571243001"/>
    <n v="0.19420923740000001"/>
  </r>
  <r>
    <n v="830000"/>
    <n v="2400000"/>
    <n v="2400000"/>
    <x v="0"/>
    <x v="0"/>
    <s v="BR3-5, BR-7"/>
    <s v="62-304.520 (10), F.A.C."/>
    <n v="0.59"/>
    <n v="0.64"/>
    <s v="FDOT District 5"/>
    <n v="5.2389539004600002E-3"/>
    <n v="3721.7188092839601"/>
    <n v="8.2794321320968898"/>
    <n v="1.11508129709662"/>
    <n v="4.3375563262049999E-2"/>
    <n v="5.84185951075E-3"/>
    <n v="19.49791327232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3375563262049999E-2"/>
    <n v="5.84185951075E-3"/>
    <n v="19.49791327231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.4745795744596"/>
    <n v="21.2012942387408"/>
    <n v="1.5813392799999999E-2"/>
  </r>
  <r>
    <n v="830000"/>
    <n v="2400000"/>
    <n v="2400000"/>
    <x v="0"/>
    <x v="0"/>
    <s v="BR3-5, BR-7"/>
    <s v="62-304.520 (10), F.A.C."/>
    <n v="0.59"/>
    <n v="0.64"/>
    <s v="City of Cocoa Beach"/>
    <n v="6.0866125684319997E-2"/>
    <n v="3721.7188092839601"/>
    <n v="8.2794321320968898"/>
    <n v="1.11508129709662"/>
    <n v="0.50393695674706995"/>
    <n v="6.7870678377319998E-2"/>
    <n v="226.526604807605"/>
    <n v="1850"/>
    <s v="Parks and Zoos"/>
    <n v="1850"/>
    <s v="City of Cocoa Beach           Brevard County"/>
    <s v="City of Cocoa Beach"/>
    <m/>
    <m/>
    <m/>
    <n v="0"/>
    <n v="1"/>
    <n v="0.50393695674706995"/>
    <n v="6.7870678377319998E-2"/>
    <n v="226.52660480760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4.874472672047602"/>
    <n v="246.316471632229"/>
    <n v="0.18371987410000001"/>
  </r>
  <r>
    <n v="830000"/>
    <n v="2400000"/>
    <n v="2400000"/>
    <x v="0"/>
    <x v="0"/>
    <s v="BR3-5, BR-7"/>
    <s v="62-304.520 (10), F.A.C."/>
    <n v="0.59"/>
    <n v="0.64"/>
    <s v="FDOT District 5"/>
    <n v="2.6489987167650001E-2"/>
    <n v="3721.7188092839601"/>
    <n v="8.2794321320968898"/>
    <n v="1.11508129709662"/>
    <n v="0.2193220509347"/>
    <n v="2.9538489250979998E-2"/>
    <n v="98.588283499548595"/>
    <n v="1850"/>
    <s v="Parks and Zoos"/>
    <n v="1850"/>
    <s v="FDOT District 5                                 City of Cocoa Beach           Brevard County"/>
    <s v="FDOT District 5"/>
    <m/>
    <m/>
    <m/>
    <n v="0"/>
    <n v="1"/>
    <n v="0.2193220509347"/>
    <n v="2.9538489250979998E-2"/>
    <n v="98.5882834995471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714971793815"/>
    <n v="107.20117469871199"/>
    <n v="7.9958056400000005E-2"/>
  </r>
  <r>
    <n v="830000"/>
    <n v="2400000"/>
    <n v="2400000"/>
    <x v="0"/>
    <x v="0"/>
    <s v="BR3-5, BR-7"/>
    <s v="62-304.520 (10), F.A.C."/>
    <n v="0.59"/>
    <n v="0.64"/>
    <s v="FDOT District 5"/>
    <n v="0.27040822236437001"/>
    <n v="3721.7188092839601"/>
    <n v="8.2794321320968898"/>
    <n v="1.11508129709662"/>
    <n v="2.2388265250268402"/>
    <n v="0.30152715133966002"/>
    <n v="1006.38336735854"/>
    <n v="8140"/>
    <s v="Roads and Highways"/>
    <n v="8140"/>
    <s v="FDOT District 5                                 City of Cocoa Beach           Brevard County"/>
    <s v="FDOT District 5"/>
    <m/>
    <m/>
    <m/>
    <n v="0"/>
    <n v="1"/>
    <n v="2.2388265250268402"/>
    <n v="0.30152715133966002"/>
    <n v="1006.3833673585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91433700201"/>
    <n v="1094.3032513450501"/>
    <n v="0.81620711059999995"/>
  </r>
  <r>
    <n v="830000"/>
    <n v="2400000"/>
    <n v="2400000"/>
    <x v="0"/>
    <x v="0"/>
    <s v="BR3-5, BR-7"/>
    <s v="62-304.520 (10), F.A.C."/>
    <n v="0.59"/>
    <n v="0.64"/>
    <s v="City of Cocoa Beach"/>
    <n v="1.7631893072600001E-3"/>
    <n v="3721.7188092839601"/>
    <n v="8.2794321320968898"/>
    <n v="1.11508129709662"/>
    <n v="1.459820620556E-2"/>
    <n v="1.9660994197699998E-3"/>
    <n v="6.5620948091876699"/>
    <n v="1210"/>
    <s v="Fixed Single Family Units"/>
    <n v="1210"/>
    <s v="City of Cocoa Beach           Brevard County"/>
    <s v="City of Cocoa Beach"/>
    <m/>
    <m/>
    <m/>
    <n v="0"/>
    <n v="1"/>
    <n v="1.459820620556E-2"/>
    <n v="1.9660994197699998E-3"/>
    <n v="6.5620948091885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8.322283489795197"/>
    <n v="7.1353739720255298"/>
    <n v="5.3220558000000003E-3"/>
  </r>
  <r>
    <n v="830000"/>
    <n v="2400000"/>
    <n v="2400000"/>
    <x v="0"/>
    <x v="0"/>
    <s v="BR3-5, BR-7"/>
    <s v="62-304.520 (10), F.A.C."/>
    <n v="0.59"/>
    <n v="0.64"/>
    <s v="City of Cocoa Beach"/>
    <n v="0.59184919849767004"/>
    <n v="3752.2321467617899"/>
    <n v="10.7949726476373"/>
    <n v="2.0799086136398302"/>
    <n v="6.3889959093084601"/>
    <n v="1.23099224593114"/>
    <n v="2220.7555886381601"/>
    <n v="1300"/>
    <s v="Residential, High Density"/>
    <n v="1300"/>
    <s v="City of Cocoa Beach           Brevard County"/>
    <s v="City of Cocoa Beach"/>
    <m/>
    <m/>
    <m/>
    <n v="0"/>
    <n v="1"/>
    <n v="6.3889959093084601"/>
    <n v="1.23099224593114"/>
    <n v="2220.7555886381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5.815742553208"/>
    <n v="2395.1287300325898"/>
    <n v="1.8010994230999999"/>
  </r>
  <r>
    <n v="830000"/>
    <n v="2400000"/>
    <n v="2400000"/>
    <x v="0"/>
    <x v="0"/>
    <s v="BR3-5, BR-7"/>
    <s v="62-304.520 (10), F.A.C."/>
    <n v="0.59"/>
    <n v="0.64"/>
    <s v="City of Cocoa Beach"/>
    <n v="2.591425517024E-2"/>
    <n v="3752.2321467617899"/>
    <n v="10.7949726476373"/>
    <n v="2.0799086136398302"/>
    <n v="0.27974367574664999"/>
    <n v="5.389928254464E-2"/>
    <n v="97.236301309170202"/>
    <n v="1300"/>
    <s v="Residential, High Density"/>
    <n v="1300"/>
    <s v="City of Cocoa Beach           Brevard County"/>
    <s v="City of Cocoa Beach"/>
    <m/>
    <m/>
    <m/>
    <n v="0"/>
    <n v="1"/>
    <n v="0.27974367574664999"/>
    <n v="5.389928254464E-2"/>
    <n v="97.236301309170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2054441506"/>
    <n v="104.871269967407"/>
    <n v="7.8861558200000001E-2"/>
  </r>
  <r>
    <n v="830000"/>
    <n v="2400000"/>
    <n v="2400000"/>
    <x v="0"/>
    <x v="0"/>
    <s v="BR3-5, BR-7"/>
    <s v="62-304.520 (10), F.A.C."/>
    <n v="0.59"/>
    <n v="0.64"/>
    <s v="City of Cocoa Beach"/>
    <n v="5.282983960584E-2"/>
    <n v="3733.4874132284599"/>
    <n v="11.794272425868099"/>
    <n v="2.3949625010971198"/>
    <n v="0.62308952052624"/>
    <n v="0.12652548479497"/>
    <n v="197.239541211297"/>
    <n v="1300"/>
    <s v="Residential, High Density"/>
    <n v="1300"/>
    <s v="City of Cocoa Beach           Brevard County"/>
    <s v="City of Cocoa Beach"/>
    <m/>
    <m/>
    <m/>
    <n v="0"/>
    <n v="1"/>
    <n v="0.62308952052624"/>
    <n v="0.12652548479497"/>
    <n v="197.2395412112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20691763406199"/>
    <n v="213.79477570327199"/>
    <n v="0.15996718670000001"/>
  </r>
  <r>
    <n v="830000"/>
    <n v="2400000"/>
    <n v="2400000"/>
    <x v="0"/>
    <x v="0"/>
    <s v="BR3-5, BR-7"/>
    <s v="62-304.520 (10), F.A.C."/>
    <n v="0.59"/>
    <n v="0.64"/>
    <s v="City of Cocoa Beach"/>
    <n v="3.2233756791499998E-3"/>
    <n v="3733.4874132284599"/>
    <n v="11.794272425868099"/>
    <n v="2.3949625010971198"/>
    <n v="3.8017370890869998E-2"/>
    <n v="7.7198638785200002E-3"/>
    <n v="12.0344325262319"/>
    <n v="1300"/>
    <s v="Residential, High Density"/>
    <n v="1300"/>
    <s v="City of Cocoa Beach           Brevard County"/>
    <s v="City of Cocoa Beach"/>
    <m/>
    <m/>
    <m/>
    <n v="0"/>
    <n v="1"/>
    <n v="3.8017370890869998E-2"/>
    <n v="7.7198638785200002E-3"/>
    <n v="12.034432526230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.6595746619865"/>
    <n v="13.044538568995099"/>
    <n v="9.7602859000000004E-3"/>
  </r>
  <r>
    <n v="830000"/>
    <n v="2400000"/>
    <n v="2400000"/>
    <x v="0"/>
    <x v="0"/>
    <s v="BR3-5, BR-7"/>
    <s v="62-304.520 (10), F.A.C."/>
    <n v="0.59"/>
    <n v="0.64"/>
    <s v="City of Cocoa Beach"/>
    <n v="0.56171023865906999"/>
    <n v="3733.4874132284599"/>
    <n v="11.794272425868099"/>
    <n v="2.3949625010971198"/>
    <n v="6.6249635791445298"/>
    <n v="1.3452749580708001"/>
    <n v="2097.13810591521"/>
    <n v="1300"/>
    <s v="Residential, High Density"/>
    <n v="1300"/>
    <s v="City of Cocoa Beach           Brevard County"/>
    <s v="City of Cocoa Beach"/>
    <m/>
    <m/>
    <m/>
    <n v="0"/>
    <n v="1"/>
    <n v="6.6249635791445298"/>
    <n v="1.3452749580708001"/>
    <n v="2097.1381059152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0.96077803064301"/>
    <n v="2273.16068684532"/>
    <n v="1.7008419349999999"/>
  </r>
  <r>
    <n v="830000"/>
    <n v="2400000"/>
    <n v="2400000"/>
    <x v="0"/>
    <x v="0"/>
    <s v="BR3-5, BR-7"/>
    <s v="62-304.520 (10), F.A.C."/>
    <n v="0.59"/>
    <n v="0.64"/>
    <s v="City of Cocoa Beach"/>
    <n v="0.24912964389128001"/>
    <n v="3746.2716027593101"/>
    <n v="10.778632387990699"/>
    <n v="2.07685425210888"/>
    <n v="2.6852768484551999"/>
    <n v="0.51740596024198005"/>
    <n v="933.30731031545599"/>
    <n v="1300"/>
    <s v="Residential, High Density"/>
    <n v="1300"/>
    <s v="City of Cocoa Beach           Brevard County"/>
    <s v="City of Cocoa Beach"/>
    <m/>
    <m/>
    <m/>
    <n v="0"/>
    <n v="1"/>
    <n v="2.6852768484551999"/>
    <n v="0.51740596024198005"/>
    <n v="933.30731031545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1.47622285384401"/>
    <n v="1008.1918993916599"/>
    <n v="0.7569402355"/>
  </r>
  <r>
    <n v="830000"/>
    <n v="2400000"/>
    <n v="2400000"/>
    <x v="0"/>
    <x v="0"/>
    <s v="BR3-5, BR-7"/>
    <s v="62-304.520 (10), F.A.C."/>
    <n v="0.59"/>
    <n v="0.64"/>
    <s v="City of Cocoa Beach"/>
    <n v="0.36863380977662003"/>
    <n v="3746.2716027593101"/>
    <n v="10.778632387990699"/>
    <n v="2.07685425210888"/>
    <n v="3.9733683213668098"/>
    <n v="0.76559869530569002"/>
    <n v="1381.0023733831599"/>
    <n v="1300"/>
    <s v="Residential, High Density"/>
    <n v="1300"/>
    <s v="City of Cocoa Beach           Brevard County"/>
    <s v="City of Cocoa Beach"/>
    <m/>
    <m/>
    <m/>
    <n v="0"/>
    <n v="1"/>
    <n v="3.9733683213668098"/>
    <n v="0.76559869530569002"/>
    <n v="1381.0023733831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693184666072"/>
    <n v="1491.8081006083301"/>
    <n v="1.1200343661000001"/>
  </r>
  <r>
    <n v="830000"/>
    <n v="2400000"/>
    <n v="2400000"/>
    <x v="0"/>
    <x v="0"/>
    <s v="BR3-5, BR-7"/>
    <s v="62-304.520 (10), F.A.C."/>
    <n v="0.59"/>
    <n v="0.64"/>
    <s v="City of Cocoa Beach"/>
    <n v="2.069326484368E-2"/>
    <n v="3721.3394832283602"/>
    <n v="8.2695381231297596"/>
    <n v="1.1221468200854801"/>
    <n v="0.17112374251682999"/>
    <n v="2.3220881341519999E-2"/>
    <n v="77.006663499687704"/>
    <n v="1200"/>
    <s v="Residential, Medium Density-Two-five dwellingunits per acre"/>
    <n v="1200"/>
    <s v="City of Cocoa Beach           Brevard County"/>
    <s v="City of Cocoa Beach"/>
    <m/>
    <m/>
    <m/>
    <n v="0"/>
    <n v="1"/>
    <n v="0.17112374251682999"/>
    <n v="2.3220881341519999E-2"/>
    <n v="77.0066634996877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367393188159"/>
    <n v="83.742671733070694"/>
    <n v="6.24547149E-2"/>
  </r>
  <r>
    <n v="830000"/>
    <n v="2400000"/>
    <n v="2400000"/>
    <x v="0"/>
    <x v="0"/>
    <s v="BR3-5, BR-7"/>
    <s v="62-304.520 (10), F.A.C."/>
    <n v="0.59"/>
    <n v="0.64"/>
    <s v="FDOT District 5"/>
    <n v="7.9781288115579996E-2"/>
    <n v="3721.3394832283602"/>
    <n v="8.2695381231297596"/>
    <n v="1.1221468200854801"/>
    <n v="0.65975440358423998"/>
    <n v="8.9526318761230003E-2"/>
    <n v="296.89325748735098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65975440358423998"/>
    <n v="8.9526318761230003E-2"/>
    <n v="296.89325748735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722844275838"/>
    <n v="322.863418197908"/>
    <n v="0.24078934099999999"/>
  </r>
  <r>
    <n v="830000"/>
    <n v="2400000"/>
    <n v="2400000"/>
    <x v="0"/>
    <x v="0"/>
    <s v="BR3-5, BR-7"/>
    <s v="62-304.520 (10), F.A.C."/>
    <n v="0.59"/>
    <n v="0.64"/>
    <s v="FDOT District 5"/>
    <n v="2.784858141211E-2"/>
    <n v="3721.3394832283602"/>
    <n v="8.2695381231297596"/>
    <n v="1.1221468200854801"/>
    <n v="0.23029490566256"/>
    <n v="3.1250197075489997E-2"/>
    <n v="103.634025560799"/>
    <n v="1850"/>
    <s v="Parks and Zoos"/>
    <n v="1850"/>
    <s v="FDOT District 5                                 City of Cocoa Beach           Brevard County"/>
    <s v="FDOT District 5"/>
    <m/>
    <m/>
    <m/>
    <n v="0"/>
    <n v="1"/>
    <n v="0.23029490566256"/>
    <n v="3.1250197075489997E-2"/>
    <n v="103.63402556080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55706706600201"/>
    <n v="112.69921054234401"/>
    <n v="8.40503046E-2"/>
  </r>
  <r>
    <n v="830000"/>
    <n v="2400000"/>
    <n v="2400000"/>
    <x v="0"/>
    <x v="0"/>
    <s v="BR3-5, BR-7"/>
    <s v="62-304.520 (10), F.A.C."/>
    <n v="0.59"/>
    <n v="0.64"/>
    <s v="FDOT District 5"/>
    <n v="0.2606146255638"/>
    <n v="3721.3394832283602"/>
    <n v="8.2695381231297596"/>
    <n v="1.1221468200854801"/>
    <n v="2.1551625815450799"/>
    <n v="0.29244787334418998"/>
    <n v="969.83549601736604"/>
    <n v="8140"/>
    <s v="Roads and Highways"/>
    <n v="8140"/>
    <s v="FDOT District 5                                 City of Cocoa Beach           Brevard County"/>
    <s v="FDOT District 5"/>
    <m/>
    <m/>
    <m/>
    <n v="0"/>
    <n v="1"/>
    <n v="2.1551625815450799"/>
    <n v="0.29244787334418998"/>
    <n v="969.835496017366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2.48597173393199"/>
    <n v="1054.6699712342499"/>
    <n v="0.7865656902"/>
  </r>
  <r>
    <n v="830000"/>
    <n v="2400000"/>
    <n v="2400000"/>
    <x v="0"/>
    <x v="0"/>
    <s v="BR3-5, BR-7"/>
    <s v="62-304.520 (10), F.A.C."/>
    <n v="0.59"/>
    <n v="0.64"/>
    <s v="FDOT District 5"/>
    <n v="4.2361457281560003E-2"/>
    <n v="3758.0075340928902"/>
    <n v="9.5327557722830392"/>
    <n v="1.34727642155907"/>
    <n v="0.40382142642316998"/>
    <n v="5.707259257833E-2"/>
    <n v="159.19467561928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40382142642316998"/>
    <n v="5.707259257833E-2"/>
    <n v="159.19467561928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7.099028228392"/>
    <n v="171.43073546213"/>
    <n v="0.1291116591"/>
  </r>
  <r>
    <n v="830000"/>
    <n v="2400000"/>
    <n v="2400000"/>
    <x v="0"/>
    <x v="0"/>
    <s v="BR3-5, BR-7"/>
    <s v="62-304.520 (10), F.A.C."/>
    <n v="0.59"/>
    <n v="0.64"/>
    <s v="City of Cocoa Beach"/>
    <n v="2.1535939793900002E-3"/>
    <n v="3758.0075340928902"/>
    <n v="9.5327557722830392"/>
    <n v="1.34727642155907"/>
    <n v="2.0529685438269999E-2"/>
    <n v="2.9014863900500001E-3"/>
    <n v="8.0932223999585293"/>
    <n v="1400"/>
    <s v="Commercial and Services"/>
    <n v="1400"/>
    <s v="City of Cocoa Beach           Brevard County"/>
    <s v="City of Cocoa Beach"/>
    <m/>
    <m/>
    <m/>
    <n v="0"/>
    <n v="1"/>
    <n v="2.0529685438269999E-2"/>
    <n v="2.9014863900500001E-3"/>
    <n v="8.09322239996041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80301697457"/>
    <n v="8.7152856267748202"/>
    <n v="6.5638462E-3"/>
  </r>
  <r>
    <n v="830000"/>
    <n v="2400000"/>
    <n v="2400000"/>
    <x v="0"/>
    <x v="0"/>
    <s v="BR3-5, BR-7"/>
    <s v="62-304.520 (10), F.A.C."/>
    <n v="0.59"/>
    <n v="0.64"/>
    <s v="FDOT District 5"/>
    <n v="5.7669204575029998E-2"/>
    <n v="3758.0075340928902"/>
    <n v="9.5327557722830392"/>
    <n v="1.34727642155907"/>
    <n v="0.54974644279559004"/>
    <n v="7.7696359574000007E-2"/>
    <n v="216.721305278110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4974644279559004"/>
    <n v="7.7696359574000007E-2"/>
    <n v="216.72130527810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41468646479601"/>
    <n v="233.37899090916201"/>
    <n v="0.175767482"/>
  </r>
  <r>
    <n v="830000"/>
    <n v="2400000"/>
    <n v="2400000"/>
    <x v="0"/>
    <x v="0"/>
    <s v="BR3-5, BR-7"/>
    <s v="62-304.520 (10), F.A.C."/>
    <n v="0.59"/>
    <n v="0.64"/>
    <s v="FDOT District 5"/>
    <n v="0.27748032337817002"/>
    <n v="3758.0075340928902"/>
    <n v="9.5327557722830392"/>
    <n v="1.34727642155907"/>
    <n v="2.6451521543782301"/>
    <n v="0.37384269713398999"/>
    <n v="1042.7731458177"/>
    <n v="8140"/>
    <s v="Roads and Highways"/>
    <n v="8140"/>
    <s v="FDOT District 5                                 City of Cocoa Beach           Brevard County"/>
    <s v="FDOT District 5"/>
    <m/>
    <m/>
    <m/>
    <n v="0"/>
    <n v="1"/>
    <n v="2.6451521543782301"/>
    <n v="0.37384269713398999"/>
    <n v="1042.773145817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4.961500605921"/>
    <n v="1122.92302875258"/>
    <n v="0.84572031290000005"/>
  </r>
  <r>
    <n v="830000"/>
    <n v="2400000"/>
    <n v="2400000"/>
    <x v="0"/>
    <x v="0"/>
    <s v="BR3-5, BR-7"/>
    <s v="62-304.520 (10), F.A.C."/>
    <n v="0.59"/>
    <n v="0.64"/>
    <s v="City of Cocoa Beach"/>
    <n v="3.6778198665529997E-2"/>
    <n v="3758.0075340928902"/>
    <n v="9.5327557722830392"/>
    <n v="1.34727642155907"/>
    <n v="0.35059758562308002"/>
    <n v="4.9550399889489997E-2"/>
    <n v="138.21274767546001"/>
    <n v="1300"/>
    <s v="Residential, High Density"/>
    <n v="1300"/>
    <s v="City of Cocoa Beach           Brevard County"/>
    <s v="City of Cocoa Beach"/>
    <m/>
    <m/>
    <m/>
    <n v="0"/>
    <n v="1"/>
    <n v="0.35059758562308002"/>
    <n v="4.9550399889489997E-2"/>
    <n v="138.21274767546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6.997342028311607"/>
    <n v="148.83608947393901"/>
    <n v="0.1120946859"/>
  </r>
  <r>
    <n v="830000"/>
    <n v="2400000"/>
    <n v="2400000"/>
    <x v="0"/>
    <x v="0"/>
    <s v="BR3-5, BR-7"/>
    <s v="62-304.520 (10), F.A.C."/>
    <n v="0.59"/>
    <n v="0.64"/>
    <s v="FDOT District 5"/>
    <n v="2.0301378331E-3"/>
    <n v="3758.0075340928902"/>
    <n v="9.5327557722830392"/>
    <n v="1.34727642155907"/>
    <n v="1.9352808147040001E-2"/>
    <n v="2.7351568350499999E-3"/>
    <n v="7.62927327204809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9352808147040001E-2"/>
    <n v="2.7351568350499999E-3"/>
    <n v="7.6292732720492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1.022912512775306"/>
    <n v="8.2156763282513907"/>
    <n v="6.1875695999999997E-3"/>
  </r>
  <r>
    <n v="830000"/>
    <n v="2400000"/>
    <n v="2400000"/>
    <x v="0"/>
    <x v="0"/>
    <s v="BR3-5, BR-7"/>
    <s v="62-304.520 (10), F.A.C."/>
    <n v="0.59"/>
    <n v="0.64"/>
    <s v="City of Cocoa Beach"/>
    <n v="9.7102619803690005E-2"/>
    <n v="3758.0075340928902"/>
    <n v="9.5327557722830392"/>
    <n v="1.34727642155907"/>
    <n v="0.92565555943746003"/>
    <n v="0.13082407013312999"/>
    <n v="364.91237680243597"/>
    <n v="1430"/>
    <s v="Professional Services"/>
    <n v="1430"/>
    <s v="City of Cocoa Beach           Brevard County"/>
    <s v="City of Cocoa Beach"/>
    <m/>
    <m/>
    <m/>
    <n v="0"/>
    <n v="1"/>
    <n v="0.92565555943746003"/>
    <n v="0.13082407013312999"/>
    <n v="364.91237680243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0.913470812201894"/>
    <n v="392.960360584439"/>
    <n v="0.29595488790000002"/>
  </r>
  <r>
    <n v="830000"/>
    <n v="2400000"/>
    <n v="2400000"/>
    <x v="0"/>
    <x v="0"/>
    <s v="BR3-5, BR-7"/>
    <s v="62-304.520 (10), F.A.C."/>
    <n v="0.59"/>
    <n v="0.64"/>
    <s v="City of Cocoa Beach"/>
    <n v="2.3666052332400002E-3"/>
    <n v="3758.0075340928902"/>
    <n v="9.5327557722830392"/>
    <n v="1.34727642155907"/>
    <n v="2.2560269697969999E-2"/>
    <n v="3.1884714298899999E-3"/>
    <n v="8.8937202967734095"/>
    <n v="1300"/>
    <s v="Residential, High Density"/>
    <n v="1300"/>
    <s v="City of Cocoa Beach           Brevard County"/>
    <s v="City of Cocoa Beach"/>
    <m/>
    <m/>
    <m/>
    <n v="0"/>
    <n v="1"/>
    <n v="2.2560269697969999E-2"/>
    <n v="3.1884714298899999E-3"/>
    <n v="8.89372029677299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.471499385473599"/>
    <n v="9.5773115874587003"/>
    <n v="7.2130739999999999E-3"/>
  </r>
  <r>
    <n v="830000"/>
    <n v="2400000"/>
    <n v="2400000"/>
    <x v="0"/>
    <x v="0"/>
    <s v="BR3-5, BR-7"/>
    <s v="62-304.520 (10), F.A.C."/>
    <n v="0.59"/>
    <n v="0.64"/>
    <s v="FDOT District 5"/>
    <n v="2.0808954456999999E-4"/>
    <n v="3758.0075340928902"/>
    <n v="9.5327557722830392"/>
    <n v="1.34727642155907"/>
    <n v="1.98366680721E-3"/>
    <n v="2.8035413698000001E-4"/>
    <n v="0.782002076286320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98366680721E-3"/>
    <n v="2.8035413698000001E-4"/>
    <n v="0.78200207628546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.7962970191787395"/>
    <n v="0.84210850990479003"/>
    <n v="6.3422719999999997E-4"/>
  </r>
  <r>
    <n v="830000"/>
    <n v="2400000"/>
    <n v="2400000"/>
    <x v="0"/>
    <x v="0"/>
    <s v="BR3-5, BR-7"/>
    <s v="62-304.520 (10), F.A.C."/>
    <n v="0.59"/>
    <n v="0.64"/>
    <s v="City of Cocoa Beach"/>
    <n v="1.0385800920599999E-3"/>
    <n v="3735.4140468885998"/>
    <n v="9.7205595704070298"/>
    <n v="1.53415664631892"/>
    <n v="1.009557965354E-2"/>
    <n v="1.5933445509700001E-3"/>
    <n v="3.87952666471472"/>
    <n v="1400"/>
    <s v="Commercial and Services"/>
    <n v="1400"/>
    <s v="City of Cocoa Beach           Brevard County"/>
    <s v="City of Cocoa Beach"/>
    <m/>
    <m/>
    <m/>
    <n v="0"/>
    <n v="1"/>
    <n v="1.009557965354E-2"/>
    <n v="1.5933445509700001E-3"/>
    <n v="3.8795266647155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9.315907683967197"/>
    <n v="4.2029845157468602"/>
    <n v="3.1464125000000001E-3"/>
  </r>
  <r>
    <n v="830000"/>
    <n v="2400000"/>
    <n v="2400000"/>
    <x v="0"/>
    <x v="0"/>
    <s v="BR3-5, BR-7"/>
    <s v="62-304.520 (10), F.A.C."/>
    <n v="0.59"/>
    <n v="0.64"/>
    <s v="FDOT District 5"/>
    <n v="6.0313317447979999E-2"/>
    <n v="3735.4140468885998"/>
    <n v="9.7205595704070298"/>
    <n v="1.53415664631892"/>
    <n v="0.58627919514201998"/>
    <n v="9.2530076824370006E-2"/>
    <n v="225.295213209661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8627919514201998"/>
    <n v="9.2530076824370006E-2"/>
    <n v="225.29521320966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954894568062"/>
    <n v="244.079336070636"/>
    <n v="0.18272117860000001"/>
  </r>
  <r>
    <n v="830000"/>
    <n v="2400000"/>
    <n v="2400000"/>
    <x v="0"/>
    <x v="0"/>
    <s v="BR3-5, BR-7"/>
    <s v="62-304.520 (10), F.A.C."/>
    <n v="0.59"/>
    <n v="0.64"/>
    <s v="FDOT District 5"/>
    <n v="2.049533080184E-2"/>
    <n v="3735.4140468885998"/>
    <n v="9.7205595704070298"/>
    <n v="1.53415664631892"/>
    <n v="0.19922608397450001"/>
    <n v="3.1443047968149999E-2"/>
    <n v="76.5585465728293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19922608397450001"/>
    <n v="3.1443047968149999E-2"/>
    <n v="76.5585465728299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022598382345"/>
    <n v="82.941661084647606"/>
    <n v="6.2091278600000001E-2"/>
  </r>
  <r>
    <n v="830000"/>
    <n v="2400000"/>
    <n v="2400000"/>
    <x v="0"/>
    <x v="0"/>
    <s v="BR3-5, BR-7"/>
    <s v="62-304.520 (10), F.A.C."/>
    <n v="0.59"/>
    <n v="0.64"/>
    <s v="FDOT District 5"/>
    <n v="0.28666174590907001"/>
    <n v="3735.4140468885998"/>
    <n v="9.7205595704070298"/>
    <n v="1.53415664631892"/>
    <n v="2.7865125776660302"/>
    <n v="0.43978402273179001"/>
    <n v="1070.8003123743599"/>
    <n v="8140"/>
    <s v="Roads and Highways"/>
    <n v="8140"/>
    <s v="FDOT District 5                                 City of Cocoa Beach           Brevard County"/>
    <s v="FDOT District 5"/>
    <m/>
    <m/>
    <m/>
    <n v="0"/>
    <n v="1"/>
    <n v="2.7865125776660302"/>
    <n v="0.43978402273179001"/>
    <n v="1070.8003123743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9.59013615978799"/>
    <n v="1160.0789274885201"/>
    <n v="0.86845118600000004"/>
  </r>
  <r>
    <n v="830000"/>
    <n v="2400000"/>
    <n v="2400000"/>
    <x v="0"/>
    <x v="0"/>
    <s v="BR3-5, BR-7"/>
    <s v="62-304.520 (10), F.A.C."/>
    <n v="0.59"/>
    <n v="0.64"/>
    <s v="City of Cocoa Beach"/>
    <n v="0.24046014044667"/>
    <n v="3735.4140468885998"/>
    <n v="9.7205595704070298"/>
    <n v="1.53415664631892"/>
    <n v="2.3374071195203201"/>
    <n v="0.36890352264103998"/>
    <n v="898.21818634130898"/>
    <n v="1300"/>
    <s v="Residential, High Density"/>
    <n v="1300"/>
    <s v="City of Cocoa Beach           Brevard County"/>
    <s v="City of Cocoa Beach"/>
    <m/>
    <m/>
    <m/>
    <n v="0"/>
    <n v="1"/>
    <n v="2.3374071195203201"/>
    <n v="0.36890352264103998"/>
    <n v="898.21818634130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9.345035273966"/>
    <n v="973.10766369782402"/>
    <n v="0.72848190300000004"/>
  </r>
  <r>
    <n v="830000"/>
    <n v="2400000"/>
    <n v="2400000"/>
    <x v="0"/>
    <x v="0"/>
    <s v="BR3-5, BR-7"/>
    <s v="62-304.520 (10), F.A.C."/>
    <n v="0.59"/>
    <n v="0.64"/>
    <s v="FDOT District 5"/>
    <n v="4.7272657813999999E-4"/>
    <n v="3735.4140468885998"/>
    <n v="9.7205595704070298"/>
    <n v="1.53415664631892"/>
    <n v="4.5951668634000003E-3"/>
    <n v="7.2523662174999999E-4"/>
    <n v="1.7658295003516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4.5951668634000003E-3"/>
    <n v="7.2523662174999999E-4"/>
    <n v="1.7658295003501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67528065539"/>
    <n v="1.91305658881577"/>
    <n v="1.4321407E-3"/>
  </r>
  <r>
    <n v="830000"/>
    <n v="2400000"/>
    <n v="2400000"/>
    <x v="0"/>
    <x v="0"/>
    <s v="BR3-5, BR-7"/>
    <s v="62-304.520 (10), F.A.C."/>
    <n v="0.59"/>
    <n v="0.64"/>
    <s v="City of Cocoa Beach"/>
    <n v="8.3216123921200005E-3"/>
    <n v="3735.4140468885998"/>
    <n v="9.7205595704070298"/>
    <n v="1.53415664631892"/>
    <n v="8.0890728979489998E-2"/>
    <n v="1.2766656959469999E-2"/>
    <n v="31.084667822309701"/>
    <n v="1410"/>
    <s v="Retail Sales and Services"/>
    <n v="1410"/>
    <s v="City of Cocoa Beach           Brevard County"/>
    <s v="City of Cocoa Beach"/>
    <m/>
    <m/>
    <m/>
    <n v="0"/>
    <n v="1"/>
    <n v="8.0890728979489998E-2"/>
    <n v="1.2766656959469999E-2"/>
    <n v="31.084667822311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4.354568984469203"/>
    <n v="33.676370553800197"/>
    <n v="2.5210598399999999E-2"/>
  </r>
  <r>
    <n v="830000"/>
    <n v="2400000"/>
    <n v="2400000"/>
    <x v="0"/>
    <x v="0"/>
    <s v="BR3-5, BR-7"/>
    <s v="62-304.520 (10), F.A.C."/>
    <n v="0.59"/>
    <n v="0.64"/>
    <s v="City of Cocoa Beach"/>
    <n v="0.25412204334823002"/>
    <n v="3773.3571448747398"/>
    <n v="9.3186148894409602"/>
    <n v="1.6166485699161499"/>
    <n v="2.3680654568800299"/>
    <n v="0.41082603796308997"/>
    <n v="958.89322793823601"/>
    <n v="1300"/>
    <s v="Residential, High Density"/>
    <n v="1300"/>
    <s v="City of Cocoa Beach           Brevard County"/>
    <s v="City of Cocoa Beach"/>
    <m/>
    <m/>
    <m/>
    <n v="0"/>
    <n v="1"/>
    <n v="2.3680654568800299"/>
    <n v="0.41082603796308997"/>
    <n v="958.89322793823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0.399039075856"/>
    <n v="1028.39542319722"/>
    <n v="0.77769118240000001"/>
  </r>
  <r>
    <n v="830000"/>
    <n v="2400000"/>
    <n v="2400000"/>
    <x v="0"/>
    <x v="0"/>
    <s v="BR3-5, BR-7"/>
    <s v="62-304.520 (10), F.A.C."/>
    <n v="0.59"/>
    <n v="0.64"/>
    <s v="City of Cocoa Beach"/>
    <n v="7.8651953582670006E-2"/>
    <n v="3773.3571448747398"/>
    <n v="9.3186148894409602"/>
    <n v="1.6166485699161499"/>
    <n v="0.73292726573907996"/>
    <n v="0.12715256828053001"/>
    <n v="296.78191100952398"/>
    <n v="1300"/>
    <s v="Residential, High Density"/>
    <n v="1300"/>
    <s v="City of Cocoa Beach           Brevard County"/>
    <s v="City of Cocoa Beach"/>
    <m/>
    <m/>
    <m/>
    <n v="0"/>
    <n v="1"/>
    <n v="0.73292726573907996"/>
    <n v="0.12715256828053001"/>
    <n v="296.78191100952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2.377218857295503"/>
    <n v="318.29316349033297"/>
    <n v="0.24069903570000001"/>
  </r>
  <r>
    <n v="830000"/>
    <n v="2400000"/>
    <n v="2400000"/>
    <x v="0"/>
    <x v="0"/>
    <s v="BR3-5, BR-7"/>
    <s v="62-304.520 (10), F.A.C."/>
    <n v="0.59"/>
    <n v="0.64"/>
    <s v="City of Cocoa Beach"/>
    <n v="3.1842812404400001E-3"/>
    <n v="3773.3571448747398"/>
    <n v="9.3186148894409602"/>
    <n v="1.6166485699161499"/>
    <n v="2.967309057933E-2"/>
    <n v="5.1478637135600001E-3"/>
    <n v="12.0154303699048"/>
    <n v="1300"/>
    <s v="Residential, High Density"/>
    <n v="1300"/>
    <s v="City of Cocoa Beach           Brevard County"/>
    <s v="City of Cocoa Beach"/>
    <m/>
    <m/>
    <m/>
    <n v="0"/>
    <n v="1"/>
    <n v="2.967309057933E-2"/>
    <n v="5.1478637135600001E-3"/>
    <n v="12.015430369904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0.270279191514703"/>
    <n v="12.886328988601701"/>
    <n v="9.7448745999999999E-3"/>
  </r>
  <r>
    <n v="830000"/>
    <n v="2400000"/>
    <n v="2400000"/>
    <x v="0"/>
    <x v="0"/>
    <s v="BR3-5, BR-7"/>
    <s v="62-304.520 (10), F.A.C."/>
    <n v="0.59"/>
    <n v="0.64"/>
    <s v="City of Cocoa Beach"/>
    <n v="0.28180517549655998"/>
    <n v="3773.3571448747398"/>
    <n v="9.3186148894409602"/>
    <n v="1.6166485699161499"/>
    <n v="2.6260339043038301"/>
    <n v="0.45557993396148999"/>
    <n v="1063.35157242265"/>
    <n v="1300"/>
    <s v="Residential, High Density"/>
    <n v="1300"/>
    <s v="City of Cocoa Beach           Brevard County"/>
    <s v="City of Cocoa Beach"/>
    <m/>
    <m/>
    <m/>
    <n v="0"/>
    <n v="1"/>
    <n v="2.6260339043038301"/>
    <n v="0.45557993396148999"/>
    <n v="1063.3515724226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7.95156746956499"/>
    <n v="1140.4250843238401"/>
    <n v="0.86241003439999997"/>
  </r>
  <r>
    <n v="830000"/>
    <n v="2400000"/>
    <n v="2400000"/>
    <x v="0"/>
    <x v="0"/>
    <s v="BR3-5, BR-7"/>
    <s v="62-304.520 (10), F.A.C."/>
    <n v="0.59"/>
    <n v="0.64"/>
    <s v="City of Cocoa Beach"/>
    <n v="0.29582170585931999"/>
    <n v="3752.22057715962"/>
    <n v="10.7949393625053"/>
    <n v="2.0799022004661998"/>
    <n v="3.1933773768642899"/>
    <n v="0.61528021696247004"/>
    <n v="1109.9882918958101"/>
    <n v="1300"/>
    <s v="Residential, High Density"/>
    <n v="1300"/>
    <s v="City of Cocoa Beach           Brevard County"/>
    <s v="City of Cocoa Beach"/>
    <m/>
    <m/>
    <m/>
    <n v="0"/>
    <n v="1"/>
    <n v="3.1933773768642899"/>
    <n v="0.61528021696247004"/>
    <n v="1186.9641627772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62530342870599"/>
    <n v="1197.14797024212"/>
    <n v="0.96266355459999997"/>
  </r>
  <r>
    <n v="830000"/>
    <n v="2400000"/>
    <n v="2400000"/>
    <x v="0"/>
    <x v="0"/>
    <s v="BR3-5, BR-7"/>
    <s v="62-304.520 (10), F.A.C."/>
    <n v="0.59"/>
    <n v="0.64"/>
    <s v="City of Cocoa Beach"/>
    <n v="9.1645811160999998E-4"/>
    <n v="3752.22057715962"/>
    <n v="10.7949393625053"/>
    <n v="2.0799022004661998"/>
    <n v="9.8931097432000004E-3"/>
    <n v="1.90614324299E-3"/>
    <n v="3.4387529845216598"/>
    <n v="1300"/>
    <s v="Residential, High Density"/>
    <n v="1300"/>
    <s v="City of Cocoa Beach           Brevard County"/>
    <s v="City of Cocoa Beach"/>
    <m/>
    <m/>
    <m/>
    <n v="0"/>
    <n v="1"/>
    <n v="9.8931097432000004E-3"/>
    <n v="1.90614324299E-3"/>
    <n v="3.4387529845216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5.410472996590499"/>
    <n v="3.7087743948658698"/>
    <n v="2.7889319E-3"/>
  </r>
  <r>
    <n v="830000"/>
    <n v="2400000"/>
    <n v="2400000"/>
    <x v="0"/>
    <x v="0"/>
    <s v="BR3-5, BR-7"/>
    <s v="62-304.520 (10), F.A.C."/>
    <n v="0.59"/>
    <n v="0.64"/>
    <s v="FDOT District 5"/>
    <n v="7.2535933570300002E-3"/>
    <n v="3754.9962617741398"/>
    <n v="10.0717757756765"/>
    <n v="1.55732225670424"/>
    <n v="7.3056565860020004E-2"/>
    <n v="1.129618237599E-2"/>
    <n v="27.2372159401074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7.3056565860020004E-2"/>
    <n v="1.129618237599E-2"/>
    <n v="27.237215940106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7.654674812859"/>
    <n v="29.354250862406602"/>
    <n v="2.2090199500000001E-2"/>
  </r>
  <r>
    <n v="830000"/>
    <n v="2400000"/>
    <n v="2400000"/>
    <x v="0"/>
    <x v="0"/>
    <s v="BR3-5, BR-7"/>
    <s v="62-304.520 (10), F.A.C."/>
    <n v="0.59"/>
    <n v="0.64"/>
    <s v="City of Cocoa Beach"/>
    <n v="3.9816352329000003E-4"/>
    <n v="3754.9962617741398"/>
    <n v="10.0717757756765"/>
    <n v="1.55732225670424"/>
    <n v="4.0102137286400002E-3"/>
    <n v="6.2006891662000005E-4"/>
    <n v="1.4951025415325201"/>
    <n v="1400"/>
    <s v="Commercial and Services"/>
    <n v="1400"/>
    <s v="City of Cocoa Beach           Brevard County"/>
    <s v="City of Cocoa Beach"/>
    <m/>
    <m/>
    <m/>
    <n v="0"/>
    <n v="1"/>
    <n v="4.0102137286400002E-3"/>
    <n v="6.2006891662000005E-4"/>
    <n v="1.495102541533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4.806902462609898"/>
    <n v="1.61131061139715"/>
    <n v="1.212573E-3"/>
  </r>
  <r>
    <n v="830000"/>
    <n v="2400000"/>
    <n v="2400000"/>
    <x v="0"/>
    <x v="0"/>
    <s v="BR3-5, BR-7"/>
    <s v="62-304.520 (10), F.A.C."/>
    <n v="0.59"/>
    <n v="0.64"/>
    <s v="FDOT District 5"/>
    <n v="9.1724089709020004E-2"/>
    <n v="3754.9962617741398"/>
    <n v="10.0717757756765"/>
    <n v="1.55732225670424"/>
    <n v="0.92382446477737001"/>
    <n v="0.14284396637980001"/>
    <n v="344.423613972038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92382446477737001"/>
    <n v="0.14284396637980001"/>
    <n v="344.423613972040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5.16188064692599"/>
    <n v="371.19422152777901"/>
    <n v="0.27933788640000001"/>
  </r>
  <r>
    <n v="830000"/>
    <n v="2400000"/>
    <n v="2400000"/>
    <x v="0"/>
    <x v="0"/>
    <s v="BR3-5, BR-7"/>
    <s v="62-304.520 (10), F.A.C."/>
    <n v="0.59"/>
    <n v="0.64"/>
    <s v="FDOT District 5"/>
    <n v="0.26352209247299002"/>
    <n v="3754.9962617741398"/>
    <n v="10.0717757756765"/>
    <n v="1.55732225670424"/>
    <n v="2.6541354273250901"/>
    <n v="0.41038881974146002"/>
    <n v="989.52447213099504"/>
    <n v="8140"/>
    <s v="Roads and Highways"/>
    <n v="8140"/>
    <s v="FDOT District 5                                 City of Cocoa Beach           Brevard County"/>
    <s v="FDOT District 5"/>
    <m/>
    <m/>
    <m/>
    <n v="0"/>
    <n v="1"/>
    <n v="2.6541354273250901"/>
    <n v="0.41038881974146002"/>
    <n v="989.524472130995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90808071121899"/>
    <n v="1066.43607236862"/>
    <n v="0.80253404070000001"/>
  </r>
  <r>
    <n v="830000"/>
    <n v="2400000"/>
    <n v="2400000"/>
    <x v="0"/>
    <x v="0"/>
    <s v="BR3-5, BR-7"/>
    <s v="62-304.520 (10), F.A.C."/>
    <n v="0.59"/>
    <n v="0.64"/>
    <s v="City of Cocoa Beach"/>
    <n v="3.1575639609679997E-2"/>
    <n v="3754.9962617741398"/>
    <n v="10.0717757756765"/>
    <n v="1.55732225670424"/>
    <n v="0.31802276212225999"/>
    <n v="4.9173446333820002E-2"/>
    <n v="118.566408697475"/>
    <n v="1410"/>
    <s v="Retail Sales and Services"/>
    <n v="1410"/>
    <s v="City of Cocoa Beach           Brevard County"/>
    <s v="City of Cocoa Beach"/>
    <m/>
    <m/>
    <m/>
    <n v="0"/>
    <n v="1"/>
    <n v="0.31802276212225999"/>
    <n v="4.9173446333820002E-2"/>
    <n v="118.56640869747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3.624017896176397"/>
    <n v="127.78207994582201"/>
    <n v="9.6160915400000005E-2"/>
  </r>
  <r>
    <n v="830000"/>
    <n v="2400000"/>
    <n v="2400000"/>
    <x v="0"/>
    <x v="0"/>
    <s v="BR3-5, BR-7"/>
    <s v="62-304.520 (10), F.A.C."/>
    <n v="0.59"/>
    <n v="0.64"/>
    <s v="City of Cocoa Beach"/>
    <n v="1.052661277911E-2"/>
    <n v="3754.9962617741398"/>
    <n v="10.0717757756765"/>
    <n v="1.55732225670424"/>
    <n v="0.10602168358865"/>
    <n v="1.6393328368620001E-2"/>
    <n v="39.5273916347357"/>
    <n v="1410"/>
    <s v="Retail Sales and Services"/>
    <n v="1410"/>
    <s v="City of Cocoa Beach           Brevard County"/>
    <s v="City of Cocoa Beach"/>
    <m/>
    <m/>
    <m/>
    <n v="0"/>
    <n v="1"/>
    <n v="0.10602168358865"/>
    <n v="1.6393328368620001E-2"/>
    <n v="39.5273916347363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9.1841629983522"/>
    <n v="42.599690531296602"/>
    <n v="3.2057900799999997E-2"/>
  </r>
  <r>
    <n v="830000"/>
    <n v="2400000"/>
    <n v="2400000"/>
    <x v="0"/>
    <x v="0"/>
    <s v="BR3-5, BR-7"/>
    <s v="62-304.520 (10), F.A.C."/>
    <n v="0.59"/>
    <n v="0.64"/>
    <s v="City of Cocoa Beach"/>
    <n v="0.21212354784779999"/>
    <n v="3754.9962617741398"/>
    <n v="10.0717757756765"/>
    <n v="1.55732225670424"/>
    <n v="2.1364608106640599"/>
    <n v="0.33034472223444999"/>
    <n v="796.52312920277097"/>
    <n v="1300"/>
    <s v="Residential, High Density"/>
    <n v="1300"/>
    <s v="City of Cocoa Beach           Brevard County"/>
    <s v="City of Cocoa Beach"/>
    <m/>
    <m/>
    <m/>
    <n v="0"/>
    <n v="1"/>
    <n v="2.1364608106640599"/>
    <n v="0.33034472223444999"/>
    <n v="796.523129202770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7.04426298521699"/>
    <n v="858.43354195016002"/>
    <n v="0.64600415990000004"/>
  </r>
  <r>
    <n v="830000"/>
    <n v="2400000"/>
    <n v="2400000"/>
    <x v="0"/>
    <x v="0"/>
    <s v="BR3-5, BR-7"/>
    <s v="62-304.520 (10), F.A.C."/>
    <n v="0.59"/>
    <n v="0.64"/>
    <s v="FDOT District 5"/>
    <n v="6.3971418483999996E-4"/>
    <n v="3754.9962617741398"/>
    <n v="10.0717757756765"/>
    <n v="1.55732225670424"/>
    <n v="6.4430578303000001E-3"/>
    <n v="9.9624113798999999E-4"/>
    <n v="2.40212437270812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4430578303000001E-3"/>
    <n v="9.9624113798999999E-4"/>
    <n v="2.4021243727069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069145989406"/>
    <n v="2.5888314574512199"/>
    <n v="1.9481949E-3"/>
  </r>
  <r>
    <n v="830000"/>
    <n v="2400000"/>
    <n v="2400000"/>
    <x v="0"/>
    <x v="0"/>
    <s v="BR3-5, BR-7"/>
    <s v="62-304.520 (10), F.A.C."/>
    <n v="0.59"/>
    <n v="0.64"/>
    <s v="City of Cocoa Beach"/>
    <n v="2.1506839060800001E-3"/>
    <n v="3781.4657523627202"/>
    <n v="11.211659378571699"/>
    <n v="1.47846289516623"/>
    <n v="2.4112735385969999E-2"/>
    <n v="3.1797063543699999E-3"/>
    <n v="8.1327375350105395"/>
    <n v="1400"/>
    <s v="Commercial and Services"/>
    <n v="1400"/>
    <s v="City of Cocoa Beach           Brevard County"/>
    <s v="City of Cocoa Beach"/>
    <m/>
    <m/>
    <m/>
    <n v="0"/>
    <n v="1"/>
    <n v="2.4112735385969999E-2"/>
    <n v="3.1797063543699999E-3"/>
    <n v="8.13273753501066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9225627297201"/>
    <n v="8.7035089778844394"/>
    <n v="6.5958941999999998E-3"/>
  </r>
  <r>
    <n v="830000"/>
    <n v="2400000"/>
    <n v="2400000"/>
    <x v="0"/>
    <x v="0"/>
    <s v="BR3-5, BR-7"/>
    <s v="62-304.520 (10), F.A.C."/>
    <n v="0.59"/>
    <n v="0.64"/>
    <s v="FDOT District 5"/>
    <n v="5.6467811620499998E-2"/>
    <n v="3781.4657523627202"/>
    <n v="11.211659378571699"/>
    <n v="1.47846289516623"/>
    <n v="0.63309786974242999"/>
    <n v="8.3485564252149994E-2"/>
    <n v="213.5310957538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63309786974242999"/>
    <n v="8.3485564252149994E-2"/>
    <n v="213.53109575379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247800274103"/>
    <n v="228.51712611530399"/>
    <n v="0.17318012629999999"/>
  </r>
  <r>
    <n v="830000"/>
    <n v="2400000"/>
    <n v="2400000"/>
    <x v="0"/>
    <x v="0"/>
    <s v="BR3-5, BR-7"/>
    <s v="62-304.520 (10), F.A.C."/>
    <n v="0.59"/>
    <n v="0.64"/>
    <s v="FDOT District 5"/>
    <n v="8.8517219685239998E-2"/>
    <n v="3781.4657523627202"/>
    <n v="11.211659378571699"/>
    <n v="1.47846289516623"/>
    <n v="0.99242491624915996"/>
    <n v="0.13086942488791001"/>
    <n v="334.72483473412098"/>
    <n v="8140"/>
    <s v="Roads and Highways"/>
    <n v="8140"/>
    <s v="FDOT District 5                                 City of Cocoa Beach           Brevard County"/>
    <s v="FDOT District 5"/>
    <m/>
    <m/>
    <m/>
    <n v="0"/>
    <n v="1"/>
    <n v="0.99242491624915996"/>
    <n v="0.13086942488791001"/>
    <n v="334.724834734120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4.438599395018"/>
    <n v="358.21647897622603"/>
    <n v="0.2714718854"/>
  </r>
  <r>
    <n v="830000"/>
    <n v="2400000"/>
    <n v="2400000"/>
    <x v="0"/>
    <x v="0"/>
    <s v="BR3-5, BR-7"/>
    <s v="62-304.520 (10), F.A.C."/>
    <n v="0.59"/>
    <n v="0.64"/>
    <s v="City of Cocoa Beach"/>
    <n v="0.46645667039514999"/>
    <n v="3781.4657523627202"/>
    <n v="11.211659378571699"/>
    <n v="1.47846289516623"/>
    <n v="5.2297533033332098"/>
    <n v="0.68963887938201995"/>
    <n v="1763.8899240604301"/>
    <n v="1450"/>
    <s v="Tourist Services"/>
    <n v="1450"/>
    <s v="City of Cocoa Beach           Brevard County"/>
    <s v="City of Cocoa Beach"/>
    <m/>
    <m/>
    <m/>
    <n v="0"/>
    <n v="1"/>
    <n v="5.2297533033332098"/>
    <n v="0.68963887938201995"/>
    <n v="1779.6626758668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3.227647471946"/>
    <n v="1887.6831723599601"/>
    <n v="1.4433598344"/>
  </r>
  <r>
    <n v="830000"/>
    <n v="2400000"/>
    <n v="2400000"/>
    <x v="0"/>
    <x v="0"/>
    <s v="BR3-5, BR-7"/>
    <s v="62-304.520 (10), F.A.C."/>
    <n v="0.59"/>
    <n v="0.64"/>
    <s v="City of Cocoa Beach"/>
    <n v="2.5393431054169999E-2"/>
    <n v="3696.52287895274"/>
    <n v="7.4312159128203401"/>
    <n v="1.0145902486203"/>
    <n v="0.18870406893086"/>
    <n v="2.5763927526569998E-2"/>
    <n v="93.867398866855794"/>
    <n v="1450"/>
    <s v="Tourist Services"/>
    <n v="1450"/>
    <s v="City of Cocoa Beach           Brevard County"/>
    <s v="City of Cocoa Beach"/>
    <m/>
    <m/>
    <m/>
    <n v="0"/>
    <n v="1"/>
    <n v="0.18870406893086"/>
    <n v="2.5763927526569998E-2"/>
    <n v="93.867398866856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12646661868"/>
    <n v="102.763569548348"/>
    <n v="7.6129277300000006E-2"/>
  </r>
  <r>
    <n v="830000"/>
    <n v="2400000"/>
    <n v="2400000"/>
    <x v="0"/>
    <x v="0"/>
    <s v="BR3-5, BR-7"/>
    <s v="62-304.520 (10), F.A.C."/>
    <n v="0.59"/>
    <n v="0.64"/>
    <s v="City of Cocoa Beach"/>
    <n v="0.61776345373694996"/>
    <n v="3747.8979954699798"/>
    <n v="10.782804743361799"/>
    <n v="2.0775992158441898"/>
    <n v="6.6612226992304402"/>
    <n v="1.28346486706109"/>
    <n v="2315.3144099353399"/>
    <n v="1300"/>
    <s v="Residential, High Density"/>
    <n v="1300"/>
    <s v="City of Cocoa Beach           Brevard County"/>
    <s v="City of Cocoa Beach"/>
    <m/>
    <m/>
    <m/>
    <n v="0"/>
    <n v="1"/>
    <n v="6.6612226992304402"/>
    <n v="1.28346486706109"/>
    <n v="2315.3144099353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1117499"/>
    <n v="2500.00000027939"/>
    <n v="1.8777894647"/>
  </r>
  <r>
    <n v="830000"/>
    <n v="2400000"/>
    <n v="2400000"/>
    <x v="0"/>
    <x v="0"/>
    <s v="BR3-5, BR-7"/>
    <s v="62-304.520 (10), F.A.C."/>
    <n v="0.59"/>
    <n v="0.64"/>
    <s v="City of Cocoa Beach"/>
    <n v="0.53333609624175005"/>
    <n v="3776.2696206113001"/>
    <n v="11.6029931230923"/>
    <n v="1.53188387429702"/>
    <n v="6.1882950569899604"/>
    <n v="0.81700896541325996"/>
    <n v="2014.02089781315"/>
    <n v="1410"/>
    <s v="Retail Sales and Services"/>
    <n v="1410"/>
    <s v="City of Cocoa Beach           Brevard County"/>
    <s v="City of Cocoa Beach"/>
    <m/>
    <m/>
    <m/>
    <n v="0"/>
    <n v="1"/>
    <n v="6.1882950569899604"/>
    <n v="0.81700896541325996"/>
    <n v="2014.0208978131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6.36998880357001"/>
    <n v="2158.3346063736799"/>
    <n v="1.6334313851"/>
  </r>
  <r>
    <n v="830000"/>
    <n v="2400000"/>
    <n v="2400000"/>
    <x v="0"/>
    <x v="0"/>
    <s v="BR3-5, BR-7"/>
    <s v="62-304.520 (10), F.A.C."/>
    <n v="0.59"/>
    <n v="0.64"/>
    <s v="City of Cocoa Beach"/>
    <n v="8.4427357495200001E-2"/>
    <n v="3776.2696206113001"/>
    <n v="11.6029931230923"/>
    <n v="1.53188387429702"/>
    <n v="0.97961004841766997"/>
    <n v="0.1293329074964"/>
    <n v="318.820465257617"/>
    <n v="1410"/>
    <s v="Retail Sales and Services"/>
    <n v="1410"/>
    <s v="City of Cocoa Beach           Brevard County"/>
    <s v="City of Cocoa Beach"/>
    <m/>
    <m/>
    <m/>
    <n v="0"/>
    <n v="1"/>
    <n v="0.97961004841766997"/>
    <n v="0.1293329074964"/>
    <n v="318.820465257615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703220304851"/>
    <n v="341.66539390571398"/>
    <n v="0.2585729645"/>
  </r>
  <r>
    <n v="830000"/>
    <n v="2400000"/>
    <n v="2400000"/>
    <x v="0"/>
    <x v="0"/>
    <s v="BR3-5, BR-7"/>
    <s v="62-304.520 (10), F.A.C."/>
    <n v="0.59"/>
    <n v="0.64"/>
    <s v="City of Cocoa Beach"/>
    <n v="0.22490585922044001"/>
    <n v="3780.56027944158"/>
    <n v="11.615912471890001"/>
    <n v="1.53359216609481"/>
    <n v="2.6124867751198702"/>
    <n v="0.34491386380929001"/>
    <n v="850.27015798247896"/>
    <n v="1410"/>
    <s v="Retail Sales and Services"/>
    <n v="1410"/>
    <s v="City of Cocoa Beach           Brevard County"/>
    <s v="City of Cocoa Beach"/>
    <m/>
    <m/>
    <m/>
    <n v="0"/>
    <n v="1"/>
    <n v="2.6124867751198702"/>
    <n v="0.34491386380929001"/>
    <n v="850.270157982478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6.408027861096"/>
    <n v="910.16172082163405"/>
    <n v="0.68959461310000003"/>
  </r>
  <r>
    <n v="830000"/>
    <n v="2400000"/>
    <n v="2400000"/>
    <x v="0"/>
    <x v="0"/>
    <s v="BR3-5, BR-7"/>
    <s v="62-304.520 (10), F.A.C."/>
    <n v="0.59"/>
    <n v="0.64"/>
    <s v="City of Cocoa Beach"/>
    <n v="0.39285759444746998"/>
    <n v="3780.56027944158"/>
    <n v="11.615912471890001"/>
    <n v="1.53359216609481"/>
    <n v="4.5633994310191204"/>
    <n v="0.60248332923548997"/>
    <n v="1485.2218170450799"/>
    <n v="1430"/>
    <s v="Professional Services"/>
    <n v="1430"/>
    <s v="City of Cocoa Beach           Brevard County"/>
    <s v="City of Cocoa Beach"/>
    <m/>
    <m/>
    <m/>
    <n v="0"/>
    <n v="1"/>
    <n v="4.5633994310191204"/>
    <n v="0.60248332923548997"/>
    <n v="1485.2218170450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3.595090195365"/>
    <n v="1589.8382791783599"/>
    <n v="1.2045594623"/>
  </r>
  <r>
    <n v="830000"/>
    <n v="2400000"/>
    <n v="2400000"/>
    <x v="0"/>
    <x v="0"/>
    <s v="BR3-5, BR-7"/>
    <s v="62-304.520 (10), F.A.C."/>
    <n v="0.59"/>
    <n v="0.64"/>
    <s v="City of Cocoa Beach"/>
    <n v="5.4177733391899997E-3"/>
    <n v="3786.6260318945001"/>
    <n v="8.2631182345887293"/>
    <n v="1.28606253035997"/>
    <n v="4.4767701669970003E-2"/>
    <n v="6.96759528952E-3"/>
    <n v="20.515081561099802"/>
    <n v="1450"/>
    <s v="Tourist Services"/>
    <n v="1450"/>
    <s v="City of Cocoa Beach           Brevard County"/>
    <s v="City of Cocoa Beach"/>
    <m/>
    <m/>
    <m/>
    <n v="0"/>
    <n v="1"/>
    <n v="4.4767701669970003E-2"/>
    <n v="6.96759528952E-3"/>
    <n v="20.515081561099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4.834575771224099"/>
    <n v="21.924950832828198"/>
    <n v="1.6638346799999999E-2"/>
  </r>
  <r>
    <n v="830000"/>
    <n v="2400000"/>
    <n v="2400000"/>
    <x v="0"/>
    <x v="0"/>
    <s v="BR3-5, BR-7"/>
    <s v="62-304.520 (10), F.A.C."/>
    <n v="0.59"/>
    <n v="0.64"/>
    <s v="City of Cocoa Beach"/>
    <n v="1.432999329921E-2"/>
    <n v="3786.6260318945001"/>
    <n v="8.2631182345887293"/>
    <n v="1.28606253035997"/>
    <n v="0.11841042893228"/>
    <n v="1.8429267442430002E-2"/>
    <n v="54.262325663685097"/>
    <n v="1300"/>
    <s v="Residential, High Density"/>
    <n v="1300"/>
    <s v="City of Cocoa Beach           Brevard County"/>
    <s v="City of Cocoa Beach"/>
    <m/>
    <m/>
    <m/>
    <n v="0"/>
    <n v="1"/>
    <n v="0.11841042893228"/>
    <n v="1.8429267442430002E-2"/>
    <n v="54.262325663684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1.7070782066736"/>
    <n v="57.991425415880698"/>
    <n v="4.4008374400000001E-2"/>
  </r>
  <r>
    <n v="830000"/>
    <n v="2400000"/>
    <n v="2400000"/>
    <x v="0"/>
    <x v="0"/>
    <s v="BR3-5, BR-7"/>
    <s v="62-304.520 (10), F.A.C."/>
    <n v="0.59"/>
    <n v="0.64"/>
    <s v="City of Cocoa Beach"/>
    <n v="6.4207472501099996E-3"/>
    <n v="3694.79515072614"/>
    <n v="7.4204488561177397"/>
    <n v="1.01317576059834"/>
    <n v="4.7644826587539997E-2"/>
    <n v="6.50534547874E-3"/>
    <n v="23.723345803766701"/>
    <n v="1450"/>
    <s v="Tourist Services"/>
    <n v="1450"/>
    <s v="City of Cocoa Beach           Brevard County"/>
    <s v="City of Cocoa Beach"/>
    <m/>
    <m/>
    <m/>
    <n v="0"/>
    <n v="1"/>
    <n v="4.7644826587539997E-2"/>
    <n v="6.50534547874E-3"/>
    <n v="23.723345803768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8.084299217341403"/>
    <n v="25.9838422457406"/>
    <n v="1.92403453E-2"/>
  </r>
  <r>
    <n v="830000"/>
    <n v="2400000"/>
    <n v="2400000"/>
    <x v="0"/>
    <x v="0"/>
    <s v="BR3-5, BR-7"/>
    <s v="62-304.520 (10), F.A.C."/>
    <n v="0.59"/>
    <n v="0.64"/>
    <s v="City of Cocoa Beach"/>
    <n v="0.43485406014234002"/>
    <n v="3775.16047431789"/>
    <n v="11.4791547847888"/>
    <n v="1.6211302421941001"/>
    <n v="4.99175706516783"/>
    <n v="0.70495506783763995"/>
    <n v="1641.64385994602"/>
    <n v="1410"/>
    <s v="Retail Sales and Services"/>
    <n v="1410"/>
    <s v="City of Cocoa Beach           Brevard County"/>
    <s v="City of Cocoa Beach"/>
    <m/>
    <m/>
    <m/>
    <n v="0"/>
    <n v="1"/>
    <n v="4.99175706516783"/>
    <n v="0.70495506783763995"/>
    <n v="1955.9213603998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0.40641193747001"/>
    <n v="1759.7919460937501"/>
    <n v="1.5863109168"/>
  </r>
  <r>
    <n v="830000"/>
    <n v="2400000"/>
    <n v="2400000"/>
    <x v="0"/>
    <x v="0"/>
    <s v="BR3-5, BR-7"/>
    <s v="62-304.520 (10), F.A.C."/>
    <n v="0.59"/>
    <n v="0.64"/>
    <s v="City of Cocoa Beach"/>
    <n v="0.55906249795777996"/>
    <n v="3746.85701342926"/>
    <n v="10.7802651989573"/>
    <n v="2.0771628748215498"/>
    <n v="6.0268419907764503"/>
    <n v="1.1612638654628999"/>
    <n v="2094.7272414183899"/>
    <n v="1300"/>
    <s v="Residential, High Density"/>
    <n v="1300"/>
    <s v="City of Cocoa Beach           Brevard County"/>
    <s v="City of Cocoa Beach"/>
    <m/>
    <m/>
    <m/>
    <n v="0"/>
    <n v="1"/>
    <n v="6.0268419907764503"/>
    <n v="1.1612638654628999"/>
    <n v="2094.7272414183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0.546062638069"/>
    <n v="2262.4456603834301"/>
    <n v="1.6988866516000001"/>
  </r>
  <r>
    <n v="830000"/>
    <n v="2400000"/>
    <n v="2400000"/>
    <x v="0"/>
    <x v="0"/>
    <s v="BR3-5, BR-7"/>
    <s v="62-304.520 (10), F.A.C."/>
    <n v="0.59"/>
    <n v="0.64"/>
    <s v="City of Cocoa Beach"/>
    <n v="5.8700955779169998E-2"/>
    <n v="3746.85701342926"/>
    <n v="10.7802651989573"/>
    <n v="2.0771628748215498"/>
    <n v="0.63281187073173994"/>
    <n v="0.12193144606103"/>
    <n v="219.944087856191"/>
    <n v="1300"/>
    <s v="Residential, High Density"/>
    <n v="1300"/>
    <s v="City of Cocoa Beach           Brevard County"/>
    <s v="City of Cocoa Beach"/>
    <m/>
    <m/>
    <m/>
    <n v="0"/>
    <n v="1"/>
    <n v="0.63281187073173994"/>
    <n v="0.12193144606103"/>
    <n v="219.94408785619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550409824605"/>
    <n v="237.55433989596"/>
    <n v="0.17838125539999999"/>
  </r>
  <r>
    <n v="830000"/>
    <n v="2400000"/>
    <n v="2400000"/>
    <x v="0"/>
    <x v="0"/>
    <s v="BR3-5, BR-7"/>
    <s v="62-304.520 (10), F.A.C."/>
    <n v="0.59"/>
    <n v="0.64"/>
    <s v="City of Cocoa Beach"/>
    <n v="0.34375327527121002"/>
    <n v="3882.5397266206"/>
    <n v="8.6413777750127103"/>
    <n v="1.1734423018989799"/>
    <n v="2.9705019130164998"/>
    <n v="0.40337463461957002"/>
    <n v="1334.6357473964399"/>
    <n v="1450"/>
    <s v="Tourist Services"/>
    <n v="1450"/>
    <s v="City of Cocoa Beach           Brevard County"/>
    <s v="City of Cocoa Beach"/>
    <m/>
    <m/>
    <m/>
    <n v="0"/>
    <n v="1"/>
    <n v="2.9705019130164998"/>
    <n v="0.40337463461957002"/>
    <n v="1334.63574739643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7.03306095697499"/>
    <n v="1391.12014975235"/>
    <n v="1.0824296410000001"/>
  </r>
  <r>
    <n v="830000"/>
    <n v="2400000"/>
    <n v="2400000"/>
    <x v="0"/>
    <x v="0"/>
    <s v="BR3-5, BR-7"/>
    <s v="62-304.520 (10), F.A.C."/>
    <n v="0.59"/>
    <n v="0.64"/>
    <s v="City of Cocoa Beach"/>
    <n v="2.04495943044E-2"/>
    <n v="3780.74914054176"/>
    <n v="11.5043232729876"/>
    <n v="1.61699261588536"/>
    <n v="0.23525874367930999"/>
    <n v="3.306684298807E-2"/>
    <n v="77.314786090803196"/>
    <n v="1430"/>
    <s v="Professional Services"/>
    <n v="1430"/>
    <s v="City of Cocoa Beach           Brevard County"/>
    <s v="City of Cocoa Beach"/>
    <m/>
    <m/>
    <m/>
    <n v="0"/>
    <n v="1"/>
    <n v="0.23525874367930999"/>
    <n v="3.306684298807E-2"/>
    <n v="267.519065015272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0.738180368254802"/>
    <n v="82.756572046253197"/>
    <n v="0.21696598950000001"/>
  </r>
  <r>
    <n v="830000"/>
    <n v="2400000"/>
    <n v="2400000"/>
    <x v="0"/>
    <x v="0"/>
    <s v="BR3-5, BR-7"/>
    <s v="62-304.520 (10), F.A.C."/>
    <n v="0.59"/>
    <n v="0.64"/>
    <s v="City of Cocoa Beach"/>
    <n v="1.7023849415000001E-3"/>
    <n v="3780.74914054176"/>
    <n v="11.5043232729876"/>
    <n v="1.61699261588536"/>
    <n v="1.9584786702139999E-2"/>
    <n v="2.7527438798E-3"/>
    <n v="6.4362904044662699"/>
    <n v="1300"/>
    <s v="Residential, High Density"/>
    <n v="1300"/>
    <s v="City of Cocoa Beach           Brevard County"/>
    <s v="City of Cocoa Beach"/>
    <m/>
    <m/>
    <m/>
    <n v="0"/>
    <n v="1"/>
    <n v="1.9584786702139999E-2"/>
    <n v="2.7527438798E-3"/>
    <n v="349.687099295646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.206715089766"/>
    <n v="6.88930743392857"/>
    <n v="0.283606731"/>
  </r>
  <r>
    <n v="830000"/>
    <n v="2400000"/>
    <n v="2400000"/>
    <x v="0"/>
    <x v="0"/>
    <s v="BR3-5, BR-7"/>
    <s v="62-304.520 (10), F.A.C."/>
    <n v="0.59"/>
    <n v="0.64"/>
    <s v="City of Cocoa Beach"/>
    <n v="1.5374372821E-4"/>
    <n v="3776.2696213146801"/>
    <n v="11.6029931252535"/>
    <n v="1.53188387458235"/>
    <n v="1.78388742155E-3"/>
    <n v="2.3551753806999999E-4"/>
    <n v="0.58057777033350999"/>
    <n v="1400"/>
    <s v="Commercial and Services"/>
    <n v="1400"/>
    <s v="City of Cocoa Beach           Brevard County"/>
    <s v="City of Cocoa Beach"/>
    <m/>
    <m/>
    <m/>
    <n v="0"/>
    <n v="1"/>
    <n v="1.78388742155E-3"/>
    <n v="2.3551753806999999E-4"/>
    <n v="0.58057777033294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2.948954134264497"/>
    <n v="0.62217879393807995"/>
    <n v="4.7086600000000001E-4"/>
  </r>
  <r>
    <n v="830000"/>
    <n v="2400000"/>
    <n v="2400000"/>
    <x v="0"/>
    <x v="0"/>
    <s v="BR3-5, BR-7"/>
    <s v="62-304.520 (10), F.A.C."/>
    <n v="0.59"/>
    <n v="0.64"/>
    <s v="FDOT District 5"/>
    <n v="1.8927358357449998E-2"/>
    <n v="3776.2696213146801"/>
    <n v="11.6029931252535"/>
    <n v="1.53188387458235"/>
    <n v="0.21961400890074001"/>
    <n v="2.8994515056219999E-2"/>
    <n v="71.474808376990097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1961400890074001"/>
    <n v="2.8994515056219999E-2"/>
    <n v="71.4748083769913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8.192561663039598"/>
    <n v="76.596301727930197"/>
    <n v="5.7968214400000002E-2"/>
  </r>
  <r>
    <n v="830000"/>
    <n v="2400000"/>
    <n v="2400000"/>
    <x v="0"/>
    <x v="0"/>
    <s v="BR3-5, BR-7"/>
    <s v="62-304.520 (10), F.A.C."/>
    <n v="0.59"/>
    <n v="0.64"/>
    <s v="City of Cocoa Beach"/>
    <n v="0.31399717760319001"/>
    <n v="3776.2696213146801"/>
    <n v="11.6029931252535"/>
    <n v="1.53188387458235"/>
    <n v="3.6433070930789202"/>
    <n v="0.48100721303471"/>
    <n v="1185.7380029614999"/>
    <n v="1410"/>
    <s v="Retail Sales and Services"/>
    <n v="1410"/>
    <s v="City of Cocoa Beach           Brevard County"/>
    <s v="City of Cocoa Beach"/>
    <m/>
    <m/>
    <m/>
    <n v="0"/>
    <n v="1"/>
    <n v="3.6433070930789202"/>
    <n v="0.48100721303471"/>
    <n v="1185.7380029614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0.39302653949301"/>
    <n v="1270.7014947989701"/>
    <n v="0.96166910220000001"/>
  </r>
  <r>
    <n v="830000"/>
    <n v="2400000"/>
    <n v="2400000"/>
    <x v="0"/>
    <x v="0"/>
    <s v="BR3-5, BR-7"/>
    <s v="62-304.520 (10), F.A.C."/>
    <n v="0.59"/>
    <n v="0.64"/>
    <s v="City of Cocoa Beach"/>
    <n v="0.28467620726651"/>
    <n v="3776.2696213146801"/>
    <n v="11.6029931252535"/>
    <n v="1.53188387458235"/>
    <n v="3.3030960758365899"/>
    <n v="0.43609089138883"/>
    <n v="1075.01411341161"/>
    <n v="1410"/>
    <s v="Retail Sales and Services"/>
    <n v="1410"/>
    <s v="City of Cocoa Beach           Brevard County"/>
    <s v="City of Cocoa Beach"/>
    <m/>
    <m/>
    <m/>
    <n v="0"/>
    <n v="1"/>
    <n v="3.3030960758365899"/>
    <n v="0.43609089138883"/>
    <n v="1075.0141134116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61.63843874066202"/>
    <n v="1152.04373768095"/>
    <n v="0.87186870510000003"/>
  </r>
  <r>
    <n v="830000"/>
    <n v="2400000"/>
    <n v="2400000"/>
    <x v="0"/>
    <x v="0"/>
    <s v="BR3-5, BR-7"/>
    <s v="62-304.520 (10), F.A.C."/>
    <n v="0.59"/>
    <n v="0.64"/>
    <s v="FDOT District 5"/>
    <n v="8.966666505E-6"/>
    <n v="3776.2696213146801"/>
    <n v="11.6029931252535"/>
    <n v="1.53188387458235"/>
    <n v="1.0404016981000001E-4"/>
    <n v="1.373589182E-5"/>
    <n v="3.3860550327289997E-2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0404016981000001E-4"/>
    <n v="1.373589182E-5"/>
    <n v="3.386055032614E-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.3051104204329302"/>
    <n v="3.6286811932040003E-2"/>
    <n v="2.7461899999999999E-5"/>
  </r>
  <r>
    <n v="830000"/>
    <n v="2400000"/>
    <n v="2400000"/>
    <x v="0"/>
    <x v="0"/>
    <s v="BR3-5, BR-7"/>
    <s v="62-304.520 (10), F.A.C."/>
    <n v="0.59"/>
    <n v="0.64"/>
    <s v="City of Cocoa Beach"/>
    <n v="0.14453395803576"/>
    <n v="3702.25949186259"/>
    <n v="9.2285786776937293"/>
    <n v="1.3572742639619499"/>
    <n v="1.3338430033315301"/>
    <n v="0.19617222151050001"/>
    <n v="535.10221803437605"/>
    <n v="1200"/>
    <s v="Residential, Medium Density-Two-five dwellingunits per acre"/>
    <n v="1200"/>
    <s v="City of Cocoa Beach           Brevard County"/>
    <s v="City of Cocoa Beach"/>
    <m/>
    <m/>
    <m/>
    <n v="0"/>
    <n v="1"/>
    <n v="1.3338430033315301"/>
    <n v="0.19617222151050001"/>
    <n v="535.102218034376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3.39342192955699"/>
    <n v="584.90817633192205"/>
    <n v="0.43398395620000002"/>
  </r>
  <r>
    <n v="830000"/>
    <n v="2400000"/>
    <n v="2400000"/>
    <x v="0"/>
    <x v="0"/>
    <s v="BR3-5, BR-7"/>
    <s v="62-304.520 (10), F.A.C."/>
    <n v="0.59"/>
    <n v="0.64"/>
    <s v="City of Cocoa Beach"/>
    <n v="4.4796295904399999E-2"/>
    <n v="3702.25949186259"/>
    <n v="9.2285786776937293"/>
    <n v="1.3572742639619499"/>
    <n v="0.41340614122303998"/>
    <n v="6.080085955187E-2"/>
    <n v="165.847511712364"/>
    <n v="1210"/>
    <s v="Fixed Single Family Units"/>
    <n v="1210"/>
    <s v="City of Cocoa Beach           Brevard County"/>
    <s v="City of Cocoa Beach"/>
    <m/>
    <m/>
    <m/>
    <n v="0"/>
    <n v="1"/>
    <n v="0.41340614122303998"/>
    <n v="6.080085955187E-2"/>
    <n v="165.84751171236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5.085467789020996"/>
    <n v="181.28417778046801"/>
    <n v="0.1345073088"/>
  </r>
  <r>
    <n v="830000"/>
    <n v="2400000"/>
    <n v="2400000"/>
    <x v="0"/>
    <x v="0"/>
    <s v="BR3-5, BR-7"/>
    <s v="62-304.520 (10), F.A.C."/>
    <n v="0.59"/>
    <n v="0.64"/>
    <s v="City of Cocoa Beach"/>
    <n v="0.35477297885690001"/>
    <n v="3702.25949186259"/>
    <n v="9.2285786776937293"/>
    <n v="1.3572742639619499"/>
    <n v="3.2740503481007002"/>
    <n v="0.48152423375158998"/>
    <n v="1313.4616284293299"/>
    <n v="1210"/>
    <s v="Fixed Single Family Units"/>
    <n v="1210"/>
    <s v="City of Cocoa Beach           Brevard County"/>
    <s v="City of Cocoa Beach"/>
    <m/>
    <m/>
    <m/>
    <n v="0"/>
    <n v="1"/>
    <n v="3.2740503481007002"/>
    <n v="0.48152423375158998"/>
    <n v="1313.4616284293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2.90116372095301"/>
    <n v="1435.71530798103"/>
    <n v="1.0652567952000001"/>
  </r>
  <r>
    <n v="830000"/>
    <n v="2400000"/>
    <n v="2400000"/>
    <x v="0"/>
    <x v="0"/>
    <s v="BR3-5, BR-7"/>
    <s v="62-304.520 (10), F.A.C."/>
    <n v="0.59"/>
    <n v="0.64"/>
    <s v="City of Cocoa Beach"/>
    <n v="7.3660221008920002E-2"/>
    <n v="3702.25949186259"/>
    <n v="9.2285786776937293"/>
    <n v="1.3572742639619499"/>
    <n v="0.67977914499715997"/>
    <n v="9.9977122253159995E-2"/>
    <n v="272.70925240298499"/>
    <n v="1210"/>
    <s v="Fixed Single Family Units"/>
    <n v="1210"/>
    <s v="City of Cocoa Beach           Brevard County"/>
    <s v="City of Cocoa Beach"/>
    <m/>
    <m/>
    <m/>
    <n v="0"/>
    <n v="1"/>
    <n v="0.67977914499715997"/>
    <n v="9.9977122253159995E-2"/>
    <n v="272.70925240298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3.764024110622699"/>
    <n v="298.09233846536603"/>
    <n v="0.22117538719999999"/>
  </r>
  <r>
    <n v="830000"/>
    <n v="2400000"/>
    <n v="2400000"/>
    <x v="0"/>
    <x v="0"/>
    <s v="BR3-5, BR-7"/>
    <s v="62-304.520 (10), F.A.C."/>
    <n v="0.59"/>
    <n v="0.64"/>
    <s v="City of Cocoa Beach"/>
    <n v="0.61776345362188001"/>
    <n v="3771.2814536432602"/>
    <n v="11.776536113031201"/>
    <n v="1.5529253254695701"/>
    <n v="7.2751136208890204"/>
    <n v="0.95934051227896999"/>
    <n v="2329.7598553828302"/>
    <n v="1450"/>
    <s v="Tourist Services"/>
    <n v="1450"/>
    <s v="City of Cocoa Beach           Brevard County"/>
    <s v="City of Cocoa Beach"/>
    <m/>
    <m/>
    <m/>
    <n v="0"/>
    <n v="1"/>
    <n v="7.2751136208890204"/>
    <n v="0.95934051227896999"/>
    <n v="2329.7598553828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9254899"/>
    <n v="2499.99999981373"/>
    <n v="1.8895051544000001"/>
  </r>
  <r>
    <n v="830000"/>
    <n v="2400000"/>
    <n v="2400000"/>
    <x v="0"/>
    <x v="0"/>
    <s v="BR3-5, BR-7"/>
    <s v="62-304.520 (10), F.A.C."/>
    <n v="0.59"/>
    <n v="0.64"/>
    <s v="City of Cocoa Beach"/>
    <n v="0.61771281999769001"/>
    <n v="3752.9178027972498"/>
    <n v="10.7970529175549"/>
    <n v="2.0803219521854901"/>
    <n v="6.6694780053671696"/>
    <n v="1.2850415395876"/>
    <n v="2318.2254391854299"/>
    <n v="1300"/>
    <s v="Residential, High Density"/>
    <n v="1300"/>
    <s v="City of Cocoa Beach           Brevard County"/>
    <s v="City of Cocoa Beach"/>
    <m/>
    <m/>
    <m/>
    <n v="0"/>
    <n v="1"/>
    <n v="6.6694780053671696"/>
    <n v="1.2850415395876"/>
    <n v="2318.2254391854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87869458367601"/>
    <n v="2499.7950928064702"/>
    <n v="1.8801503966999999"/>
  </r>
  <r>
    <n v="830000"/>
    <n v="2400000"/>
    <n v="2400000"/>
    <x v="0"/>
    <x v="0"/>
    <s v="BR3-5, BR-7"/>
    <s v="62-304.520 (10), F.A.C."/>
    <n v="0.59"/>
    <n v="0.64"/>
    <s v="City of Cocoa Beach"/>
    <n v="5.0633716240000002E-5"/>
    <n v="3752.9178027972498"/>
    <n v="10.7970529175549"/>
    <n v="2.0803219521854901"/>
    <n v="5.4669491374999995E-4"/>
    <n v="1.0533443143000001E-4"/>
    <n v="0.19002417513264999"/>
    <n v="1300"/>
    <s v="Residential, High Density"/>
    <n v="1300"/>
    <s v="City of Cocoa Beach           Brevard County"/>
    <s v="City of Cocoa Beach"/>
    <m/>
    <m/>
    <m/>
    <n v="0"/>
    <n v="1"/>
    <n v="5.4669491374999995E-4"/>
    <n v="1.0533443143000001E-4"/>
    <n v="0.19002417513124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.7567425565936201"/>
    <n v="0.20490737979071999"/>
    <n v="1.5411529999999999E-4"/>
  </r>
  <r>
    <n v="830000"/>
    <n v="2400000"/>
    <n v="2400000"/>
    <x v="0"/>
    <x v="0"/>
    <s v="BR3-5, BR-7"/>
    <s v="62-304.520 (10), F.A.C."/>
    <n v="0.59"/>
    <n v="0.64"/>
    <s v="City of Cocoa Beach"/>
    <n v="0.11476303874322"/>
    <n v="3725.5452556959399"/>
    <n v="8.4578375471489107"/>
    <n v="1.1916338024236599"/>
    <n v="0.97064713810734005"/>
    <n v="0.13675551623528001"/>
    <n v="427.55489451906698"/>
    <n v="1410"/>
    <s v="Retail Sales and Services"/>
    <n v="1410"/>
    <s v="City of Cocoa Beach           Brevard County"/>
    <s v="City of Cocoa Beach"/>
    <m/>
    <m/>
    <m/>
    <n v="0"/>
    <n v="1"/>
    <n v="0.97064713810734005"/>
    <n v="0.13675551623528001"/>
    <n v="427.554894519066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551455248595"/>
    <n v="464.42954039215499"/>
    <n v="0.3467598496"/>
  </r>
  <r>
    <n v="830000"/>
    <n v="2400000"/>
    <n v="2400000"/>
    <x v="0"/>
    <x v="0"/>
    <s v="BR3-5, BR-7"/>
    <s v="62-304.520 (10), F.A.C."/>
    <n v="0.59"/>
    <n v="0.64"/>
    <s v="City of Cocoa Beach"/>
    <n v="9.2869373591600007E-3"/>
    <n v="3725.5452556959399"/>
    <n v="8.4578375471489107"/>
    <n v="1.1916338024236599"/>
    <n v="7.8547407494329993E-2"/>
    <n v="1.106662847816E-2"/>
    <n v="34.5989054183676"/>
    <n v="1300"/>
    <s v="Residential, High Density"/>
    <n v="1300"/>
    <s v="City of Cocoa Beach           Brevard County"/>
    <s v="City of Cocoa Beach"/>
    <m/>
    <m/>
    <m/>
    <n v="0"/>
    <n v="1"/>
    <n v="7.8547407494329993E-2"/>
    <n v="1.106662847816E-2"/>
    <n v="34.5989054183672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5.666910699536"/>
    <n v="37.5829020963467"/>
    <n v="2.8060750499999999E-2"/>
  </r>
  <r>
    <n v="830000"/>
    <n v="2400000"/>
    <n v="2400000"/>
    <x v="0"/>
    <x v="0"/>
    <s v="BR3-5, BR-7"/>
    <s v="62-304.520 (10), F.A.C."/>
    <n v="0.59"/>
    <n v="0.64"/>
    <s v="City of Cocoa Beach"/>
    <n v="3.7948086799909998E-2"/>
    <n v="3725.5452556959399"/>
    <n v="8.4578375471489107"/>
    <n v="1.1916338024236599"/>
    <n v="0.32095875337878998"/>
    <n v="4.5220222968080002E-2"/>
    <n v="141.377314740164"/>
    <n v="1300"/>
    <s v="Residential, High Density"/>
    <n v="1300"/>
    <s v="City of Cocoa Beach           Brevard County"/>
    <s v="City of Cocoa Beach"/>
    <m/>
    <m/>
    <m/>
    <n v="0"/>
    <n v="1"/>
    <n v="0.32095875337878998"/>
    <n v="4.5220222968080002E-2"/>
    <n v="141.37731474016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0.744344280592699"/>
    <n v="153.570458784034"/>
    <n v="0.1146612447"/>
  </r>
  <r>
    <n v="830000"/>
    <n v="2400000"/>
    <n v="2400000"/>
    <x v="0"/>
    <x v="0"/>
    <s v="BR3-5, BR-7"/>
    <s v="62-304.520 (10), F.A.C."/>
    <n v="0.59"/>
    <n v="0.64"/>
    <s v="Natural Lands"/>
    <n v="0.39734522176720999"/>
    <n v="3253.01849428888"/>
    <n v="6.6497698063162902"/>
    <n v="0.89634308465292001"/>
    <n v="2.6422542583916799"/>
    <n v="0.35615764175092002"/>
    <n v="1292.57135502607"/>
    <n v="4200"/>
    <s v="Upland Hardwood Forest"/>
    <n v="4200"/>
    <s v="City of Cocoa Beach           Brevard County"/>
    <s v="City of Cocoa Beach"/>
    <m/>
    <m/>
    <s v="Natural Lands"/>
    <n v="0"/>
    <n v="1"/>
    <n v="2.6422542583916799"/>
    <n v="0.35615764175092002"/>
    <n v="1292.571355026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4.73304059501001"/>
    <n v="1607.99906261861"/>
    <n v="1.0483141565"/>
  </r>
  <r>
    <n v="830000"/>
    <n v="2400000"/>
    <n v="2400000"/>
    <x v="0"/>
    <x v="0"/>
    <s v="BR3-5, BR-7"/>
    <s v="62-304.520 (10), F.A.C."/>
    <n v="0.59"/>
    <n v="0.64"/>
    <s v="FDOT District 5"/>
    <n v="9.1233992737850003E-2"/>
    <n v="3253.01849428888"/>
    <n v="6.6497698063162902"/>
    <n v="0.89634308465292001"/>
    <n v="0.60668505021784003"/>
    <n v="8.1776958475840003E-2"/>
    <n v="296.785865684047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60668505021784003"/>
    <n v="8.1776958475840003E-2"/>
    <n v="296.78586568404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4.52557179735901"/>
    <n v="369.21086945236601"/>
    <n v="0.24070224309999999"/>
  </r>
  <r>
    <n v="830000"/>
    <n v="2400000"/>
    <n v="2400000"/>
    <x v="0"/>
    <x v="0"/>
    <s v="BR3-5, BR-7"/>
    <s v="62-304.520 (10), F.A.C."/>
    <n v="0.59"/>
    <n v="0.64"/>
    <s v="FDOT District 5"/>
    <n v="0.12918423918585001"/>
    <n v="3253.01849428888"/>
    <n v="6.6497698063162902"/>
    <n v="0.89634308465292001"/>
    <n v="0.85904545319005998"/>
    <n v="0.11579339944038999"/>
    <n v="420.23871924223801"/>
    <n v="8140"/>
    <s v="Roads and Highways"/>
    <n v="8140"/>
    <s v="FDOT District 5                                 City of Cocoa Beach           Brevard County"/>
    <s v="FDOT District 5"/>
    <m/>
    <m/>
    <m/>
    <n v="0"/>
    <n v="1"/>
    <n v="0.85904545319005998"/>
    <n v="0.11579339944038999"/>
    <n v="420.23871924223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0.946995078388"/>
    <n v="522.79006802215304"/>
    <n v="0.34082621190000001"/>
  </r>
  <r>
    <n v="830000"/>
    <n v="2400000"/>
    <n v="2400000"/>
    <x v="0"/>
    <x v="0"/>
    <s v="BR3-5, BR-7"/>
    <s v="62-304.520 (10), F.A.C."/>
    <n v="0.59"/>
    <n v="0.64"/>
    <s v="City of Cocoa Beach"/>
    <n v="0.29836104550663001"/>
    <n v="3752.2321466220101"/>
    <n v="10.7949726472352"/>
    <n v="2.0799086135623499"/>
    <n v="3.2207993252446201"/>
    <n v="0.62056370850070997"/>
    <n v="1119.51990624974"/>
    <n v="1300"/>
    <s v="Residential, High Density"/>
    <n v="1300"/>
    <s v="City of Cocoa Beach           Brevard County"/>
    <s v="City of Cocoa Beach"/>
    <m/>
    <m/>
    <m/>
    <n v="0"/>
    <n v="1"/>
    <n v="3.2207993252446201"/>
    <n v="0.62056370850070997"/>
    <n v="1119.5199062497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31933719216701"/>
    <n v="1207.4243132024999"/>
    <n v="0.90796423859999997"/>
  </r>
  <r>
    <n v="830000"/>
    <n v="2400000"/>
    <n v="2400000"/>
    <x v="0"/>
    <x v="0"/>
    <s v="BR3-5, BR-7"/>
    <s v="62-304.520 (10), F.A.C."/>
    <n v="0.59"/>
    <n v="0.64"/>
    <s v="City of Cocoa Beach"/>
    <n v="3.9518509131429999E-2"/>
    <n v="3752.2321466220101"/>
    <n v="10.7949726472352"/>
    <n v="2.0799086135623499"/>
    <n v="0.42660122513336002"/>
    <n v="8.2194887537610006E-2"/>
    <n v="148.28262034954901"/>
    <n v="1300"/>
    <s v="Residential, High Density"/>
    <n v="1300"/>
    <s v="City of Cocoa Beach           Brevard County"/>
    <s v="City of Cocoa Beach"/>
    <m/>
    <m/>
    <m/>
    <n v="0"/>
    <n v="1"/>
    <n v="0.42660122513336002"/>
    <n v="8.2194887537610006E-2"/>
    <n v="148.28262034954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405679069456"/>
    <n v="159.92573248222399"/>
    <n v="0.12026165480000001"/>
  </r>
  <r>
    <n v="830000"/>
    <n v="2400000"/>
    <n v="2400000"/>
    <x v="0"/>
    <x v="0"/>
    <s v="BR3-5, BR-7"/>
    <s v="62-304.520 (10), F.A.C."/>
    <n v="0.59"/>
    <n v="0.64"/>
    <s v="City of Cocoa Beach"/>
    <n v="0.27988389909888001"/>
    <n v="3752.2321466220101"/>
    <n v="10.7949726472352"/>
    <n v="2.0799086135623499"/>
    <n v="3.0213390351739902"/>
    <n v="0.58213293253317999"/>
    <n v="1050.18936352074"/>
    <n v="1300"/>
    <s v="Residential, High Density"/>
    <n v="1300"/>
    <s v="City of Cocoa Beach           Brevard County"/>
    <s v="City of Cocoa Beach"/>
    <m/>
    <m/>
    <m/>
    <n v="0"/>
    <n v="1"/>
    <n v="3.0213390351739902"/>
    <n v="0.58213293253317999"/>
    <n v="1050.1893635207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5.33701261802099"/>
    <n v="1132.6499545946699"/>
    <n v="0.85173508799999997"/>
  </r>
  <r>
    <n v="830000"/>
    <n v="2400000"/>
    <n v="2400000"/>
    <x v="0"/>
    <x v="0"/>
    <s v="BR3-5, BR-7"/>
    <s v="62-304.520 (10), F.A.C."/>
    <n v="0.59"/>
    <n v="0.64"/>
    <s v="Natural Lands"/>
    <n v="0.38419628608183998"/>
    <n v="3280.3144795971998"/>
    <n v="6.7570403898828602"/>
    <n v="0.90898801609568003"/>
    <n v="2.5960298226980298"/>
    <n v="0.34922981987686003"/>
    <n v="1260.2846402417499"/>
    <n v="4200"/>
    <s v="Upland Hardwood Forest"/>
    <n v="4200"/>
    <s v="City of Cocoa Beach           Brevard County"/>
    <s v="City of Cocoa Beach"/>
    <m/>
    <m/>
    <s v="Natural Lands"/>
    <n v="0"/>
    <n v="1"/>
    <n v="2.5960298226980298"/>
    <n v="0.34922981987686003"/>
    <n v="1260.2846402417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2.54857335099601"/>
    <n v="1554.7872077925399"/>
    <n v="1.0221286620000001"/>
  </r>
  <r>
    <n v="830000"/>
    <n v="2400000"/>
    <n v="2400000"/>
    <x v="0"/>
    <x v="0"/>
    <s v="BR3-5, BR-7"/>
    <s v="62-304.520 (10), F.A.C."/>
    <n v="0.59"/>
    <n v="0.64"/>
    <s v="FDOT District 5"/>
    <n v="8.0083399260519994E-2"/>
    <n v="3280.3144795971998"/>
    <n v="6.7570403898828602"/>
    <n v="0.90898801609568003"/>
    <n v="0.54112676336247001"/>
    <n v="7.2794850216020002E-2"/>
    <n v="262.69873416966101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54112676336247001"/>
    <n v="7.2794850216020002E-2"/>
    <n v="262.69873416965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31223621907399"/>
    <n v="324.08601862507402"/>
    <n v="0.21305655649999999"/>
  </r>
  <r>
    <n v="830000"/>
    <n v="2400000"/>
    <n v="2400000"/>
    <x v="0"/>
    <x v="0"/>
    <s v="BR3-5, BR-7"/>
    <s v="62-304.520 (10), F.A.C."/>
    <n v="0.59"/>
    <n v="0.64"/>
    <s v="FDOT District 5"/>
    <n v="0.15348376841759001"/>
    <n v="3280.3144795971998"/>
    <n v="6.7570403898828602"/>
    <n v="0.90898801609568003"/>
    <n v="1.0370960223891299"/>
    <n v="0.13951490615680001"/>
    <n v="503.47502792338702"/>
    <n v="8140"/>
    <s v="Roads and Highways"/>
    <n v="8140"/>
    <s v="FDOT District 5                                 City of Cocoa Beach           Brevard County"/>
    <s v="FDOT District 5"/>
    <m/>
    <m/>
    <m/>
    <n v="0"/>
    <n v="1"/>
    <n v="1.0370960223891299"/>
    <n v="0.13951490615680001"/>
    <n v="503.475027923387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4.21061232769"/>
    <n v="621.12677395490505"/>
    <n v="0.40833335599999998"/>
  </r>
  <r>
    <n v="830000"/>
    <n v="2400000"/>
    <n v="2400000"/>
    <x v="0"/>
    <x v="0"/>
    <s v="BR3-5, BR-7"/>
    <s v="62-304.520 (10), F.A.C."/>
    <n v="0.59"/>
    <n v="0.64"/>
    <s v="City of Cocoa Beach"/>
    <n v="0.26746006067213002"/>
    <n v="3753.8259817634798"/>
    <n v="9.6361025859285494"/>
    <n v="1.36153364180382"/>
    <n v="2.5772725822753699"/>
    <n v="0.364155870444"/>
    <n v="1003.9985248351001"/>
    <n v="1430"/>
    <s v="Professional Services"/>
    <n v="1430"/>
    <s v="City of Cocoa Beach           Brevard County"/>
    <s v="City of Cocoa Beach"/>
    <m/>
    <m/>
    <m/>
    <n v="0"/>
    <n v="1"/>
    <n v="2.5772725822753699"/>
    <n v="0.364155870444"/>
    <n v="1003.9985248351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7.12792656821199"/>
    <n v="1082.37246426652"/>
    <n v="0.81427293170000004"/>
  </r>
  <r>
    <n v="830000"/>
    <n v="2400000"/>
    <n v="2400000"/>
    <x v="0"/>
    <x v="0"/>
    <s v="BR3-5, BR-7"/>
    <s v="62-304.520 (10), F.A.C."/>
    <n v="0.59"/>
    <n v="0.64"/>
    <s v="City of Cocoa Beach"/>
    <n v="6.96831353668E-2"/>
    <n v="3753.8259817634798"/>
    <n v="9.6361025859285494"/>
    <n v="1.36153364180382"/>
    <n v="0.67147384090365003"/>
    <n v="9.4875933068269996E-2"/>
    <n v="261.578364030643"/>
    <n v="1300"/>
    <s v="Residential, High Density"/>
    <n v="1300"/>
    <s v="City of Cocoa Beach           Brevard County"/>
    <s v="City of Cocoa Beach"/>
    <m/>
    <m/>
    <m/>
    <n v="0"/>
    <n v="1"/>
    <n v="0.67147384090365003"/>
    <n v="9.4875933068269996E-2"/>
    <n v="261.578364030644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1.246035802053"/>
    <n v="281.99764389211202"/>
    <n v="0.2121479027"/>
  </r>
  <r>
    <n v="830000"/>
    <n v="2400000"/>
    <n v="2400000"/>
    <x v="0"/>
    <x v="0"/>
    <s v="BR3-5, BR-7"/>
    <s v="62-304.520 (10), F.A.C."/>
    <n v="0.59"/>
    <n v="0.64"/>
    <s v="City of Cocoa Beach"/>
    <n v="0.61776345373694996"/>
    <n v="3747.7351297346399"/>
    <n v="10.782714416832"/>
    <n v="2.0776258092302702"/>
    <n v="6.6611668988014401"/>
    <n v="1.2834812954831301"/>
    <n v="2315.2137974361799"/>
    <n v="1300"/>
    <s v="Residential, High Density"/>
    <n v="1300"/>
    <s v="City of Cocoa Beach           Brevard County"/>
    <s v="City of Cocoa Beach"/>
    <m/>
    <m/>
    <m/>
    <n v="0"/>
    <n v="1"/>
    <n v="6.6611668988014401"/>
    <n v="1.2834812954831301"/>
    <n v="2315.2137974361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1117499"/>
    <n v="2500.00000027939"/>
    <n v="1.8777078649000001"/>
  </r>
  <r>
    <n v="830000"/>
    <n v="2400000"/>
    <n v="2400000"/>
    <x v="0"/>
    <x v="0"/>
    <s v="BR3-5, BR-7"/>
    <s v="62-304.520 (10), F.A.C."/>
    <n v="0.59"/>
    <n v="0.64"/>
    <s v="Natural Lands"/>
    <n v="2.3591148970669999E-2"/>
    <n v="1414.03404281178"/>
    <n v="4.2071112166454396"/>
    <n v="0.82677034458118004"/>
    <n v="9.9250587448069999E-2"/>
    <n v="1.9504462363549999E-2"/>
    <n v="33.3586877535772"/>
    <n v="5400"/>
    <s v="Bays and estuaries"/>
    <n v="5400"/>
    <s v="City of Cocoa Beach           Brevard County"/>
    <s v="City of Cocoa Beach"/>
    <m/>
    <m/>
    <s v="Natural Lands"/>
    <n v="0"/>
    <n v="1"/>
    <n v="9.9250587448069999E-2"/>
    <n v="1.9504462363549999E-2"/>
    <n v="359.20347317037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933896542114"/>
    <n v="95.469992723765301"/>
    <n v="0.29132479579999998"/>
  </r>
  <r>
    <n v="830000"/>
    <n v="2400000"/>
    <n v="2400000"/>
    <x v="0"/>
    <x v="0"/>
    <s v="BR3-5, BR-7"/>
    <s v="62-304.520 (10), F.A.C."/>
    <n v="0.59"/>
    <n v="0.64"/>
    <s v="City of Cocoa Beach"/>
    <n v="0.25171481570010001"/>
    <n v="1414.03404281178"/>
    <n v="4.2071112166454396"/>
    <n v="0.82677034458118004"/>
    <n v="1.0589922245277501"/>
    <n v="0.20811034491256"/>
    <n v="355.93331848004198"/>
    <n v="1300"/>
    <s v="Residential, High Density"/>
    <n v="1300"/>
    <s v="City of Cocoa Beach           Brevard County"/>
    <s v="City of Cocoa Beach"/>
    <m/>
    <m/>
    <m/>
    <n v="0"/>
    <n v="1"/>
    <n v="1.0589922245277501"/>
    <n v="0.20811034491256"/>
    <n v="363.89098730978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9.47006359573899"/>
    <n v="1018.6537185292"/>
    <n v="0.29512651039999999"/>
  </r>
  <r>
    <n v="830000"/>
    <n v="2400000"/>
    <n v="2400000"/>
    <x v="0"/>
    <x v="0"/>
    <s v="BR3-5, BR-7"/>
    <s v="62-304.520 (10), F.A.C."/>
    <n v="0.59"/>
    <n v="0.64"/>
    <s v="City of Cocoa Beach"/>
    <n v="3.7123622757250001E-2"/>
    <n v="3773.5392049614502"/>
    <n v="11.594993325188099"/>
    <n v="1.53082384235918"/>
    <n v="0.43044815807717002"/>
    <n v="5.682972683155E-2"/>
    <n v="140.08744590470101"/>
    <n v="1400"/>
    <s v="Commercial and Services"/>
    <n v="1400"/>
    <s v="City of Cocoa Beach           Brevard County"/>
    <s v="City of Cocoa Beach"/>
    <m/>
    <m/>
    <m/>
    <n v="0"/>
    <n v="1"/>
    <n v="0.43044815807717002"/>
    <n v="5.682972683155E-2"/>
    <n v="362.05880434773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8.603136592935101"/>
    <n v="150.23397117795099"/>
    <n v="0.29364055500000003"/>
  </r>
  <r>
    <n v="830000"/>
    <n v="2400000"/>
    <n v="2400000"/>
    <x v="0"/>
    <x v="0"/>
    <s v="BR3-5, BR-7"/>
    <s v="62-304.520 (10), F.A.C."/>
    <n v="0.59"/>
    <n v="0.64"/>
    <s v="FDOT District 5"/>
    <n v="2.3601387652509999E-2"/>
    <n v="3773.5392049614502"/>
    <n v="11.594993325188099"/>
    <n v="1.53082384235918"/>
    <n v="0.27365793229613"/>
    <n v="3.6129566931229998E-2"/>
    <n v="89.0607615982737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7365793229613"/>
    <n v="3.6129566931229998E-2"/>
    <n v="603.7854091401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0.244697888171999"/>
    <n v="95.511427199147903"/>
    <n v="0.48968808530000002"/>
  </r>
  <r>
    <n v="830000"/>
    <n v="2400000"/>
    <n v="2400000"/>
    <x v="0"/>
    <x v="0"/>
    <s v="BR3-5, BR-7"/>
    <s v="62-304.520 (10), F.A.C."/>
    <n v="0.59"/>
    <n v="0.64"/>
    <s v="City of Cocoa Beach"/>
    <n v="8.9019273779999996E-4"/>
    <n v="3773.5392049614502"/>
    <n v="11.594993325188099"/>
    <n v="1.53082384235918"/>
    <n v="1.032177885292E-2"/>
    <n v="1.36272826731E-3"/>
    <n v="3.3591771960602701"/>
    <n v="1410"/>
    <s v="Retail Sales and Services"/>
    <n v="1410"/>
    <s v="City of Cocoa Beach           Brevard County"/>
    <s v="City of Cocoa Beach"/>
    <m/>
    <m/>
    <m/>
    <n v="0"/>
    <n v="1"/>
    <n v="1.032177885292E-2"/>
    <n v="1.36272826731E-3"/>
    <n v="3.35917719606093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9.137524153883099"/>
    <n v="3.60248219814049"/>
    <n v="2.7243935E-3"/>
  </r>
  <r>
    <n v="830000"/>
    <n v="2400000"/>
    <n v="2400000"/>
    <x v="0"/>
    <x v="0"/>
    <s v="BR3-5, BR-7"/>
    <s v="62-304.520 (10), F.A.C."/>
    <n v="0.59"/>
    <n v="0.64"/>
    <s v="FDOT District 5"/>
    <n v="1.981034955E-5"/>
    <n v="3773.5392049614502"/>
    <n v="11.594993325188099"/>
    <n v="1.53082384235918"/>
    <n v="2.2970087083999999E-4"/>
    <n v="3.0326155420000001E-5"/>
    <n v="7.4755130705999998E-2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2.2970087083999999E-4"/>
    <n v="3.0326155420000001E-5"/>
    <n v="7.475513070433E-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.3290913937878099"/>
    <n v="8.0169640320790006E-2"/>
    <n v="6.0628699999999998E-5"/>
  </r>
  <r>
    <n v="830000"/>
    <n v="2400000"/>
    <n v="2400000"/>
    <x v="0"/>
    <x v="0"/>
    <s v="BR3-5, BR-7"/>
    <s v="62-304.520 (10), F.A.C."/>
    <n v="0.59"/>
    <n v="0.64"/>
    <s v="City of Cocoa Beach"/>
    <n v="0.18571286266668999"/>
    <n v="3789.9796564611902"/>
    <n v="10.142130087959"/>
    <n v="1.8062151284571599"/>
    <n v="1.88352401217291"/>
    <n v="0.33543738209766999"/>
    <n v="703.84797144995196"/>
    <n v="1430"/>
    <s v="Professional Services"/>
    <n v="1430"/>
    <s v="City of Cocoa Beach           Brevard County"/>
    <s v="City of Cocoa Beach"/>
    <m/>
    <m/>
    <m/>
    <n v="0"/>
    <n v="1"/>
    <n v="1.88352401217291"/>
    <n v="0.33543738209766999"/>
    <n v="703.847971449951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1.236256768356"/>
    <n v="751.55329100501206"/>
    <n v="0.570841826"/>
  </r>
  <r>
    <n v="830000"/>
    <n v="2400000"/>
    <n v="2400000"/>
    <x v="0"/>
    <x v="0"/>
    <s v="BR3-5, BR-7"/>
    <s v="62-304.520 (10), F.A.C."/>
    <n v="0.59"/>
    <n v="0.64"/>
    <s v="City of Cocoa Beach"/>
    <n v="0.43205059107025001"/>
    <n v="3789.9796564611902"/>
    <n v="10.142130087959"/>
    <n v="1.8062151284571599"/>
    <n v="4.3819132992141396"/>
    <n v="0.78037631384994999"/>
    <n v="1637.4629507182999"/>
    <n v="1300"/>
    <s v="Residential, High Density"/>
    <n v="1300"/>
    <s v="City of Cocoa Beach           Brevard County"/>
    <s v="City of Cocoa Beach"/>
    <m/>
    <m/>
    <m/>
    <n v="0"/>
    <n v="1"/>
    <n v="4.3819132992141396"/>
    <n v="0.78037631384994999"/>
    <n v="1637.4629507182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801874489884"/>
    <n v="1748.4467092743801"/>
    <n v="1.3280315901999999"/>
  </r>
  <r>
    <n v="830000"/>
    <n v="2400000"/>
    <n v="2400000"/>
    <x v="0"/>
    <x v="0"/>
    <s v="BR3-5, BR-7"/>
    <s v="62-304.520 (10), F.A.C."/>
    <n v="0.59"/>
    <n v="0.64"/>
    <s v="City of Cocoa Beach"/>
    <n v="7.9914706095829999E-2"/>
    <n v="3773.7335084823499"/>
    <n v="9.2915667043999406"/>
    <n v="1.60816480371724"/>
    <n v="0.74253282235198004"/>
    <n v="0.12851601764272999"/>
    <n v="301.576804214378"/>
    <n v="1300"/>
    <s v="Residential, High Density"/>
    <n v="1300"/>
    <s v="City of Cocoa Beach           Brevard County"/>
    <s v="City of Cocoa Beach"/>
    <m/>
    <m/>
    <m/>
    <n v="0"/>
    <n v="1"/>
    <n v="0.74253282235198004"/>
    <n v="0.12851601764272999"/>
    <n v="301.57680421437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2.400643737266194"/>
    <n v="323.40334160814501"/>
    <n v="0.244587838"/>
  </r>
  <r>
    <n v="830000"/>
    <n v="2400000"/>
    <n v="2400000"/>
    <x v="0"/>
    <x v="0"/>
    <s v="BR3-5, BR-7"/>
    <s v="62-304.520 (10), F.A.C."/>
    <n v="0.59"/>
    <n v="0.64"/>
    <s v="City of Cocoa Beach"/>
    <n v="0.11700975770782"/>
    <n v="3773.7335084823499"/>
    <n v="9.2915667043999406"/>
    <n v="1.60816480371724"/>
    <n v="1.0872039688079"/>
    <n v="0.18817097403720001"/>
    <n v="441.56364348140801"/>
    <n v="1300"/>
    <s v="Residential, High Density"/>
    <n v="1300"/>
    <s v="City of Cocoa Beach           Brevard County"/>
    <s v="City of Cocoa Beach"/>
    <m/>
    <m/>
    <m/>
    <n v="0"/>
    <n v="1"/>
    <n v="1.0872039688079"/>
    <n v="0.18817097403720001"/>
    <n v="441.56364348140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2.126734128965794"/>
    <n v="473.52168946336502"/>
    <n v="0.3581213654"/>
  </r>
  <r>
    <n v="830000"/>
    <n v="2400000"/>
    <n v="2400000"/>
    <x v="0"/>
    <x v="0"/>
    <s v="BR3-5, BR-7"/>
    <s v="62-304.520 (10), F.A.C."/>
    <n v="0.59"/>
    <n v="0.64"/>
    <s v="FDOT District 5"/>
    <n v="3.8091023444719999E-2"/>
    <n v="3752.2490536059199"/>
    <n v="10.4180301627669"/>
    <n v="1.9097355296182801"/>
    <n v="0.39683343117775"/>
    <n v="7.2743780831900001E-2"/>
    <n v="142.927006671330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39683343117775"/>
    <n v="7.2743780831900001E-2"/>
    <n v="142.92700667132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60764510134899"/>
    <n v="154.148902863053"/>
    <n v="0.11591809140000001"/>
  </r>
  <r>
    <n v="830000"/>
    <n v="2400000"/>
    <n v="2400000"/>
    <x v="0"/>
    <x v="0"/>
    <s v="BR3-5, BR-7"/>
    <s v="62-304.520 (10), F.A.C."/>
    <n v="0.59"/>
    <n v="0.64"/>
    <s v="FDOT District 5"/>
    <n v="0.11150632715774"/>
    <n v="3752.2490536059199"/>
    <n v="10.4180301627669"/>
    <n v="1.9097355296182801"/>
    <n v="1.1616762796687501"/>
    <n v="0.21294759475038"/>
    <n v="418.39951054872103"/>
    <n v="8140"/>
    <s v="Roads and Highways"/>
    <n v="8140"/>
    <s v="FDOT District 5                                 City of Cocoa Beach           Brevard County"/>
    <s v="FDOT District 5"/>
    <m/>
    <m/>
    <m/>
    <n v="0"/>
    <n v="1"/>
    <n v="1.1616762796687501"/>
    <n v="0.21294759475038"/>
    <n v="418.399510548721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9.015412222769"/>
    <n v="451.25009619655498"/>
    <n v="0.33933455839999999"/>
  </r>
  <r>
    <n v="830000"/>
    <n v="2400000"/>
    <n v="2400000"/>
    <x v="0"/>
    <x v="0"/>
    <s v="BR3-5, BR-7"/>
    <s v="62-304.520 (10), F.A.C."/>
    <n v="0.59"/>
    <n v="0.64"/>
    <s v="City of Cocoa Beach"/>
    <n v="0.39936462340152001"/>
    <n v="3752.2490536059199"/>
    <n v="10.4180301627669"/>
    <n v="1.9097355296182801"/>
    <n v="4.1605926925391499"/>
    <n v="0.76268081058251003"/>
    <n v="1498.5155302020501"/>
    <n v="1300"/>
    <s v="Residential, High Density"/>
    <n v="1300"/>
    <s v="City of Cocoa Beach           Brevard County"/>
    <s v="City of Cocoa Beach"/>
    <m/>
    <m/>
    <m/>
    <n v="0"/>
    <n v="1"/>
    <n v="4.1605926925391499"/>
    <n v="0.76268081058251003"/>
    <n v="1498.51553020205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6.63133326376001"/>
    <n v="1616.17129109181"/>
    <n v="1.2153410626000001"/>
  </r>
  <r>
    <n v="830000"/>
    <n v="2400000"/>
    <n v="2400000"/>
    <x v="0"/>
    <x v="0"/>
    <s v="BR3-5, BR-7"/>
    <s v="62-304.520 (10), F.A.C."/>
    <n v="0.59"/>
    <n v="0.64"/>
    <s v="FDOT District 5"/>
    <n v="1.4143782467999999E-3"/>
    <n v="3752.2490536059199"/>
    <n v="10.4180301627669"/>
    <n v="1.9097355296182801"/>
    <n v="1.4735035236809999E-2"/>
    <n v="2.7010883902500002E-3"/>
    <n v="5.30709943802987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4735035236809999E-2"/>
    <n v="2.7010883902500002E-3"/>
    <n v="5.3070994380296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25585808155699"/>
    <n v="5.7237856918015604"/>
    <n v="4.3042169000000003E-3"/>
  </r>
  <r>
    <n v="830000"/>
    <n v="2400000"/>
    <n v="2400000"/>
    <x v="0"/>
    <x v="0"/>
    <s v="BR3-5, BR-7"/>
    <s v="62-304.520 (10), F.A.C."/>
    <n v="0.59"/>
    <n v="0.64"/>
    <s v="City of Cocoa Beach"/>
    <n v="6.7387101371080005E-2"/>
    <n v="3752.2490536059199"/>
    <n v="10.4180301627669"/>
    <n v="1.9097355296182801"/>
    <n v="0.70204085466543997"/>
    <n v="0.12869154172635"/>
    <n v="252.853187344915"/>
    <n v="1300"/>
    <s v="Residential, High Density"/>
    <n v="1300"/>
    <s v="City of Cocoa Beach           Brevard County"/>
    <s v="City of Cocoa Beach"/>
    <m/>
    <m/>
    <m/>
    <n v="0"/>
    <n v="1"/>
    <n v="0.70204085466543997"/>
    <n v="0.12869154172635"/>
    <n v="252.85318734491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2.532600166541798"/>
    <n v="272.705923970512"/>
    <n v="0.2050715226"/>
  </r>
  <r>
    <n v="830000"/>
    <n v="2400000"/>
    <n v="2500000"/>
    <x v="0"/>
    <x v="0"/>
    <s v="BR3-5, BR-7"/>
    <s v="62-304.520 (10), F.A.C."/>
    <n v="0.59"/>
    <n v="0.64"/>
    <s v="City of Cocoa Beach"/>
    <n v="0.35542056491781998"/>
    <n v="3835.3197866671098"/>
    <n v="10.373605483848101"/>
    <n v="1.3835467572833899"/>
    <n v="3.6869927213039699"/>
    <n v="0.49174097006389"/>
    <n v="1363.1515252177301"/>
    <n v="1410"/>
    <s v="Retail Sales and Services"/>
    <n v="1410"/>
    <s v="City of Cocoa Beach           Brevard County"/>
    <s v="City of Cocoa Beach"/>
    <m/>
    <m/>
    <m/>
    <n v="0"/>
    <n v="1"/>
    <n v="3.6869927213039699"/>
    <n v="0.49174097006389"/>
    <n v="1363.1515252177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7.536511746652"/>
    <n v="1438.3359957907301"/>
    <n v="1.1055567926000001"/>
  </r>
  <r>
    <n v="830000"/>
    <n v="2400000"/>
    <n v="2500000"/>
    <x v="0"/>
    <x v="0"/>
    <s v="BR3-5, BR-7"/>
    <s v="62-304.520 (10), F.A.C."/>
    <n v="0.59"/>
    <n v="0.64"/>
    <s v="City of Cocoa Beach"/>
    <n v="0.26234288877310002"/>
    <n v="3835.3197866671098"/>
    <n v="10.373605483848101"/>
    <n v="1.3835467572833899"/>
    <n v="2.72144162962522"/>
    <n v="0.36296365305838002"/>
    <n v="1006.16887220288"/>
    <n v="1410"/>
    <s v="Retail Sales and Services"/>
    <n v="1410"/>
    <s v="City of Cocoa Beach           Brevard County"/>
    <s v="City of Cocoa Beach"/>
    <m/>
    <m/>
    <m/>
    <n v="0"/>
    <n v="1"/>
    <n v="2.72144162962522"/>
    <n v="0.36296365305838002"/>
    <n v="1006.1688722028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2.46963209048599"/>
    <n v="1061.6640043023899"/>
    <n v="0.81603314859999998"/>
  </r>
  <r>
    <n v="830000"/>
    <n v="2400000"/>
    <n v="2500000"/>
    <x v="0"/>
    <x v="0"/>
    <s v="BR3-5, BR-7"/>
    <s v="62-304.520 (10), F.A.C."/>
    <n v="0.59"/>
    <n v="0.64"/>
    <s v="City of Cocoa Beach"/>
    <n v="4.6277486194999998E-4"/>
    <n v="3733.4819079490499"/>
    <n v="11.7942550344107"/>
    <n v="2.3949589695612898"/>
    <n v="5.4580847454100004E-3"/>
    <n v="1.1083268065200001E-3"/>
    <n v="1.72776157456261"/>
    <n v="1300"/>
    <s v="Residential, High Density"/>
    <n v="1300"/>
    <s v="City of Cocoa Beach           Brevard County"/>
    <s v="City of Cocoa Beach"/>
    <m/>
    <m/>
    <m/>
    <n v="0"/>
    <n v="1"/>
    <n v="5.4580847454100004E-3"/>
    <n v="1.1083268065200001E-3"/>
    <n v="1.7277615745633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.526250421374201"/>
    <n v="1.8727834222286801"/>
    <n v="1.4012664999999999E-3"/>
  </r>
  <r>
    <n v="830000"/>
    <n v="2400000"/>
    <n v="2500000"/>
    <x v="0"/>
    <x v="0"/>
    <s v="BR3-5, BR-7"/>
    <s v="62-304.520 (10), F.A.C."/>
    <n v="0.59"/>
    <n v="0.64"/>
    <s v="City of Cocoa Beach"/>
    <n v="0.28691844095838998"/>
    <n v="3747.7324764447999"/>
    <n v="10.7827067829668"/>
    <n v="2.07762433832715"/>
    <n v="3.0937574194803399"/>
    <n v="0.59610873605004"/>
    <n v="1075.2935592706799"/>
    <n v="1300"/>
    <s v="Residential, High Density"/>
    <n v="1300"/>
    <s v="City of Cocoa Beach           Brevard County"/>
    <s v="City of Cocoa Beach"/>
    <m/>
    <m/>
    <m/>
    <n v="0"/>
    <n v="1"/>
    <n v="3.0937574194803399"/>
    <n v="0.59610873605004"/>
    <n v="1075.2935592706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7.63255341215199"/>
    <n v="1161.11773549746"/>
    <n v="0.8720953441"/>
  </r>
  <r>
    <n v="830000"/>
    <n v="2400000"/>
    <n v="2500000"/>
    <x v="0"/>
    <x v="0"/>
    <s v="BR3-5, BR-7"/>
    <s v="62-304.520 (10), F.A.C."/>
    <n v="0.59"/>
    <n v="0.64"/>
    <s v="City of Cocoa Beach"/>
    <n v="0.20408137898975001"/>
    <n v="3747.7324764447999"/>
    <n v="10.7827067829668"/>
    <n v="2.07762433832715"/>
    <n v="2.20054966951002"/>
    <n v="0.42400443998846998"/>
    <n v="764.84241187753003"/>
    <n v="1300"/>
    <s v="Residential, High Density"/>
    <n v="1300"/>
    <s v="City of Cocoa Beach           Brevard County"/>
    <s v="City of Cocoa Beach"/>
    <m/>
    <m/>
    <m/>
    <n v="0"/>
    <n v="1"/>
    <n v="2.20054966951002"/>
    <n v="0.42400443998846998"/>
    <n v="764.84241187753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2.543330937259"/>
    <n v="825.88803925692196"/>
    <n v="0.62031014750000002"/>
  </r>
  <r>
    <n v="830000"/>
    <n v="2400000"/>
    <n v="2500000"/>
    <x v="0"/>
    <x v="0"/>
    <s v="BR3-5, BR-7"/>
    <s v="62-304.520 (10), F.A.C."/>
    <n v="0.59"/>
    <n v="0.64"/>
    <s v="City of Cocoa Beach"/>
    <n v="0.13438919496919"/>
    <n v="3776.3232294009199"/>
    <n v="11.417467670615499"/>
    <n v="1.6703562190400301"/>
    <n v="1.5343842888408601"/>
    <n v="0.22447782758858001"/>
    <n v="507.49703874266697"/>
    <n v="1300"/>
    <s v="Residential, High Density"/>
    <n v="1300"/>
    <s v="City of Cocoa Beach           Brevard County"/>
    <s v="City of Cocoa Beach"/>
    <m/>
    <m/>
    <m/>
    <n v="0"/>
    <n v="1"/>
    <n v="1.5343842888408601"/>
    <n v="0.22447782758858001"/>
    <n v="507.497038742666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76016333955999"/>
    <n v="543.85377676226199"/>
    <n v="0.41159532739999999"/>
  </r>
  <r>
    <n v="830000"/>
    <n v="2400000"/>
    <n v="2500000"/>
    <x v="0"/>
    <x v="0"/>
    <s v="BR3-5, BR-7"/>
    <s v="62-304.520 (10), F.A.C."/>
    <n v="0.59"/>
    <n v="0.64"/>
    <s v="City of Cocoa Beach"/>
    <n v="5.8825331850629999E-2"/>
    <n v="3776.3232294009199"/>
    <n v="11.417467670615499"/>
    <n v="1.6703562190400301"/>
    <n v="0.67163632461787004"/>
    <n v="9.8259258893799994E-2"/>
    <n v="222.14346714477401"/>
    <n v="1400"/>
    <s v="Commercial and Services"/>
    <n v="1400"/>
    <s v="City of Cocoa Beach           Brevard County"/>
    <s v="City of Cocoa Beach"/>
    <m/>
    <m/>
    <m/>
    <n v="0"/>
    <n v="1"/>
    <n v="0.67163632461787004"/>
    <n v="9.8259258893799994E-2"/>
    <n v="222.14346714477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53034537162399"/>
    <n v="238.05767199955801"/>
    <n v="0.18016501800000001"/>
  </r>
  <r>
    <n v="830000"/>
    <n v="2400000"/>
    <n v="2500000"/>
    <x v="0"/>
    <x v="0"/>
    <s v="BR3-5, BR-7"/>
    <s v="62-304.520 (10), F.A.C."/>
    <n v="0.59"/>
    <n v="0.64"/>
    <s v="City of Cocoa Beach"/>
    <n v="0.40524937249991"/>
    <n v="3776.3232294009199"/>
    <n v="11.417467670615499"/>
    <n v="1.6703562190400301"/>
    <n v="4.6269216090550298"/>
    <n v="0.67691080961729999"/>
    <n v="1530.35261907157"/>
    <n v="1410"/>
    <s v="Retail Sales and Services"/>
    <n v="1410"/>
    <s v="City of Cocoa Beach           Brevard County"/>
    <s v="City of Cocoa Beach"/>
    <m/>
    <m/>
    <m/>
    <n v="0"/>
    <n v="1"/>
    <n v="4.6269216090550298"/>
    <n v="0.67691080961729999"/>
    <n v="1530.3526190715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5.60482819379899"/>
    <n v="1639.9860257748501"/>
    <n v="1.2411618971"/>
  </r>
  <r>
    <n v="830000"/>
    <n v="2400000"/>
    <n v="2500000"/>
    <x v="0"/>
    <x v="0"/>
    <s v="BR3-5, BR-7"/>
    <s v="62-304.520 (10), F.A.C."/>
    <n v="0.59"/>
    <n v="0.64"/>
    <s v="City of Cocoa Beach"/>
    <n v="1.9299554302130002E-2"/>
    <n v="3776.3232294009199"/>
    <n v="11.417467670615499"/>
    <n v="1.6703562190400301"/>
    <n v="0.22035203730194999"/>
    <n v="3.2237130553270002E-2"/>
    <n v="72.881355228248097"/>
    <n v="1300"/>
    <s v="Residential, High Density"/>
    <n v="1300"/>
    <s v="City of Cocoa Beach           Brevard County"/>
    <s v="City of Cocoa Beach"/>
    <m/>
    <m/>
    <m/>
    <n v="0"/>
    <n v="1"/>
    <n v="0.22035203730194999"/>
    <n v="3.2237130553270002E-2"/>
    <n v="72.8813552282466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127461951315"/>
    <n v="78.102525277063194"/>
    <n v="5.91089661E-2"/>
  </r>
  <r>
    <n v="830000"/>
    <n v="2400000"/>
    <n v="2500000"/>
    <x v="0"/>
    <x v="0"/>
    <s v="BR3-5, BR-7"/>
    <s v="62-304.520 (10), F.A.C."/>
    <n v="0.59"/>
    <n v="0.64"/>
    <s v="City of Cocoa Beach"/>
    <n v="0.30908323515698999"/>
    <n v="3752.2211386261602"/>
    <n v="10.7949409778162"/>
    <n v="2.0799025116944998"/>
    <n v="3.3365352807522202"/>
    <n v="0.64286299712567996"/>
    <n v="1159.7486485510201"/>
    <n v="1300"/>
    <s v="Residential, High Density"/>
    <n v="1300"/>
    <s v="City of Cocoa Beach           Brevard County"/>
    <s v="City of Cocoa Beach"/>
    <m/>
    <m/>
    <m/>
    <n v="0"/>
    <n v="1"/>
    <n v="3.3365352807522202"/>
    <n v="0.64286299712567996"/>
    <n v="1209.115765145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0.042602512049"/>
    <n v="1250.8154752512301"/>
    <n v="0.98062916879999995"/>
  </r>
  <r>
    <n v="830000"/>
    <n v="2400000"/>
    <n v="2500000"/>
    <x v="0"/>
    <x v="0"/>
    <s v="BR3-5, BR-7"/>
    <s v="62-304.520 (10), F.A.C."/>
    <n v="0.59"/>
    <n v="0.64"/>
    <s v="City of Cocoa Beach"/>
    <n v="0.22356828009485"/>
    <n v="3734.9656204394601"/>
    <n v="10.038896624898699"/>
    <n v="1.4179640223344401"/>
    <n v="2.2443788524786599"/>
    <n v="0.31701177770969002"/>
    <n v="835.01983997506295"/>
    <n v="1200"/>
    <s v="Residential, Medium Density-Two-five dwellingunits per acre"/>
    <n v="1200"/>
    <s v="City of Cocoa Beach           Brevard County"/>
    <s v="City of Cocoa Beach"/>
    <m/>
    <m/>
    <m/>
    <n v="0"/>
    <n v="1"/>
    <n v="2.2443788524786599"/>
    <n v="0.31701177770969002"/>
    <n v="835.019839975062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4.066346896027"/>
    <n v="904.74873014678701"/>
    <n v="0.67722614759999999"/>
  </r>
  <r>
    <n v="830000"/>
    <n v="2400000"/>
    <n v="2500000"/>
    <x v="0"/>
    <x v="0"/>
    <s v="BR3-5, BR-7"/>
    <s v="62-304.520 (10), F.A.C."/>
    <n v="0.59"/>
    <n v="0.64"/>
    <s v="City of Cocoa Beach"/>
    <n v="0.20209010958465001"/>
    <n v="3734.9656204394601"/>
    <n v="10.038896624898699"/>
    <n v="1.4179640223344401"/>
    <n v="2.0287617190347702"/>
    <n v="0.28655650466066002"/>
    <n v="754.799611529515"/>
    <n v="1430"/>
    <s v="Professional Services"/>
    <n v="1430"/>
    <s v="City of Cocoa Beach           Brevard County"/>
    <s v="City of Cocoa Beach"/>
    <m/>
    <m/>
    <m/>
    <n v="0"/>
    <n v="1"/>
    <n v="2.0287617190347702"/>
    <n v="0.28655650466066002"/>
    <n v="754.79961152951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1.62496368081"/>
    <n v="817.82965787616502"/>
    <n v="0.61216513510000004"/>
  </r>
  <r>
    <n v="830000"/>
    <n v="2400000"/>
    <n v="2500000"/>
    <x v="0"/>
    <x v="0"/>
    <s v="BR3-5, BR-7"/>
    <s v="62-304.520 (10), F.A.C."/>
    <n v="0.59"/>
    <n v="0.64"/>
    <s v="City of Cocoa Beach"/>
    <n v="4.1476692948E-3"/>
    <n v="3734.9656204394601"/>
    <n v="10.038896624898699"/>
    <n v="1.4179640223344401"/>
    <n v="4.1638023284770002E-2"/>
    <n v="5.8812458365600003E-3"/>
    <n v="15.4914022210341"/>
    <n v="1430"/>
    <s v="Professional Services"/>
    <n v="1430"/>
    <s v="City of Cocoa Beach           Brevard County"/>
    <s v="City of Cocoa Beach"/>
    <m/>
    <m/>
    <m/>
    <n v="0"/>
    <n v="1"/>
    <n v="4.1638023284770002E-2"/>
    <n v="5.8812458365600003E-3"/>
    <n v="15.491402221032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6.947271137573303"/>
    <n v="16.785022123654802"/>
    <n v="1.2563992100000001E-2"/>
  </r>
  <r>
    <n v="830000"/>
    <n v="2400000"/>
    <n v="2500000"/>
    <x v="0"/>
    <x v="0"/>
    <s v="BR3-5, BR-7"/>
    <s v="62-304.520 (10), F.A.C."/>
    <n v="0.59"/>
    <n v="0.64"/>
    <s v="City of Cocoa Beach"/>
    <n v="0.17798539528070001"/>
    <n v="3734.9656204394601"/>
    <n v="10.038896624898699"/>
    <n v="1.4179640223344401"/>
    <n v="1.7867769839647001"/>
    <n v="0.25237688700900002"/>
    <n v="664.76933231374596"/>
    <n v="1210"/>
    <s v="Fixed Single Family Units"/>
    <n v="1210"/>
    <s v="City of Cocoa Beach           Brevard County"/>
    <s v="City of Cocoa Beach"/>
    <m/>
    <m/>
    <m/>
    <n v="0"/>
    <n v="1"/>
    <n v="1.7867769839647001"/>
    <n v="0.25237688700900002"/>
    <n v="664.769332313745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5.556472732073"/>
    <n v="720.281339985106"/>
    <n v="0.539147877"/>
  </r>
  <r>
    <n v="830000"/>
    <n v="2400000"/>
    <n v="2500000"/>
    <x v="0"/>
    <x v="0"/>
    <s v="BR3-5, BR-7"/>
    <s v="62-304.520 (10), F.A.C."/>
    <n v="0.59"/>
    <n v="0.64"/>
    <s v="City of Cocoa Beach"/>
    <n v="9.9719994128999994E-3"/>
    <n v="3734.9656204394601"/>
    <n v="10.038896624898699"/>
    <n v="1.4179640223344401"/>
    <n v="0.10010787124971"/>
    <n v="1.4139936398240001E-2"/>
    <n v="37.2450749742464"/>
    <n v="1210"/>
    <s v="Fixed Single Family Units"/>
    <n v="1210"/>
    <s v="City of Cocoa Beach           Brevard County"/>
    <s v="City of Cocoa Beach"/>
    <m/>
    <m/>
    <m/>
    <n v="0"/>
    <n v="1"/>
    <n v="0.10010787124971"/>
    <n v="1.4139936398240001E-2"/>
    <n v="37.2450749742453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4.433280257524899"/>
    <n v="40.355249868286599"/>
    <n v="3.0206873499999998E-2"/>
  </r>
  <r>
    <n v="830000"/>
    <n v="2400000"/>
    <n v="2500000"/>
    <x v="0"/>
    <x v="0"/>
    <s v="BR3-5, BR-7"/>
    <s v="62-304.520 (10), F.A.C."/>
    <n v="0.59"/>
    <n v="0.64"/>
    <s v="City of Cocoa Beach"/>
    <n v="3.2135938506400001E-3"/>
    <n v="3773.5392045397298"/>
    <n v="11.5949933238923"/>
    <n v="1.5308238421881"/>
    <n v="3.7261599243889998E-2"/>
    <n v="4.9194460856699998E-3"/>
    <n v="12.1266223828653"/>
    <n v="1400"/>
    <s v="Commercial and Services"/>
    <n v="1400"/>
    <s v="City of Cocoa Beach           Brevard County"/>
    <s v="City of Cocoa Beach"/>
    <m/>
    <m/>
    <m/>
    <n v="0"/>
    <n v="1"/>
    <n v="3.7261599243889998E-2"/>
    <n v="4.9194460856699998E-3"/>
    <n v="12.126622382863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7.62880759766"/>
    <n v="13.004952913454099"/>
    <n v="9.8350546000000004E-3"/>
  </r>
  <r>
    <n v="830000"/>
    <n v="2400000"/>
    <n v="2500000"/>
    <x v="0"/>
    <x v="0"/>
    <s v="BR3-5, BR-7"/>
    <s v="62-304.520 (10), F.A.C."/>
    <n v="0.59"/>
    <n v="0.64"/>
    <s v="FDOT District 5"/>
    <n v="0.36488663685521"/>
    <n v="3773.5392045397298"/>
    <n v="11.5949933238923"/>
    <n v="1.5308238421881"/>
    <n v="4.2308581183136802"/>
    <n v="0.55857716339378005"/>
    <n v="1376.91402938577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2308581183136802"/>
    <n v="0.55857716339378005"/>
    <n v="1382.9957386335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62.33856977960897"/>
    <n v="1476.64382980544"/>
    <n v="1.1216510450999999"/>
  </r>
  <r>
    <n v="830000"/>
    <n v="2400000"/>
    <n v="2500000"/>
    <x v="0"/>
    <x v="0"/>
    <s v="BR3-5, BR-7"/>
    <s v="62-304.520 (10), F.A.C."/>
    <n v="0.59"/>
    <n v="0.64"/>
    <s v="City of Cocoa Beach"/>
    <n v="2.6703788069700001E-3"/>
    <n v="3773.5392045397298"/>
    <n v="11.5949933238923"/>
    <n v="1.5308238421881"/>
    <n v="3.096302443915E-2"/>
    <n v="4.0878795453899996E-3"/>
    <n v="10.0767791190959"/>
    <n v="1410"/>
    <s v="Retail Sales and Services"/>
    <n v="1410"/>
    <s v="City of Cocoa Beach           Brevard County"/>
    <s v="City of Cocoa Beach"/>
    <m/>
    <m/>
    <m/>
    <n v="0"/>
    <n v="1"/>
    <n v="3.096302443915E-2"/>
    <n v="4.0878795453899996E-3"/>
    <n v="10.076779119094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.446420698801299"/>
    <n v="10.806639625250099"/>
    <n v="8.1725702999999993E-3"/>
  </r>
  <r>
    <n v="830000"/>
    <n v="2400000"/>
    <n v="2500000"/>
    <x v="0"/>
    <x v="0"/>
    <s v="BR3-5, BR-7"/>
    <s v="62-304.520 (10), F.A.C."/>
    <n v="0.59"/>
    <n v="0.64"/>
    <s v="FDOT District 5"/>
    <n v="3.8615079410000001E-5"/>
    <n v="3773.5392045397298"/>
    <n v="11.5949933238923"/>
    <n v="1.5308238421881"/>
    <n v="4.4774158798000001E-4"/>
    <n v="5.9112884229999997E-5"/>
    <n v="0.14571551604759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4.4774158798000001E-4"/>
    <n v="5.9112884229999997E-5"/>
    <n v="0.14571551604663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.88522374032339"/>
    <n v="0.15626968211892001"/>
    <n v="1.181797E-4"/>
  </r>
  <r>
    <n v="830000"/>
    <n v="2400000"/>
    <n v="2500000"/>
    <x v="0"/>
    <x v="0"/>
    <s v="BR3-5, BR-7"/>
    <s v="62-304.520 (10), F.A.C."/>
    <n v="0.59"/>
    <n v="0.64"/>
    <s v="City of Cocoa Beach"/>
    <n v="0.24316119748998999"/>
    <n v="3773.5392045397298"/>
    <n v="11.5949933238923"/>
    <n v="1.5308238421881"/>
    <n v="2.8194524615261898"/>
    <n v="0.37223695861270001"/>
    <n v="917.57831175133504"/>
    <n v="1410"/>
    <s v="Retail Sales and Services"/>
    <n v="1410"/>
    <s v="City of Cocoa Beach           Brevard County"/>
    <s v="City of Cocoa Beach"/>
    <m/>
    <m/>
    <m/>
    <n v="0"/>
    <n v="1"/>
    <n v="2.8194524615261898"/>
    <n v="0.37223695861270001"/>
    <n v="917.578311751335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9.36589417794301"/>
    <n v="984.038453740872"/>
    <n v="0.7441835456"/>
  </r>
  <r>
    <n v="830000"/>
    <n v="2400000"/>
    <n v="2500000"/>
    <x v="0"/>
    <x v="0"/>
    <s v="BR3-5, BR-7"/>
    <s v="62-304.520 (10), F.A.C."/>
    <n v="0.59"/>
    <n v="0.64"/>
    <s v="FDOT District 5"/>
    <n v="2.1813592314500001E-3"/>
    <n v="3773.5392045397298"/>
    <n v="11.5949933238923"/>
    <n v="1.5308238421881"/>
    <n v="2.5292845725759999E-2"/>
    <n v="3.33927671989E-3"/>
    <n v="8.2314445790914199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2.5292845725759999E-2"/>
    <n v="3.33927671989E-3"/>
    <n v="8.23144457909073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38626486283"/>
    <n v="8.8276476153865904"/>
    <n v="6.6759486000000003E-3"/>
  </r>
  <r>
    <n v="830000"/>
    <n v="2400000"/>
    <n v="2500000"/>
    <x v="0"/>
    <x v="0"/>
    <s v="BR3-5, BR-7"/>
    <s v="62-304.520 (10), F.A.C."/>
    <n v="0.59"/>
    <n v="0.64"/>
    <s v="City of Cocoa Beach"/>
    <n v="0.20876872522185999"/>
    <n v="3761.6745980614"/>
    <n v="8.0510729966278003"/>
    <n v="1.1085781312279701"/>
    <n v="1.6808122461741299"/>
    <n v="0.23143644326529"/>
    <n v="785.32001053673503"/>
    <n v="1400"/>
    <s v="Commercial and Services"/>
    <n v="1400"/>
    <s v="City of Cocoa Beach           Brevard County"/>
    <s v="City of Cocoa Beach"/>
    <m/>
    <m/>
    <m/>
    <n v="0"/>
    <n v="1"/>
    <n v="1.6808122461741299"/>
    <n v="0.23143644326529"/>
    <n v="785.320010536735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3.78453417177801"/>
    <n v="844.85705646035001"/>
    <n v="0.63691809450000003"/>
  </r>
  <r>
    <n v="830000"/>
    <n v="2400000"/>
    <n v="2500000"/>
    <x v="0"/>
    <x v="0"/>
    <s v="BR3-5, BR-7"/>
    <s v="62-304.520 (10), F.A.C."/>
    <n v="0.59"/>
    <n v="0.64"/>
    <s v="City of Cocoa Beach"/>
    <n v="2.404006002287E-2"/>
    <n v="3761.6745980614"/>
    <n v="8.0510729966278003"/>
    <n v="1.1085781312279701"/>
    <n v="0.19354827808746"/>
    <n v="2.6650284814759999E-2"/>
    <n v="90.430883123912693"/>
    <n v="1410"/>
    <s v="Retail Sales and Services"/>
    <n v="1410"/>
    <s v="City of Cocoa Beach           Brevard County"/>
    <s v="City of Cocoa Beach"/>
    <m/>
    <m/>
    <m/>
    <n v="0"/>
    <n v="1"/>
    <n v="0.19354827808746"/>
    <n v="2.6650284814759999E-2"/>
    <n v="90.430883123911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2.013621430222798"/>
    <n v="97.286671298444006"/>
    <n v="7.3342159899999995E-2"/>
  </r>
  <r>
    <n v="830000"/>
    <n v="2400000"/>
    <n v="2500000"/>
    <x v="0"/>
    <x v="0"/>
    <s v="BR3-5, BR-7"/>
    <s v="62-304.520 (10), F.A.C."/>
    <n v="0.59"/>
    <n v="0.64"/>
    <s v="City of Cocoa Beach"/>
    <n v="1.3644149372420001E-2"/>
    <n v="3761.6745980614"/>
    <n v="8.0510729966278003"/>
    <n v="1.1085781312279701"/>
    <n v="0.10985004257431"/>
    <n v="1.512560561348E-2"/>
    <n v="51.324850106417799"/>
    <n v="1300"/>
    <s v="Residential, High Density"/>
    <n v="1300"/>
    <s v="City of Cocoa Beach           Brevard County"/>
    <s v="City of Cocoa Beach"/>
    <m/>
    <m/>
    <m/>
    <n v="0"/>
    <n v="1"/>
    <n v="0.10985004257431"/>
    <n v="1.512560561348E-2"/>
    <n v="51.324850106417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0.395484977688"/>
    <n v="55.215913515994302"/>
    <n v="4.1625993600000001E-2"/>
  </r>
  <r>
    <n v="830000"/>
    <n v="2400000"/>
    <n v="2500000"/>
    <x v="0"/>
    <x v="0"/>
    <s v="BR3-5, BR-7"/>
    <s v="62-304.520 (10), F.A.C."/>
    <n v="0.59"/>
    <n v="0.64"/>
    <s v="City of Cocoa Beach"/>
    <n v="2.6681674044579998E-2"/>
    <n v="3752.2321466220101"/>
    <n v="10.7949726472352"/>
    <n v="2.0799086135623499"/>
    <n v="0.28802794149376998"/>
    <n v="5.5495443669599999E-2"/>
    <n v="100.115835075793"/>
    <n v="1300"/>
    <s v="Residential, High Density"/>
    <n v="1300"/>
    <s v="City of Cocoa Beach           Brevard County"/>
    <s v="City of Cocoa Beach"/>
    <m/>
    <m/>
    <m/>
    <n v="0"/>
    <n v="1"/>
    <n v="0.28802794149376998"/>
    <n v="5.5495443669599999E-2"/>
    <n v="100.1158350757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8.660465991912503"/>
    <n v="107.97690396772499"/>
    <n v="8.1196946500000006E-2"/>
  </r>
  <r>
    <n v="830000"/>
    <n v="2400000"/>
    <n v="2500000"/>
    <x v="0"/>
    <x v="0"/>
    <s v="BR3-5, BR-7"/>
    <s v="62-304.520 (10), F.A.C."/>
    <n v="0.59"/>
    <n v="0.64"/>
    <s v="City of Cocoa Beach"/>
    <n v="4.3376806638299997E-3"/>
    <n v="3752.2321466220101"/>
    <n v="10.7949726472352"/>
    <n v="2.0799086135623499"/>
    <n v="4.6825144118579999E-2"/>
    <n v="9.0219793756000002E-3"/>
    <n v="16.275984828637402"/>
    <n v="1300"/>
    <s v="Residential, High Density"/>
    <n v="1300"/>
    <s v="City of Cocoa Beach           Brevard County"/>
    <s v="City of Cocoa Beach"/>
    <m/>
    <m/>
    <m/>
    <n v="0"/>
    <n v="1"/>
    <n v="4.6825144118579999E-2"/>
    <n v="9.0219793756000002E-3"/>
    <n v="16.275984828635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.493615026779"/>
    <n v="17.5539708527754"/>
    <n v="1.32003121E-2"/>
  </r>
  <r>
    <n v="830000"/>
    <n v="2400000"/>
    <n v="2500000"/>
    <x v="0"/>
    <x v="0"/>
    <s v="BR3-5, BR-7"/>
    <s v="62-304.520 (10), F.A.C."/>
    <n v="0.59"/>
    <n v="0.64"/>
    <s v="City of Cocoa Beach"/>
    <n v="0.29032528181061001"/>
    <n v="3752.2321466220101"/>
    <n v="10.7949726472352"/>
    <n v="2.0799086135623499"/>
    <n v="3.1340534759464602"/>
    <n v="0.60385005437281003"/>
    <n v="1089.3678553868899"/>
    <n v="1300"/>
    <s v="Residential, High Density"/>
    <n v="1300"/>
    <s v="City of Cocoa Beach           Brevard County"/>
    <s v="City of Cocoa Beach"/>
    <m/>
    <m/>
    <m/>
    <n v="0"/>
    <n v="1"/>
    <n v="3.1340534759464602"/>
    <n v="0.60385005437281003"/>
    <n v="1089.3678553868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2.89983901852801"/>
    <n v="1174.90473128038"/>
    <n v="0.88351002059999995"/>
  </r>
  <r>
    <n v="830000"/>
    <n v="2400000"/>
    <n v="2500000"/>
    <x v="0"/>
    <x v="0"/>
    <s v="BR3-5, BR-7"/>
    <s v="62-304.520 (10), F.A.C."/>
    <n v="0.59"/>
    <n v="0.64"/>
    <s v="City of Cocoa Beach"/>
    <n v="0.29641881735599002"/>
    <n v="3752.2321466220101"/>
    <n v="10.7949726472352"/>
    <n v="2.0799086135623499"/>
    <n v="3.1998330254837501"/>
    <n v="0.61652405144069"/>
    <n v="1112.2322153468299"/>
    <n v="1300"/>
    <s v="Residential, High Density"/>
    <n v="1300"/>
    <s v="City of Cocoa Beach           Brevard County"/>
    <s v="City of Cocoa Beach"/>
    <m/>
    <m/>
    <m/>
    <n v="0"/>
    <n v="1"/>
    <n v="3.1998330254837501"/>
    <n v="0.61652405144069"/>
    <n v="1112.2322153468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38311650492599"/>
    <n v="1199.5643947373001"/>
    <n v="0.90205370259999995"/>
  </r>
  <r>
    <n v="830000"/>
    <n v="2400000"/>
    <n v="2500000"/>
    <x v="0"/>
    <x v="0"/>
    <s v="BR3-5, BR-7"/>
    <s v="62-304.520 (10), F.A.C."/>
    <n v="0.59"/>
    <n v="0.64"/>
    <s v="City of Cocoa Beach"/>
    <n v="1.1790116307399999E-2"/>
    <n v="3746.0545282992498"/>
    <n v="10.777906385108301"/>
    <n v="2.0767025645612001"/>
    <n v="0.12707276983075"/>
    <n v="2.448456477206E-2"/>
    <n v="44.166418582529403"/>
    <n v="1300"/>
    <s v="Residential, High Density"/>
    <n v="1300"/>
    <s v="City of Cocoa Beach           Brevard County"/>
    <s v="City of Cocoa Beach"/>
    <m/>
    <m/>
    <m/>
    <n v="0"/>
    <n v="1"/>
    <n v="0.12707276983075"/>
    <n v="2.448456477206E-2"/>
    <n v="44.166418582531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675290445609999"/>
    <n v="47.712907899466799"/>
    <n v="3.5820290800000001E-2"/>
  </r>
  <r>
    <n v="830000"/>
    <n v="2400000"/>
    <n v="2500000"/>
    <x v="0"/>
    <x v="0"/>
    <s v="BR3-5, BR-7"/>
    <s v="62-304.520 (10), F.A.C."/>
    <n v="0.59"/>
    <n v="0.64"/>
    <s v="City of Cocoa Beach"/>
    <n v="3.8204428426550002E-2"/>
    <n v="3746.0545282992498"/>
    <n v="10.777906385108301"/>
    <n v="2.0767025645612001"/>
    <n v="0.41176375307794"/>
    <n v="7.9339234491010005E-2"/>
    <n v="143.11587210836601"/>
    <n v="1300"/>
    <s v="Residential, High Density"/>
    <n v="1300"/>
    <s v="City of Cocoa Beach           Brevard County"/>
    <s v="City of Cocoa Beach"/>
    <m/>
    <m/>
    <m/>
    <n v="0"/>
    <n v="1"/>
    <n v="0.41176375307794"/>
    <n v="7.9339234491010005E-2"/>
    <n v="143.11587210836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8.812735135580397"/>
    <n v="154.60783654210999"/>
    <n v="0.1160712669"/>
  </r>
  <r>
    <n v="830000"/>
    <n v="2400000"/>
    <n v="2500000"/>
    <x v="0"/>
    <x v="0"/>
    <s v="BR3-5, BR-7"/>
    <s v="62-304.520 (10), F.A.C."/>
    <n v="0.59"/>
    <n v="0.64"/>
    <s v="City of Cocoa Beach"/>
    <n v="2.463601737243E-2"/>
    <n v="3746.0545282992498"/>
    <n v="10.777906385108301"/>
    <n v="2.0767025645612001"/>
    <n v="0.26552468894198"/>
    <n v="5.1161680457899997E-2"/>
    <n v="92.287864437261803"/>
    <n v="1300"/>
    <s v="Residential, High Density"/>
    <n v="1300"/>
    <s v="City of Cocoa Beach           Brevard County"/>
    <s v="City of Cocoa Beach"/>
    <m/>
    <m/>
    <m/>
    <n v="0"/>
    <n v="1"/>
    <n v="0.26552468894198"/>
    <n v="5.1161680457899997E-2"/>
    <n v="92.287864437262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7.125697495141502"/>
    <n v="99.698425125989303"/>
    <n v="7.4848227399999995E-2"/>
  </r>
  <r>
    <n v="830000"/>
    <n v="2400000"/>
    <n v="2500000"/>
    <x v="0"/>
    <x v="0"/>
    <s v="BR3-5, BR-7"/>
    <s v="62-304.520 (10), F.A.C."/>
    <n v="0.59"/>
    <n v="0.64"/>
    <s v="City of Cocoa Beach"/>
    <n v="4.1084809443100003E-3"/>
    <n v="3746.0545282992498"/>
    <n v="10.777906385108301"/>
    <n v="2.0767025645612001"/>
    <n v="4.4280823002780002E-2"/>
    <n v="8.5320929134999994E-3"/>
    <n v="15.3905936458674"/>
    <n v="1300"/>
    <s v="Residential, High Density"/>
    <n v="1300"/>
    <s v="City of Cocoa Beach           Brevard County"/>
    <s v="City of Cocoa Beach"/>
    <m/>
    <m/>
    <m/>
    <n v="0"/>
    <n v="1"/>
    <n v="4.4280823002780002E-2"/>
    <n v="8.5320929134999994E-3"/>
    <n v="15.390593645867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.360888180542101"/>
    <n v="16.626432495793399"/>
    <n v="1.2482233299999999E-2"/>
  </r>
  <r>
    <n v="830000"/>
    <n v="2400000"/>
    <n v="2500000"/>
    <x v="0"/>
    <x v="0"/>
    <s v="BR3-5, BR-7"/>
    <s v="62-304.520 (10), F.A.C."/>
    <n v="0.59"/>
    <n v="0.64"/>
    <s v="City of Cocoa Beach"/>
    <n v="0.13194146833407"/>
    <n v="3746.0545282992498"/>
    <n v="10.777906385108301"/>
    <n v="2.0767025645612001"/>
    <n v="1.42205279401837"/>
    <n v="0.27400318566132997"/>
    <n v="494.25993492330298"/>
    <n v="1300"/>
    <s v="Residential, High Density"/>
    <n v="1300"/>
    <s v="City of Cocoa Beach           Brevard County"/>
    <s v="City of Cocoa Beach"/>
    <m/>
    <m/>
    <m/>
    <n v="0"/>
    <n v="1"/>
    <n v="1.42205279401837"/>
    <n v="0.27400318566132997"/>
    <n v="494.25993492330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7.476650714024"/>
    <n v="533.94817850862603"/>
    <n v="0.40085963899999999"/>
  </r>
  <r>
    <n v="830000"/>
    <n v="2400000"/>
    <n v="2500000"/>
    <x v="0"/>
    <x v="0"/>
    <s v="BR3-5, BR-7"/>
    <s v="62-304.520 (10), F.A.C."/>
    <n v="0.59"/>
    <n v="0.64"/>
    <s v="City of Cocoa Beach"/>
    <n v="1.30243997952E-2"/>
    <n v="3746.0545282992498"/>
    <n v="10.777906385108301"/>
    <n v="2.0767025645612001"/>
    <n v="0.14037576171494001"/>
    <n v="2.7047804456569999E-2"/>
    <n v="48.790111831207597"/>
    <n v="1300"/>
    <s v="Residential, High Density"/>
    <n v="1300"/>
    <s v="City of Cocoa Beach           Brevard County"/>
    <s v="City of Cocoa Beach"/>
    <m/>
    <m/>
    <m/>
    <n v="0"/>
    <n v="1"/>
    <n v="0.14037576171494001"/>
    <n v="2.7047804456569999E-2"/>
    <n v="48.7901118312075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9.752597259199501"/>
    <n v="52.707875959130497"/>
    <n v="3.9570244800000001E-2"/>
  </r>
  <r>
    <n v="830000"/>
    <n v="2400000"/>
    <n v="2500000"/>
    <x v="0"/>
    <x v="0"/>
    <s v="BR3-5, BR-7"/>
    <s v="62-304.520 (10), F.A.C."/>
    <n v="0.59"/>
    <n v="0.64"/>
    <s v="City of Cocoa Beach"/>
    <n v="8.6939946717330005E-2"/>
    <n v="3746.0545282992498"/>
    <n v="10.777906385108301"/>
    <n v="2.0767025645612001"/>
    <n v="0.93703060684577999"/>
    <n v="0.18054841031071001"/>
    <n v="325.68178109057999"/>
    <n v="1300"/>
    <s v="Residential, High Density"/>
    <n v="1300"/>
    <s v="City of Cocoa Beach           Brevard County"/>
    <s v="City of Cocoa Beach"/>
    <m/>
    <m/>
    <m/>
    <n v="0"/>
    <n v="1"/>
    <n v="0.93703060684577999"/>
    <n v="0.18054841031071001"/>
    <n v="325.68178109057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4.501988273461905"/>
    <n v="351.833481736171"/>
    <n v="0.2641376976"/>
  </r>
  <r>
    <n v="830000"/>
    <n v="2400000"/>
    <n v="2500000"/>
    <x v="0"/>
    <x v="0"/>
    <s v="BR3-5, BR-7"/>
    <s v="62-304.520 (10), F.A.C."/>
    <n v="0.59"/>
    <n v="0.64"/>
    <s v="City of Cocoa Beach"/>
    <n v="2.9560045643339999E-2"/>
    <n v="3786.63703694776"/>
    <n v="8.26314224964778"/>
    <n v="1.2860662680367001"/>
    <n v="0.24425886205700001"/>
    <n v="3.8016177583520001E-2"/>
    <n v="111.933163646937"/>
    <n v="1300"/>
    <s v="Residential, High Density"/>
    <n v="1300"/>
    <s v="City of Cocoa Beach           Brevard County"/>
    <s v="City of Cocoa Beach"/>
    <m/>
    <m/>
    <m/>
    <n v="0"/>
    <n v="1"/>
    <n v="0.24425886205700001"/>
    <n v="3.8016177583520001E-2"/>
    <n v="111.93316364693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143345756662001"/>
    <n v="119.625260558188"/>
    <n v="9.0781154599999997E-2"/>
  </r>
  <r>
    <n v="830000"/>
    <n v="2400000"/>
    <n v="2500000"/>
    <x v="0"/>
    <x v="0"/>
    <s v="BR3-5, BR-7"/>
    <s v="62-304.520 (10), F.A.C."/>
    <n v="0.59"/>
    <n v="0.64"/>
    <s v="City of Cocoa Beach"/>
    <n v="0.58820340797853998"/>
    <n v="3786.63703694776"/>
    <n v="8.26314224964778"/>
    <n v="1.2860662680367001"/>
    <n v="4.8604084318543297"/>
    <n v="0.75646856174543997"/>
    <n v="2227.3128099104601"/>
    <n v="1300"/>
    <s v="Residential, High Density"/>
    <n v="1300"/>
    <s v="City of Cocoa Beach           Brevard County"/>
    <s v="City of Cocoa Beach"/>
    <m/>
    <m/>
    <m/>
    <n v="0"/>
    <n v="1"/>
    <n v="4.8604084318543297"/>
    <n v="0.75646856174543997"/>
    <n v="2227.3128099104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57182746214801"/>
    <n v="2380.3747392555401"/>
    <n v="1.8064175263"/>
  </r>
  <r>
    <n v="830000"/>
    <n v="2400000"/>
    <n v="2500000"/>
    <x v="0"/>
    <x v="0"/>
    <s v="BR3-5, BR-7"/>
    <s v="62-304.520 (10), F.A.C."/>
    <n v="0.59"/>
    <n v="0.64"/>
    <s v="FDOT District 5"/>
    <n v="0.11513204393213"/>
    <n v="3681.1096196706799"/>
    <n v="10.172352368758601"/>
    <n v="1.73132796778581"/>
    <n v="1.17116371981309"/>
    <n v="0.19933132764805001"/>
    <n v="423.813674450937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17116371981309"/>
    <n v="0.19933132764805001"/>
    <n v="423.81367445093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9.815692324446005"/>
    <n v="465.922851410806"/>
    <n v="0.3437256078"/>
  </r>
  <r>
    <n v="830000"/>
    <n v="2400000"/>
    <n v="2500000"/>
    <x v="0"/>
    <x v="0"/>
    <s v="BR3-5, BR-7"/>
    <s v="62-304.520 (10), F.A.C."/>
    <n v="0.59"/>
    <n v="0.64"/>
    <s v="Natural Lands"/>
    <n v="1.879306934434E-2"/>
    <n v="3681.1096196706799"/>
    <n v="10.172352368758601"/>
    <n v="1.73132796778581"/>
    <n v="0.19116972346114"/>
    <n v="3.2536966556389997E-2"/>
    <n v="69.179348346588199"/>
    <n v="3200"/>
    <s v="Shrub and Brushland"/>
    <n v="3200"/>
    <s v="City of Cocoa Beach           Brevard County"/>
    <s v="City of Cocoa Beach"/>
    <m/>
    <m/>
    <s v="Natural Lands"/>
    <n v="0"/>
    <n v="1"/>
    <n v="0.19116972346114"/>
    <n v="3.2536966556389997E-2"/>
    <n v="69.1793483465867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1.876831440283603"/>
    <n v="76.052853372749098"/>
    <n v="5.6106527500000003E-2"/>
  </r>
  <r>
    <n v="830000"/>
    <n v="2400000"/>
    <n v="2500000"/>
    <x v="0"/>
    <x v="0"/>
    <s v="BR3-5, BR-7"/>
    <s v="62-304.520 (10), F.A.C."/>
    <n v="0.59"/>
    <n v="0.64"/>
    <s v="FDOT District 5"/>
    <n v="5.2331698048699998E-2"/>
    <n v="3681.1096196706799"/>
    <n v="10.172352368758601"/>
    <n v="1.73132796778581"/>
    <n v="0.53233647260688"/>
    <n v="9.0603332433440001E-2"/>
    <n v="192.638717100782"/>
    <n v="3200"/>
    <s v="Shrub and Brushland"/>
    <n v="3200"/>
    <s v="FDOT District 5                                 City of Cocoa Beach           Brevard County"/>
    <s v="FDOT District 5"/>
    <m/>
    <m/>
    <s v="Natural Lands"/>
    <n v="0"/>
    <n v="1"/>
    <n v="0.53233647260688"/>
    <n v="9.0603332433440001E-2"/>
    <n v="192.63871710078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872149494659"/>
    <n v="211.77886834349201"/>
    <n v="0.15623578029999999"/>
  </r>
  <r>
    <n v="830000"/>
    <n v="2400000"/>
    <n v="2500000"/>
    <x v="0"/>
    <x v="0"/>
    <s v="BR3-5, BR-7"/>
    <s v="62-304.520 (10), F.A.C."/>
    <n v="0.59"/>
    <n v="0.64"/>
    <s v="FDOT District 5"/>
    <n v="6.6607473384080004E-2"/>
    <n v="3681.1096196706799"/>
    <n v="10.172352368758601"/>
    <n v="1.73132796778581"/>
    <n v="0.67755468965564003"/>
    <n v="0.11531938153341"/>
    <n v="245.189411016121"/>
    <n v="8140"/>
    <s v="Roads and Highways"/>
    <n v="8140"/>
    <s v="FDOT District 5                                 City of Cocoa Beach           Brevard County"/>
    <s v="FDOT District 5"/>
    <m/>
    <m/>
    <m/>
    <n v="0"/>
    <n v="1"/>
    <n v="0.67755468965564003"/>
    <n v="0.11531938153341"/>
    <n v="245.18941101612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8.140905294019404"/>
    <n v="269.55088144422803"/>
    <n v="0.19885596999999999"/>
  </r>
  <r>
    <n v="830000"/>
    <n v="2400000"/>
    <n v="2500000"/>
    <x v="0"/>
    <x v="0"/>
    <s v="BR3-5, BR-7"/>
    <s v="62-304.520 (10), F.A.C."/>
    <n v="0.59"/>
    <n v="0.64"/>
    <s v="City of Cocoa Beach"/>
    <n v="0.36435054363149999"/>
    <n v="3681.1096196706799"/>
    <n v="10.172352368758601"/>
    <n v="1.73132796778581"/>
    <n v="3.7063021155684601"/>
    <n v="0.63081028626719005"/>
    <n v="1341.21429109418"/>
    <n v="1300"/>
    <s v="Residential, High Density"/>
    <n v="1300"/>
    <s v="City of Cocoa Beach           Brevard County"/>
    <s v="City of Cocoa Beach"/>
    <m/>
    <m/>
    <m/>
    <n v="0"/>
    <n v="1"/>
    <n v="3.7063021155684601"/>
    <n v="0.63081028626719005"/>
    <n v="1341.2142910941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9.37099440236599"/>
    <n v="1474.4743375000901"/>
    <n v="1.0877650374000001"/>
  </r>
  <r>
    <n v="830000"/>
    <n v="2400000"/>
    <n v="2500000"/>
    <x v="0"/>
    <x v="0"/>
    <s v="BR3-5, BR-7"/>
    <s v="62-304.520 (10), F.A.C."/>
    <n v="0.59"/>
    <n v="0.64"/>
    <s v="FDOT District 5"/>
    <n v="5.4862525808999996E-4"/>
    <n v="3681.1096196706799"/>
    <n v="10.172352368758601"/>
    <n v="1.73132796778581"/>
    <n v="5.5808094437799997E-3"/>
    <n v="9.4985025317999999E-4"/>
    <n v="2.01954971518253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5.5808094437799997E-3"/>
    <n v="9.4985025317999999E-4"/>
    <n v="2.0195497151828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13839794838"/>
    <n v="2.22020764922916"/>
    <n v="1.6379153999999999E-3"/>
  </r>
  <r>
    <n v="830000"/>
    <n v="2400000"/>
    <n v="2500000"/>
    <x v="0"/>
    <x v="0"/>
    <s v="BR3-5, BR-7"/>
    <s v="62-304.520 (10), F.A.C."/>
    <n v="0.59"/>
    <n v="0.64"/>
    <s v="City of Cocoa Beach"/>
    <n v="0.25591618894200002"/>
    <n v="3780.52060040059"/>
    <n v="11.558518110403501"/>
    <n v="1.52967414833229"/>
    <n v="2.95801190463159"/>
    <n v="0.39146837836429998"/>
    <n v="967.49642427125605"/>
    <n v="1410"/>
    <s v="Retail Sales and Services"/>
    <n v="1410"/>
    <s v="City of Cocoa Beach           Brevard County"/>
    <s v="City of Cocoa Beach"/>
    <m/>
    <m/>
    <m/>
    <n v="0"/>
    <n v="1"/>
    <n v="2.95801190463159"/>
    <n v="0.39146837836429998"/>
    <n v="2274.0610253446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5.30989891478799"/>
    <n v="1035.65607281607"/>
    <n v="1.8443317318000001"/>
  </r>
  <r>
    <n v="830000"/>
    <n v="2400000"/>
    <n v="2500000"/>
    <x v="0"/>
    <x v="0"/>
    <s v="BR3-5, BR-7"/>
    <s v="62-304.520 (10), F.A.C."/>
    <n v="0.59"/>
    <n v="0.64"/>
    <s v="City of Cocoa Beach"/>
    <n v="6.30530219803E-3"/>
    <n v="3780.52060040059"/>
    <n v="11.558518110403501"/>
    <n v="1.52967414833229"/>
    <n v="7.2879949647580003E-2"/>
    <n v="9.6450577697600008E-3"/>
    <n v="23.837324851433699"/>
    <n v="1210"/>
    <s v="Fixed Single Family Units"/>
    <n v="1210"/>
    <s v="City of Cocoa Beach           Brevard County"/>
    <s v="City of Cocoa Beach"/>
    <m/>
    <m/>
    <m/>
    <n v="0"/>
    <n v="1"/>
    <n v="7.2879949647580003E-2"/>
    <n v="9.6450577697600008E-3"/>
    <n v="23.837324851434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0993565878676"/>
    <n v="25.516652695303101"/>
    <n v="1.9332785799999998E-2"/>
  </r>
  <r>
    <n v="830000"/>
    <n v="2400000"/>
    <n v="2500000"/>
    <x v="0"/>
    <x v="0"/>
    <s v="BR3-5, BR-7"/>
    <s v="62-304.520 (10), F.A.C."/>
    <n v="0.59"/>
    <n v="0.64"/>
    <s v="City of Cocoa Beach"/>
    <n v="9.9375499744800005E-3"/>
    <n v="3780.52060040059"/>
    <n v="11.558518110403501"/>
    <n v="1.52967414833229"/>
    <n v="0.11486335135317"/>
    <n v="1.520121329373E-2"/>
    <n v="37.569112396065997"/>
    <n v="1210"/>
    <s v="Fixed Single Family Units"/>
    <n v="1210"/>
    <s v="City of Cocoa Beach           Brevard County"/>
    <s v="City of Cocoa Beach"/>
    <m/>
    <m/>
    <m/>
    <n v="0"/>
    <n v="1"/>
    <n v="0.11486335135317"/>
    <n v="1.520121329373E-2"/>
    <n v="37.569112396064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928941099475701"/>
    <n v="40.215837937180503"/>
    <n v="3.04696775E-2"/>
  </r>
  <r>
    <n v="830000"/>
    <n v="2400000"/>
    <n v="2500000"/>
    <x v="0"/>
    <x v="0"/>
    <s v="BR3-5, BR-7"/>
    <s v="62-304.520 (10), F.A.C."/>
    <n v="0.59"/>
    <n v="0.64"/>
    <s v="City of Cocoa Beach"/>
    <n v="3.4147170155499999E-3"/>
    <n v="3781.58062557526"/>
    <n v="11.350942464772301"/>
    <n v="1.4974528204359101"/>
    <n v="3.8760256377079999E-2"/>
    <n v="5.1133776259300002E-3"/>
    <n v="12.91302770786"/>
    <n v="1400"/>
    <s v="Commercial and Services"/>
    <n v="1400"/>
    <s v="City of Cocoa Beach           Brevard County"/>
    <s v="City of Cocoa Beach"/>
    <m/>
    <m/>
    <m/>
    <n v="0"/>
    <n v="1"/>
    <n v="3.8760256377079999E-2"/>
    <n v="5.1133776259300002E-3"/>
    <n v="287.78989085125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8.248734379114296"/>
    <n v="13.8188694850944"/>
    <n v="0.2334062375"/>
  </r>
  <r>
    <n v="830000"/>
    <n v="2400000"/>
    <n v="2500000"/>
    <x v="0"/>
    <x v="0"/>
    <s v="BR3-5, BR-7"/>
    <s v="62-304.520 (10), F.A.C."/>
    <n v="0.59"/>
    <n v="0.64"/>
    <s v="FDOT District 5"/>
    <n v="6.6050361963360005E-2"/>
    <n v="3781.58062557526"/>
    <n v="11.350942464772301"/>
    <n v="1.4974528204359101"/>
    <n v="0.74973385842353002"/>
    <n v="9.8907300812849999E-2"/>
    <n v="249.7747691128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74973385842353002"/>
    <n v="9.8907300812849999E-2"/>
    <n v="275.17529655226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617012558889"/>
    <n v="267.296331513285"/>
    <n v="0.22317542300000001"/>
  </r>
  <r>
    <n v="830000"/>
    <n v="2400000"/>
    <n v="2500000"/>
    <x v="0"/>
    <x v="0"/>
    <s v="BR3-5, BR-7"/>
    <s v="62-304.520 (10), F.A.C."/>
    <n v="0.59"/>
    <n v="0.64"/>
    <s v="FDOT District 5"/>
    <n v="5.3435675285030002E-2"/>
    <n v="3781.58062557526"/>
    <n v="11.350942464772301"/>
    <n v="1.4974528204359101"/>
    <n v="0.60654527572669004"/>
    <n v="8.0017402667469997E-2"/>
    <n v="202.07131437241901"/>
    <n v="8140"/>
    <s v="Roads and Highways"/>
    <n v="8140"/>
    <s v="FDOT District 5                                 City of Cocoa Beach           Brevard County"/>
    <s v="FDOT District 5"/>
    <m/>
    <m/>
    <m/>
    <n v="0"/>
    <n v="1"/>
    <n v="0.60654527572669004"/>
    <n v="8.0017402667469997E-2"/>
    <n v="220.45581554003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9.242607119453794"/>
    <n v="216.246505712523"/>
    <n v="0.17879628189999999"/>
  </r>
  <r>
    <n v="830000"/>
    <n v="2400000"/>
    <n v="2500000"/>
    <x v="0"/>
    <x v="0"/>
    <s v="BR3-5, BR-7"/>
    <s v="62-304.520 (10), F.A.C."/>
    <n v="0.59"/>
    <n v="0.64"/>
    <s v="City of Cocoa Beach"/>
    <n v="0.14932455144539"/>
    <n v="3781.58062557526"/>
    <n v="11.350942464772301"/>
    <n v="1.4974528204359101"/>
    <n v="1.6949743920345599"/>
    <n v="0.22360647072222001"/>
    <n v="564.68283066860295"/>
    <n v="1450"/>
    <s v="Tourist Services"/>
    <n v="1450"/>
    <s v="City of Cocoa Beach           Brevard County"/>
    <s v="City of Cocoa Beach"/>
    <m/>
    <m/>
    <m/>
    <n v="0"/>
    <n v="1"/>
    <n v="1.6949743920345599"/>
    <n v="0.22360647072222001"/>
    <n v="1552.7013049835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8.569525813024"/>
    <n v="604.29502003877599"/>
    <n v="1.2592873520000001"/>
  </r>
  <r>
    <n v="830000"/>
    <n v="2400000"/>
    <n v="2500000"/>
    <x v="0"/>
    <x v="0"/>
    <s v="BR3-5, BR-7"/>
    <s v="62-304.520 (10), F.A.C."/>
    <n v="0.59"/>
    <n v="0.64"/>
    <s v="City of Cocoa Beach"/>
    <n v="0.14857866636868999"/>
    <n v="3649.3014877856299"/>
    <n v="7.4108151567419496"/>
    <n v="1.0063952351009"/>
    <n v="1.10108903269365"/>
    <n v="0.14952886187110001"/>
    <n v="542.20834823249504"/>
    <n v="1850"/>
    <s v="Parks and Zoos"/>
    <n v="1850"/>
    <s v="City of Cocoa Beach           Brevard County"/>
    <s v="City of Cocoa Beach"/>
    <m/>
    <m/>
    <m/>
    <n v="0"/>
    <n v="1"/>
    <n v="1.10108903269365"/>
    <n v="0.14952886187110001"/>
    <n v="542.208348232495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4.119046328102"/>
    <n v="601.27653022579398"/>
    <n v="0.43974724110000002"/>
  </r>
  <r>
    <n v="830000"/>
    <n v="2400000"/>
    <n v="2500000"/>
    <x v="0"/>
    <x v="0"/>
    <s v="BR3-5, BR-7"/>
    <s v="62-304.520 (10), F.A.C."/>
    <n v="0.59"/>
    <n v="0.64"/>
    <s v="Natural Lands"/>
    <n v="4.1569342366569999E-2"/>
    <n v="3649.3014877856299"/>
    <n v="7.4108151567419496"/>
    <n v="1.0063952351009"/>
    <n v="0.30806271246602002"/>
    <n v="4.1835188083999997E-2"/>
    <n v="151.69906294461899"/>
    <n v="4200"/>
    <s v="Upland Hardwood Forest"/>
    <n v="4200"/>
    <s v="City of Cocoa Beach           Brevard County"/>
    <s v="City of Cocoa Beach"/>
    <m/>
    <m/>
    <s v="Natural Lands"/>
    <n v="0"/>
    <n v="1"/>
    <n v="0.30806271246602002"/>
    <n v="4.1835188083999997E-2"/>
    <n v="151.69906294461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427034063197"/>
    <n v="168.22516013112599"/>
    <n v="0.1230324923"/>
  </r>
  <r>
    <n v="830000"/>
    <n v="2400000"/>
    <n v="2500000"/>
    <x v="0"/>
    <x v="0"/>
    <s v="BR3-5, BR-7"/>
    <s v="62-304.520 (10), F.A.C."/>
    <n v="0.59"/>
    <n v="0.64"/>
    <s v="City of Cocoa Beach"/>
    <n v="0.41732971078517"/>
    <n v="3772.23717431368"/>
    <n v="11.535326158682301"/>
    <n v="1.57186229106693"/>
    <n v="4.8140343296155601"/>
    <n v="0.65598483532508001"/>
    <n v="1574.2666489694"/>
    <n v="1400"/>
    <s v="Commercial and Services"/>
    <n v="1400"/>
    <s v="City of Cocoa Beach           Brevard County"/>
    <s v="City of Cocoa Beach"/>
    <m/>
    <m/>
    <m/>
    <n v="0"/>
    <n v="1"/>
    <n v="4.8140343296155601"/>
    <n v="0.65598483532508001"/>
    <n v="1763.7012982104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9.663116472844"/>
    <n v="1688.87342034931"/>
    <n v="1.4304146782"/>
  </r>
  <r>
    <n v="830000"/>
    <n v="2400000"/>
    <n v="2500000"/>
    <x v="0"/>
    <x v="0"/>
    <s v="BR3-5, BR-7"/>
    <s v="62-304.520 (10), F.A.C."/>
    <n v="0.59"/>
    <n v="0.64"/>
    <s v="FDOT District 5"/>
    <n v="5.609873343282E-2"/>
    <n v="3772.23717431368"/>
    <n v="11.535326158682301"/>
    <n v="1.57186229106693"/>
    <n v="0.64711718723662004"/>
    <n v="8.8179483659670002E-2"/>
    <n v="211.61772768721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64711718723662004"/>
    <n v="8.8179483659670002E-2"/>
    <n v="270.30817982716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5.120287275725602"/>
    <n v="227.023519681138"/>
    <n v="0.21922804530000001"/>
  </r>
  <r>
    <n v="830000"/>
    <n v="2400000"/>
    <n v="2500000"/>
    <x v="0"/>
    <x v="0"/>
    <s v="BR3-5, BR-7"/>
    <s v="62-304.520 (10), F.A.C."/>
    <n v="0.59"/>
    <n v="0.64"/>
    <s v="City of Cocoa Beach"/>
    <n v="3.2342225648769998E-2"/>
    <n v="3772.23717431368"/>
    <n v="11.535326158682301"/>
    <n v="1.57186229106693"/>
    <n v="0.37307812155630998"/>
    <n v="5.0837524906479997E-2"/>
    <n v="122.00254589234601"/>
    <n v="1410"/>
    <s v="Retail Sales and Services"/>
    <n v="1410"/>
    <s v="City of Cocoa Beach           Brevard County"/>
    <s v="City of Cocoa Beach"/>
    <m/>
    <m/>
    <m/>
    <n v="0"/>
    <n v="1"/>
    <n v="0.37307812155630998"/>
    <n v="5.0837524906479997E-2"/>
    <n v="122.00254589234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6.590137893253399"/>
    <n v="130.88434358145"/>
    <n v="9.8947725799999997E-2"/>
  </r>
  <r>
    <n v="830000"/>
    <n v="2400000"/>
    <n v="2500000"/>
    <x v="0"/>
    <x v="0"/>
    <s v="BR3-5, BR-7"/>
    <s v="62-304.520 (10), F.A.C."/>
    <n v="0.59"/>
    <n v="0.64"/>
    <s v="City of Cocoa Beach"/>
    <n v="1.740659626853E-2"/>
    <n v="3772.23717431368"/>
    <n v="11.535326158682301"/>
    <n v="1.57186229106693"/>
    <n v="0.20079076527004"/>
    <n v="2.7360772290330002E-2"/>
    <n v="65.6618095224337"/>
    <n v="1300"/>
    <s v="Residential, High Density"/>
    <n v="1300"/>
    <s v="City of Cocoa Beach           Brevard County"/>
    <s v="City of Cocoa Beach"/>
    <m/>
    <m/>
    <m/>
    <n v="0"/>
    <n v="1"/>
    <n v="0.20079076527004"/>
    <n v="2.7360772290330002E-2"/>
    <n v="75.6381763994703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5.919965300058195"/>
    <n v="70.441995901440905"/>
    <n v="6.13448308E-2"/>
  </r>
  <r>
    <n v="830000"/>
    <n v="2400000"/>
    <n v="2500000"/>
    <x v="0"/>
    <x v="0"/>
    <s v="BR3-5, BR-7"/>
    <s v="62-304.520 (10), F.A.C."/>
    <n v="0.59"/>
    <n v="0.64"/>
    <s v="City of Cocoa Beach"/>
    <n v="2.4486100344429999E-2"/>
    <n v="3643.8667555897"/>
    <n v="10.257181101883599"/>
    <n v="1.4163915456398199"/>
    <n v="0.25115836571173"/>
    <n v="3.4681905513540001E-2"/>
    <n v="89.224087019109305"/>
    <n v="1410"/>
    <s v="Retail Sales and Services"/>
    <n v="1410"/>
    <s v="City of Cocoa Beach           Brevard County"/>
    <s v="City of Cocoa Beach"/>
    <m/>
    <m/>
    <m/>
    <n v="0"/>
    <n v="1"/>
    <n v="0.25115836571173"/>
    <n v="3.4681905513540001E-2"/>
    <n v="1167.9600242965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2.116868053195503"/>
    <n v="99.091732438393905"/>
    <n v="0.94725062800000004"/>
  </r>
  <r>
    <n v="830000"/>
    <n v="2400000"/>
    <n v="2500000"/>
    <x v="0"/>
    <x v="0"/>
    <s v="BR3-5, BR-7"/>
    <s v="62-304.520 (10), F.A.C."/>
    <n v="0.59"/>
    <n v="0.64"/>
    <s v="City of Cocoa Beach"/>
    <n v="2.4063484906300002E-3"/>
    <n v="3643.8667555897"/>
    <n v="10.257181101883599"/>
    <n v="1.4163915456398199"/>
    <n v="2.4682352262659999E-2"/>
    <n v="3.4083316579899998E-3"/>
    <n v="8.7684132673810495"/>
    <n v="1210"/>
    <s v="Fixed Single Family Units"/>
    <n v="1210"/>
    <s v="City of Cocoa Beach           Brevard County"/>
    <s v="City of Cocoa Beach"/>
    <m/>
    <m/>
    <m/>
    <n v="0"/>
    <n v="1"/>
    <n v="2.4682352262659999E-2"/>
    <n v="3.4083316579899998E-3"/>
    <n v="30.667491049563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.855894775847"/>
    <n v="9.7381468438497407"/>
    <n v="2.4872255499999999E-2"/>
  </r>
  <r>
    <n v="830000"/>
    <n v="2400000"/>
    <n v="2500000"/>
    <x v="0"/>
    <x v="0"/>
    <s v="BR3-5, BR-7"/>
    <s v="62-304.520 (10), F.A.C."/>
    <n v="0.59"/>
    <n v="0.64"/>
    <s v="City of Cocoa Beach"/>
    <n v="0.13358822115989"/>
    <n v="3776.1318860840202"/>
    <n v="11.409221586079299"/>
    <n v="1.6760134939431699"/>
    <n v="1.5241376165034599"/>
    <n v="0.22389566129585001"/>
    <n v="504.44674152713799"/>
    <n v="1300"/>
    <s v="Residential, High Density"/>
    <n v="1300"/>
    <s v="City of Cocoa Beach           Brevard County"/>
    <s v="City of Cocoa Beach"/>
    <m/>
    <m/>
    <m/>
    <n v="0"/>
    <n v="1"/>
    <n v="1.5241376165034599"/>
    <n v="0.22389566129585001"/>
    <n v="504.446741527137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63050631685999"/>
    <n v="540.61235075792899"/>
    <n v="0.40912144490000002"/>
  </r>
  <r>
    <n v="830000"/>
    <n v="2400000"/>
    <n v="2500000"/>
    <x v="0"/>
    <x v="0"/>
    <s v="BR3-5, BR-7"/>
    <s v="62-304.520 (10), F.A.C."/>
    <n v="0.59"/>
    <n v="0.64"/>
    <s v="City of Cocoa Beach"/>
    <n v="6.1532066520459998E-2"/>
    <n v="3776.1318860840202"/>
    <n v="11.409221586079299"/>
    <n v="1.6760134939431699"/>
    <n v="0.70203298158131"/>
    <n v="0.1031285737985"/>
    <n v="232.353198404555"/>
    <n v="1400"/>
    <s v="Commercial and Services"/>
    <n v="1400"/>
    <s v="City of Cocoa Beach           Brevard County"/>
    <s v="City of Cocoa Beach"/>
    <m/>
    <m/>
    <m/>
    <n v="0"/>
    <n v="1"/>
    <n v="0.70203298158131"/>
    <n v="0.1031285737985"/>
    <n v="232.35319840455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968496055122"/>
    <n v="249.011438581871"/>
    <n v="0.18844541640000001"/>
  </r>
  <r>
    <n v="830000"/>
    <n v="2400000"/>
    <n v="2500000"/>
    <x v="0"/>
    <x v="0"/>
    <s v="BR3-5, BR-7"/>
    <s v="62-304.520 (10), F.A.C."/>
    <n v="0.59"/>
    <n v="0.64"/>
    <s v="City of Cocoa Beach"/>
    <n v="0.39618069509222997"/>
    <n v="3776.1318860840202"/>
    <n v="11.409221586079299"/>
    <n v="1.6760134939431699"/>
    <n v="4.5201133384342498"/>
    <n v="0.66400419101437003"/>
    <n v="1496.0305553887099"/>
    <n v="1410"/>
    <s v="Retail Sales and Services"/>
    <n v="1410"/>
    <s v="City of Cocoa Beach           Brevard County"/>
    <s v="City of Cocoa Beach"/>
    <m/>
    <m/>
    <m/>
    <n v="0"/>
    <n v="1"/>
    <n v="4.5201133384342498"/>
    <n v="0.66400419101437003"/>
    <n v="1496.0305553887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4.13684278549999"/>
    <n v="1603.2863903648999"/>
    <n v="1.2133256735"/>
  </r>
  <r>
    <n v="830000"/>
    <n v="2400000"/>
    <n v="2500000"/>
    <x v="0"/>
    <x v="0"/>
    <s v="BR3-5, BR-7"/>
    <s v="62-304.520 (10), F.A.C."/>
    <n v="0.59"/>
    <n v="0.64"/>
    <s v="City of Cocoa Beach"/>
    <n v="2.646247098737E-2"/>
    <n v="3776.1318860840202"/>
    <n v="11.409221586079299"/>
    <n v="1.6760134939431699"/>
    <n v="0.30191619521013002"/>
    <n v="4.4351458457909998E-2"/>
    <n v="99.925780479992397"/>
    <n v="1300"/>
    <s v="Residential, High Density"/>
    <n v="1300"/>
    <s v="City of Cocoa Beach           Brevard County"/>
    <s v="City of Cocoa Beach"/>
    <m/>
    <m/>
    <m/>
    <n v="0"/>
    <n v="1"/>
    <n v="0.30191619521013002"/>
    <n v="4.4351458457909998E-2"/>
    <n v="99.925780479991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286953788296"/>
    <n v="107.08982066782301"/>
    <n v="8.1042806600000003E-2"/>
  </r>
  <r>
    <n v="830000"/>
    <n v="2400000"/>
    <n v="2500000"/>
    <x v="0"/>
    <x v="0"/>
    <s v="BR3-5, BR-7"/>
    <s v="62-304.520 (10), F.A.C."/>
    <n v="0.59"/>
    <n v="0.64"/>
    <s v="City of Cocoa Beach"/>
    <n v="0.56641477447327004"/>
    <n v="3752.2321467617899"/>
    <n v="10.7949726476373"/>
    <n v="2.0799086136398302"/>
    <n v="6.1144319976566504"/>
    <n v="1.17809096831982"/>
    <n v="2125.31972517944"/>
    <n v="1300"/>
    <s v="Residential, High Density"/>
    <n v="1300"/>
    <s v="City of Cocoa Beach           Brevard County"/>
    <s v="City of Cocoa Beach"/>
    <m/>
    <m/>
    <m/>
    <n v="0"/>
    <n v="1"/>
    <n v="6.1144319976566504"/>
    <n v="1.17809096831982"/>
    <n v="2125.3197251794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1.69856406278601"/>
    <n v="2292.1992678194001"/>
    <n v="1.7236980739000001"/>
  </r>
  <r>
    <n v="830000"/>
    <n v="2400000"/>
    <n v="2500000"/>
    <x v="0"/>
    <x v="0"/>
    <s v="BR3-5, BR-7"/>
    <s v="62-304.520 (10), F.A.C."/>
    <n v="0.59"/>
    <n v="0.64"/>
    <s v="City of Cocoa Beach"/>
    <n v="5.1348679056560001E-2"/>
    <n v="3752.2321467617899"/>
    <n v="10.7949726476373"/>
    <n v="2.0799086136398302"/>
    <n v="0.55430758590787998"/>
    <n v="0.10680055986876"/>
    <n v="192.67216424978201"/>
    <n v="1300"/>
    <s v="Residential, High Density"/>
    <n v="1300"/>
    <s v="City of Cocoa Beach           Brevard County"/>
    <s v="City of Cocoa Beach"/>
    <m/>
    <m/>
    <m/>
    <n v="0"/>
    <n v="1"/>
    <n v="0.55430758590787998"/>
    <n v="0.10680055986876"/>
    <n v="192.67216424978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32262259624601"/>
    <n v="207.80073162180099"/>
    <n v="0.1562629069"/>
  </r>
  <r>
    <n v="830000"/>
    <n v="2400000"/>
    <n v="2500000"/>
    <x v="0"/>
    <x v="0"/>
    <s v="BR3-5, BR-7"/>
    <s v="62-304.520 (10), F.A.C."/>
    <n v="0.59"/>
    <n v="0.64"/>
    <s v="City of Cocoa Beach"/>
    <n v="0.49966906952522"/>
    <n v="3776.2540320929602"/>
    <n v="11.642352610647601"/>
    <n v="1.5366900201995799"/>
    <n v="5.8173234960468498"/>
    <n v="0.76783647254181997"/>
    <n v="1886.87733850676"/>
    <n v="1450"/>
    <s v="Tourist Services"/>
    <n v="1450"/>
    <s v="City of Cocoa Beach           Brevard County"/>
    <s v="City of Cocoa Beach"/>
    <m/>
    <m/>
    <m/>
    <n v="0"/>
    <n v="1"/>
    <n v="5.8173234960468498"/>
    <n v="0.76783647254181997"/>
    <n v="1886.8773385067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3.873438623986"/>
    <n v="2022.08898308278"/>
    <n v="1.5303141432"/>
  </r>
  <r>
    <n v="830000"/>
    <n v="2400000"/>
    <n v="2500000"/>
    <x v="0"/>
    <x v="0"/>
    <s v="BR3-5, BR-7"/>
    <s v="62-304.520 (10), F.A.C."/>
    <n v="0.59"/>
    <n v="0.64"/>
    <s v="City of Cocoa Beach"/>
    <n v="0.61776345359886997"/>
    <n v="3747.7351294554201"/>
    <n v="10.7827144160287"/>
    <n v="2.0776258090754798"/>
    <n v="6.6611668968162503"/>
    <n v="1.28348129510062"/>
    <n v="2315.2137967461899"/>
    <n v="1300"/>
    <s v="Residential, High Density"/>
    <n v="1300"/>
    <s v="City of Cocoa Beach           Brevard County"/>
    <s v="City of Cocoa Beach"/>
    <m/>
    <m/>
    <m/>
    <n v="0"/>
    <n v="1"/>
    <n v="6.6611668968162503"/>
    <n v="1.28348129510062"/>
    <n v="2315.2137967461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9.99999998882399"/>
    <n v="2499.9999997206"/>
    <n v="1.8777078644"/>
  </r>
  <r>
    <n v="830000"/>
    <n v="2400000"/>
    <n v="2500000"/>
    <x v="0"/>
    <x v="0"/>
    <s v="BR3-5, BR-7"/>
    <s v="62-304.520 (10), F.A.C."/>
    <n v="0.59"/>
    <n v="0.64"/>
    <s v="City of Cocoa Beach"/>
    <n v="8.4259657825369996E-2"/>
    <n v="3714.65208561606"/>
    <n v="8.2265464629281393"/>
    <n v="1.13594259427787"/>
    <n v="0.69316599005085"/>
    <n v="9.5714134303110002E-2"/>
    <n v="312.99531367431399"/>
    <n v="1410"/>
    <s v="Retail Sales and Services"/>
    <n v="1410"/>
    <s v="City of Cocoa Beach           Brevard County"/>
    <s v="City of Cocoa Beach"/>
    <m/>
    <m/>
    <m/>
    <n v="0"/>
    <n v="1"/>
    <n v="0.69316599005085"/>
    <n v="9.5714134303110002E-2"/>
    <n v="385.21367287274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8.729307083996503"/>
    <n v="340.98673741983299"/>
    <n v="0.31241984820000002"/>
  </r>
  <r>
    <n v="830000"/>
    <n v="2400000"/>
    <n v="2500000"/>
    <x v="0"/>
    <x v="0"/>
    <s v="BR3-5, BR-7"/>
    <s v="62-304.520 (10), F.A.C."/>
    <n v="0.59"/>
    <n v="0.64"/>
    <s v="City of Cocoa Beach"/>
    <n v="0.61776345366790997"/>
    <n v="3749.91033537357"/>
    <n v="10.7888279563727"/>
    <n v="2.0787869298003598"/>
    <n v="6.6649436193577802"/>
    <n v="1.2841985931931801"/>
    <n v="2316.5575597253801"/>
    <n v="1300"/>
    <s v="Residential, High Density"/>
    <n v="1300"/>
    <s v="City of Cocoa Beach           Brevard County"/>
    <s v="City of Cocoa Beach"/>
    <m/>
    <m/>
    <m/>
    <n v="0"/>
    <n v="1"/>
    <n v="6.6649436193577802"/>
    <n v="1.2841985931931801"/>
    <n v="2316.5575597253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787976964999999"/>
  </r>
  <r>
    <n v="830000"/>
    <n v="2500000"/>
    <n v="2500000"/>
    <x v="0"/>
    <x v="0"/>
    <s v="BR3-5, BR-7"/>
    <s v="62-304.520 (10), F.A.C."/>
    <n v="0.59"/>
    <n v="0.64"/>
    <s v="City of Cocoa Beach"/>
    <n v="6.2640071931280003E-2"/>
    <n v="3714.21462565406"/>
    <n v="8.1656153578072193"/>
    <n v="1.10560483512261"/>
    <n v="0.51149473337623996"/>
    <n v="6.9255166399650001E-2"/>
    <n v="232.658671319197"/>
    <n v="1450"/>
    <s v="Tourist Services"/>
    <n v="1450"/>
    <s v="City of Cocoa Beach           Brevard County"/>
    <s v="City of Cocoa Beach"/>
    <m/>
    <m/>
    <m/>
    <n v="0"/>
    <n v="1"/>
    <n v="0.51149473337623996"/>
    <n v="6.9255166399650001E-2"/>
    <n v="232.6586713191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0.420309732631495"/>
    <n v="253.49537739471401"/>
    <n v="0.1886931641"/>
  </r>
  <r>
    <n v="830000"/>
    <n v="2500000"/>
    <n v="2500000"/>
    <x v="0"/>
    <x v="0"/>
    <s v="BR3-5, BR-7"/>
    <s v="62-304.520 (10), F.A.C."/>
    <n v="0.59"/>
    <n v="0.64"/>
    <s v="City of Cocoa Beach"/>
    <n v="0.37596283871847003"/>
    <n v="3784.0477955136198"/>
    <n v="11.3360661721263"/>
    <n v="1.58560873335324"/>
    <n v="4.2619396179730398"/>
    <n v="0.59612996048828004"/>
    <n v="1422.66135104767"/>
    <n v="1410"/>
    <s v="Retail Sales and Services"/>
    <n v="1410"/>
    <s v="City of Cocoa Beach           Brevard County"/>
    <s v="City of Cocoa Beach"/>
    <m/>
    <m/>
    <m/>
    <n v="0"/>
    <n v="1"/>
    <n v="4.2619396179730398"/>
    <n v="0.59612996048828004"/>
    <n v="1640.0037079218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6.467401506442"/>
    <n v="1521.4676284515699"/>
    <n v="1.3300922205000001"/>
  </r>
  <r>
    <n v="830000"/>
    <n v="2500000"/>
    <n v="2500000"/>
    <x v="0"/>
    <x v="0"/>
    <s v="BR3-5, BR-7"/>
    <s v="62-304.520 (10), F.A.C."/>
    <n v="0.59"/>
    <n v="0.64"/>
    <s v="City of Cocoa Beach"/>
    <n v="6.6710114043910002E-2"/>
    <n v="3784.0477955136198"/>
    <n v="11.3360661721263"/>
    <n v="1.58560873335324"/>
    <n v="0.75623026715192998"/>
    <n v="0.10577613943102"/>
    <n v="252.43425998634601"/>
    <n v="1410"/>
    <s v="Retail Sales and Services"/>
    <n v="1410"/>
    <s v="City of Cocoa Beach           Brevard County"/>
    <s v="City of Cocoa Beach"/>
    <m/>
    <m/>
    <m/>
    <n v="0"/>
    <n v="1"/>
    <n v="0.75623026715192998"/>
    <n v="0.10577613943102"/>
    <n v="252.43425998634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3.341300433183207"/>
    <n v="269.96625345766103"/>
    <n v="0.2047317599"/>
  </r>
  <r>
    <n v="830000"/>
    <n v="2500000"/>
    <n v="2500000"/>
    <x v="0"/>
    <x v="0"/>
    <s v="BR3-5, BR-7"/>
    <s v="62-304.520 (10), F.A.C."/>
    <n v="0.59"/>
    <n v="0.64"/>
    <s v="City of Cocoa Beach"/>
    <n v="7.1795425508099997E-3"/>
    <n v="3784.0477955136198"/>
    <n v="11.3360661721263"/>
    <n v="1.58560873335324"/>
    <n v="8.1387769441570001E-2"/>
    <n v="1.138394537004E-2"/>
    <n v="27.167732162188798"/>
    <n v="1410"/>
    <s v="Retail Sales and Services"/>
    <n v="1410"/>
    <s v="City of Cocoa Beach           Brevard County"/>
    <s v="City of Cocoa Beach"/>
    <m/>
    <m/>
    <m/>
    <n v="0"/>
    <n v="1"/>
    <n v="8.1387769441570001E-2"/>
    <n v="1.138394537004E-2"/>
    <n v="134.254922609224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4.181461550721799"/>
    <n v="29.054577881638298"/>
    <n v="0.10888477100000001"/>
  </r>
  <r>
    <n v="830000"/>
    <n v="2500000"/>
    <n v="2500000"/>
    <x v="0"/>
    <x v="0"/>
    <s v="BR3-5, BR-7"/>
    <s v="62-304.520 (10), F.A.C."/>
    <n v="0.59"/>
    <n v="0.64"/>
    <s v="City of Cocoa Beach"/>
    <n v="7.1237993011269998E-2"/>
    <n v="3755.41846510097"/>
    <n v="10.207498813030799"/>
    <n v="1.81238946411165"/>
    <n v="0.72716172910524002"/>
    <n v="0.12911098797807999"/>
    <n v="267.528474371257"/>
    <n v="1300"/>
    <s v="Residential, High Density"/>
    <n v="1300"/>
    <s v="City of Cocoa Beach           Brevard County"/>
    <s v="City of Cocoa Beach"/>
    <m/>
    <m/>
    <m/>
    <n v="0"/>
    <n v="1"/>
    <n v="0.72716172910524002"/>
    <n v="0.12911098797807999"/>
    <n v="267.52847437125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3.919373992556004"/>
    <n v="288.28992953654603"/>
    <n v="0.21697362070000001"/>
  </r>
  <r>
    <n v="830000"/>
    <n v="2500000"/>
    <n v="2500000"/>
    <x v="0"/>
    <x v="0"/>
    <s v="BR3-5, BR-7"/>
    <s v="62-304.520 (10), F.A.C."/>
    <n v="0.59"/>
    <n v="0.64"/>
    <s v="FDOT District 5"/>
    <n v="2.011525518454E-2"/>
    <n v="3755.41846510097"/>
    <n v="10.207498813030799"/>
    <n v="1.81238946411165"/>
    <n v="0.20532644342003001"/>
    <n v="3.6456676564380001E-2"/>
    <n v="75.54120075025089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0532644342003001"/>
    <n v="3.6456676564380001E-2"/>
    <n v="75.541200750250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54511990925501"/>
    <n v="81.403549631782099"/>
    <n v="6.1266180699999999E-2"/>
  </r>
  <r>
    <n v="830000"/>
    <n v="2500000"/>
    <n v="2500000"/>
    <x v="0"/>
    <x v="0"/>
    <s v="BR3-5, BR-7"/>
    <s v="62-304.520 (10), F.A.C."/>
    <n v="0.59"/>
    <n v="0.64"/>
    <s v="FDOT District 5"/>
    <n v="0.17623541512117"/>
    <n v="3755.41846510097"/>
    <n v="10.207498813030799"/>
    <n v="1.81238946411165"/>
    <n v="1.79892279066337"/>
    <n v="0.31940720956895002"/>
    <n v="661.83773215078497"/>
    <n v="8140"/>
    <s v="Roads and Highways"/>
    <n v="8140"/>
    <s v="FDOT District 5                                 City of Cocoa Beach           Brevard County"/>
    <s v="FDOT District 5"/>
    <m/>
    <m/>
    <m/>
    <n v="0"/>
    <n v="1"/>
    <n v="1.79892279066337"/>
    <n v="0.31940720956895002"/>
    <n v="661.837732150784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8.535882069303"/>
    <n v="713.19942153744398"/>
    <n v="0.53677026130000005"/>
  </r>
  <r>
    <n v="830000"/>
    <n v="2500000"/>
    <n v="2500000"/>
    <x v="0"/>
    <x v="0"/>
    <s v="BR3-5, BR-7"/>
    <s v="62-304.520 (10), F.A.C."/>
    <n v="0.59"/>
    <n v="0.64"/>
    <s v="City of Cocoa Beach"/>
    <n v="0.34838472822768002"/>
    <n v="3755.41846510097"/>
    <n v="10.207498813030799"/>
    <n v="1.81238946411165"/>
    <n v="3.5561366998622201"/>
    <n v="0.63140881089725998"/>
    <n v="1308.33044134544"/>
    <n v="1300"/>
    <s v="Residential, High Density"/>
    <n v="1300"/>
    <s v="City of Cocoa Beach           Brevard County"/>
    <s v="City of Cocoa Beach"/>
    <m/>
    <m/>
    <m/>
    <n v="0"/>
    <n v="1"/>
    <n v="3.5561366998622201"/>
    <n v="0.63140881089725998"/>
    <n v="1308.3304413454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0.94418292975601"/>
    <n v="1409.8629748942999"/>
    <n v="1.0610952485"/>
  </r>
  <r>
    <n v="830000"/>
    <n v="2500000"/>
    <n v="2500000"/>
    <x v="0"/>
    <x v="0"/>
    <s v="BR3-5, BR-7"/>
    <s v="62-304.520 (10), F.A.C."/>
    <n v="0.59"/>
    <n v="0.64"/>
    <s v="FDOT District 5"/>
    <n v="1.7900620081700001E-3"/>
    <n v="3755.41846510097"/>
    <n v="10.207498813030799"/>
    <n v="1.81238946411165"/>
    <n v="1.827205582366E-2"/>
    <n v="3.2442895237099999E-3"/>
    <n v="6.7224319191648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827205582366E-2"/>
    <n v="3.2442895237099999E-3"/>
    <n v="6.72243191916501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2.055062123202006"/>
    <n v="7.2441239342652803"/>
    <n v="5.4520940000000002E-3"/>
  </r>
  <r>
    <n v="830000"/>
    <n v="2500000"/>
    <n v="2500000"/>
    <x v="0"/>
    <x v="0"/>
    <s v="BR3-5, BR-7"/>
    <s v="62-304.520 (10), F.A.C."/>
    <n v="0.59"/>
    <n v="0.64"/>
    <s v="City of Cocoa Beach"/>
    <n v="0.617763453829"/>
    <n v="3885.05372713427"/>
    <n v="8.6468520391944992"/>
    <n v="1.17418732744239"/>
    <n v="5.3417091804811898"/>
    <n v="0.72537001884305996"/>
    <n v="2400.04420878573"/>
    <n v="1410"/>
    <s v="Retail Sales and Services"/>
    <n v="1410"/>
    <s v="City of Cocoa Beach           Brevard County"/>
    <s v="City of Cocoa Beach"/>
    <m/>
    <m/>
    <m/>
    <n v="0"/>
    <n v="1"/>
    <n v="5.3417091804811898"/>
    <n v="0.72537001884305996"/>
    <n v="2400.0442087857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26077"/>
    <n v="2500.0000006519199"/>
    <n v="1.9465078740999999"/>
  </r>
  <r>
    <n v="830000"/>
    <n v="2500000"/>
    <n v="2500000"/>
    <x v="0"/>
    <x v="0"/>
    <s v="BR3-5, BR-7"/>
    <s v="62-304.520 (10), F.A.C."/>
    <n v="0.59"/>
    <n v="0.64"/>
    <s v="City of Cocoa Beach"/>
    <n v="3.7125983632270002E-2"/>
    <n v="3700.9187948983499"/>
    <n v="8.2590554106395508"/>
    <n v="1.1239120622154299"/>
    <n v="0.30662555599342001"/>
    <n v="4.172634082592E-2"/>
    <n v="137.40025060376001"/>
    <n v="1200"/>
    <s v="Residential, Medium Density-Two-five dwellingunits per acre"/>
    <n v="1200"/>
    <s v="City of Cocoa Beach           Brevard County"/>
    <s v="City of Cocoa Beach"/>
    <m/>
    <m/>
    <m/>
    <n v="0"/>
    <n v="1"/>
    <n v="0.30662555599342001"/>
    <n v="4.172634082592E-2"/>
    <n v="137.40025060376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027427338043"/>
    <n v="150.24352530017401"/>
    <n v="0.1114357264"/>
  </r>
  <r>
    <n v="830000"/>
    <n v="2500000"/>
    <n v="2500000"/>
    <x v="0"/>
    <x v="0"/>
    <s v="BR3-5, BR-7"/>
    <s v="62-304.520 (10), F.A.C."/>
    <n v="0.59"/>
    <n v="0.64"/>
    <s v="FDOT District 5"/>
    <n v="7.9363444163490005E-2"/>
    <n v="3700.9187948983499"/>
    <n v="8.2590554106395508"/>
    <n v="1.1239120622154299"/>
    <n v="0.65546708292553002"/>
    <n v="8.9197532194309995E-2"/>
    <n v="293.71766213255898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65546708292553002"/>
    <n v="8.9197532194309995E-2"/>
    <n v="293.71766213256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108575400969"/>
    <n v="321.17246371684098"/>
    <n v="0.2382138379"/>
  </r>
  <r>
    <n v="830000"/>
    <n v="2500000"/>
    <n v="2500000"/>
    <x v="0"/>
    <x v="0"/>
    <s v="BR3-5, BR-7"/>
    <s v="62-304.520 (10), F.A.C."/>
    <n v="0.59"/>
    <n v="0.64"/>
    <s v="FDOT District 5"/>
    <n v="2.5548487190699999E-3"/>
    <n v="3700.9187948983499"/>
    <n v="8.2590554106395508"/>
    <n v="1.1239120622154299"/>
    <n v="2.1100637136630001E-2"/>
    <n v="2.8714252924999998E-3"/>
    <n v="9.45528764254294"/>
    <n v="1850"/>
    <s v="Parks and Zoos"/>
    <n v="1850"/>
    <s v="FDOT District 5                                 City of Cocoa Beach           Brevard County"/>
    <s v="FDOT District 5"/>
    <m/>
    <m/>
    <m/>
    <n v="0"/>
    <n v="1"/>
    <n v="2.1100637136630001E-2"/>
    <n v="2.8714252924999998E-3"/>
    <n v="9.45528764254330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.897040193953201"/>
    <n v="10.3391059470454"/>
    <n v="7.6685219999999997E-3"/>
  </r>
  <r>
    <n v="830000"/>
    <n v="2500000"/>
    <n v="2500000"/>
    <x v="0"/>
    <x v="0"/>
    <s v="BR3-5, BR-7"/>
    <s v="62-304.520 (10), F.A.C."/>
    <n v="0.59"/>
    <n v="0.64"/>
    <s v="FDOT District 5"/>
    <n v="2.3857948855890002E-2"/>
    <n v="3700.9187948983499"/>
    <n v="8.2590554106395508"/>
    <n v="1.1239120622154299"/>
    <n v="0.19704412158500001"/>
    <n v="2.6814236498850001E-2"/>
    <n v="88.2963313284869"/>
    <n v="3200"/>
    <s v="Shrub and Brushland"/>
    <n v="3200"/>
    <s v="FDOT District 5                                 City of Cocoa Beach           Brevard County"/>
    <s v="FDOT District 5"/>
    <m/>
    <m/>
    <s v="Natural Lands"/>
    <n v="0"/>
    <n v="1"/>
    <n v="0.19704412158500001"/>
    <n v="2.6814236498850001E-2"/>
    <n v="88.2963313284861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4.786686705907798"/>
    <n v="96.549693552748494"/>
    <n v="7.1610974300000005E-2"/>
  </r>
  <r>
    <n v="830000"/>
    <n v="2500000"/>
    <n v="2500000"/>
    <x v="0"/>
    <x v="0"/>
    <s v="BR3-5, BR-7"/>
    <s v="62-304.520 (10), F.A.C."/>
    <n v="0.59"/>
    <n v="0.64"/>
    <s v="FDOT District 5"/>
    <n v="0.26495901715332998"/>
    <n v="3700.9187948983499"/>
    <n v="8.2590554106395508"/>
    <n v="1.1239120622154299"/>
    <n v="2.1883112042179902"/>
    <n v="0.29779063537137002"/>
    <n v="980.591806460572"/>
    <n v="8140"/>
    <s v="Roads and Highways"/>
    <n v="8140"/>
    <s v="FDOT District 5                                 City of Cocoa Beach           Brevard County"/>
    <s v="FDOT District 5"/>
    <m/>
    <m/>
    <m/>
    <n v="0"/>
    <n v="1"/>
    <n v="2.1883112042179902"/>
    <n v="0.29779063537137002"/>
    <n v="980.59180646057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2.72120210230599"/>
    <n v="1072.25110023976"/>
    <n v="0.79528938069999999"/>
  </r>
  <r>
    <n v="830000"/>
    <n v="2500000"/>
    <n v="2500000"/>
    <x v="0"/>
    <x v="0"/>
    <s v="BR3-5, BR-7"/>
    <s v="62-304.520 (10), F.A.C."/>
    <n v="0.59"/>
    <n v="0.64"/>
    <s v="City of Cocoa Beach"/>
    <n v="0.18211255523450001"/>
    <n v="3781.6033044360502"/>
    <n v="11.618364171212599"/>
    <n v="1.53444577956576"/>
    <n v="2.1158499868645899"/>
    <n v="0.27944184178552001"/>
    <n v="688.67744065411296"/>
    <n v="1400"/>
    <s v="Commercial and Services"/>
    <n v="1400"/>
    <s v="City of Cocoa Beach           Brevard County"/>
    <s v="City of Cocoa Beach"/>
    <m/>
    <m/>
    <m/>
    <n v="0"/>
    <n v="1"/>
    <n v="2.1158499868645899"/>
    <n v="0.27944184178552001"/>
    <n v="688.677440654112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9.49919167415001"/>
    <n v="736.98336375044903"/>
    <n v="0.55853807030000002"/>
  </r>
  <r>
    <n v="830000"/>
    <n v="2500000"/>
    <n v="2500000"/>
    <x v="0"/>
    <x v="0"/>
    <s v="BR3-5, BR-7"/>
    <s v="62-304.520 (10), F.A.C."/>
    <n v="0.59"/>
    <n v="0.64"/>
    <s v="City of Cocoa Beach"/>
    <n v="0.41425931295120999"/>
    <n v="3781.6033044360502"/>
    <n v="11.618364171212599"/>
    <n v="1.53444577956576"/>
    <n v="4.8130155591835804"/>
    <n v="0.63565845440379998"/>
    <n v="1566.5643867497299"/>
    <n v="1430"/>
    <s v="Professional Services"/>
    <n v="1430"/>
    <s v="City of Cocoa Beach           Brevard County"/>
    <s v="City of Cocoa Beach"/>
    <m/>
    <m/>
    <m/>
    <n v="0"/>
    <n v="1"/>
    <n v="4.8130155591835804"/>
    <n v="0.63565845440379998"/>
    <n v="1566.5643867497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7.06200175500101"/>
    <n v="1676.4479611556401"/>
    <n v="1.2705307272999999"/>
  </r>
  <r>
    <n v="830000"/>
    <n v="2500000"/>
    <n v="2500000"/>
    <x v="0"/>
    <x v="0"/>
    <s v="BR3-5, BR-7"/>
    <s v="62-304.520 (10), F.A.C."/>
    <n v="0.59"/>
    <n v="0.64"/>
    <s v="City of Cocoa Beach"/>
    <n v="2.0893303363610002E-2"/>
    <n v="3781.6033044360502"/>
    <n v="11.618364171212599"/>
    <n v="1.53444577956576"/>
    <n v="0.24274600721805001"/>
    <n v="3.2059641167480002E-2"/>
    <n v="79.010185040416303"/>
    <n v="1410"/>
    <s v="Retail Sales and Services"/>
    <n v="1410"/>
    <s v="City of Cocoa Beach           Brevard County"/>
    <s v="City of Cocoa Beach"/>
    <m/>
    <m/>
    <m/>
    <n v="0"/>
    <n v="1"/>
    <n v="0.24274600721805001"/>
    <n v="3.2059641167480002E-2"/>
    <n v="79.010185040416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626078065706"/>
    <n v="84.552198902181303"/>
    <n v="6.4079630999999998E-2"/>
  </r>
  <r>
    <n v="830000"/>
    <n v="2500000"/>
    <n v="2500000"/>
    <x v="0"/>
    <x v="0"/>
    <s v="BR3-5, BR-7"/>
    <s v="62-304.520 (10), F.A.C."/>
    <n v="0.59"/>
    <n v="0.64"/>
    <s v="City of Cocoa Beach"/>
    <n v="4.9828221062000002E-4"/>
    <n v="3781.6033044360502"/>
    <n v="11.618364171212599"/>
    <n v="1.53444577956576"/>
    <n v="5.7892241831100002E-3"/>
    <n v="7.6458703512999999E-4"/>
    <n v="1.88430565425254"/>
    <n v="1300"/>
    <s v="Residential, High Density"/>
    <n v="1300"/>
    <s v="City of Cocoa Beach           Brevard County"/>
    <s v="City of Cocoa Beach"/>
    <m/>
    <m/>
    <m/>
    <n v="0"/>
    <n v="1"/>
    <n v="5.7892241831100002E-3"/>
    <n v="7.6458703512999999E-4"/>
    <n v="1.8843056542543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.2383678997043601"/>
    <n v="2.0164765642495399"/>
    <n v="1.5282284000000001E-3"/>
  </r>
  <r>
    <n v="830000"/>
    <n v="2500000"/>
    <n v="2500000"/>
    <x v="0"/>
    <x v="0"/>
    <s v="BR3-5, BR-7"/>
    <s v="62-304.520 (10), F.A.C."/>
    <n v="0.59"/>
    <n v="0.64"/>
    <s v="City of Cocoa Beach"/>
    <n v="0.30075229649795998"/>
    <n v="3747.7351302931002"/>
    <n v="10.7827144184388"/>
    <n v="2.0776258095398599"/>
    <n v="3.24292612382723"/>
    <n v="0.62485073348256004"/>
    <n v="1127.1399471017601"/>
    <n v="1300"/>
    <s v="Residential, High Density"/>
    <n v="1300"/>
    <s v="City of Cocoa Beach           Brevard County"/>
    <s v="City of Cocoa Beach"/>
    <m/>
    <m/>
    <m/>
    <n v="0"/>
    <n v="1"/>
    <n v="3.24292612382723"/>
    <n v="0.62485073348256004"/>
    <n v="1127.1399471017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72069497060301"/>
    <n v="1217.1013626343499"/>
    <n v="0.91414432040000004"/>
  </r>
  <r>
    <n v="830000"/>
    <n v="2500000"/>
    <n v="2500000"/>
    <x v="0"/>
    <x v="0"/>
    <s v="BR3-5, BR-7"/>
    <s v="62-304.520 (10), F.A.C."/>
    <n v="0.59"/>
    <n v="0.64"/>
    <s v="City of Cocoa Beach"/>
    <n v="0.31701115691678999"/>
    <n v="3747.7351302931002"/>
    <n v="10.7827144184388"/>
    <n v="2.0776258095398599"/>
    <n v="3.41824077249272"/>
    <n v="0.65863056152243005"/>
    <n v="1188.0738494719301"/>
    <n v="1300"/>
    <s v="Residential, High Density"/>
    <n v="1300"/>
    <s v="City of Cocoa Beach           Brevard County"/>
    <s v="City of Cocoa Beach"/>
    <m/>
    <m/>
    <m/>
    <n v="0"/>
    <n v="1"/>
    <n v="3.41824077249272"/>
    <n v="0.65863056152243005"/>
    <n v="1188.0738494719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1.35258591946501"/>
    <n v="1282.89863634119"/>
    <n v="0.96356354379999998"/>
  </r>
  <r>
    <n v="830000"/>
    <n v="2500000"/>
    <n v="2500000"/>
    <x v="0"/>
    <x v="0"/>
    <s v="BR3-5, BR-7"/>
    <s v="62-304.520 (10), F.A.C."/>
    <n v="0.59"/>
    <n v="0.64"/>
    <s v="Natural Lands"/>
    <n v="0.2484814025622"/>
    <n v="3506.14616285273"/>
    <n v="9.2320867252758703"/>
    <n v="1.2306343654485501"/>
    <n v="2.2940018580724799"/>
    <n v="0.30578975316790002"/>
    <n v="871.21211613374601"/>
    <n v="4200"/>
    <s v="Upland Hardwood Forest"/>
    <n v="4200"/>
    <s v="City of Cocoa Beach           Brevard County"/>
    <s v="City of Cocoa Beach"/>
    <m/>
    <m/>
    <s v="Natural Lands"/>
    <n v="0"/>
    <n v="1"/>
    <n v="2.2940018580724799"/>
    <n v="0.30578975316790002"/>
    <n v="948.98318178768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5.50134218762"/>
    <n v="1005.56855980582"/>
    <n v="0.76965383759999995"/>
  </r>
  <r>
    <n v="830000"/>
    <n v="2500000"/>
    <n v="2500000"/>
    <x v="0"/>
    <x v="0"/>
    <s v="BR3-5, BR-7"/>
    <s v="62-304.520 (10), F.A.C."/>
    <n v="0.59"/>
    <n v="0.64"/>
    <s v="City of Cocoa Beach"/>
    <n v="0.32135857337253998"/>
    <n v="3506.14616285273"/>
    <n v="9.2320867252758703"/>
    <n v="1.2306343654485501"/>
    <n v="2.96681021928626"/>
    <n v="0.39547490402377"/>
    <n v="1126.7301289299701"/>
    <n v="1410"/>
    <s v="Retail Sales and Services"/>
    <n v="1410"/>
    <s v="City of Cocoa Beach           Brevard County"/>
    <s v="City of Cocoa Beach"/>
    <m/>
    <m/>
    <m/>
    <n v="0"/>
    <n v="1"/>
    <n v="2.96681021928626"/>
    <n v="0.39547490402377"/>
    <n v="1216.9857808407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8.85772503659501"/>
    <n v="1300.4920065459801"/>
    <n v="0.98701198769999998"/>
  </r>
  <r>
    <n v="830000"/>
    <n v="2500000"/>
    <n v="2500000"/>
    <x v="0"/>
    <x v="0"/>
    <s v="BR3-5, BR-7"/>
    <s v="62-304.520 (10), F.A.C."/>
    <n v="0.59"/>
    <n v="0.64"/>
    <s v="City of Cocoa Beach"/>
    <n v="2.7300832456999999E-4"/>
    <n v="3773.9842146432102"/>
    <n v="11.217125494291899"/>
    <n v="1.4792967933818799"/>
    <n v="3.0623686377199998E-3"/>
    <n v="4.038603391E-4"/>
    <n v="1.0303291074046901"/>
    <n v="1400"/>
    <s v="Commercial and Services"/>
    <n v="1400"/>
    <s v="City of Cocoa Beach           Brevard County"/>
    <s v="City of Cocoa Beach"/>
    <m/>
    <m/>
    <m/>
    <n v="0"/>
    <n v="1"/>
    <n v="3.0623686377199998E-3"/>
    <n v="4.038603391E-4"/>
    <n v="1.0303291074048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2.095683511686801"/>
    <n v="1.1048254916671301"/>
    <n v="8.3562779999999998E-4"/>
  </r>
  <r>
    <n v="830000"/>
    <n v="2500000"/>
    <n v="2500000"/>
    <x v="0"/>
    <x v="0"/>
    <s v="BR3-5, BR-7"/>
    <s v="62-304.520 (10), F.A.C."/>
    <n v="0.59"/>
    <n v="0.64"/>
    <s v="FDOT District 5"/>
    <n v="0.11405100328945"/>
    <n v="3773.9842146432102"/>
    <n v="11.217125494291899"/>
    <n v="1.4792967933818799"/>
    <n v="1.27932441664768"/>
    <n v="0.16871528344806999"/>
    <n v="430.42668607861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27932441664768"/>
    <n v="0.16871528344806999"/>
    <n v="430.42668607861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27001741616399"/>
    <n v="461.54803514308099"/>
    <n v="0.34908895870000001"/>
  </r>
  <r>
    <n v="830000"/>
    <n v="2500000"/>
    <n v="2500000"/>
    <x v="0"/>
    <x v="0"/>
    <s v="BR3-5, BR-7"/>
    <s v="62-304.520 (10), F.A.C."/>
    <n v="0.59"/>
    <n v="0.64"/>
    <s v="FDOT District 5"/>
    <n v="8.2648778979259999E-2"/>
    <n v="3773.9842146432102"/>
    <n v="11.217125494291899"/>
    <n v="1.4792967933818799"/>
    <n v="0.92708172576043002"/>
    <n v="0.12226207372095001"/>
    <n v="311.91518722729001"/>
    <n v="8140"/>
    <s v="Roads and Highways"/>
    <n v="8140"/>
    <s v="FDOT District 5                                 City of Cocoa Beach           Brevard County"/>
    <s v="FDOT District 5"/>
    <m/>
    <m/>
    <m/>
    <n v="0"/>
    <n v="1"/>
    <n v="0.92708172576043002"/>
    <n v="0.12226207372095001"/>
    <n v="311.915187227291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038371561899"/>
    <n v="334.46774201576602"/>
    <n v="0.25297257680000002"/>
  </r>
  <r>
    <n v="830000"/>
    <n v="2500000"/>
    <n v="2500000"/>
    <x v="0"/>
    <x v="0"/>
    <s v="BR3-5, BR-7"/>
    <s v="62-304.520 (10), F.A.C."/>
    <n v="0.59"/>
    <n v="0.64"/>
    <s v="City of Cocoa Beach"/>
    <n v="0.38744675876576001"/>
    <n v="3773.9842146432102"/>
    <n v="11.217125494291899"/>
    <n v="1.4792967933818799"/>
    <n v="4.3460389154321701"/>
    <n v="0.57314874784838998"/>
    <n v="1462.21795159665"/>
    <n v="1410"/>
    <s v="Retail Sales and Services"/>
    <n v="1410"/>
    <s v="City of Cocoa Beach           Brevard County"/>
    <s v="City of Cocoa Beach"/>
    <m/>
    <m/>
    <m/>
    <n v="0"/>
    <n v="1"/>
    <n v="4.3460389154321701"/>
    <n v="0.57314874784838998"/>
    <n v="1462.2179515966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2.335832873903"/>
    <n v="1567.94140404928"/>
    <n v="1.1859026371000001"/>
  </r>
  <r>
    <n v="830000"/>
    <n v="2500000"/>
    <n v="2500000"/>
    <x v="0"/>
    <x v="0"/>
    <s v="BR3-5, BR-7"/>
    <s v="62-304.520 (10), F.A.C."/>
    <n v="0.59"/>
    <n v="0.64"/>
    <s v="FDOT District 5"/>
    <n v="5.174423062E-6"/>
    <n v="3773.9842146432102"/>
    <n v="11.217125494291899"/>
    <n v="1.4792967933818799"/>
    <n v="5.8042152839999999E-5"/>
    <n v="7.6545074432179993E-6"/>
    <n v="1.9528190955869999E-2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5.8042152839999999E-5"/>
    <n v="7.6545074432179993E-6"/>
    <n v="1.9528190957160001E-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.099643684654501"/>
    <n v="2.0940147202050001E-2"/>
    <n v="1.58379E-5"/>
  </r>
  <r>
    <n v="830000"/>
    <n v="2500000"/>
    <n v="2500000"/>
    <x v="0"/>
    <x v="0"/>
    <s v="BR3-5, BR-7"/>
    <s v="62-304.520 (10), F.A.C."/>
    <n v="0.59"/>
    <n v="0.64"/>
    <s v="City of Cocoa Beach"/>
    <n v="3.3338729954829997E-2"/>
    <n v="3773.9842146432102"/>
    <n v="11.217125494291899"/>
    <n v="1.4792967933818799"/>
    <n v="0.37396471772373002"/>
    <n v="4.9317876317609997E-2"/>
    <n v="125.819840585815"/>
    <n v="1410"/>
    <s v="Retail Sales and Services"/>
    <n v="1410"/>
    <s v="City of Cocoa Beach           Brevard County"/>
    <s v="City of Cocoa Beach"/>
    <m/>
    <m/>
    <m/>
    <n v="0"/>
    <n v="1"/>
    <n v="0.37396471772373002"/>
    <n v="4.9317876317609997E-2"/>
    <n v="125.81984058581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3.947636116089697"/>
    <n v="134.917053432399"/>
    <n v="0.1020436663"/>
  </r>
  <r>
    <n v="830000"/>
    <n v="2500000"/>
    <n v="2500000"/>
    <x v="0"/>
    <x v="0"/>
    <s v="BR3-5, BR-7"/>
    <s v="62-304.520 (10), F.A.C."/>
    <n v="0.59"/>
    <n v="0.64"/>
    <s v="FDOT District 5"/>
    <n v="4.2364822211090003E-2"/>
    <n v="3705.6168823466501"/>
    <n v="8.1968471827494405"/>
    <n v="1.0935986220856699"/>
    <n v="0.34725797358865002"/>
    <n v="4.6330111194950001E-2"/>
    <n v="156.987800403029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4725797358865002"/>
    <n v="4.6330111194950001E-2"/>
    <n v="156.98780040303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63410008677"/>
    <n v="171.44435284878401"/>
    <n v="0.127321817"/>
  </r>
  <r>
    <n v="830000"/>
    <n v="2500000"/>
    <n v="2500000"/>
    <x v="0"/>
    <x v="0"/>
    <s v="BR3-5, BR-7"/>
    <s v="62-304.520 (10), F.A.C."/>
    <n v="0.59"/>
    <n v="0.64"/>
    <s v="FDOT District 5"/>
    <n v="5.5214167990400003E-3"/>
    <n v="3705.6168823466501"/>
    <n v="8.1968471827494405"/>
    <n v="1.0935986220856699"/>
    <n v="4.5258209734060001E-2"/>
    <n v="6.0382138033999999E-3"/>
    <n v="20.460255305024699"/>
    <n v="1850"/>
    <s v="Parks and Zoos"/>
    <n v="1850"/>
    <s v="FDOT District 5                                 City of Cocoa Beach           Brevard County"/>
    <s v="FDOT District 5"/>
    <m/>
    <m/>
    <m/>
    <n v="0"/>
    <n v="1"/>
    <n v="4.5258209734060001E-2"/>
    <n v="6.0382138033999999E-3"/>
    <n v="20.4602553050230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2.692027494260898"/>
    <n v="22.344381033972802"/>
    <n v="1.6593881000000001E-2"/>
  </r>
  <r>
    <n v="830000"/>
    <n v="2500000"/>
    <n v="2500000"/>
    <x v="0"/>
    <x v="0"/>
    <s v="BR3-5, BR-7"/>
    <s v="62-304.520 (10), F.A.C."/>
    <n v="0.59"/>
    <n v="0.64"/>
    <s v="FDOT District 5"/>
    <n v="2.600232804818E-2"/>
    <n v="3705.6168823466501"/>
    <n v="8.1968471827494405"/>
    <n v="1.0935986220856699"/>
    <n v="0.2131371094067"/>
    <n v="2.843611012451E-2"/>
    <n v="96.354665795674094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0.2131371094067"/>
    <n v="2.843611012451E-2"/>
    <n v="96.3546657956740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7.433246270761501"/>
    <n v="105.227688259153"/>
    <n v="7.81465254E-2"/>
  </r>
  <r>
    <n v="830000"/>
    <n v="2500000"/>
    <n v="2500000"/>
    <x v="0"/>
    <x v="0"/>
    <s v="BR3-5, BR-7"/>
    <s v="62-304.520 (10), F.A.C."/>
    <n v="0.59"/>
    <n v="0.64"/>
    <s v="FDOT District 5"/>
    <n v="0.26109307951111999"/>
    <n v="3705.6168823466501"/>
    <n v="8.1968471827494405"/>
    <n v="1.0935986220856699"/>
    <n v="2.14014007322614"/>
    <n v="0.28553103198947"/>
    <n v="967.51092330030701"/>
    <n v="8140"/>
    <s v="Roads and Highways"/>
    <n v="8140"/>
    <s v="FDOT District 5                                 City of Cocoa Beach           Brevard County"/>
    <s v="FDOT District 5"/>
    <m/>
    <m/>
    <m/>
    <n v="0"/>
    <n v="1"/>
    <n v="2.14014007322614"/>
    <n v="0.28553103198947"/>
    <n v="967.51092330030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2.70436779882701"/>
    <n v="1056.60620566379"/>
    <n v="0.78468039199999995"/>
  </r>
  <r>
    <n v="830000"/>
    <n v="2500000"/>
    <n v="2500000"/>
    <x v="0"/>
    <x v="0"/>
    <s v="BR3-5, BR-7"/>
    <s v="62-304.520 (10), F.A.C."/>
    <n v="0.59"/>
    <n v="0.64"/>
    <s v="Natural Lands"/>
    <n v="1.8831362307069999E-2"/>
    <n v="3672.2045637647798"/>
    <n v="7.3424141146240496"/>
    <n v="1.00270227962331"/>
    <n v="0.13826766040107999"/>
    <n v="1.8882249913719999E-2"/>
    <n v="69.152614605959897"/>
    <n v="4200"/>
    <s v="Upland Hardwood Forest"/>
    <n v="4200"/>
    <s v="City of Cocoa Beach           Brevard County"/>
    <s v="City of Cocoa Beach"/>
    <m/>
    <m/>
    <s v="Natural Lands"/>
    <n v="0"/>
    <n v="1"/>
    <n v="0.13826766040107999"/>
    <n v="1.8882249913719999E-2"/>
    <n v="69.1526146059614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069773488813"/>
    <n v="76.207819494941603"/>
    <n v="5.6084845600000002E-2"/>
  </r>
  <r>
    <n v="830000"/>
    <n v="2500000"/>
    <n v="2500000"/>
    <x v="0"/>
    <x v="0"/>
    <s v="BR3-5, BR-7"/>
    <s v="62-304.520 (10), F.A.C."/>
    <n v="0.59"/>
    <n v="0.64"/>
    <s v="City of Cocoa Beach"/>
    <n v="3.513104394647E-2"/>
    <n v="3733.4838596110799"/>
    <n v="11.7942611998131"/>
    <n v="2.39496022151762"/>
    <n v="0.41434470852685001"/>
    <n v="8.4137452792189996E-2"/>
    <n v="131.161185545455"/>
    <n v="1300"/>
    <s v="Residential, High Density"/>
    <n v="1300"/>
    <s v="City of Cocoa Beach           Brevard County"/>
    <s v="City of Cocoa Beach"/>
    <m/>
    <m/>
    <m/>
    <n v="0"/>
    <n v="1"/>
    <n v="0.41434470852685001"/>
    <n v="8.4137452792189996E-2"/>
    <n v="131.16118554545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709841729296"/>
    <n v="142.17029082041299"/>
    <n v="0.1063756574"/>
  </r>
  <r>
    <n v="830000"/>
    <n v="2500000"/>
    <n v="2500000"/>
    <x v="0"/>
    <x v="0"/>
    <s v="BR3-5, BR-7"/>
    <s v="62-304.520 (10), F.A.C."/>
    <n v="0.59"/>
    <n v="0.64"/>
    <s v="City of Cocoa Beach"/>
    <n v="0.58263240974444996"/>
    <n v="3733.4838596110799"/>
    <n v="11.7942611998131"/>
    <n v="2.39496022151762"/>
    <n v="6.8717188240026301"/>
    <n v="1.39538144510492"/>
    <n v="2175.24869786721"/>
    <n v="1300"/>
    <s v="Residential, High Density"/>
    <n v="1300"/>
    <s v="City of Cocoa Beach           Brevard County"/>
    <s v="City of Cocoa Beach"/>
    <m/>
    <m/>
    <m/>
    <n v="0"/>
    <n v="1"/>
    <n v="6.8717188240026301"/>
    <n v="1.39538144510492"/>
    <n v="2175.2486978672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94.336218447579"/>
    <n v="2357.8297092727098"/>
    <n v="1.7641919691000001"/>
  </r>
  <r>
    <n v="830000"/>
    <n v="2500000"/>
    <n v="2500000"/>
    <x v="0"/>
    <x v="0"/>
    <s v="BR3-5, BR-7"/>
    <s v="62-304.520 (10), F.A.C."/>
    <n v="0.59"/>
    <n v="0.64"/>
    <s v="City of Cocoa Beach"/>
    <n v="0.43573735440641997"/>
    <n v="3862.2407887705599"/>
    <n v="8.5612332808994296"/>
    <n v="1.1973428947204501"/>
    <n v="3.7304491402753599"/>
    <n v="0.52172702526282"/>
    <n v="1682.9225833794701"/>
    <n v="1450"/>
    <s v="Tourist Services"/>
    <n v="1450"/>
    <s v="City of Cocoa Beach           Brevard County"/>
    <s v="City of Cocoa Beach"/>
    <m/>
    <m/>
    <m/>
    <n v="0"/>
    <n v="1"/>
    <n v="3.7304491402753599"/>
    <n v="0.52172702526282"/>
    <n v="1682.9225833794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7.878489078489"/>
    <n v="1763.36651115923"/>
    <n v="1.3649007164"/>
  </r>
  <r>
    <n v="830000"/>
    <n v="2500000"/>
    <n v="2500000"/>
    <x v="0"/>
    <x v="0"/>
    <s v="BR3-5, BR-7"/>
    <s v="62-304.520 (10), F.A.C."/>
    <n v="0.59"/>
    <n v="0.64"/>
    <s v="City of Cocoa Beach"/>
    <n v="0.11730942411981"/>
    <n v="3862.2407887705599"/>
    <n v="8.5612332808994296"/>
    <n v="1.1973428947204501"/>
    <n v="1.00431334593771"/>
    <n v="0.14045960545361"/>
    <n v="453.07724274273801"/>
    <n v="1300"/>
    <s v="Residential, High Density"/>
    <n v="1300"/>
    <s v="City of Cocoa Beach           Brevard County"/>
    <s v="City of Cocoa Beach"/>
    <m/>
    <m/>
    <m/>
    <n v="0"/>
    <n v="1"/>
    <n v="1.00431334593771"/>
    <n v="0.14045960545361"/>
    <n v="453.07724274273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9.00926730766"/>
    <n v="474.73439640732101"/>
    <n v="0.36745923990000001"/>
  </r>
  <r>
    <n v="830000"/>
    <n v="2500000"/>
    <n v="2500000"/>
    <x v="0"/>
    <x v="0"/>
    <s v="BR3-5, BR-7"/>
    <s v="62-304.520 (10), F.A.C."/>
    <n v="0.59"/>
    <n v="0.64"/>
    <s v="City of Cocoa Beach"/>
    <n v="0.48302679677480997"/>
    <n v="3861.66780530597"/>
    <n v="8.5589710016676896"/>
    <n v="1.19801765406566"/>
    <n v="4.1342123466240599"/>
    <n v="0.57867462992301"/>
    <n v="1865.28903020537"/>
    <n v="1450"/>
    <s v="Tourist Services"/>
    <n v="1450"/>
    <s v="City of Cocoa Beach           Brevard County"/>
    <s v="City of Cocoa Beach"/>
    <m/>
    <m/>
    <m/>
    <n v="0"/>
    <n v="1"/>
    <n v="4.1342123466240599"/>
    <n v="0.57867462992301"/>
    <n v="1865.2890302053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8.20949522178"/>
    <n v="1954.7400947194501"/>
    <n v="1.5128053773000001"/>
  </r>
  <r>
    <n v="830000"/>
    <n v="2500000"/>
    <n v="2500000"/>
    <x v="0"/>
    <x v="0"/>
    <s v="BR3-5, BR-7"/>
    <s v="62-304.520 (10), F.A.C."/>
    <n v="0.59"/>
    <n v="0.64"/>
    <s v="City of Cocoa Beach"/>
    <n v="0.13473665696213999"/>
    <n v="3861.66780530597"/>
    <n v="8.5589710016676896"/>
    <n v="1.19801765406566"/>
    <n v="1.1532071398006001"/>
    <n v="0.16141689369043"/>
    <n v="520.30821038525096"/>
    <n v="1300"/>
    <s v="Residential, High Density"/>
    <n v="1300"/>
    <s v="City of Cocoa Beach           Brevard County"/>
    <s v="City of Cocoa Beach"/>
    <m/>
    <m/>
    <m/>
    <n v="0"/>
    <n v="1"/>
    <n v="1.1532071398006001"/>
    <n v="0.16141689369043"/>
    <n v="520.308210385250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8302876554"/>
    <n v="545.25990555994201"/>
    <n v="0.42198557209999998"/>
  </r>
  <r>
    <n v="830000"/>
    <n v="2500000"/>
    <n v="2500000"/>
    <x v="0"/>
    <x v="0"/>
    <s v="BR3-5, BR-7"/>
    <s v="62-304.520 (10), F.A.C."/>
    <n v="0.59"/>
    <n v="0.64"/>
    <s v="City of Cocoa Beach"/>
    <n v="0.53192039003010005"/>
    <n v="3746.8570137084198"/>
    <n v="10.7802651997605"/>
    <n v="2.07716287497631"/>
    <n v="5.7342428696846097"/>
    <n v="1.10488528661345"/>
    <n v="1993.02964411881"/>
    <n v="1300"/>
    <s v="Residential, High Density"/>
    <n v="1300"/>
    <s v="City of Cocoa Beach           Brevard County"/>
    <s v="City of Cocoa Beach"/>
    <m/>
    <m/>
    <m/>
    <n v="0"/>
    <n v="1"/>
    <n v="5.7342428696846097"/>
    <n v="1.10488528661345"/>
    <n v="1993.0296441188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6.15245408353999"/>
    <n v="2152.60544659884"/>
    <n v="1.6164068484"/>
  </r>
  <r>
    <n v="830000"/>
    <n v="2500000"/>
    <n v="2500000"/>
    <x v="0"/>
    <x v="0"/>
    <s v="BR3-5, BR-7"/>
    <s v="62-304.520 (10), F.A.C."/>
    <n v="0.59"/>
    <n v="0.64"/>
    <s v="City of Cocoa Beach"/>
    <n v="8.5843063522740001E-2"/>
    <n v="3746.8570137084198"/>
    <n v="10.7802651997605"/>
    <n v="2.07716287497631"/>
    <n v="0.92541099033504004"/>
    <n v="0.17831002462366999"/>
    <n v="321.641684638399"/>
    <n v="1300"/>
    <s v="Residential, High Density"/>
    <n v="1300"/>
    <s v="City of Cocoa Beach           Brevard County"/>
    <s v="City of Cocoa Beach"/>
    <m/>
    <m/>
    <m/>
    <n v="0"/>
    <n v="1"/>
    <n v="0.92541099033504004"/>
    <n v="0.17831002462366999"/>
    <n v="321.64168463840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3.94401832086599"/>
    <n v="347.39455293549702"/>
    <n v="0.26086105809999999"/>
  </r>
  <r>
    <n v="830000"/>
    <n v="2500000"/>
    <n v="2500000"/>
    <x v="0"/>
    <x v="0"/>
    <s v="BR3-5, BR-7"/>
    <s v="62-304.520 (10), F.A.C."/>
    <n v="0.59"/>
    <n v="0.64"/>
    <s v="City of Cocoa Beach"/>
    <n v="2.2252463031360002E-2"/>
    <n v="3708.97543539041"/>
    <n v="10.5033035420392"/>
    <n v="2.00380564671338"/>
    <n v="0.23372437377642"/>
    <n v="4.4589611075520001E-2"/>
    <n v="82.533838760262398"/>
    <n v="1300"/>
    <s v="Residential, High Density"/>
    <n v="1300"/>
    <s v="City of Cocoa Beach           Brevard County"/>
    <s v="City of Cocoa Beach"/>
    <m/>
    <m/>
    <m/>
    <n v="0"/>
    <n v="1"/>
    <n v="0.23372437377642"/>
    <n v="4.4589611075520001E-2"/>
    <n v="82.53383876026059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27392059413999"/>
    <n v="90.052522932692"/>
    <n v="6.6937419900000003E-2"/>
  </r>
  <r>
    <n v="830000"/>
    <n v="2500000"/>
    <n v="2500000"/>
    <x v="0"/>
    <x v="0"/>
    <s v="BR3-5, BR-7"/>
    <s v="62-304.520 (10), F.A.C."/>
    <n v="0.59"/>
    <n v="0.64"/>
    <s v="Natural Lands"/>
    <n v="3.6351041380329997E-2"/>
    <n v="3708.97543539041"/>
    <n v="10.5033035420392"/>
    <n v="2.00380564671338"/>
    <n v="0.38180602168686001"/>
    <n v="7.2840421981820003E-2"/>
    <n v="134.825119530515"/>
    <n v="3200"/>
    <s v="Shrub and Brushland"/>
    <n v="3200"/>
    <s v="City of Cocoa Beach           Brevard County"/>
    <s v="City of Cocoa Beach"/>
    <m/>
    <m/>
    <s v="Natural Lands"/>
    <n v="0"/>
    <n v="1"/>
    <n v="0.38180602168686001"/>
    <n v="7.2840421981820003E-2"/>
    <n v="134.82511953051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6.974009841721099"/>
    <n v="147.107445270928"/>
    <n v="0.10934721779999999"/>
  </r>
  <r>
    <n v="830000"/>
    <n v="2500000"/>
    <n v="2500000"/>
    <x v="0"/>
    <x v="0"/>
    <s v="BR3-5, BR-7"/>
    <s v="62-304.520 (10), F.A.C."/>
    <n v="0.59"/>
    <n v="0.64"/>
    <s v="City of Cocoa Beach"/>
    <n v="2.4751983953450001E-2"/>
    <n v="3708.97543539041"/>
    <n v="10.5033035420392"/>
    <n v="2.00380564671338"/>
    <n v="0.25997760073086001"/>
    <n v="4.9598165213300002E-2"/>
    <n v="91.804500460557193"/>
    <n v="1300"/>
    <s v="Residential, High Density"/>
    <n v="1300"/>
    <s v="City of Cocoa Beach           Brevard County"/>
    <s v="City of Cocoa Beach"/>
    <m/>
    <m/>
    <m/>
    <n v="0"/>
    <n v="1"/>
    <n v="0.25997760073086001"/>
    <n v="4.9598165213300002E-2"/>
    <n v="91.8045004605583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168754241239"/>
    <n v="100.167725229198"/>
    <n v="7.4456204799999995E-2"/>
  </r>
  <r>
    <n v="830000"/>
    <n v="2500000"/>
    <n v="2500000"/>
    <x v="0"/>
    <x v="0"/>
    <s v="BR3-5, BR-7"/>
    <s v="62-304.520 (10), F.A.C."/>
    <n v="0.59"/>
    <n v="0.64"/>
    <s v="City of Cocoa Beach"/>
    <n v="0.48783106914148"/>
    <n v="3708.97543539041"/>
    <n v="10.5033035420392"/>
    <n v="2.00380564671338"/>
    <n v="5.1238377964305899"/>
    <n v="0.97751865098794"/>
    <n v="1809.3534520660201"/>
    <n v="1300"/>
    <s v="Residential, High Density"/>
    <n v="1300"/>
    <s v="City of Cocoa Beach           Brevard County"/>
    <s v="City of Cocoa Beach"/>
    <m/>
    <m/>
    <m/>
    <n v="0"/>
    <n v="1"/>
    <n v="5.1238377964305899"/>
    <n v="0.97751865098794"/>
    <n v="1809.3534520660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8.24209817215299"/>
    <n v="1974.18229520149"/>
    <n v="1.4674399449"/>
  </r>
  <r>
    <n v="830000"/>
    <n v="2500000"/>
    <n v="2500000"/>
    <x v="0"/>
    <x v="0"/>
    <s v="BR3-5, BR-7"/>
    <s v="62-304.520 (10), F.A.C."/>
    <n v="0.59"/>
    <n v="0.64"/>
    <s v="City of Cocoa Beach"/>
    <n v="3.1608912903080003E-2"/>
    <n v="3708.97543539041"/>
    <n v="10.5033035420392"/>
    <n v="2.00380564671338"/>
    <n v="0.33199800685500003"/>
    <n v="6.3338118161669996E-2"/>
    <n v="117.236681496944"/>
    <n v="1300"/>
    <s v="Residential, High Density"/>
    <n v="1300"/>
    <s v="City of Cocoa Beach           Brevard County"/>
    <s v="City of Cocoa Beach"/>
    <m/>
    <m/>
    <m/>
    <n v="0"/>
    <n v="1"/>
    <n v="0.33199800685500003"/>
    <n v="6.3338118161669996E-2"/>
    <n v="117.23668149694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4.603799220664996"/>
    <n v="127.916732186939"/>
    <n v="9.5082466700000007E-2"/>
  </r>
  <r>
    <n v="830000"/>
    <n v="2500000"/>
    <n v="2500000"/>
    <x v="0"/>
    <x v="0"/>
    <s v="BR3-5, BR-7"/>
    <s v="62-304.520 (10), F.A.C."/>
    <n v="0.59"/>
    <n v="0.64"/>
    <s v="City of Cocoa Beach"/>
    <n v="1.496798332722E-2"/>
    <n v="3708.97543539041"/>
    <n v="10.5033035420392"/>
    <n v="2.00380564671338"/>
    <n v="0.15721327229799001"/>
    <n v="2.9992929510989998E-2"/>
    <n v="55.515882477999703"/>
    <n v="1300"/>
    <s v="Residential, High Density"/>
    <n v="1300"/>
    <s v="City of Cocoa Beach           Brevard County"/>
    <s v="City of Cocoa Beach"/>
    <m/>
    <m/>
    <m/>
    <n v="0"/>
    <n v="1"/>
    <n v="0.15721327229799001"/>
    <n v="2.9992929510989998E-2"/>
    <n v="55.515882478000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8.506617290082303"/>
    <n v="60.573279458145002"/>
    <n v="4.50250466E-2"/>
  </r>
  <r>
    <n v="830000"/>
    <n v="2500000"/>
    <n v="2500000"/>
    <x v="0"/>
    <x v="0"/>
    <s v="BR3-5, BR-7"/>
    <s v="62-304.520 (10), F.A.C."/>
    <n v="0.59"/>
    <n v="0.64"/>
    <s v="City of Cocoa Beach"/>
    <n v="0.61776345366790997"/>
    <n v="3778.9262332856101"/>
    <n v="11.6159796074848"/>
    <n v="1.53355063953372"/>
    <n v="7.1759276800558602"/>
    <n v="0.94737153945298003"/>
    <n v="2334.4825210307899"/>
    <n v="1450"/>
    <s v="Tourist Services"/>
    <n v="1450"/>
    <s v="City of Cocoa Beach           Brevard County"/>
    <s v="City of Cocoa Beach"/>
    <m/>
    <m/>
    <m/>
    <n v="0"/>
    <n v="1"/>
    <n v="7.1759276800558602"/>
    <n v="0.94737153945298003"/>
    <n v="2334.4825210307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"/>
    <n v="2500"/>
    <n v="1.893335378"/>
  </r>
  <r>
    <n v="830000"/>
    <n v="2500000"/>
    <n v="2500000"/>
    <x v="0"/>
    <x v="0"/>
    <s v="BR3-5, BR-7"/>
    <s v="62-304.520 (10), F.A.C."/>
    <n v="0.59"/>
    <n v="0.64"/>
    <s v="City of Cocoa Beach"/>
    <n v="7.0210882241640002E-2"/>
    <n v="3782.0297623923402"/>
    <n v="11.606796577064999"/>
    <n v="1.5323333199976701"/>
    <n v="0.81492342767505999"/>
    <n v="0.10758647428529999"/>
    <n v="265.53964628173298"/>
    <n v="1400"/>
    <s v="Commercial and Services"/>
    <n v="1400"/>
    <s v="City of Cocoa Beach           Brevard County"/>
    <s v="City of Cocoa Beach"/>
    <m/>
    <m/>
    <m/>
    <n v="0"/>
    <n v="1"/>
    <n v="0.81492342767505999"/>
    <n v="0.10758647428529999"/>
    <n v="268.36139527567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5.80472365584299"/>
    <n v="284.13335972197802"/>
    <n v="0.21764914460000001"/>
  </r>
  <r>
    <n v="830000"/>
    <n v="2500000"/>
    <n v="2500000"/>
    <x v="0"/>
    <x v="0"/>
    <s v="BR3-5, BR-7"/>
    <s v="62-304.520 (10), F.A.C."/>
    <n v="0.59"/>
    <n v="0.64"/>
    <s v="FDOT District 5"/>
    <n v="1.6955662763480001E-2"/>
    <n v="3782.0297623923402"/>
    <n v="11.606796577064999"/>
    <n v="1.5323333199976701"/>
    <n v="0.19680092852502001"/>
    <n v="2.5981727015119999E-2"/>
    <n v="64.1268212125689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9680092852502001"/>
    <n v="2.5981727015119999E-2"/>
    <n v="278.56824430954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6.839874913207396"/>
    <n v="68.617132750439097"/>
    <n v="0.2259272054"/>
  </r>
  <r>
    <n v="830000"/>
    <n v="2500000"/>
    <n v="2500000"/>
    <x v="0"/>
    <x v="0"/>
    <s v="BR3-5, BR-7"/>
    <s v="62-304.520 (10), F.A.C."/>
    <n v="0.59"/>
    <n v="0.64"/>
    <s v="City of Cocoa Beach"/>
    <n v="0.11895165383541"/>
    <n v="3782.0297623923402"/>
    <n v="11.606796577064999"/>
    <n v="1.5323333199976701"/>
    <n v="1.3806476485730801"/>
    <n v="0.18227358264082999"/>
    <n v="449.878695091319"/>
    <n v="1410"/>
    <s v="Retail Sales and Services"/>
    <n v="1410"/>
    <s v="City of Cocoa Beach           Brevard County"/>
    <s v="City of Cocoa Beach"/>
    <m/>
    <m/>
    <m/>
    <n v="0"/>
    <n v="1"/>
    <n v="1.3806476485730801"/>
    <n v="0.18227358264082999"/>
    <n v="606.64710383142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963411225855"/>
    <n v="481.38026427893601"/>
    <n v="0.49200900549999999"/>
  </r>
  <r>
    <n v="830000"/>
    <n v="2500000"/>
    <n v="2500000"/>
    <x v="0"/>
    <x v="0"/>
    <s v="BR3-5, BR-7"/>
    <s v="62-304.520 (10), F.A.C."/>
    <n v="0.59"/>
    <n v="0.64"/>
    <s v="City of Cocoa Beach"/>
    <n v="0.30935943323368997"/>
    <n v="3782.0297623923402"/>
    <n v="11.606796577064999"/>
    <n v="1.5323333199976701"/>
    <n v="3.5906720107396199"/>
    <n v="0.47404176739957998"/>
    <n v="1170.00658376665"/>
    <n v="1430"/>
    <s v="Professional Services"/>
    <n v="1430"/>
    <s v="City of Cocoa Beach           Brevard County"/>
    <s v="City of Cocoa Beach"/>
    <m/>
    <m/>
    <m/>
    <n v="0"/>
    <n v="1"/>
    <n v="3.5906720107396199"/>
    <n v="0.47404176739957998"/>
    <n v="1171.8139128174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77001331124299"/>
    <n v="1251.93320921179"/>
    <n v="0.95037624720000002"/>
  </r>
  <r>
    <n v="830000"/>
    <n v="2500000"/>
    <n v="2500000"/>
    <x v="0"/>
    <x v="0"/>
    <s v="BR3-5, BR-7"/>
    <s v="62-304.520 (10), F.A.C."/>
    <n v="0.59"/>
    <n v="0.64"/>
    <s v="City of Cocoa Beach"/>
    <n v="3.2034264562899998E-3"/>
    <n v="3821.1546788064202"/>
    <n v="9.8018596925207699"/>
    <n v="1.65715883448352"/>
    <n v="3.1399536659919999E-2"/>
    <n v="5.3085864526600003E-3"/>
    <n v="12.2407879916877"/>
    <n v="1300"/>
    <s v="Residential, High Density"/>
    <n v="1300"/>
    <s v="City of Cocoa Beach           Brevard County"/>
    <s v="City of Cocoa Beach"/>
    <m/>
    <m/>
    <m/>
    <n v="0"/>
    <n v="1"/>
    <n v="3.1399536659919999E-2"/>
    <n v="5.3085864526600003E-3"/>
    <n v="1252.5959824532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6.102096995392301"/>
    <n v="12.963806928345599"/>
    <n v="1.0158929297999999"/>
  </r>
  <r>
    <n v="830000"/>
    <n v="2500000"/>
    <n v="2500000"/>
    <x v="0"/>
    <x v="0"/>
    <s v="BR3-5, BR-7"/>
    <s v="62-304.520 (10), F.A.C."/>
    <n v="0.59"/>
    <n v="0.64"/>
    <s v="City of Cocoa Beach"/>
    <n v="4.0179701262039999E-2"/>
    <n v="3708.5569020825701"/>
    <n v="8.4403678091058403"/>
    <n v="1.17893637367032"/>
    <n v="0.33913145711162002"/>
    <n v="4.7369311301019998E-2"/>
    <n v="149.008708438958"/>
    <n v="1200"/>
    <s v="Residential, Medium Density-Two-five dwellingunits per acre"/>
    <n v="1200"/>
    <s v="City of Cocoa Beach           Brevard County"/>
    <s v="City of Cocoa Beach"/>
    <m/>
    <m/>
    <m/>
    <n v="0"/>
    <n v="1"/>
    <n v="0.33913145711162002"/>
    <n v="4.7369311301019998E-2"/>
    <n v="149.00870843895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6.066786812649397"/>
    <n v="162.601482102403"/>
    <n v="0.120850534"/>
  </r>
  <r>
    <n v="830000"/>
    <n v="2500000"/>
    <n v="2500000"/>
    <x v="0"/>
    <x v="0"/>
    <s v="BR3-5, BR-7"/>
    <s v="62-304.520 (10), F.A.C."/>
    <n v="0.59"/>
    <n v="0.64"/>
    <s v="FDOT District 5"/>
    <n v="6.5142768245329996E-2"/>
    <n v="3708.5569020825701"/>
    <n v="8.4403678091058403"/>
    <n v="1.17893637367032"/>
    <n v="0.54982892409397999"/>
    <n v="7.6799178965999998E-2"/>
    <n v="241.58566279701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54982892409397999"/>
    <n v="7.6799178965999998E-2"/>
    <n v="241.58566279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1.345338750036703"/>
    <n v="263.623430046556"/>
    <n v="0.1959332221"/>
  </r>
  <r>
    <n v="830000"/>
    <n v="2500000"/>
    <n v="2500000"/>
    <x v="0"/>
    <x v="0"/>
    <s v="BR3-5, BR-7"/>
    <s v="62-304.520 (10), F.A.C."/>
    <n v="0.59"/>
    <n v="0.64"/>
    <s v="City of Cocoa Beach"/>
    <n v="2.4211797137400001E-3"/>
    <n v="3708.5569020825701"/>
    <n v="8.4403678091058403"/>
    <n v="1.17893637367032"/>
    <n v="2.043564731592E-2"/>
    <n v="2.85441683172E-3"/>
    <n v="8.9790827385801997"/>
    <n v="1300"/>
    <s v="Residential, High Density"/>
    <n v="1300"/>
    <s v="City of Cocoa Beach           Brevard County"/>
    <s v="City of Cocoa Beach"/>
    <m/>
    <m/>
    <m/>
    <n v="0"/>
    <n v="1"/>
    <n v="2.043564731592E-2"/>
    <n v="2.85441683172E-3"/>
    <n v="8.979082738578380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1.672278006409702"/>
    <n v="9.79816667433942"/>
    <n v="7.2823054999999999E-3"/>
  </r>
  <r>
    <n v="830000"/>
    <n v="2500000"/>
    <n v="2500000"/>
    <x v="0"/>
    <x v="0"/>
    <s v="BR3-5, BR-7"/>
    <s v="62-304.520 (10), F.A.C."/>
    <n v="0.59"/>
    <n v="0.64"/>
    <s v="FDOT District 5"/>
    <n v="1.9346105981040002E-2"/>
    <n v="3708.5569020825701"/>
    <n v="8.4403678091058403"/>
    <n v="1.17893637367032"/>
    <n v="0.16328825015393"/>
    <n v="2.2807828029930002E-2"/>
    <n v="71.7461348644142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16328825015393"/>
    <n v="2.2807828029930002E-2"/>
    <n v="71.74613486441309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6.339093789529201"/>
    <n v="78.290913237809505"/>
    <n v="5.8188268299999998E-2"/>
  </r>
  <r>
    <n v="830000"/>
    <n v="2500000"/>
    <n v="2500000"/>
    <x v="0"/>
    <x v="0"/>
    <s v="BR3-5, BR-7"/>
    <s v="62-304.520 (10), F.A.C."/>
    <n v="0.59"/>
    <n v="0.64"/>
    <s v="FDOT District 5"/>
    <n v="2.4808404175469999E-2"/>
    <n v="3708.5569020825701"/>
    <n v="8.4403678091058403"/>
    <n v="1.17893637367032"/>
    <n v="0.20939205599798"/>
    <n v="2.924753005518E-2"/>
    <n v="92.003378534619301"/>
    <n v="3200"/>
    <s v="Shrub and Brushland"/>
    <n v="3200"/>
    <s v="FDOT District 5                                 City of Cocoa Beach           Brevard County"/>
    <s v="FDOT District 5"/>
    <m/>
    <m/>
    <s v="Natural Lands"/>
    <n v="0"/>
    <n v="1"/>
    <n v="0.20939205599798"/>
    <n v="2.924753005518E-2"/>
    <n v="92.0033785346212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3.83744973367899"/>
    <n v="100.396049767025"/>
    <n v="7.46175008E-2"/>
  </r>
  <r>
    <n v="830000"/>
    <n v="2500000"/>
    <n v="2500000"/>
    <x v="0"/>
    <x v="0"/>
    <s v="BR3-5, BR-7"/>
    <s v="62-304.520 (10), F.A.C."/>
    <n v="0.59"/>
    <n v="0.64"/>
    <s v="FDOT District 5"/>
    <n v="0.26459025016366999"/>
    <n v="3708.5569020825701"/>
    <n v="8.4403678091058403"/>
    <n v="1.17893637367032"/>
    <n v="2.23323903008473"/>
    <n v="0.31193507003648002"/>
    <n v="981.24799846824703"/>
    <n v="8140"/>
    <s v="Roads and Highways"/>
    <n v="8140"/>
    <s v="FDOT District 5                                 City of Cocoa Beach           Brevard County"/>
    <s v="FDOT District 5"/>
    <m/>
    <m/>
    <m/>
    <n v="0"/>
    <n v="1"/>
    <n v="2.23323903008473"/>
    <n v="0.31193507003648002"/>
    <n v="981.247998468247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3.21156385078299"/>
    <n v="1070.7587531792799"/>
    <n v="0.79582157220000005"/>
  </r>
  <r>
    <n v="830000"/>
    <n v="2500000"/>
    <n v="2500000"/>
    <x v="0"/>
    <x v="0"/>
    <s v="BR3-5, BR-7"/>
    <s v="62-304.520 (10), F.A.C."/>
    <n v="0.59"/>
    <n v="0.64"/>
    <s v="City of Cocoa Beach"/>
    <n v="1.9362601269210002E-2"/>
    <n v="3708.5569020825701"/>
    <n v="8.4403678091058403"/>
    <n v="1.17893637367032"/>
    <n v="0.16342747645319999"/>
    <n v="2.2827274925140001E-2"/>
    <n v="71.807308579205198"/>
    <n v="1450"/>
    <s v="Tourist Services"/>
    <n v="1450"/>
    <s v="City of Cocoa Beach           Brevard County"/>
    <s v="City of Cocoa Beach"/>
    <m/>
    <m/>
    <m/>
    <n v="0"/>
    <n v="1"/>
    <n v="0.16342747645319999"/>
    <n v="2.2827274925140001E-2"/>
    <n v="71.8073085792058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9.8524525318063"/>
    <n v="78.357667300677903"/>
    <n v="5.8237882099999999E-2"/>
  </r>
  <r>
    <n v="830000"/>
    <n v="2500000"/>
    <n v="2500000"/>
    <x v="0"/>
    <x v="0"/>
    <s v="BR3-5, BR-7"/>
    <s v="62-304.520 (10), F.A.C."/>
    <n v="0.59"/>
    <n v="0.64"/>
    <s v="FDOT District 5"/>
    <n v="2.4266438755000001E-4"/>
    <n v="3708.5569020825701"/>
    <n v="8.4403678091058403"/>
    <n v="1.17893637367032"/>
    <n v="2.0481766851100001E-3"/>
    <n v="2.8608587308E-4"/>
    <n v="0.89993468934930998"/>
    <n v="1450"/>
    <s v="Tourist Services"/>
    <n v="1450"/>
    <s v="FDOT District 5                                 City of Cocoa Beach           Brevard County"/>
    <s v="FDOT District 5"/>
    <m/>
    <m/>
    <m/>
    <n v="0"/>
    <n v="1"/>
    <n v="2.0481766851100001E-3"/>
    <n v="2.8608587308E-4"/>
    <n v="0.899934689348209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.5191735936809"/>
    <n v="0.98202793525540999"/>
    <n v="7.2987400000000004E-4"/>
  </r>
  <r>
    <n v="830000"/>
    <n v="2500000"/>
    <n v="2500000"/>
    <x v="0"/>
    <x v="0"/>
    <s v="BR3-5, BR-7"/>
    <s v="62-304.520 (10), F.A.C."/>
    <n v="0.59"/>
    <n v="0.64"/>
    <s v="City of Cocoa Beach"/>
    <n v="1.09669465719E-2"/>
    <n v="3708.5569020825701"/>
    <n v="8.4403678091058403"/>
    <n v="1.17893637367032"/>
    <n v="9.2565062809679993E-2"/>
    <n v="1.2929332221709999E-2"/>
    <n v="40.6715454040053"/>
    <n v="1300"/>
    <s v="Residential, High Density"/>
    <n v="1300"/>
    <s v="City of Cocoa Beach           Brevard County"/>
    <s v="City of Cocoa Beach"/>
    <m/>
    <m/>
    <m/>
    <n v="0"/>
    <n v="1"/>
    <n v="9.2565062809679993E-2"/>
    <n v="1.2929332221709999E-2"/>
    <n v="40.671545404007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8.286281267753399"/>
    <n v="44.381658168629301"/>
    <n v="3.2985843799999998E-2"/>
  </r>
  <r>
    <n v="830000"/>
    <n v="2500000"/>
    <n v="2500000"/>
    <x v="0"/>
    <x v="0"/>
    <s v="BR3-5, BR-7"/>
    <s v="62-304.520 (10), F.A.C."/>
    <n v="0.59"/>
    <n v="0.64"/>
    <s v="City of Cocoa Beach"/>
    <n v="2.0915890345399998E-3"/>
    <n v="3761.1396029646198"/>
    <n v="11.123969252329999"/>
    <n v="1.85121619071196"/>
    <n v="2.3266772108770001E-2"/>
    <n v="3.8719834850599998E-3"/>
    <n v="7.8667583509499703"/>
    <n v="1400"/>
    <s v="Commercial and Services"/>
    <n v="1400"/>
    <s v="City of Cocoa Beach           Brevard County"/>
    <s v="City of Cocoa Beach"/>
    <m/>
    <m/>
    <m/>
    <n v="0"/>
    <n v="1"/>
    <n v="2.3266772108770001E-2"/>
    <n v="3.8719834850599998E-3"/>
    <n v="7.86675835094858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42327182465"/>
    <n v="8.4643605174643195"/>
    <n v="6.3801771000000004E-3"/>
  </r>
  <r>
    <n v="830000"/>
    <n v="2500000"/>
    <n v="2500000"/>
    <x v="0"/>
    <x v="0"/>
    <s v="BR3-5, BR-7"/>
    <s v="62-304.520 (10), F.A.C."/>
    <n v="0.59"/>
    <n v="0.64"/>
    <s v="FDOT District 5"/>
    <n v="0.25417821560474002"/>
    <n v="3761.1396029646198"/>
    <n v="11.123969252329999"/>
    <n v="1.85121619071196"/>
    <n v="2.82747065499932"/>
    <n v="0.47053882805378"/>
    <n v="955.99975292189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82747065499932"/>
    <n v="0.47053882805378"/>
    <n v="955.99975292189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1.146786412648"/>
    <n v="1028.6227442542399"/>
    <n v="0.77534448739999995"/>
  </r>
  <r>
    <n v="830000"/>
    <n v="2500000"/>
    <n v="2500000"/>
    <x v="0"/>
    <x v="0"/>
    <s v="BR3-5, BR-7"/>
    <s v="62-304.520 (10), F.A.C."/>
    <n v="0.59"/>
    <n v="0.64"/>
    <s v="City of Cocoa Beach"/>
    <n v="0.36149364895958003"/>
    <n v="3761.1396029646198"/>
    <n v="11.123969252329999"/>
    <n v="1.85121619071196"/>
    <n v="4.0212442359389797"/>
    <n v="0.66920289579351999"/>
    <n v="1359.6280793220701"/>
    <n v="1300"/>
    <s v="Residential, High Density"/>
    <n v="1300"/>
    <s v="City of Cocoa Beach           Brevard County"/>
    <s v="City of Cocoa Beach"/>
    <m/>
    <m/>
    <m/>
    <n v="0"/>
    <n v="1"/>
    <n v="4.0212442359389797"/>
    <n v="0.66920289579351999"/>
    <n v="1359.6280793220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8.51839191731901"/>
    <n v="1462.91289494889"/>
    <n v="1.1026991721999999"/>
  </r>
  <r>
    <n v="830000"/>
    <n v="2500000"/>
    <n v="2500000"/>
    <x v="0"/>
    <x v="0"/>
    <s v="BR3-5, BR-7"/>
    <s v="62-304.520 (10), F.A.C."/>
    <n v="0.59"/>
    <n v="0.64"/>
    <s v="City of Cocoa Beach"/>
    <n v="0.53785206675325004"/>
    <n v="3777.8979845968502"/>
    <n v="11.607767304292"/>
    <n v="1.53251645442976"/>
    <n v="6.2432616350042904"/>
    <n v="0.82426714234841003"/>
    <n v="2031.95023899836"/>
    <n v="1410"/>
    <s v="Retail Sales and Services"/>
    <n v="1410"/>
    <s v="City of Cocoa Beach           Brevard County"/>
    <s v="City of Cocoa Beach"/>
    <m/>
    <m/>
    <m/>
    <n v="0"/>
    <n v="1"/>
    <n v="6.2432616350042904"/>
    <n v="0.82426714234841003"/>
    <n v="2031.9502389983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7.099757487494"/>
    <n v="2176.6100906415099"/>
    <n v="1.6479726187999999"/>
  </r>
  <r>
    <n v="830000"/>
    <n v="2500000"/>
    <n v="2500000"/>
    <x v="0"/>
    <x v="0"/>
    <s v="BR3-5, BR-7"/>
    <s v="62-304.520 (10), F.A.C."/>
    <n v="0.59"/>
    <n v="0.64"/>
    <s v="City of Cocoa Beach"/>
    <n v="7.9911387121780003E-2"/>
    <n v="3777.8979845968502"/>
    <n v="11.607767304292"/>
    <n v="1.53251645442976"/>
    <n v="0.92759278667283995"/>
    <n v="0.12246551566043"/>
    <n v="301.89706835371902"/>
    <n v="1410"/>
    <s v="Retail Sales and Services"/>
    <n v="1410"/>
    <s v="City of Cocoa Beach           Brevard County"/>
    <s v="City of Cocoa Beach"/>
    <m/>
    <m/>
    <m/>
    <n v="0"/>
    <n v="1"/>
    <n v="0.92759278667283995"/>
    <n v="0.12246551566043"/>
    <n v="301.89706835371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97095114232999"/>
    <n v="323.38991019667498"/>
    <n v="0.24484758179999999"/>
  </r>
  <r>
    <n v="830000"/>
    <n v="2500000"/>
    <n v="2500000"/>
    <x v="0"/>
    <x v="0"/>
    <s v="BR3-5, BR-7"/>
    <s v="62-304.520 (10), F.A.C."/>
    <n v="0.59"/>
    <n v="0.64"/>
    <s v="City of Cocoa Beach"/>
    <n v="3.0961318376200001E-3"/>
    <n v="3772.9060180299298"/>
    <n v="11.360602242922999"/>
    <n v="1.4992011151718401"/>
    <n v="3.5173922298870001E-2"/>
    <n v="4.6417243036800003E-3"/>
    <n v="11.681414442778101"/>
    <n v="1400"/>
    <s v="Commercial and Services"/>
    <n v="1400"/>
    <s v="City of Cocoa Beach           Brevard County"/>
    <s v="City of Cocoa Beach"/>
    <m/>
    <m/>
    <m/>
    <n v="0"/>
    <n v="1"/>
    <n v="3.5173922298870001E-2"/>
    <n v="4.6417243036800003E-3"/>
    <n v="11.681414442778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2.011982659298"/>
    <n v="12.529601011678301"/>
    <n v="9.4739777000000004E-3"/>
  </r>
  <r>
    <n v="830000"/>
    <n v="2500000"/>
    <n v="2500000"/>
    <x v="0"/>
    <x v="0"/>
    <s v="BR3-5, BR-7"/>
    <s v="62-304.520 (10), F.A.C."/>
    <n v="0.59"/>
    <n v="0.64"/>
    <s v="FDOT District 5"/>
    <n v="7.0378142290850002E-2"/>
    <n v="3772.9060180299298"/>
    <n v="11.360602242922999"/>
    <n v="1.4992011151718401"/>
    <n v="0.79953808116227998"/>
    <n v="0.10551098940617"/>
    <n v="265.530116586944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79953808116227998"/>
    <n v="0.10551098940617"/>
    <n v="265.53011658694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355082948335"/>
    <n v="284.81023712633902"/>
    <n v="0.21535289260000001"/>
  </r>
  <r>
    <n v="830000"/>
    <n v="2500000"/>
    <n v="2500000"/>
    <x v="0"/>
    <x v="0"/>
    <s v="BR3-5, BR-7"/>
    <s v="62-304.520 (10), F.A.C."/>
    <n v="0.59"/>
    <n v="0.64"/>
    <s v="Natural Lands"/>
    <n v="6.3107967199999999E-5"/>
    <n v="3772.9060180299298"/>
    <n v="11.360602242922999"/>
    <n v="1.4992011151718401"/>
    <n v="7.1694451381000004E-4"/>
    <n v="9.4611534810000003E-5"/>
    <n v="0.23810042926468999"/>
    <n v="4200"/>
    <s v="Upland Hardwood Forest"/>
    <n v="4200"/>
    <s v="City of Cocoa Beach           Brevard County"/>
    <s v="City of Cocoa Beach"/>
    <m/>
    <m/>
    <s v="Natural Lands"/>
    <n v="0"/>
    <n v="1"/>
    <n v="7.1694451381000004E-4"/>
    <n v="9.4611534810000003E-5"/>
    <n v="0.23810042926521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.9083834223041203"/>
    <n v="0.25538888240086"/>
    <n v="1.9310660000000001E-4"/>
  </r>
  <r>
    <n v="830000"/>
    <n v="2500000"/>
    <n v="2500000"/>
    <x v="0"/>
    <x v="0"/>
    <s v="BR3-5, BR-7"/>
    <s v="62-304.520 (10), F.A.C."/>
    <n v="0.59"/>
    <n v="0.64"/>
    <s v="FDOT District 5"/>
    <n v="4.6414277327100004E-3"/>
    <n v="3772.9060180299298"/>
    <n v="11.360602242922999"/>
    <n v="1.4992011151718401"/>
    <n v="5.2729414310650001E-2"/>
    <n v="6.9584336328700003E-3"/>
    <n v="17.511670625015199"/>
    <n v="4200"/>
    <s v="Upland Hardwood Forest"/>
    <n v="4200"/>
    <s v="FDOT District 5                                 City of Cocoa Beach           Brevard County"/>
    <s v="FDOT District 5"/>
    <m/>
    <m/>
    <s v="Natural Lands"/>
    <n v="0"/>
    <n v="1"/>
    <n v="5.2729414310650001E-2"/>
    <n v="6.9584336328700003E-3"/>
    <n v="17.5116706250166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.575140637994799"/>
    <n v="18.783191629248801"/>
    <n v="1.42024904E-2"/>
  </r>
  <r>
    <n v="830000"/>
    <n v="2500000"/>
    <n v="2500000"/>
    <x v="0"/>
    <x v="0"/>
    <s v="BR3-5, BR-7"/>
    <s v="62-304.520 (10), F.A.C."/>
    <n v="0.59"/>
    <n v="0.64"/>
    <s v="FDOT District 5"/>
    <n v="4.4686245717419998E-2"/>
    <n v="3772.9060180299298"/>
    <n v="11.360602242922999"/>
    <n v="1.4992011151718401"/>
    <n v="0.50766266332521004"/>
    <n v="6.6993669412410001E-2"/>
    <n v="168.597005390444"/>
    <n v="8140"/>
    <s v="Roads and Highways"/>
    <n v="8140"/>
    <s v="FDOT District 5                                 City of Cocoa Beach           Brevard County"/>
    <s v="FDOT District 5"/>
    <m/>
    <m/>
    <m/>
    <n v="0"/>
    <n v="1"/>
    <n v="0.50766266332521004"/>
    <n v="6.6993669412410001E-2"/>
    <n v="168.59700539044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4.608291479823"/>
    <n v="180.838820474512"/>
    <n v="0.13673723060000001"/>
  </r>
  <r>
    <n v="830000"/>
    <n v="2500000"/>
    <n v="2500000"/>
    <x v="0"/>
    <x v="0"/>
    <s v="BR3-5, BR-7"/>
    <s v="62-304.520 (10), F.A.C."/>
    <n v="0.59"/>
    <n v="0.64"/>
    <s v="City of Cocoa Beach"/>
    <n v="0.49489839832920002"/>
    <n v="3772.9060180299298"/>
    <n v="11.360602242922999"/>
    <n v="1.4992011151718401"/>
    <n v="5.6223438540777702"/>
    <n v="0.74195223067189997"/>
    <n v="1867.2051453696199"/>
    <n v="1410"/>
    <s v="Retail Sales and Services"/>
    <n v="1410"/>
    <s v="City of Cocoa Beach           Brevard County"/>
    <s v="City of Cocoa Beach"/>
    <m/>
    <m/>
    <m/>
    <n v="0"/>
    <n v="1"/>
    <n v="5.6223438540777702"/>
    <n v="0.74195223067189997"/>
    <n v="1867.2051453696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7.72262567604801"/>
    <n v="2002.7827617140099"/>
    <n v="1.5143594041999999"/>
  </r>
  <r>
    <n v="830000"/>
    <n v="2500000"/>
    <n v="2500000"/>
    <x v="0"/>
    <x v="0"/>
    <s v="BR3-5, BR-7"/>
    <s v="62-304.520 (10), F.A.C."/>
    <n v="0.59"/>
    <n v="0.64"/>
    <s v="Natural Lands"/>
    <n v="2.6424694743299999E-3"/>
    <n v="3686.87780127324"/>
    <n v="7.3753926178670701"/>
    <n v="1.0072369128002501"/>
    <n v="1.9489249853939999E-2"/>
    <n v="2.6615927954900002E-3"/>
    <n v="9.7424620454642099"/>
    <n v="4200"/>
    <s v="Upland Hardwood Forest"/>
    <n v="4200"/>
    <s v="City of Cocoa Beach           Brevard County"/>
    <s v="City of Cocoa Beach"/>
    <m/>
    <m/>
    <s v="Natural Lands"/>
    <n v="0"/>
    <n v="1"/>
    <n v="1.9489249853939999E-2"/>
    <n v="2.6615927954900002E-3"/>
    <n v="9.74246204546513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4.837609264269297"/>
    <n v="10.693694563205399"/>
    <n v="7.9014290999999993E-3"/>
  </r>
  <r>
    <n v="830000"/>
    <n v="2500000"/>
    <n v="2500000"/>
    <x v="0"/>
    <x v="0"/>
    <s v="BR3-5, BR-7"/>
    <s v="62-304.520 (10), F.A.C."/>
    <n v="0.59"/>
    <n v="0.64"/>
    <s v="City of Cocoa Beach"/>
    <n v="5.084836442863E-2"/>
    <n v="3755.67757311475"/>
    <n v="11.441295351961299"/>
    <n v="1.51139291177591"/>
    <n v="0.58177115559216996"/>
    <n v="7.6851857572830001E-2"/>
    <n v="190.97006191419001"/>
    <n v="1400"/>
    <s v="Commercial and Services"/>
    <n v="1400"/>
    <s v="City of Cocoa Beach           Brevard County"/>
    <s v="City of Cocoa Beach"/>
    <m/>
    <m/>
    <m/>
    <n v="0"/>
    <n v="1"/>
    <n v="0.58177115559216996"/>
    <n v="7.6851857572830001E-2"/>
    <n v="190.97006191418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9.177969319101507"/>
    <n v="205.776030156556"/>
    <n v="0.1548824509"/>
  </r>
  <r>
    <n v="830000"/>
    <n v="2500000"/>
    <n v="2500000"/>
    <x v="0"/>
    <x v="0"/>
    <s v="BR3-5, BR-7"/>
    <s v="62-304.520 (10), F.A.C."/>
    <n v="0.59"/>
    <n v="0.64"/>
    <s v="FDOT District 5"/>
    <n v="0.44543412682187"/>
    <n v="3755.67757311475"/>
    <n v="11.441295351961299"/>
    <n v="1.51139291177591"/>
    <n v="5.0963434048120897"/>
    <n v="0.67322598194167005"/>
    <n v="1672.90696040487"/>
    <n v="1400"/>
    <s v="Commercial and Services"/>
    <n v="1400"/>
    <s v="FDOT District 5                                 City of Cocoa Beach           Brevard County"/>
    <s v="FDOT District 5"/>
    <m/>
    <m/>
    <m/>
    <n v="0"/>
    <n v="1"/>
    <n v="5.0963434048120897"/>
    <n v="0.67322598194167005"/>
    <n v="1672.9069604048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2.57044125334599"/>
    <n v="1802.6079568852399"/>
    <n v="1.3567777457000001"/>
  </r>
  <r>
    <n v="830000"/>
    <n v="2500000"/>
    <n v="2500000"/>
    <x v="0"/>
    <x v="0"/>
    <s v="BR3-5, BR-7"/>
    <s v="62-304.520 (10), F.A.C."/>
    <n v="0.59"/>
    <n v="0.64"/>
    <s v="Natural Lands"/>
    <n v="1.198955691136E-2"/>
    <n v="3755.67757311475"/>
    <n v="11.441295351961299"/>
    <n v="1.51139291177591"/>
    <n v="0.13717606176208"/>
    <n v="1.8120931331170001E-2"/>
    <n v="45.028910003600203"/>
    <n v="3200"/>
    <s v="Shrub and Brushland"/>
    <n v="3200"/>
    <s v="City of Cocoa Beach           Brevard County"/>
    <s v="City of Cocoa Beach"/>
    <m/>
    <m/>
    <s v="Natural Lands"/>
    <n v="0"/>
    <n v="1"/>
    <n v="0.13717606176208"/>
    <n v="1.8120931331170001E-2"/>
    <n v="45.028910003602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7.746953943192402"/>
    <n v="48.520015388493803"/>
    <n v="3.6519797200000002E-2"/>
  </r>
  <r>
    <n v="830000"/>
    <n v="2500000"/>
    <n v="2500000"/>
    <x v="0"/>
    <x v="0"/>
    <s v="BR3-5, BR-7"/>
    <s v="62-304.520 (10), F.A.C."/>
    <n v="0.59"/>
    <n v="0.64"/>
    <s v="FDOT District 5"/>
    <n v="5.4692184428199999E-3"/>
    <n v="3755.67757311475"/>
    <n v="11.441295351961299"/>
    <n v="1.51139291177591"/>
    <n v="6.2574943548769996E-2"/>
    <n v="8.2661379874399993E-3"/>
    <n v="20.5406210481909"/>
    <n v="3200"/>
    <s v="Shrub and Brushland"/>
    <n v="3200"/>
    <s v="FDOT District 5                                 City of Cocoa Beach           Brevard County"/>
    <s v="FDOT District 5"/>
    <m/>
    <m/>
    <s v="Natural Lands"/>
    <n v="0"/>
    <n v="1"/>
    <n v="6.2574943548769996E-2"/>
    <n v="8.2661379874399993E-3"/>
    <n v="20.540621048192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2.341705325739898"/>
    <n v="22.1331417808643"/>
    <n v="1.6659060100000001E-2"/>
  </r>
  <r>
    <n v="830000"/>
    <n v="2500000"/>
    <n v="2500000"/>
    <x v="0"/>
    <x v="0"/>
    <s v="BR3-5, BR-7"/>
    <s v="62-304.520 (10), F.A.C."/>
    <n v="0.59"/>
    <n v="0.64"/>
    <s v="City of Cocoa Beach"/>
    <n v="9.8063936268330001E-2"/>
    <n v="3755.67757311475"/>
    <n v="11.441295351961299"/>
    <n v="1.51139291177591"/>
    <n v="1.1219784582219601"/>
    <n v="0.14821313817681001"/>
    <n v="368.29652617435102"/>
    <n v="1410"/>
    <s v="Retail Sales and Services"/>
    <n v="1410"/>
    <s v="City of Cocoa Beach           Brevard County"/>
    <s v="City of Cocoa Beach"/>
    <m/>
    <m/>
    <m/>
    <n v="0"/>
    <n v="1"/>
    <n v="1.1219784582219601"/>
    <n v="0.14821313817681001"/>
    <n v="368.296526174351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8.133792447126496"/>
    <n v="396.850670293348"/>
    <n v="0.29869953459999998"/>
  </r>
  <r>
    <n v="830000"/>
    <n v="2500000"/>
    <n v="2500000"/>
    <x v="0"/>
    <x v="0"/>
    <s v="BR3-5, BR-7"/>
    <s v="62-304.520 (10), F.A.C."/>
    <n v="0.59"/>
    <n v="0.64"/>
    <s v="FDOT District 5"/>
    <n v="3.9164608143E-4"/>
    <n v="3755.67757311475"/>
    <n v="11.441295351961299"/>
    <n v="1.51139291177591"/>
    <n v="4.4809384911500003E-3"/>
    <n v="5.9193111139999998E-4"/>
    <n v="1.4708964046512101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4.4809384911500003E-3"/>
    <n v="5.9193111139999998E-4"/>
    <n v="1.4708964046502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9.005550393674497"/>
    <n v="1.58493545997004"/>
    <n v="1.1929410999999999E-3"/>
  </r>
  <r>
    <n v="830000"/>
    <n v="2500000"/>
    <n v="2500000"/>
    <x v="0"/>
    <x v="0"/>
    <s v="BR3-5, BR-7"/>
    <s v="62-304.520 (10), F.A.C."/>
    <n v="0.59"/>
    <n v="0.64"/>
    <s v="City of Cocoa Beach"/>
    <n v="4.8736154450700004E-3"/>
    <n v="3755.67757311475"/>
    <n v="11.441295351961299"/>
    <n v="1.51139291177591"/>
    <n v="5.5760473739009997E-2"/>
    <n v="7.3659478384099997E-3"/>
    <n v="18.3037282270651"/>
    <n v="1410"/>
    <s v="Retail Sales and Services"/>
    <n v="1410"/>
    <s v="City of Cocoa Beach           Brevard County"/>
    <s v="City of Cocoa Beach"/>
    <m/>
    <m/>
    <m/>
    <n v="0"/>
    <n v="1"/>
    <n v="5.5760473739009997E-2"/>
    <n v="7.3659478384099997E-3"/>
    <n v="18.3037282270669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.508036694727"/>
    <n v="19.722821964223701"/>
    <n v="1.48448729E-2"/>
  </r>
  <r>
    <n v="830000"/>
    <n v="2500000"/>
    <n v="2500000"/>
    <x v="0"/>
    <x v="0"/>
    <s v="BR3-5, BR-7"/>
    <s v="62-304.520 (10), F.A.C."/>
    <n v="0.59"/>
    <n v="0.64"/>
    <s v="FDOT District 5"/>
    <n v="6.9298938342000004E-4"/>
    <n v="3755.67757311475"/>
    <n v="11.441295351961299"/>
    <n v="1.51139291177591"/>
    <n v="7.9286962115000005E-3"/>
    <n v="1.04737924204E-3"/>
    <n v="2.6026446857246199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7.9286962115000005E-3"/>
    <n v="1.04737924204E-3"/>
    <n v="2.6026446857251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.302539385728501"/>
    <n v="2.8044285369568902"/>
    <n v="2.1108228999999999E-3"/>
  </r>
  <r>
    <n v="830000"/>
    <n v="2500000"/>
    <n v="2500000"/>
    <x v="0"/>
    <x v="0"/>
    <s v="BR3-5, BR-7"/>
    <s v="62-304.520 (10), F.A.C."/>
    <n v="0.59"/>
    <n v="0.64"/>
    <s v="City of Cocoa Beach"/>
    <n v="5.630148235034E-2"/>
    <n v="3612.0888574760202"/>
    <n v="9.0645903009102504"/>
    <n v="1.3352211557612199"/>
    <n v="0.51034987083980998"/>
    <n v="7.5174930334890006E-2"/>
    <n v="203.36595705706799"/>
    <n v="1200"/>
    <s v="Residential, Medium Density-Two-five dwellingunits per acre"/>
    <n v="1200"/>
    <s v="City of Cocoa Beach           Brevard County"/>
    <s v="City of Cocoa Beach"/>
    <m/>
    <m/>
    <m/>
    <n v="0"/>
    <n v="1"/>
    <n v="0.51034987083980998"/>
    <n v="7.5174930334890006E-2"/>
    <n v="203.365957057066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9.12845096407101"/>
    <n v="227.84401544013701"/>
    <n v="0.16493589380000001"/>
  </r>
  <r>
    <n v="830000"/>
    <n v="2500000"/>
    <n v="2500000"/>
    <x v="0"/>
    <x v="0"/>
    <s v="BR3-5, BR-7"/>
    <s v="62-304.520 (10), F.A.C."/>
    <n v="0.59"/>
    <n v="0.64"/>
    <s v="City of Cocoa Beach"/>
    <n v="5.722083806264E-2"/>
    <n v="3612.0888574760202"/>
    <n v="9.0645903009102504"/>
    <n v="1.3352211557612199"/>
    <n v="0.51868345371257996"/>
    <n v="7.6402473531619997E-2"/>
    <n v="206.68675158150899"/>
    <n v="1200"/>
    <s v="Residential, Medium Density-Two-five dwellingunits per acre"/>
    <n v="1200"/>
    <s v="City of Cocoa Beach           Brevard County"/>
    <s v="City of Cocoa Beach"/>
    <m/>
    <m/>
    <m/>
    <n v="0"/>
    <n v="1"/>
    <n v="0.51868345371257996"/>
    <n v="7.6402473531619997E-2"/>
    <n v="206.68675158151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8.400287003506094"/>
    <n v="231.56451600891501"/>
    <n v="0.16762915780000001"/>
  </r>
  <r>
    <n v="830000"/>
    <n v="2500000"/>
    <n v="2500000"/>
    <x v="0"/>
    <x v="0"/>
    <s v="BR3-5, BR-7"/>
    <s v="62-304.520 (10), F.A.C."/>
    <n v="0.59"/>
    <n v="0.64"/>
    <s v="Natural Lands"/>
    <n v="1.411997086952E-2"/>
    <n v="3612.0888574760202"/>
    <n v="9.0645903009102504"/>
    <n v="1.3352211557612199"/>
    <n v="0.12799175099301"/>
    <n v="1.8853283823710001E-2"/>
    <n v="51.002589445690099"/>
    <n v="5400"/>
    <s v="Bays and estuaries"/>
    <n v="5400"/>
    <s v="City of Cocoa Beach           Brevard County"/>
    <s v="City of Cocoa Beach"/>
    <m/>
    <m/>
    <s v="Natural Lands"/>
    <n v="0"/>
    <n v="1"/>
    <n v="0.12799175099301"/>
    <n v="1.8853283823710001E-2"/>
    <n v="51.0025894456919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8.267145027648198"/>
    <n v="57.141494797431903"/>
    <n v="4.1364630499999999E-2"/>
  </r>
  <r>
    <n v="830000"/>
    <n v="2500000"/>
    <n v="2500000"/>
    <x v="0"/>
    <x v="0"/>
    <s v="BR3-5, BR-7"/>
    <s v="62-304.520 (10), F.A.C."/>
    <n v="0.59"/>
    <n v="0.64"/>
    <s v="City of Cocoa Beach"/>
    <n v="1.168059374502E-2"/>
    <n v="3612.0888574760202"/>
    <n v="9.0645903009102504"/>
    <n v="1.3352211557612199"/>
    <n v="0.10587979677002"/>
    <n v="1.5596175880210001E-2"/>
    <n v="42.1913425151089"/>
    <n v="1210"/>
    <s v="Fixed Single Family Units"/>
    <n v="1210"/>
    <s v="City of Cocoa Beach           Brevard County"/>
    <s v="City of Cocoa Beach"/>
    <m/>
    <m/>
    <m/>
    <n v="0"/>
    <n v="1"/>
    <n v="0.10587979677002"/>
    <n v="1.5596175880210001E-2"/>
    <n v="42.1913425151086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0.552038834404399"/>
    <n v="47.269685814499198"/>
    <n v="3.4218444899999999E-2"/>
  </r>
  <r>
    <n v="830000"/>
    <n v="2500000"/>
    <n v="2500000"/>
    <x v="0"/>
    <x v="0"/>
    <s v="BR3-5, BR-7"/>
    <s v="62-304.520 (10), F.A.C."/>
    <n v="0.59"/>
    <n v="0.64"/>
    <s v="City of Cocoa Beach"/>
    <n v="0.28826885210585002"/>
    <n v="3612.0888574760202"/>
    <n v="9.0645903009102504"/>
    <n v="1.3352211557612199"/>
    <n v="2.6130390408532702"/>
    <n v="0.38490266987874"/>
    <n v="1041.2527086489599"/>
    <n v="1210"/>
    <s v="Fixed Single Family Units"/>
    <n v="1210"/>
    <s v="City of Cocoa Beach           Brevard County"/>
    <s v="City of Cocoa Beach"/>
    <m/>
    <m/>
    <m/>
    <n v="0"/>
    <n v="1"/>
    <n v="2.6130390408532702"/>
    <n v="0.38490266987874"/>
    <n v="1041.2527086489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9.45565560438899"/>
    <n v="1166.5826555224601"/>
    <n v="0.84448719269999994"/>
  </r>
  <r>
    <n v="830000"/>
    <n v="2500000"/>
    <n v="2500000"/>
    <x v="0"/>
    <x v="0"/>
    <s v="BR3-5, BR-7"/>
    <s v="62-304.520 (10), F.A.C."/>
    <n v="0.59"/>
    <n v="0.64"/>
    <s v="City of Cocoa Beach"/>
    <n v="3.6024622627949997E-2"/>
    <n v="3612.0888574760202"/>
    <n v="9.0645903009102504"/>
    <n v="1.3352211557612199"/>
    <n v="0.32654844486725998"/>
    <n v="4.8100838261149997E-2"/>
    <n v="130.12413798919599"/>
    <n v="1210"/>
    <s v="Fixed Single Family Units"/>
    <n v="1210"/>
    <s v="City of Cocoa Beach           Brevard County"/>
    <s v="City of Cocoa Beach"/>
    <m/>
    <m/>
    <m/>
    <n v="0"/>
    <n v="1"/>
    <n v="0.32654844486725998"/>
    <n v="4.8100838261149997E-2"/>
    <n v="130.12413798919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7.106969357403401"/>
    <n v="145.786475446456"/>
    <n v="0.10553458070000001"/>
  </r>
  <r>
    <n v="830000"/>
    <n v="2500000"/>
    <n v="2500000"/>
    <x v="0"/>
    <x v="0"/>
    <s v="BR3-5, BR-7"/>
    <s v="62-304.520 (10), F.A.C."/>
    <n v="0.59"/>
    <n v="0.64"/>
    <s v="City of Cocoa Beach"/>
    <n v="0.15414709386054001"/>
    <n v="3612.0888574760202"/>
    <n v="9.0645903009102504"/>
    <n v="1.3352211557612199"/>
    <n v="1.39728025192178"/>
    <n v="0.2058204608217"/>
    <n v="556.793000145978"/>
    <n v="1210"/>
    <s v="Fixed Single Family Units"/>
    <n v="1210"/>
    <s v="City of Cocoa Beach           Brevard County"/>
    <s v="City of Cocoa Beach"/>
    <m/>
    <m/>
    <m/>
    <n v="0"/>
    <n v="1"/>
    <n v="1.39728025192178"/>
    <n v="0.2058204608217"/>
    <n v="556.79300014597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8.906681529583"/>
    <n v="623.81115678383401"/>
    <n v="0.45157583140000002"/>
  </r>
  <r>
    <n v="830000"/>
    <n v="2500000"/>
    <n v="2500000"/>
    <x v="0"/>
    <x v="0"/>
    <s v="BR3-5, BR-7"/>
    <s v="62-304.520 (10), F.A.C."/>
    <n v="0.59"/>
    <n v="0.64"/>
    <s v="City of Cocoa Beach"/>
    <n v="1.1320922937380001E-2"/>
    <n v="3702.4138547893799"/>
    <n v="9.2292561245548406"/>
    <n v="1.3573838423493101"/>
    <n v="0.10448369735543001"/>
    <n v="1.536683787568E-2"/>
    <n v="41.914741932362297"/>
    <n v="1200"/>
    <s v="Residential, Medium Density-Two-five dwellingunits per acre"/>
    <n v="1200"/>
    <s v="City of Cocoa Beach           Brevard County"/>
    <s v="City of Cocoa Beach"/>
    <m/>
    <m/>
    <m/>
    <n v="0"/>
    <n v="1"/>
    <n v="0.10448369735543001"/>
    <n v="1.536683787568E-2"/>
    <n v="448.34407662411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8.144394367961599"/>
    <n v="45.8141496966376"/>
    <n v="0.36362050010000002"/>
  </r>
  <r>
    <n v="830000"/>
    <n v="2500000"/>
    <n v="2500000"/>
    <x v="0"/>
    <x v="0"/>
    <s v="BR3-5, BR-7"/>
    <s v="62-304.520 (10), F.A.C."/>
    <n v="0.59"/>
    <n v="0.64"/>
    <s v="City of Cocoa Beach"/>
    <n v="4.5745204554509998E-2"/>
    <n v="3702.4138547893799"/>
    <n v="9.2292561245548406"/>
    <n v="1.3573838423493101"/>
    <n v="0.42219420930376"/>
    <n v="6.2093801527259997E-2"/>
    <n v="169.36767913280599"/>
    <n v="1210"/>
    <s v="Fixed Single Family Units"/>
    <n v="1210"/>
    <s v="City of Cocoa Beach           Brevard County"/>
    <s v="City of Cocoa Beach"/>
    <m/>
    <m/>
    <m/>
    <n v="0"/>
    <n v="1"/>
    <n v="0.42219420930376"/>
    <n v="6.2093801527259997E-2"/>
    <n v="466.640807255159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1.126984588523399"/>
    <n v="185.12427484543699"/>
    <n v="0.37845969769999999"/>
  </r>
  <r>
    <n v="830000"/>
    <n v="2500000"/>
    <n v="2500000"/>
    <x v="0"/>
    <x v="0"/>
    <s v="BR3-5, BR-7"/>
    <s v="62-304.520 (10), F.A.C."/>
    <n v="0.59"/>
    <n v="0.64"/>
    <s v="City of Cocoa Beach"/>
    <n v="9.5786134385100006E-3"/>
    <n v="3225.7914267083002"/>
    <n v="8.0705746964854193"/>
    <n v="1.1879717529077101"/>
    <n v="7.7304915244260003E-2"/>
    <n v="1.137912219697E-2"/>
    <n v="30.898609109701699"/>
    <n v="1200"/>
    <s v="Residential, Medium Density-Two-five dwellingunits per acre"/>
    <n v="1200"/>
    <s v="City of Cocoa Beach           Brevard County"/>
    <s v="City of Cocoa Beach"/>
    <m/>
    <m/>
    <m/>
    <n v="0"/>
    <n v="1"/>
    <n v="7.7304915244260003E-2"/>
    <n v="1.137912219697E-2"/>
    <n v="133.2981010421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911666247207201"/>
    <n v="38.763273311327197"/>
    <n v="0.10810876"/>
  </r>
  <r>
    <n v="830000"/>
    <n v="2500000"/>
    <n v="2500000"/>
    <x v="0"/>
    <x v="0"/>
    <s v="BR3-5, BR-7"/>
    <s v="62-304.520 (10), F.A.C."/>
    <n v="0.59"/>
    <n v="0.64"/>
    <s v="City of Cocoa Beach"/>
    <n v="2.76299576155E-3"/>
    <n v="3225.7914267083002"/>
    <n v="8.0705746964854193"/>
    <n v="1.1879717529077101"/>
    <n v="2.229896367969E-2"/>
    <n v="3.2823609181300002E-3"/>
    <n v="8.9128480396522693"/>
    <n v="1200"/>
    <s v="Residential, Medium Density-Two-five dwellingunits per acre"/>
    <n v="1200"/>
    <s v="City of Cocoa Beach           Brevard County"/>
    <s v="City of Cocoa Beach"/>
    <m/>
    <m/>
    <m/>
    <n v="0"/>
    <n v="1"/>
    <n v="2.229896367969E-2"/>
    <n v="3.2823609181300002E-3"/>
    <n v="9.08726617860832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4.431834916172999"/>
    <n v="11.1814471427088"/>
    <n v="7.3700455999999998E-3"/>
  </r>
  <r>
    <n v="830000"/>
    <n v="2500000"/>
    <n v="2500000"/>
    <x v="0"/>
    <x v="0"/>
    <s v="BR3-5, BR-7"/>
    <s v="62-304.520 (10), F.A.C."/>
    <n v="0.59"/>
    <n v="0.64"/>
    <s v="Natural Lands"/>
    <n v="1.4293734667379999E-2"/>
    <n v="3225.7914267083002"/>
    <n v="8.0705746964854193"/>
    <n v="1.1879717529077101"/>
    <n v="0.11535865332483"/>
    <n v="1.69805530284E-2"/>
    <n v="46.108606745677598"/>
    <n v="5400"/>
    <s v="Bays and estuaries"/>
    <n v="5400"/>
    <s v="City of Cocoa Beach           Brevard County"/>
    <s v="City of Cocoa Beach"/>
    <m/>
    <m/>
    <s v="Natural Lands"/>
    <n v="0"/>
    <n v="1"/>
    <n v="0.11535865332483"/>
    <n v="1.69805530284E-2"/>
    <n v="242.90278622657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2.883829813525502"/>
    <n v="57.844691938767603"/>
    <n v="0.1970014487"/>
  </r>
  <r>
    <n v="830000"/>
    <n v="2500000"/>
    <n v="2500000"/>
    <x v="0"/>
    <x v="0"/>
    <s v="BR3-5, BR-7"/>
    <s v="62-304.520 (10), F.A.C."/>
    <n v="0.59"/>
    <n v="0.64"/>
    <s v="City of Cocoa Beach"/>
    <n v="0.10542264656408"/>
    <n v="3225.7914267083002"/>
    <n v="8.0705746964854193"/>
    <n v="1.1879717529077101"/>
    <n v="0.85082134379662999"/>
    <n v="0.12523912623489999"/>
    <n v="340.07146946732399"/>
    <n v="1210"/>
    <s v="Fixed Single Family Units"/>
    <n v="1210"/>
    <s v="City of Cocoa Beach           Brevard County"/>
    <s v="City of Cocoa Beach"/>
    <m/>
    <m/>
    <m/>
    <n v="0"/>
    <n v="1"/>
    <n v="0.85082134379662999"/>
    <n v="0.12523912623489999"/>
    <n v="808.56671174949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383940863467"/>
    <n v="426.63031431427203"/>
    <n v="0.65577186679999999"/>
  </r>
  <r>
    <n v="830000"/>
    <n v="2500000"/>
    <n v="2500000"/>
    <x v="0"/>
    <x v="0"/>
    <s v="BR3-5, BR-7"/>
    <s v="62-304.520 (10), F.A.C."/>
    <n v="0.59"/>
    <n v="0.64"/>
    <s v="City of Cocoa Beach"/>
    <n v="0.61776345373694996"/>
    <n v="3747.7351294554201"/>
    <n v="10.7827144160287"/>
    <n v="2.0776258090754798"/>
    <n v="6.6611668983051402"/>
    <n v="1.2834812953875001"/>
    <n v="2315.2137972636901"/>
    <n v="1300"/>
    <s v="Residential, High Density"/>
    <n v="1300"/>
    <s v="City of Cocoa Beach           Brevard County"/>
    <s v="City of Cocoa Beach"/>
    <m/>
    <m/>
    <m/>
    <n v="0"/>
    <n v="1"/>
    <n v="6.6611668983051402"/>
    <n v="1.2834812953875001"/>
    <n v="2315.2137972636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0.00000001117499"/>
    <n v="2500.00000027939"/>
    <n v="1.8777078648000001"/>
  </r>
  <r>
    <n v="830000"/>
    <n v="2500000"/>
    <n v="2500000"/>
    <x v="0"/>
    <x v="0"/>
    <s v="BR3-5, BR-7"/>
    <s v="62-304.520 (10), F.A.C."/>
    <n v="0.59"/>
    <n v="0.64"/>
    <s v="City of Cocoa Beach"/>
    <n v="2.8780886333599999E-3"/>
    <n v="3746.26082570673"/>
    <n v="10.7786013806613"/>
    <n v="2.07684827753826"/>
    <n v="3.1021770117249998E-2"/>
    <n v="5.9773534208000002E-3"/>
    <n v="10.7820707000871"/>
    <n v="1300"/>
    <s v="Residential, High Density"/>
    <n v="1300"/>
    <s v="City of Cocoa Beach           Brevard County"/>
    <s v="City of Cocoa Beach"/>
    <m/>
    <m/>
    <m/>
    <n v="0"/>
    <n v="1"/>
    <n v="3.1021770117249998E-2"/>
    <n v="5.9773534208000002E-3"/>
    <n v="10.782070700088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8.131153695037401"/>
    <n v="11.647211470171399"/>
    <n v="8.7445829000000006E-3"/>
  </r>
  <r>
    <n v="830000"/>
    <n v="2500000"/>
    <n v="2500000"/>
    <x v="0"/>
    <x v="0"/>
    <s v="BR3-5, BR-7"/>
    <s v="62-304.520 (10), F.A.C."/>
    <n v="0.59"/>
    <n v="0.64"/>
    <s v="City of Cocoa Beach"/>
    <n v="3.5568276132800003E-2"/>
    <n v="3746.26082570673"/>
    <n v="10.7786013806613"/>
    <n v="2.07684827753826"/>
    <n v="0.38337627023283999"/>
    <n v="7.3869913021430006E-2"/>
    <n v="133.24803951426199"/>
    <n v="1300"/>
    <s v="Residential, High Density"/>
    <n v="1300"/>
    <s v="City of Cocoa Beach           Brevard County"/>
    <s v="City of Cocoa Beach"/>
    <m/>
    <m/>
    <m/>
    <n v="0"/>
    <n v="1"/>
    <n v="0.38337627023283999"/>
    <n v="7.3869913021430006E-2"/>
    <n v="133.2480395142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5.598471084927894"/>
    <n v="143.93970670175301"/>
    <n v="0.10806815860000001"/>
  </r>
  <r>
    <n v="830000"/>
    <n v="2500000"/>
    <n v="2500000"/>
    <x v="0"/>
    <x v="0"/>
    <s v="BR3-5, BR-7"/>
    <s v="62-304.520 (10), F.A.C."/>
    <n v="0.59"/>
    <n v="0.64"/>
    <s v="City of Cocoa Beach"/>
    <n v="0.16730756581653999"/>
    <n v="3746.26082570673"/>
    <n v="10.7786013806613"/>
    <n v="2.07684827753826"/>
    <n v="1.80334155990533"/>
    <n v="0.34747242988520999"/>
    <n v="626.77777966288102"/>
    <n v="1300"/>
    <s v="Residential, High Density"/>
    <n v="1300"/>
    <s v="City of Cocoa Beach           Brevard County"/>
    <s v="City of Cocoa Beach"/>
    <m/>
    <m/>
    <m/>
    <n v="0"/>
    <n v="1"/>
    <n v="1.80334155990533"/>
    <n v="0.34747242988520999"/>
    <n v="626.777779662881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0.07323384907701"/>
    <n v="677.06969724080398"/>
    <n v="0.50833558769999998"/>
  </r>
  <r>
    <n v="830000"/>
    <n v="2500000"/>
    <n v="2500000"/>
    <x v="0"/>
    <x v="0"/>
    <s v="BR3-5, BR-7"/>
    <s v="62-304.520 (10), F.A.C."/>
    <n v="0.59"/>
    <n v="0.64"/>
    <s v="City of Cocoa Beach"/>
    <n v="5.7641905419699999E-3"/>
    <n v="3746.26082570673"/>
    <n v="10.7786013806613"/>
    <n v="2.07684827753826"/>
    <n v="6.2129912134149999E-2"/>
    <n v="1.19713491985E-2"/>
    <n v="21.5941612193214"/>
    <n v="1300"/>
    <s v="Residential, High Density"/>
    <n v="1300"/>
    <s v="City of Cocoa Beach           Brevard County"/>
    <s v="City of Cocoa Beach"/>
    <m/>
    <m/>
    <m/>
    <n v="0"/>
    <n v="1"/>
    <n v="6.2129912134149999E-2"/>
    <n v="1.19713491985E-2"/>
    <n v="21.5941612193224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3.346624913372402"/>
    <n v="23.326851514742099"/>
    <n v="1.7513512700000001E-2"/>
  </r>
  <r>
    <n v="840000"/>
    <n v="2400000"/>
    <n v="2400000"/>
    <x v="0"/>
    <x v="0"/>
    <s v="BR3-5, BR-7"/>
    <s v="62-304.520 (10), F.A.C."/>
    <n v="0.59"/>
    <n v="0.64"/>
    <s v="City of Cocoa Beach"/>
    <n v="3.5120687729999999E-5"/>
    <n v="3782.1091691373299"/>
    <n v="11.6204057133546"/>
    <n v="1.53418801912293"/>
    <n v="4.0811664042E-4"/>
    <n v="5.3881738340000001E-5"/>
    <n v="0.13283027511272999"/>
    <n v="1400"/>
    <s v="Commercial and Services"/>
    <n v="1400"/>
    <s v="City of Cocoa Beach           Brevard County"/>
    <s v="City of Cocoa Beach"/>
    <m/>
    <m/>
    <m/>
    <n v="0"/>
    <n v="1"/>
    <n v="4.0811664042E-4"/>
    <n v="5.3881738340000001E-5"/>
    <n v="401.13126111626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.0419885308712602"/>
    <n v="0.14212838072402001"/>
    <n v="0.32532949"/>
  </r>
  <r>
    <n v="840000"/>
    <n v="2400000"/>
    <n v="2400000"/>
    <x v="0"/>
    <x v="0"/>
    <s v="BR3-5, BR-7"/>
    <s v="62-304.520 (10), F.A.C."/>
    <n v="0.59"/>
    <n v="0.64"/>
    <s v="FDOT District 5"/>
    <n v="5.2759389653600003E-3"/>
    <n v="3782.1091691373299"/>
    <n v="11.6204057133546"/>
    <n v="1.53418801912293"/>
    <n v="6.1308551296420002E-2"/>
    <n v="8.0942823502800007E-3"/>
    <n v="19.9541771367121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6.1308551296420002E-2"/>
    <n v="8.0942823502800007E-3"/>
    <n v="169.96779631161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.352315166480999"/>
    <n v="21.350967486173701"/>
    <n v="0.1378489832"/>
  </r>
  <r>
    <n v="840000"/>
    <n v="2400000"/>
    <n v="2400000"/>
    <x v="0"/>
    <x v="0"/>
    <s v="BR3-5, BR-7"/>
    <s v="62-304.520 (10), F.A.C."/>
    <n v="0.59"/>
    <n v="0.64"/>
    <s v="FDOT District 5"/>
    <n v="5.2557563559000003E-4"/>
    <n v="3724.5547691608899"/>
    <n v="8.1072001934389402"/>
    <n v="1.08242589716147"/>
    <n v="4.26094689459E-3"/>
    <n v="5.6889667888000001E-4"/>
    <n v="1.95753524012501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26094689459E-3"/>
    <n v="5.6889667888000001E-4"/>
    <n v="1.9575352401238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3.542145143664101"/>
    <n v="2.1269291363794598"/>
    <n v="1.5876198E-3"/>
  </r>
  <r>
    <n v="840000"/>
    <n v="2400000"/>
    <n v="2400000"/>
    <x v="0"/>
    <x v="0"/>
    <s v="BR3-5, BR-7"/>
    <s v="62-304.520 (10), F.A.C."/>
    <n v="0.59"/>
    <n v="0.64"/>
    <s v="FDOT District 5"/>
    <n v="0.10055417213376"/>
    <n v="3724.5547691608899"/>
    <n v="8.1072001934389402"/>
    <n v="1.08242589716147"/>
    <n v="0.81521280377396999"/>
    <n v="0.10884243998522"/>
    <n v="374.51952137985103"/>
    <n v="8140"/>
    <s v="Roads and Highways"/>
    <n v="8140"/>
    <s v="FDOT District 5                                 City of Cocoa Beach           Brevard County"/>
    <s v="FDOT District 5"/>
    <m/>
    <m/>
    <m/>
    <n v="0"/>
    <n v="1"/>
    <n v="0.81521280377396999"/>
    <n v="0.10884243998522"/>
    <n v="977.4290556651160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6.065185203059"/>
    <n v="406.928297298654"/>
    <n v="0.79272429489999996"/>
  </r>
  <r>
    <n v="840000"/>
    <n v="2400000"/>
    <n v="2400000"/>
    <x v="0"/>
    <x v="0"/>
    <s v="BR3-5, BR-7"/>
    <s v="62-304.520 (10), F.A.C."/>
    <n v="0.59"/>
    <n v="0.64"/>
    <s v="City of Cocoa Beach"/>
    <n v="6.9656622305999997E-4"/>
    <n v="3760.8852341686002"/>
    <n v="10.7699511152847"/>
    <n v="1.4723322428641199"/>
    <n v="7.5019841709200001E-3"/>
    <n v="1.0255769095000001E-3"/>
    <n v="2.6197056229307099"/>
    <n v="1450"/>
    <s v="Tourist Services"/>
    <n v="1450"/>
    <s v="City of Cocoa Beach           Brevard County"/>
    <s v="City of Cocoa Beach"/>
    <m/>
    <m/>
    <m/>
    <n v="0"/>
    <n v="1"/>
    <n v="7.5019841709200001E-3"/>
    <n v="1.0255769095000001E-3"/>
    <n v="1136.0916326397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0.851299650825901"/>
    <n v="2.81890349342097"/>
    <n v="0.92140440599999995"/>
  </r>
  <r>
    <n v="840000"/>
    <n v="2400000"/>
    <n v="2400000"/>
    <x v="0"/>
    <x v="0"/>
    <s v="BR3-5, BR-7"/>
    <s v="62-304.520 (10), F.A.C."/>
    <n v="0.59"/>
    <n v="0.64"/>
    <s v="City of Cocoa Beach"/>
    <n v="1.8426739464570002E-2"/>
    <n v="3745.9434823829201"/>
    <n v="10.777530530554801"/>
    <n v="2.0766235887589701"/>
    <n v="0.19859474715798001"/>
    <n v="3.8265401836039999E-2"/>
    <n v="69.0255245988741"/>
    <n v="1300"/>
    <s v="Residential, High Density"/>
    <n v="1300"/>
    <s v="City of Cocoa Beach           Brevard County"/>
    <s v="City of Cocoa Beach"/>
    <m/>
    <m/>
    <m/>
    <n v="0"/>
    <n v="1"/>
    <n v="0.19859474715798001"/>
    <n v="3.8265401836039999E-2"/>
    <n v="219.46023591702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5.176256759449501"/>
    <n v="74.570368946087299"/>
    <n v="0.1779888369"/>
  </r>
  <r>
    <n v="840000"/>
    <n v="2400000"/>
    <n v="2400000"/>
    <x v="0"/>
    <x v="0"/>
    <s v="BR3-5, BR-7"/>
    <s v="62-304.520 (10), F.A.C."/>
    <n v="0.59"/>
    <n v="0.64"/>
    <s v="City of Cocoa Beach"/>
    <n v="1.0708530709E-4"/>
    <n v="3745.9434823829201"/>
    <n v="10.777530530554801"/>
    <n v="2.0766235887589701"/>
    <n v="1.15411516662E-3"/>
    <n v="2.2237587471999999E-4"/>
    <n v="0.40113550818271998"/>
    <n v="1300"/>
    <s v="Residential, High Density"/>
    <n v="1300"/>
    <s v="City of Cocoa Beach           Brevard County"/>
    <s v="City of Cocoa Beach"/>
    <m/>
    <m/>
    <m/>
    <n v="0"/>
    <n v="1"/>
    <n v="1.15411516662E-3"/>
    <n v="2.2237587471999999E-4"/>
    <n v="219.46023591702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8.257304371738797"/>
    <n v="0.43335886277233998"/>
    <n v="0.1779888369"/>
  </r>
  <r>
    <n v="840000"/>
    <n v="2400000"/>
    <n v="2400000"/>
    <x v="0"/>
    <x v="0"/>
    <s v="BR3-5, BR-7"/>
    <s v="62-304.520 (10), F.A.C."/>
    <n v="0.59"/>
    <n v="0.64"/>
    <s v="City of Cocoa Beach"/>
    <n v="3.54312862584E-3"/>
    <n v="3758.1299554347202"/>
    <n v="10.6998943003032"/>
    <n v="1.4670580481095601"/>
    <n v="3.791110178887E-2"/>
    <n v="5.1979753660200004E-3"/>
    <n v="13.315537824731299"/>
    <n v="1400"/>
    <s v="Commercial and Services"/>
    <n v="1400"/>
    <s v="City of Cocoa Beach           Brevard County"/>
    <s v="City of Cocoa Beach"/>
    <m/>
    <m/>
    <m/>
    <n v="0"/>
    <n v="1"/>
    <n v="3.791110178887E-2"/>
    <n v="5.1979753660200004E-3"/>
    <n v="563.449911589547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2.506509922705799"/>
    <n v="14.3385328348754"/>
    <n v="0.4569747864"/>
  </r>
  <r>
    <n v="840000"/>
    <n v="2400000"/>
    <n v="2400000"/>
    <x v="0"/>
    <x v="0"/>
    <s v="BR3-5, BR-7"/>
    <s v="62-304.520 (10), F.A.C."/>
    <n v="0.59"/>
    <n v="0.64"/>
    <s v="City of Cocoa Beach"/>
    <n v="8.5273238549400006E-3"/>
    <n v="3758.1299554347202"/>
    <n v="10.6998943003032"/>
    <n v="1.4670580481095601"/>
    <n v="9.1241463912360002E-2"/>
    <n v="1.2510079090229999E-2"/>
    <n v="32.0467912189618"/>
    <n v="1450"/>
    <s v="Tourist Services"/>
    <n v="1450"/>
    <s v="City of Cocoa Beach           Brevard County"/>
    <s v="City of Cocoa Beach"/>
    <m/>
    <m/>
    <m/>
    <n v="0"/>
    <n v="1"/>
    <n v="9.1241463912360002E-2"/>
    <n v="1.2510079090229999E-2"/>
    <n v="850.109619507730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2.1551031025528"/>
    <n v="34.508855308270498"/>
    <n v="0.68946441160000005"/>
  </r>
  <r>
    <n v="840000"/>
    <n v="2400000"/>
    <n v="2400000"/>
    <x v="0"/>
    <x v="0"/>
    <s v="BR3-5, BR-7"/>
    <s v="62-304.520 (10), F.A.C."/>
    <n v="0.59"/>
    <n v="0.64"/>
    <s v="City of Cocoa Beach"/>
    <n v="2.1454629676200001E-3"/>
    <n v="3781.8716354419298"/>
    <n v="11.579550042135599"/>
    <n v="1.5286200724267101"/>
    <n v="2.4843495797149999E-2"/>
    <n v="3.2795977569500001E-3"/>
    <n v="8.1138655421482895"/>
    <n v="1400"/>
    <s v="Commercial and Services"/>
    <n v="1400"/>
    <s v="City of Cocoa Beach           Brevard County"/>
    <s v="City of Cocoa Beach"/>
    <m/>
    <m/>
    <m/>
    <n v="0"/>
    <n v="1"/>
    <n v="2.4843495797149999E-2"/>
    <n v="3.2795977569500001E-3"/>
    <n v="8.113865542149120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0.369383924863"/>
    <n v="8.6823805895514194"/>
    <n v="6.5805884000000002E-3"/>
  </r>
  <r>
    <n v="840000"/>
    <n v="2400000"/>
    <n v="2400000"/>
    <x v="0"/>
    <x v="0"/>
    <s v="BR3-5, BR-7"/>
    <s v="62-304.520 (10), F.A.C."/>
    <n v="0.59"/>
    <n v="0.64"/>
    <s v="FDOT District 5"/>
    <n v="8.1572203335150001E-2"/>
    <n v="3781.8716354419298"/>
    <n v="11.579550042135599"/>
    <n v="1.5286200724267101"/>
    <n v="0.94456941056669996"/>
    <n v="0.12469290737019"/>
    <n v="308.495602033728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94456941056669996"/>
    <n v="0.12469290737019"/>
    <n v="308.495602033729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71699787134899"/>
    <n v="330.11099495619499"/>
    <n v="0.25019919060000001"/>
  </r>
  <r>
    <n v="840000"/>
    <n v="2400000"/>
    <n v="2400000"/>
    <x v="0"/>
    <x v="0"/>
    <s v="BR3-5, BR-7"/>
    <s v="62-304.520 (10), F.A.C."/>
    <n v="0.59"/>
    <n v="0.64"/>
    <s v="FDOT District 5"/>
    <n v="8.7400388222400004E-3"/>
    <n v="3781.8716354419298"/>
    <n v="11.579550042135599"/>
    <n v="1.5286200724267101"/>
    <n v="0.10120571691234"/>
    <n v="1.3360198777459999E-2"/>
    <n v="33.053704914494602"/>
    <n v="8140"/>
    <s v="Roads and Highways"/>
    <n v="8140"/>
    <s v="FDOT District 5                                 City of Cocoa Beach           Brevard County"/>
    <s v="FDOT District 5"/>
    <m/>
    <m/>
    <m/>
    <n v="0"/>
    <n v="1"/>
    <n v="0.10120571691234"/>
    <n v="1.3360198777459999E-2"/>
    <n v="33.053704914496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1.96529761782701"/>
    <n v="35.369682239813201"/>
    <n v="2.6807546599999999E-2"/>
  </r>
  <r>
    <n v="840000"/>
    <n v="2400000"/>
    <n v="2400000"/>
    <x v="0"/>
    <x v="0"/>
    <s v="BR3-5, BR-7"/>
    <s v="62-304.520 (10), F.A.C."/>
    <n v="0.59"/>
    <n v="0.64"/>
    <s v="City of Cocoa Beach"/>
    <n v="0.47742420324753998"/>
    <n v="3781.8716354419298"/>
    <n v="11.579550042135599"/>
    <n v="1.5286200724267101"/>
    <n v="5.5283574528316697"/>
    <n v="0.72980022014652002"/>
    <n v="1805.5570523353499"/>
    <n v="1410"/>
    <s v="Retail Sales and Services"/>
    <n v="1410"/>
    <s v="City of Cocoa Beach           Brevard County"/>
    <s v="City of Cocoa Beach"/>
    <m/>
    <m/>
    <m/>
    <n v="0"/>
    <n v="1"/>
    <n v="5.5283574528316697"/>
    <n v="0.72980022014652002"/>
    <n v="1986.63891069709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5.07354506348901"/>
    <n v="1932.0672031215199"/>
    <n v="1.6112237719"/>
  </r>
  <r>
    <n v="840000"/>
    <n v="2400000"/>
    <n v="2400000"/>
    <x v="0"/>
    <x v="0"/>
    <s v="BR3-5, BR-7"/>
    <s v="62-304.520 (10), F.A.C."/>
    <n v="0.59"/>
    <n v="0.64"/>
    <s v="City of Cocoa Beach"/>
    <n v="7.8372097874010005E-2"/>
    <n v="3782.1091691373299"/>
    <n v="11.6204057133546"/>
    <n v="1.53418801912293"/>
    <n v="0.91071557390281999"/>
    <n v="0.12023753359184"/>
    <n v="296.41182997385198"/>
    <n v="1400"/>
    <s v="Commercial and Services"/>
    <n v="1400"/>
    <s v="City of Cocoa Beach           Brevard County"/>
    <s v="City of Cocoa Beach"/>
    <m/>
    <m/>
    <m/>
    <n v="0"/>
    <n v="1"/>
    <n v="0.91071557390281999"/>
    <n v="0.12023753359184"/>
    <n v="296.41182997385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705094993532"/>
    <n v="317.16062761843199"/>
    <n v="0.2403988889"/>
  </r>
  <r>
    <n v="840000"/>
    <n v="2400000"/>
    <n v="2400000"/>
    <x v="0"/>
    <x v="0"/>
    <s v="BR3-5, BR-7"/>
    <s v="62-304.520 (10), F.A.C."/>
    <n v="0.59"/>
    <n v="0.64"/>
    <s v="City of Cocoa Beach"/>
    <n v="0.53939135579388997"/>
    <n v="3782.1091691373299"/>
    <n v="11.6204057133546"/>
    <n v="1.53418801912293"/>
    <n v="6.2679463926014796"/>
    <n v="0.82752775567746995"/>
    <n v="2040.0369925015"/>
    <n v="1410"/>
    <s v="Retail Sales and Services"/>
    <n v="1410"/>
    <s v="City of Cocoa Beach           Brevard County"/>
    <s v="City of Cocoa Beach"/>
    <m/>
    <m/>
    <m/>
    <n v="0"/>
    <n v="1"/>
    <n v="6.2679463926014796"/>
    <n v="0.82752775567746995"/>
    <n v="2040.036992501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7.332244784057"/>
    <n v="2182.8393723815602"/>
    <n v="1.6545312186000001"/>
  </r>
  <r>
    <n v="840000"/>
    <n v="2400000"/>
    <n v="2400000"/>
    <x v="0"/>
    <x v="0"/>
    <s v="BR3-5, BR-7"/>
    <s v="62-304.520 (10), F.A.C."/>
    <n v="0.59"/>
    <n v="0.64"/>
    <s v="City of Cocoa Beach"/>
    <n v="3.0752429091260001E-2"/>
    <n v="3758.2429968760698"/>
    <n v="11.0465500871888"/>
    <n v="1.9024307402999601"/>
    <n v="0.33970824825939999"/>
    <n v="5.8504366442120002E-2"/>
    <n v="115.575101269182"/>
    <n v="1300"/>
    <s v="Residential, High Density"/>
    <n v="1300"/>
    <s v="City of Cocoa Beach           Brevard County"/>
    <s v="City of Cocoa Beach"/>
    <m/>
    <m/>
    <m/>
    <n v="0"/>
    <n v="1"/>
    <n v="0.33970824825939999"/>
    <n v="5.8504366442120002E-2"/>
    <n v="307.84057609007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5.415044552947293"/>
    <n v="124.450665172393"/>
    <n v="0.24966794489999999"/>
  </r>
  <r>
    <n v="840000"/>
    <n v="2400000"/>
    <n v="2400000"/>
    <x v="0"/>
    <x v="0"/>
    <s v="BR3-5, BR-7"/>
    <s v="62-304.520 (10), F.A.C."/>
    <n v="0.59"/>
    <n v="0.64"/>
    <s v="City of Cocoa Beach"/>
    <n v="6.8629075916999997E-4"/>
    <n v="3758.2429968760698"/>
    <n v="11.0465500871888"/>
    <n v="1.9024307402999601"/>
    <n v="7.5811452455999996E-3"/>
    <n v="1.3056206370300001E-3"/>
    <n v="2.5792474394902101"/>
    <n v="1300"/>
    <s v="Residential, High Density"/>
    <n v="1300"/>
    <s v="City of Cocoa Beach           Brevard County"/>
    <s v="City of Cocoa Beach"/>
    <m/>
    <m/>
    <m/>
    <n v="0"/>
    <n v="1"/>
    <n v="7.5811452455999996E-3"/>
    <n v="1.3056206370300001E-3"/>
    <n v="307.84057609007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5.977412021490494"/>
    <n v="2.7773201664014402"/>
    <n v="0.24966794489999999"/>
  </r>
  <r>
    <n v="840000"/>
    <n v="2400000"/>
    <n v="2400000"/>
    <x v="0"/>
    <x v="0"/>
    <s v="BR3-5, BR-7"/>
    <s v="62-304.520 (10), F.A.C."/>
    <n v="0.59"/>
    <n v="0.64"/>
    <s v="FDOT District 5"/>
    <n v="7.0875876168299996E-3"/>
    <n v="3758.2429968760698"/>
    <n v="11.0465500871888"/>
    <n v="1.9024307402999601"/>
    <n v="7.8293391606649998E-2"/>
    <n v="1.3483644556819999E-2"/>
    <n v="26.6368765256968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7.8293391606649998E-2"/>
    <n v="1.3483644556819999E-2"/>
    <n v="388.37265188056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2.764993355944501"/>
    <n v="28.682449466493001"/>
    <n v="0.31498187500000002"/>
  </r>
  <r>
    <n v="840000"/>
    <n v="2400000"/>
    <n v="2400000"/>
    <x v="0"/>
    <x v="0"/>
    <s v="BR3-5, BR-7"/>
    <s v="62-304.520 (10), F.A.C."/>
    <n v="0.59"/>
    <n v="0.64"/>
    <s v="FDOT District 5"/>
    <n v="2.3317850099000001E-4"/>
    <n v="3758.2429968760698"/>
    <n v="11.0465500871888"/>
    <n v="1.9024307402999601"/>
    <n v="2.5758179905400001E-3"/>
    <n v="4.4360594826999998E-4"/>
    <n v="0.8763414684015500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5758179905400001E-3"/>
    <n v="4.4360594826999998E-4"/>
    <n v="388.372651880568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.583191158864601"/>
    <n v="0.94363991433472005"/>
    <n v="0.31498187500000002"/>
  </r>
  <r>
    <n v="840000"/>
    <n v="2400000"/>
    <n v="2400000"/>
    <x v="0"/>
    <x v="0"/>
    <s v="BR3-5, BR-7"/>
    <s v="62-304.520 (10), F.A.C."/>
    <n v="0.59"/>
    <n v="0.64"/>
    <s v="FDOT District 5"/>
    <n v="9.7912597458100006E-3"/>
    <n v="3758.2429968760698"/>
    <n v="11.0465500871888"/>
    <n v="1.9024307402999601"/>
    <n v="0.10815964119880001"/>
    <n v="1.8627193526690001E-2"/>
    <n v="36.797933370296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0815964119880001"/>
    <n v="1.8627193526690001E-2"/>
    <n v="744.92422800204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255431086845899"/>
    <n v="39.623822385728197"/>
    <n v="0.60415590269999997"/>
  </r>
  <r>
    <n v="840000"/>
    <n v="2400000"/>
    <n v="2400000"/>
    <x v="0"/>
    <x v="0"/>
    <s v="BR3-5, BR-7"/>
    <s v="62-304.520 (10), F.A.C."/>
    <n v="0.59"/>
    <n v="0.64"/>
    <s v="FDOT District 5"/>
    <n v="3.7493736193999999E-4"/>
    <n v="3758.2429968760698"/>
    <n v="11.0465500871888"/>
    <n v="1.9024307402999601"/>
    <n v="4.1417643482599999E-3"/>
    <n v="7.1329236304E-4"/>
    <n v="1.40910571478947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1417643482599999E-3"/>
    <n v="7.1329236304E-4"/>
    <n v="744.924228002042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0.2393004510438"/>
    <n v="1.51731767117695"/>
    <n v="0.60415590269999997"/>
  </r>
  <r>
    <n v="840000"/>
    <n v="2400000"/>
    <n v="2400000"/>
    <x v="0"/>
    <x v="0"/>
    <s v="BR3-5, BR-7"/>
    <s v="62-304.520 (10), F.A.C."/>
    <n v="0.59"/>
    <n v="0.64"/>
    <s v="FDOT District 5"/>
    <n v="3.8371460621069997E-2"/>
    <n v="3774.46272523159"/>
    <n v="10.6418536584173"/>
    <n v="1.4008455664980699"/>
    <n v="0.40834346858916998"/>
    <n v="5.3752490491080003E-2"/>
    <n v="144.83164782692799"/>
    <n v="8140"/>
    <s v="Roads and Highways"/>
    <n v="8140"/>
    <s v="FDOT District 5                                 City of Cocoa Beach           Brevard County"/>
    <s v="FDOT District 5"/>
    <m/>
    <m/>
    <m/>
    <n v="0"/>
    <n v="1"/>
    <n v="0.40834346858916998"/>
    <n v="5.3752490491080003E-2"/>
    <n v="786.0138135808849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6.275710194751"/>
    <n v="155.283791851252"/>
    <n v="0.63748078959999999"/>
  </r>
  <r>
    <n v="840000"/>
    <n v="2400000"/>
    <n v="2400000"/>
    <x v="0"/>
    <x v="0"/>
    <s v="BR3-5, BR-7"/>
    <s v="62-304.520 (10), F.A.C."/>
    <n v="0.59"/>
    <n v="0.64"/>
    <s v="City of Cocoa Beach"/>
    <n v="0.12731611169095"/>
    <n v="3783.8090208048302"/>
    <n v="11.6254551144582"/>
    <n v="1.53485638481041"/>
    <n v="1.4801077418105499"/>
    <n v="0.19541194691809"/>
    <n v="481.73985191003101"/>
    <n v="1450"/>
    <s v="Tourist Services"/>
    <n v="1450"/>
    <s v="City of Cocoa Beach           Brevard County"/>
    <s v="City of Cocoa Beach"/>
    <m/>
    <m/>
    <m/>
    <n v="0"/>
    <n v="1"/>
    <n v="1.4801077418105499"/>
    <n v="0.19541194691809"/>
    <n v="2337.4989289734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1.02366313856101"/>
    <n v="515.23002427153801"/>
    <n v="1.8957817752999999"/>
  </r>
  <r>
    <n v="840000"/>
    <n v="2400000"/>
    <n v="2400000"/>
    <x v="0"/>
    <x v="0"/>
    <s v="BR3-5, BR-7"/>
    <s v="62-304.520 (10), F.A.C."/>
    <n v="0.59"/>
    <n v="0.64"/>
    <s v="FDOT District 5"/>
    <n v="4.9863011619000002E-4"/>
    <n v="3724.5902340310099"/>
    <n v="8.1031414486942204"/>
    <n v="1.0815343837899101"/>
    <n v="4.0404703621299996E-3"/>
    <n v="5.3928561546000005E-4"/>
    <n v="1.85719286118854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0404703621299996E-3"/>
    <n v="5.3928561546000005E-4"/>
    <n v="60.3678730919934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.0563273796435"/>
    <n v="2.0178844881417399"/>
    <n v="4.8960156599999999E-2"/>
  </r>
  <r>
    <n v="840000"/>
    <n v="2400000"/>
    <n v="2400000"/>
    <x v="0"/>
    <x v="0"/>
    <s v="BR3-5, BR-7"/>
    <s v="62-304.520 (10), F.A.C."/>
    <n v="0.59"/>
    <n v="0.64"/>
    <s v="FDOT District 5"/>
    <n v="1.008702253066E-2"/>
    <n v="3724.5902340310099"/>
    <n v="8.1031414486942204"/>
    <n v="1.0815343837899101"/>
    <n v="8.1736570362140007E-2"/>
    <n v="1.090946169697E-2"/>
    <n v="37.570025608165601"/>
    <n v="8140"/>
    <s v="Roads and Highways"/>
    <n v="8140"/>
    <s v="FDOT District 5                                 City of Cocoa Beach           Brevard County"/>
    <s v="FDOT District 5"/>
    <m/>
    <m/>
    <m/>
    <n v="0"/>
    <n v="1"/>
    <n v="8.1736570362140007E-2"/>
    <n v="1.090946169697E-2"/>
    <n v="998.96236710378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7.198996134420302"/>
    <n v="40.820731911114699"/>
    <n v="0.81018845669999995"/>
  </r>
  <r>
    <n v="840000"/>
    <n v="2400000"/>
    <n v="2400000"/>
    <x v="0"/>
    <x v="0"/>
    <s v="BR3-5, BR-7"/>
    <s v="62-304.520 (10), F.A.C."/>
    <n v="0.59"/>
    <n v="0.64"/>
    <s v="City of Cocoa Beach"/>
    <n v="2.2898192477729999E-2"/>
    <n v="3746.0260549578902"/>
    <n v="10.779169181903001"/>
    <n v="2.0755727976781202"/>
    <n v="0.24682349067726"/>
    <n v="4.752686542278E-2"/>
    <n v="85.777225633028493"/>
    <n v="1300"/>
    <s v="Residential, High Density"/>
    <n v="1300"/>
    <s v="City of Cocoa Beach           Brevard County"/>
    <s v="City of Cocoa Beach"/>
    <m/>
    <m/>
    <m/>
    <n v="0"/>
    <n v="1"/>
    <n v="0.24682349067726"/>
    <n v="4.752686542278E-2"/>
    <n v="85.77722563302819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6.948652464065603"/>
    <n v="92.665697289864696"/>
    <n v="6.9567904E-2"/>
  </r>
  <r>
    <n v="840000"/>
    <n v="2400000"/>
    <n v="2400000"/>
    <x v="0"/>
    <x v="0"/>
    <s v="BR3-5, BR-7"/>
    <s v="62-304.520 (10), F.A.C."/>
    <n v="0.59"/>
    <n v="0.64"/>
    <s v="City of Cocoa Beach"/>
    <n v="5.8625365769000002E-4"/>
    <n v="3746.0260549578902"/>
    <n v="10.779169181903001"/>
    <n v="2.0755727976781202"/>
    <n v="6.3193273598199998E-3"/>
    <n v="1.21681214445E-3"/>
    <n v="2.19612147654732"/>
    <n v="1400"/>
    <s v="Commercial and Services"/>
    <n v="1400"/>
    <s v="City of Cocoa Beach           Brevard County"/>
    <s v="City of Cocoa Beach"/>
    <m/>
    <m/>
    <m/>
    <n v="0"/>
    <n v="1"/>
    <n v="6.3193273598199998E-3"/>
    <n v="1.21681214445E-3"/>
    <n v="2.19612147654788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3.452817855024"/>
    <n v="2.3724843798072102"/>
    <n v="1.7811204000000001E-3"/>
  </r>
  <r>
    <n v="840000"/>
    <n v="2400000"/>
    <n v="2400000"/>
    <x v="0"/>
    <x v="0"/>
    <s v="BR3-5, BR-7"/>
    <s v="62-304.520 (10), F.A.C."/>
    <n v="0.59"/>
    <n v="0.64"/>
    <s v="City of Cocoa Beach"/>
    <n v="2.6299379133839999E-2"/>
    <n v="3746.0260549578902"/>
    <n v="10.779169181903001"/>
    <n v="2.0755727976781202"/>
    <n v="0.28348545706269002"/>
    <n v="5.458627592602E-2"/>
    <n v="98.518159464587995"/>
    <n v="1300"/>
    <s v="Residential, High Density"/>
    <n v="1300"/>
    <s v="City of Cocoa Beach           Brevard County"/>
    <s v="City of Cocoa Beach"/>
    <m/>
    <m/>
    <m/>
    <n v="0"/>
    <n v="1"/>
    <n v="0.28348545706269002"/>
    <n v="5.458627592602E-2"/>
    <n v="1045.1318619193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56.1163775465089"/>
    <n v="106.42981135292"/>
    <n v="0.84763330240000001"/>
  </r>
  <r>
    <n v="840000"/>
    <n v="2400000"/>
    <n v="2400000"/>
    <x v="0"/>
    <x v="0"/>
    <s v="BR3-5, BR-7"/>
    <s v="62-304.520 (10), F.A.C."/>
    <n v="0.59"/>
    <n v="0.64"/>
    <s v="FDOT District 5"/>
    <n v="2.39801993196E-3"/>
    <n v="3776.3353987987098"/>
    <n v="10.7516417475435"/>
    <n v="1.4157952348805301"/>
    <n v="2.578265121191E-2"/>
    <n v="3.39510519281E-3"/>
    <n v="9.0557275560892094"/>
    <n v="8140"/>
    <s v="Roads and Highways"/>
    <n v="8140"/>
    <s v="FDOT District 5                                 City of Cocoa Beach           Brevard County"/>
    <s v="FDOT District 5"/>
    <m/>
    <m/>
    <m/>
    <n v="0"/>
    <n v="1"/>
    <n v="2.578265121191E-2"/>
    <n v="3.39510519281E-3"/>
    <n v="700.376330380015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.880290389072201"/>
    <n v="9.7044423626996004"/>
    <n v="0.56802622089999999"/>
  </r>
  <r>
    <n v="840000"/>
    <n v="2400000"/>
    <n v="2400000"/>
    <x v="0"/>
    <x v="0"/>
    <s v="BR3-5, BR-7"/>
    <s v="62-304.520 (10), F.A.C."/>
    <n v="0.59"/>
    <n v="0.64"/>
    <s v="FDOT District 5"/>
    <n v="6.9725604184370002E-2"/>
    <n v="3773.50880480261"/>
    <n v="10.5118458581266"/>
    <n v="1.3831271150873501"/>
    <n v="0.73294480355090996"/>
    <n v="9.643937376325E-2"/>
    <n v="263.11018130992397"/>
    <n v="8140"/>
    <s v="Roads and Highways"/>
    <n v="8140"/>
    <s v="FDOT District 5                                 City of Cocoa Beach           Brevard County"/>
    <s v="FDOT District 5"/>
    <m/>
    <m/>
    <m/>
    <n v="0"/>
    <n v="1"/>
    <n v="0.73294480355090996"/>
    <n v="9.643937376325E-2"/>
    <n v="890.495051331604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1.351138878255"/>
    <n v="282.16950909926197"/>
    <n v="0.72221820869999998"/>
  </r>
  <r>
    <n v="840000"/>
    <n v="2400000"/>
    <n v="2400000"/>
    <x v="0"/>
    <x v="0"/>
    <s v="BR3-5, BR-7"/>
    <s v="62-304.520 (10), F.A.C."/>
    <n v="0.59"/>
    <n v="0.64"/>
    <s v="City of Cocoa Beach"/>
    <n v="4.1710682680399999E-3"/>
    <n v="3781.4657523627202"/>
    <n v="11.211659378571699"/>
    <n v="1.47846289516623"/>
    <n v="4.6764596666090001E-2"/>
    <n v="6.1667696675100003E-3"/>
    <n v="15.772751806379"/>
    <n v="1450"/>
    <s v="Tourist Services"/>
    <n v="1450"/>
    <s v="City of Cocoa Beach           Brevard County"/>
    <s v="City of Cocoa Beach"/>
    <m/>
    <m/>
    <m/>
    <n v="0"/>
    <n v="1"/>
    <n v="4.6764596666090001E-2"/>
    <n v="6.1667696675100003E-3"/>
    <n v="1779.66267586681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3.424676870584801"/>
    <n v="16.879714408808201"/>
    <n v="1.4433598344"/>
  </r>
  <r>
    <n v="840000"/>
    <n v="2400000"/>
    <n v="2400000"/>
    <x v="0"/>
    <x v="0"/>
    <s v="BR3-5, BR-7"/>
    <s v="62-304.520 (10), F.A.C."/>
    <n v="0.59"/>
    <n v="0.64"/>
    <s v="City of Cocoa Beach"/>
    <n v="7.8329125672799996E-2"/>
    <n v="3781.2318427149698"/>
    <n v="11.4678244406386"/>
    <n v="1.51339376336706"/>
    <n v="0.89826466180444997"/>
    <n v="0.11854281028321"/>
    <n v="296.18058420603199"/>
    <n v="1400"/>
    <s v="Commercial and Services"/>
    <n v="1400"/>
    <s v="City of Cocoa Beach           Brevard County"/>
    <s v="City of Cocoa Beach"/>
    <m/>
    <m/>
    <m/>
    <n v="0"/>
    <n v="1"/>
    <n v="0.89826466180444997"/>
    <n v="0.11854281028321"/>
    <n v="296.18058420603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0.59953825431199"/>
    <n v="316.98672528996599"/>
    <n v="0.24021134159999999"/>
  </r>
  <r>
    <n v="840000"/>
    <n v="2400000"/>
    <n v="2400000"/>
    <x v="0"/>
    <x v="0"/>
    <s v="BR3-5, BR-7"/>
    <s v="62-304.520 (10), F.A.C."/>
    <n v="0.59"/>
    <n v="0.64"/>
    <s v="FDOT District 5"/>
    <n v="7.1928941767760005E-2"/>
    <n v="3781.2318427149698"/>
    <n v="11.4678244406386"/>
    <n v="1.51339376336706"/>
    <n v="0.82486847639367999"/>
    <n v="0.10885681187693"/>
    <n v="271.980005025075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82486847639367999"/>
    <n v="0.10885681187693"/>
    <n v="271.98000502507603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393345786296"/>
    <n v="291.086099949328"/>
    <n v="0.22058394570000001"/>
  </r>
  <r>
    <n v="840000"/>
    <n v="2400000"/>
    <n v="2400000"/>
    <x v="0"/>
    <x v="0"/>
    <s v="BR3-5, BR-7"/>
    <s v="62-304.520 (10), F.A.C."/>
    <n v="0.59"/>
    <n v="0.64"/>
    <s v="FDOT District 5"/>
    <n v="3.2646203798430001E-2"/>
    <n v="3781.2318427149698"/>
    <n v="11.4678244406386"/>
    <n v="1.51339376336706"/>
    <n v="0.37438093381375998"/>
    <n v="4.9406561226160002E-2"/>
    <n v="123.44286534640401"/>
    <n v="8140"/>
    <s v="Roads and Highways"/>
    <n v="8140"/>
    <s v="FDOT District 5                                 City of Cocoa Beach           Brevard County"/>
    <s v="FDOT District 5"/>
    <m/>
    <m/>
    <m/>
    <n v="0"/>
    <n v="1"/>
    <n v="0.37438093381375998"/>
    <n v="4.9406561226160002E-2"/>
    <n v="123.44286534640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05.169354865695"/>
    <n v="132.114499508676"/>
    <n v="0.10011586810000001"/>
  </r>
  <r>
    <n v="840000"/>
    <n v="2400000"/>
    <n v="2400000"/>
    <x v="0"/>
    <x v="0"/>
    <s v="BR3-5, BR-7"/>
    <s v="62-304.520 (10), F.A.C."/>
    <n v="0.59"/>
    <n v="0.64"/>
    <s v="City of Cocoa Beach"/>
    <n v="0.43485918256697997"/>
    <n v="3781.2318427149698"/>
    <n v="11.4678244406386"/>
    <n v="1.51339376336706"/>
    <n v="4.9868887620778404"/>
    <n v="0.65811317483977005"/>
    <n v="1644.3033882192899"/>
    <n v="1410"/>
    <s v="Retail Sales and Services"/>
    <n v="1410"/>
    <s v="City of Cocoa Beach           Brevard County"/>
    <s v="City of Cocoa Beach"/>
    <m/>
    <m/>
    <m/>
    <n v="0"/>
    <n v="1"/>
    <n v="4.9868887620778404"/>
    <n v="0.65811317483977005"/>
    <n v="1644.30338821928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67.848450872206"/>
    <n v="1759.8126758108201"/>
    <n v="1.3335793902999999"/>
  </r>
  <r>
    <n v="840000"/>
    <n v="2400000"/>
    <n v="2400000"/>
    <x v="0"/>
    <x v="0"/>
    <s v="BR3-5, BR-7"/>
    <s v="62-304.520 (10), F.A.C."/>
    <n v="0.59"/>
    <n v="0.64"/>
    <s v="FDOT District 5"/>
    <n v="2.23426548641E-3"/>
    <n v="3773.5392049614502"/>
    <n v="11.594993325188099"/>
    <n v="1.53082384235918"/>
    <n v="2.5906293401639999E-2"/>
    <n v="3.42026687676E-3"/>
    <n v="8.431088407267960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5906293401639999E-2"/>
    <n v="3.42026687676E-3"/>
    <n v="603.7854091401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2.929726042172099"/>
    <n v="9.0417516330328596"/>
    <n v="0.48968808530000002"/>
  </r>
  <r>
    <n v="840000"/>
    <n v="2400000"/>
    <n v="2400000"/>
    <x v="0"/>
    <x v="0"/>
    <s v="BR3-5, BR-7"/>
    <s v="62-304.520 (10), F.A.C."/>
    <n v="0.59"/>
    <n v="0.64"/>
    <s v="FDOT District 5"/>
    <n v="3.8461127419999997E-5"/>
    <n v="3773.5392049614502"/>
    <n v="11.594993325188099"/>
    <n v="1.53082384235918"/>
    <n v="4.4595651579000002E-4"/>
    <n v="5.8877210859999998E-5"/>
    <n v="0.14513457221279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4595651579000002E-4"/>
    <n v="5.8877210859999998E-5"/>
    <n v="603.7854091401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.2319902220880001"/>
    <n v="0.15564666053990001"/>
    <n v="0.48968808530000002"/>
  </r>
  <r>
    <n v="840000"/>
    <n v="2400000"/>
    <n v="2500000"/>
    <x v="0"/>
    <x v="0"/>
    <s v="BR3-5, BR-7"/>
    <s v="62-304.520 (10), F.A.C."/>
    <n v="0.59"/>
    <n v="0.64"/>
    <s v="FDOT District 5"/>
    <n v="1.61167246928E-3"/>
    <n v="3773.5392045397298"/>
    <n v="11.5949933238923"/>
    <n v="1.5308238421881"/>
    <n v="1.868733152167E-2"/>
    <n v="2.4671866417799999E-3"/>
    <n v="6.08170924772807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868733152167E-2"/>
    <n v="2.4671866417799999E-3"/>
    <n v="1382.9957386335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.470666294288799"/>
    <n v="6.5222070831372498"/>
    <n v="1.1216510450999999"/>
  </r>
  <r>
    <n v="840000"/>
    <n v="2400000"/>
    <n v="2500000"/>
    <x v="0"/>
    <x v="0"/>
    <s v="BR3-5, BR-7"/>
    <s v="62-304.520 (10), F.A.C."/>
    <n v="0.59"/>
    <n v="0.64"/>
    <s v="City of Cocoa Beach"/>
    <n v="2.3013823079799998E-3"/>
    <n v="3755.9533178683901"/>
    <n v="10.6608373855219"/>
    <n v="1.4639972397383201"/>
    <n v="2.4534662547320001E-2"/>
    <n v="3.3692173464700001E-3"/>
    <n v="8.6438845153523705"/>
    <n v="1400"/>
    <s v="Commercial and Services"/>
    <n v="1400"/>
    <s v="City of Cocoa Beach           Brevard County"/>
    <s v="City of Cocoa Beach"/>
    <m/>
    <m/>
    <m/>
    <n v="0"/>
    <n v="1"/>
    <n v="2.4534662547320001E-2"/>
    <n v="3.3692173464700001E-3"/>
    <n v="265.17371144785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.5793238808666"/>
    <n v="9.3133637734579207"/>
    <n v="0.2150638373"/>
  </r>
  <r>
    <n v="840000"/>
    <n v="2400000"/>
    <n v="2500000"/>
    <x v="0"/>
    <x v="0"/>
    <s v="BR3-5, BR-7"/>
    <s v="62-304.520 (10), F.A.C."/>
    <n v="0.59"/>
    <n v="0.64"/>
    <s v="City of Cocoa Beach"/>
    <n v="2.476773696601E-2"/>
    <n v="3755.9533178683901"/>
    <n v="10.6608373855219"/>
    <n v="1.4639972397383201"/>
    <n v="0.26404481620202003"/>
    <n v="3.6259898552799999E-2"/>
    <n v="93.026463833580706"/>
    <n v="1410"/>
    <s v="Retail Sales and Services"/>
    <n v="1410"/>
    <s v="City of Cocoa Beach           Brevard County"/>
    <s v="City of Cocoa Beach"/>
    <m/>
    <m/>
    <m/>
    <n v="0"/>
    <n v="1"/>
    <n v="0.26404481620202003"/>
    <n v="3.6259898552799999E-2"/>
    <n v="1112.31331577155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3.258886653811302"/>
    <n v="100.231475409216"/>
    <n v="0.90211947749999999"/>
  </r>
  <r>
    <n v="840000"/>
    <n v="2400000"/>
    <n v="2500000"/>
    <x v="0"/>
    <x v="0"/>
    <s v="BR3-5, BR-7"/>
    <s v="62-304.520 (10), F.A.C."/>
    <n v="0.59"/>
    <n v="0.64"/>
    <s v="City of Cocoa Beach"/>
    <n v="0.34560441250735002"/>
    <n v="3780.52060040059"/>
    <n v="11.558518110403501"/>
    <n v="1.52967414833229"/>
    <n v="3.9946748610016298"/>
    <n v="0.52866213536206996"/>
    <n v="1306.5646010733999"/>
    <n v="1410"/>
    <s v="Retail Sales and Services"/>
    <n v="1410"/>
    <s v="City of Cocoa Beach           Brevard County"/>
    <s v="City of Cocoa Beach"/>
    <m/>
    <m/>
    <m/>
    <n v="0"/>
    <n v="1"/>
    <n v="3.9946748610016298"/>
    <n v="0.52866213536206996"/>
    <n v="2274.0610253446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58.03811840496701"/>
    <n v="1398.61143636517"/>
    <n v="1.8443317318000001"/>
  </r>
  <r>
    <n v="840000"/>
    <n v="2400000"/>
    <n v="2500000"/>
    <x v="0"/>
    <x v="0"/>
    <s v="BR3-5, BR-7"/>
    <s v="62-304.520 (10), F.A.C."/>
    <n v="0.59"/>
    <n v="0.64"/>
    <s v="City of Cocoa Beach"/>
    <n v="7.2688351864429998E-2"/>
    <n v="3781.58062557526"/>
    <n v="11.350942464772301"/>
    <n v="1.4974528204359101"/>
    <n v="0.82508129987231005"/>
    <n v="0.10884737751223"/>
    <n v="274.87686311554103"/>
    <n v="1400"/>
    <s v="Commercial and Services"/>
    <n v="1400"/>
    <s v="City of Cocoa Beach           Brevard County"/>
    <s v="City of Cocoa Beach"/>
    <m/>
    <m/>
    <m/>
    <n v="0"/>
    <n v="1"/>
    <n v="0.82508129987231005"/>
    <n v="0.10884737751223"/>
    <n v="287.789890851251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93.7730908546949"/>
    <n v="294.15932357625701"/>
    <n v="0.2334062375"/>
  </r>
  <r>
    <n v="840000"/>
    <n v="2400000"/>
    <n v="2500000"/>
    <x v="0"/>
    <x v="0"/>
    <s v="BR3-5, BR-7"/>
    <s v="62-304.520 (10), F.A.C."/>
    <n v="0.59"/>
    <n v="0.64"/>
    <s v="FDOT District 5"/>
    <n v="6.7169075508899997E-3"/>
    <n v="3781.58062557526"/>
    <n v="11.350942464772301"/>
    <n v="1.4974528204359101"/>
    <n v="7.624323115145E-2"/>
    <n v="1.00582521567E-2"/>
    <n v="25.4005274582597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7.624323115145E-2"/>
    <n v="1.00582521567E-2"/>
    <n v="275.175296552260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21.1404890097348"/>
    <n v="27.182360461020998"/>
    <n v="0.22317542300000001"/>
  </r>
  <r>
    <n v="840000"/>
    <n v="2400000"/>
    <n v="2500000"/>
    <x v="0"/>
    <x v="0"/>
    <s v="BR3-5, BR-7"/>
    <s v="62-304.520 (10), F.A.C."/>
    <n v="0.59"/>
    <n v="0.64"/>
    <s v="FDOT District 5"/>
    <n v="4.8615917457900002E-3"/>
    <n v="3781.58062557526"/>
    <n v="11.350942464772301"/>
    <n v="1.4974528204359101"/>
    <n v="5.518364819372E-2"/>
    <n v="7.2800042715400002E-3"/>
    <n v="18.384501155351099"/>
    <n v="8140"/>
    <s v="Roads and Highways"/>
    <n v="8140"/>
    <s v="FDOT District 5                                 City of Cocoa Beach           Brevard County"/>
    <s v="FDOT District 5"/>
    <m/>
    <m/>
    <m/>
    <n v="0"/>
    <n v="1"/>
    <n v="5.518364819372E-2"/>
    <n v="7.2800042715400002E-3"/>
    <n v="220.45581554003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.065989823471401"/>
    <n v="19.674163779554799"/>
    <n v="0.17879628189999999"/>
  </r>
  <r>
    <n v="840000"/>
    <n v="2400000"/>
    <n v="2500000"/>
    <x v="0"/>
    <x v="0"/>
    <s v="BR3-5, BR-7"/>
    <s v="62-304.520 (10), F.A.C."/>
    <n v="0.59"/>
    <n v="0.64"/>
    <s v="City of Cocoa Beach"/>
    <n v="0.26127129688949002"/>
    <n v="3781.58062557526"/>
    <n v="11.350942464772301"/>
    <n v="1.4974528204359101"/>
    <n v="2.9656754586890601"/>
    <n v="0.39124144042610998"/>
    <n v="988.01847433622095"/>
    <n v="1450"/>
    <s v="Tourist Services"/>
    <n v="1450"/>
    <s v="City of Cocoa Beach           Brevard County"/>
    <s v="City of Cocoa Beach"/>
    <m/>
    <m/>
    <m/>
    <n v="0"/>
    <n v="1"/>
    <n v="2.9656754586890601"/>
    <n v="0.39124144042610998"/>
    <n v="1552.7013049835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0.29832468844799"/>
    <n v="1057.3274258060101"/>
    <n v="1.2592873520000001"/>
  </r>
  <r>
    <n v="840000"/>
    <n v="2400000"/>
    <n v="2500000"/>
    <x v="0"/>
    <x v="0"/>
    <s v="BR3-5, BR-7"/>
    <s v="62-304.520 (10), F.A.C."/>
    <n v="0.59"/>
    <n v="0.64"/>
    <s v="City of Cocoa Beach"/>
    <n v="2.2727705124400002E-2"/>
    <n v="3772.23717431368"/>
    <n v="11.535326158682301"/>
    <n v="1.57186229106693"/>
    <n v="0.26217149144840002"/>
    <n v="3.5724822647539997E-2"/>
    <n v="85.734294157131302"/>
    <n v="1300"/>
    <s v="Residential, High Density"/>
    <n v="1300"/>
    <s v="City of Cocoa Beach           Brevard County"/>
    <s v="City of Cocoa Beach"/>
    <m/>
    <m/>
    <m/>
    <n v="0"/>
    <n v="1"/>
    <n v="0.26217149144840002"/>
    <n v="3.5724822647539997E-2"/>
    <n v="85.73429415713320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5.890561544973295"/>
    <n v="91.975759449125704"/>
    <n v="6.9533085300000005E-2"/>
  </r>
  <r>
    <n v="840000"/>
    <n v="2400000"/>
    <n v="2500000"/>
    <x v="0"/>
    <x v="0"/>
    <s v="BR3-5, BR-7"/>
    <s v="62-304.520 (10), F.A.C."/>
    <n v="0.59"/>
    <n v="0.64"/>
    <s v="FDOT District 5"/>
    <n v="3.4371567940200002E-3"/>
    <n v="3772.23717431368"/>
    <n v="11.535326158682301"/>
    <n v="1.57186229106693"/>
    <n v="3.9648724677570003E-2"/>
    <n v="5.4027371530000002E-3"/>
    <n v="12.965770632354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9648724677570003E-2"/>
    <n v="5.4027371530000002E-3"/>
    <n v="12.9657706323539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7.768443834327599"/>
    <n v="13.9096800466831"/>
    <n v="1.05156291E-2"/>
  </r>
  <r>
    <n v="840000"/>
    <n v="2400000"/>
    <n v="2500000"/>
    <x v="0"/>
    <x v="0"/>
    <s v="BR3-5, BR-7"/>
    <s v="62-304.520 (10), F.A.C."/>
    <n v="0.59"/>
    <n v="0.64"/>
    <s v="City of Cocoa Beach"/>
    <n v="5.0218117390859997E-2"/>
    <n v="3772.23717431368"/>
    <n v="11.535326158682301"/>
    <n v="1.57186229106693"/>
    <n v="0.57928236317859005"/>
    <n v="7.8935965055059995E-2"/>
    <n v="189.434649245857"/>
    <n v="1400"/>
    <s v="Commercial and Services"/>
    <n v="1400"/>
    <s v="City of Cocoa Beach           Brevard County"/>
    <s v="City of Cocoa Beach"/>
    <m/>
    <m/>
    <m/>
    <n v="0"/>
    <n v="1"/>
    <n v="0.57928236317859005"/>
    <n v="7.8935965055059995E-2"/>
    <n v="1763.70129821047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83.938930909556305"/>
    <n v="203.225510884047"/>
    <n v="1.4304146782"/>
  </r>
  <r>
    <n v="840000"/>
    <n v="2400000"/>
    <n v="2500000"/>
    <x v="0"/>
    <x v="0"/>
    <s v="BR3-5, BR-7"/>
    <s v="62-304.520 (10), F.A.C."/>
    <n v="0.59"/>
    <n v="0.64"/>
    <s v="FDOT District 5"/>
    <n v="1.555852652279E-2"/>
    <n v="3772.23717431368"/>
    <n v="11.535326158682301"/>
    <n v="1.57186229106693"/>
    <n v="0.17947267798891001"/>
    <n v="2.4455861145739999E-2"/>
    <n v="58.690452126821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7947267798891001"/>
    <n v="2.4455861145739999E-2"/>
    <n v="270.308179827164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8.718837337598401"/>
    <n v="62.963122981839902"/>
    <n v="0.21922804530000001"/>
  </r>
  <r>
    <n v="840000"/>
    <n v="2400000"/>
    <n v="2500000"/>
    <x v="0"/>
    <x v="0"/>
    <s v="BR3-5, BR-7"/>
    <s v="62-304.520 (10), F.A.C."/>
    <n v="0.59"/>
    <n v="0.64"/>
    <s v="City of Cocoa Beach"/>
    <n v="2.6446817695600002E-3"/>
    <n v="3772.23717431368"/>
    <n v="11.535326158682301"/>
    <n v="1.57186229106693"/>
    <n v="3.0507266797830002E-2"/>
    <n v="4.1570755454400001E-3"/>
    <n v="9.9763668853752296"/>
    <n v="1300"/>
    <s v="Residential, High Density"/>
    <n v="1300"/>
    <s v="City of Cocoa Beach           Brevard County"/>
    <s v="City of Cocoa Beach"/>
    <m/>
    <m/>
    <m/>
    <n v="0"/>
    <n v="1"/>
    <n v="3.0507266797830002E-2"/>
    <n v="4.1570755454400001E-3"/>
    <n v="75.638176399470396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4.822544292559501"/>
    <n v="10.702647404358901"/>
    <n v="6.13448308E-2"/>
  </r>
  <r>
    <n v="840000"/>
    <n v="2400000"/>
    <n v="2500000"/>
    <x v="0"/>
    <x v="0"/>
    <s v="BR3-5, BR-7"/>
    <s v="62-304.520 (10), F.A.C."/>
    <n v="0.59"/>
    <n v="0.64"/>
    <s v="City of Cocoa Beach"/>
    <n v="1.517528319903E-2"/>
    <n v="3643.8667555897"/>
    <n v="10.257181101883599"/>
    <n v="1.4163915456398199"/>
    <n v="0.15565562804488001"/>
    <n v="2.1494142825799999E-2"/>
    <n v="55.296709955626199"/>
    <n v="1410"/>
    <s v="Retail Sales and Services"/>
    <n v="1410"/>
    <s v="City of Cocoa Beach           Brevard County"/>
    <s v="City of Cocoa Beach"/>
    <m/>
    <m/>
    <m/>
    <n v="0"/>
    <n v="1"/>
    <n v="0.15565562804488001"/>
    <n v="2.1494142825799999E-2"/>
    <n v="1167.9600242965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46.5834242129567"/>
    <n v="61.412192275757398"/>
    <n v="0.94725062800000004"/>
  </r>
  <r>
    <n v="840000"/>
    <n v="2500000"/>
    <n v="2500000"/>
    <x v="0"/>
    <x v="0"/>
    <s v="BR3-5, BR-7"/>
    <s v="62-304.520 (10), F.A.C."/>
    <n v="0.59"/>
    <n v="0.64"/>
    <s v="City of Cocoa Beach"/>
    <n v="0.11062643771373"/>
    <n v="3783.1290786606401"/>
    <n v="11.6234353517301"/>
    <n v="1.5345890382112199"/>
    <n v="1.2858592469577801"/>
    <n v="0.16976611865185001"/>
    <n v="418.51409338346298"/>
    <n v="1400"/>
    <s v="Commercial and Services"/>
    <n v="1400"/>
    <s v="City of Cocoa Beach           Brevard County"/>
    <s v="City of Cocoa Beach"/>
    <m/>
    <m/>
    <m/>
    <n v="0"/>
    <n v="1"/>
    <n v="1.2858592469577801"/>
    <n v="0.16976611865185001"/>
    <n v="418.514093383462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7.933873565497"/>
    <n v="447.68930994905497"/>
    <n v="0.33942748859999999"/>
  </r>
  <r>
    <n v="840000"/>
    <n v="2500000"/>
    <n v="2500000"/>
    <x v="0"/>
    <x v="0"/>
    <s v="BR3-5, BR-7"/>
    <s v="62-304.520 (10), F.A.C."/>
    <n v="0.59"/>
    <n v="0.64"/>
    <s v="City of Cocoa Beach"/>
    <n v="0.50713701590814997"/>
    <n v="3783.1290786606401"/>
    <n v="11.6234353517301"/>
    <n v="1.5345890382112199"/>
    <n v="5.8946743188777697"/>
    <n v="0.77824690548380004"/>
    <n v="1918.56479174731"/>
    <n v="1450"/>
    <s v="Tourist Services"/>
    <n v="1450"/>
    <s v="City of Cocoa Beach           Brevard County"/>
    <s v="City of Cocoa Beach"/>
    <m/>
    <m/>
    <m/>
    <n v="0"/>
    <n v="1"/>
    <n v="5.8946743188777697"/>
    <n v="0.77824690548380004"/>
    <n v="1918.5647917473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82.118728762122"/>
    <n v="2052.3106898646802"/>
    <n v="1.5560136186"/>
  </r>
  <r>
    <n v="840000"/>
    <n v="2500000"/>
    <n v="2500000"/>
    <x v="0"/>
    <x v="0"/>
    <s v="BR3-5, BR-7"/>
    <s v="62-304.520 (10), F.A.C."/>
    <n v="0.59"/>
    <n v="0.64"/>
    <s v="City of Cocoa Beach"/>
    <n v="7.4609383869000002E-4"/>
    <n v="3782.0297623923402"/>
    <n v="11.606796577064999"/>
    <n v="1.5323333199976701"/>
    <n v="8.6597594130800003E-3"/>
    <n v="1.1432644488699999E-3"/>
    <n v="2.8217491034669102"/>
    <n v="1400"/>
    <s v="Commercial and Services"/>
    <n v="1400"/>
    <s v="City of Cocoa Beach           Brevard County"/>
    <s v="City of Cocoa Beach"/>
    <m/>
    <m/>
    <m/>
    <n v="0"/>
    <n v="1"/>
    <n v="8.6597594130800003E-3"/>
    <n v="1.1432644488699999E-3"/>
    <n v="268.36139527567002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35.587831984028803"/>
    <n v="3.0193346428212702"/>
    <n v="0.21764914460000001"/>
  </r>
  <r>
    <n v="840000"/>
    <n v="2500000"/>
    <n v="2500000"/>
    <x v="0"/>
    <x v="0"/>
    <s v="BR3-5, BR-7"/>
    <s v="62-304.520 (10), F.A.C."/>
    <n v="0.59"/>
    <n v="0.64"/>
    <s v="FDOT District 5"/>
    <n v="5.6700088694110001E-2"/>
    <n v="3782.0297623923402"/>
    <n v="11.606796577064999"/>
    <n v="1.5323333199976701"/>
    <n v="0.65810639537415005"/>
    <n v="8.6883435152809996E-2"/>
    <n v="214.441422971431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65810639537415005"/>
    <n v="8.6883435152809996E-2"/>
    <n v="278.56824430954498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112.56202449377"/>
    <n v="229.457118082432"/>
    <n v="0.2259272054"/>
  </r>
  <r>
    <n v="840000"/>
    <n v="2500000"/>
    <n v="2500000"/>
    <x v="0"/>
    <x v="0"/>
    <s v="BR3-5, BR-7"/>
    <s v="62-304.520 (10), F.A.C."/>
    <n v="0.59"/>
    <n v="0.64"/>
    <s v="FDOT District 5"/>
    <n v="2.9109005299300002E-3"/>
    <n v="3782.0297623923402"/>
    <n v="11.606796577064999"/>
    <n v="1.5323333199976701"/>
    <n v="3.3786230306979997E-2"/>
    <n v="4.4604698732099999E-3"/>
    <n v="11.0091124395626"/>
    <n v="8140"/>
    <s v="Roads and Highways"/>
    <n v="8140"/>
    <s v="FDOT District 5                                 City of Cocoa Beach           Brevard County"/>
    <s v="FDOT District 5"/>
    <m/>
    <m/>
    <m/>
    <n v="0"/>
    <n v="1"/>
    <n v="3.3786230306979997E-2"/>
    <n v="4.4604698732099999E-3"/>
    <n v="11.0091124395622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77.269961394896796"/>
    <n v="11.779996504518399"/>
    <n v="8.9287206000000004E-3"/>
  </r>
  <r>
    <n v="840000"/>
    <n v="2500000"/>
    <n v="2500000"/>
    <x v="0"/>
    <x v="0"/>
    <s v="BR3-5, BR-7"/>
    <s v="62-304.520 (10), F.A.C."/>
    <n v="0.59"/>
    <n v="0.64"/>
    <s v="City of Cocoa Beach"/>
    <n v="4.1450865976820003E-2"/>
    <n v="3782.0297623923402"/>
    <n v="11.606796577064999"/>
    <n v="1.5323333199976701"/>
    <n v="0.48111176933616001"/>
    <n v="6.3516543079040005E-2"/>
    <n v="156.76840880127699"/>
    <n v="1410"/>
    <s v="Retail Sales and Services"/>
    <n v="1410"/>
    <s v="City of Cocoa Beach           Brevard County"/>
    <s v="City of Cocoa Beach"/>
    <m/>
    <m/>
    <m/>
    <n v="0"/>
    <n v="1"/>
    <n v="0.48111176933616001"/>
    <n v="6.3516543079040005E-2"/>
    <n v="606.64710383142199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2.017992804846699"/>
    <n v="167.745703192343"/>
    <n v="0.49200900549999999"/>
  </r>
  <r>
    <n v="840000"/>
    <n v="2500000"/>
    <n v="2500000"/>
    <x v="0"/>
    <x v="0"/>
    <s v="BR3-5, BR-7"/>
    <s v="62-304.520 (10), F.A.C."/>
    <n v="0.59"/>
    <n v="0.64"/>
    <s v="City of Cocoa Beach"/>
    <n v="4.7787276124000003E-4"/>
    <n v="3782.0297623923402"/>
    <n v="11.606796577064999"/>
    <n v="1.5323333199976701"/>
    <n v="5.5465719294499997E-3"/>
    <n v="7.3226035477000004E-4"/>
    <n v="1.80732900565385"/>
    <n v="1430"/>
    <s v="Professional Services"/>
    <n v="1430"/>
    <s v="City of Cocoa Beach           Brevard County"/>
    <s v="City of Cocoa Beach"/>
    <m/>
    <m/>
    <m/>
    <n v="0"/>
    <n v="1"/>
    <n v="5.5465719294499997E-3"/>
    <n v="7.3226035477000004E-4"/>
    <n v="1171.8139128174601"/>
    <m/>
    <n v="-1"/>
    <n v="-1"/>
    <n v="-1"/>
    <n v="-1"/>
    <n v="0"/>
    <m/>
    <m/>
    <s v="Banana River B"/>
    <n v="-1"/>
    <m/>
    <m/>
    <n v="356"/>
    <x v="0"/>
    <s v="Maritime Hammock Preserve Alum Pond"/>
    <x v="0"/>
    <n v="175.87190000000001"/>
    <n v="6.7882012539698602"/>
    <n v="1.93388245292144"/>
    <n v="0.95037624720000002"/>
  </r>
  <r>
    <n v="830000"/>
    <n v="2400000"/>
    <n v="2400000"/>
    <x v="0"/>
    <x v="0"/>
    <s v="BR3-5, BR-7"/>
    <s v="62-304.520 (10), F.A.C."/>
    <n v="0.59"/>
    <n v="0.64"/>
    <s v="City of Cocoa Beach"/>
    <n v="7.2634350299600001E-3"/>
    <n v="3713.6570371498401"/>
    <n v="9.2531954729333297"/>
    <n v="1.3607658251604899"/>
    <n v="6.7209984137230006E-2"/>
    <n v="9.8838341620499995E-3"/>
    <n v="26.973906612917599"/>
    <n v="1200"/>
    <s v="Residential, Medium Density-Two-five dwellingunits per acre"/>
    <n v="1200"/>
    <s v="City of Cocoa Beach           Brevard County"/>
    <s v="City of Cocoa Beach"/>
    <m/>
    <m/>
    <m/>
    <n v="0"/>
    <n v="1"/>
    <n v="6.7209984137230006E-2"/>
    <n v="9.8838341620499995E-3"/>
    <n v="60.455743984297797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23.334198962245999"/>
    <n v="29.394078699705901"/>
    <n v="4.9031422499999998E-2"/>
  </r>
  <r>
    <n v="830000"/>
    <n v="2400000"/>
    <n v="2400000"/>
    <x v="0"/>
    <x v="0"/>
    <s v="BR3-5, BR-7"/>
    <s v="62-304.520 (10), F.A.C."/>
    <n v="0.59"/>
    <n v="0.64"/>
    <s v="City of Cocoa Beach"/>
    <n v="0.13374894951515001"/>
    <n v="3713.6570371498401"/>
    <n v="9.2531954729333297"/>
    <n v="1.3607658251604899"/>
    <n v="1.2376051741631799"/>
    <n v="0.18200099965132999"/>
    <n v="496.69772757833999"/>
    <n v="1200"/>
    <s v="Residential, Medium Density-Two-five dwellingunits per acre"/>
    <n v="1200"/>
    <s v="City of Cocoa Beach           Brevard County"/>
    <s v="City of Cocoa Beach"/>
    <m/>
    <m/>
    <m/>
    <n v="0"/>
    <n v="1"/>
    <n v="1.2376051741631799"/>
    <n v="0.18200099965132999"/>
    <n v="1095.7999531987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20.87429548716401"/>
    <n v="541.26279533464105"/>
    <n v="0.88872664489999997"/>
  </r>
  <r>
    <n v="830000"/>
    <n v="2400000"/>
    <n v="2400000"/>
    <x v="0"/>
    <x v="0"/>
    <s v="BR3-5, BR-7"/>
    <s v="62-304.520 (10), F.A.C."/>
    <n v="0.59"/>
    <n v="0.64"/>
    <s v="City of Cocoa Beach"/>
    <n v="6.8924013465599997E-3"/>
    <n v="3713.6570371498401"/>
    <n v="9.2531954729333297"/>
    <n v="1.3607658251604899"/>
    <n v="6.3776736937669998E-2"/>
    <n v="9.3789442056899999E-3"/>
    <n v="25.5960147635321"/>
    <n v="1210"/>
    <s v="Fixed Single Family Units"/>
    <n v="1210"/>
    <s v="City of Cocoa Beach           Brevard County"/>
    <s v="City of Cocoa Beach"/>
    <m/>
    <m/>
    <m/>
    <n v="0"/>
    <n v="1"/>
    <n v="6.3776736937669998E-2"/>
    <n v="9.3789442056899999E-3"/>
    <n v="25.596014763533301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42.145823977275597"/>
    <n v="27.8925586551062"/>
    <n v="2.0759136099999999E-2"/>
  </r>
  <r>
    <n v="830000"/>
    <n v="2400000"/>
    <n v="2400000"/>
    <x v="0"/>
    <x v="0"/>
    <s v="BR3-5, BR-7"/>
    <s v="62-304.520 (10), F.A.C."/>
    <n v="0.59"/>
    <n v="0.64"/>
    <s v="City of Cocoa Beach"/>
    <n v="0.10244524776364"/>
    <n v="3713.6570371498401"/>
    <n v="9.2531954729333297"/>
    <n v="1.3607658251604899"/>
    <n v="0.94794590283011004"/>
    <n v="0.13940399210686999"/>
    <n v="380.44651528002697"/>
    <n v="1210"/>
    <s v="Fixed Single Family Units"/>
    <n v="1210"/>
    <s v="City of Cocoa Beach           Brevard County"/>
    <s v="City of Cocoa Beach"/>
    <m/>
    <m/>
    <m/>
    <n v="0"/>
    <n v="1"/>
    <n v="0.94794590283011004"/>
    <n v="0.13940399210686999"/>
    <n v="380.44651528002697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81.775736455152099"/>
    <n v="414.58120885667398"/>
    <n v="0.30855354039999999"/>
  </r>
  <r>
    <n v="830000"/>
    <n v="2400000"/>
    <n v="2500000"/>
    <x v="0"/>
    <x v="0"/>
    <s v="BR3-5, BR-7"/>
    <s v="62-304.520 (10), F.A.C."/>
    <n v="0.59"/>
    <n v="0.64"/>
    <s v="City of Cocoa Beach"/>
    <n v="8.6735462104520003E-2"/>
    <n v="3714.9623503799198"/>
    <n v="9.2562827835146404"/>
    <n v="1.3612142301236001"/>
    <n v="0.80284796459830998"/>
    <n v="0.11806554527302"/>
    <n v="322.21897616111801"/>
    <n v="1200"/>
    <s v="Residential, Medium Density-Two-five dwellingunits per acre"/>
    <n v="1200"/>
    <s v="City of Cocoa Beach           Brevard County"/>
    <s v="City of Cocoa Beach"/>
    <m/>
    <m/>
    <m/>
    <n v="0"/>
    <n v="1"/>
    <n v="0.80284796459830998"/>
    <n v="0.11806554527302"/>
    <n v="882.37657751906204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50.870823931937"/>
    <n v="351.00596186753302"/>
    <n v="0.71563388279999995"/>
  </r>
  <r>
    <n v="830000"/>
    <n v="2400000"/>
    <n v="2500000"/>
    <x v="0"/>
    <x v="0"/>
    <s v="BR3-5, BR-7"/>
    <s v="62-304.520 (10), F.A.C."/>
    <n v="0.59"/>
    <n v="0.64"/>
    <s v="City of Cocoa Beach"/>
    <n v="0.12799222281006001"/>
    <n v="3714.9623503799198"/>
    <n v="9.2562827835146404"/>
    <n v="1.3612142301236001"/>
    <n v="1.1847322084205301"/>
    <n v="0.1742248350342"/>
    <n v="475.48628888081402"/>
    <n v="1210"/>
    <s v="Fixed Single Family Units"/>
    <n v="1210"/>
    <s v="City of Cocoa Beach           Brevard County"/>
    <s v="City of Cocoa Beach"/>
    <m/>
    <m/>
    <m/>
    <n v="0"/>
    <n v="1"/>
    <n v="1.1847322084205301"/>
    <n v="0.1742248350342"/>
    <n v="475.48628888081402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91.141162251652602"/>
    <n v="517.966148896145"/>
    <n v="0.3856336487"/>
  </r>
  <r>
    <n v="830000"/>
    <n v="2400000"/>
    <n v="2500000"/>
    <x v="0"/>
    <x v="0"/>
    <s v="BR3-5, BR-7"/>
    <s v="62-304.520 (10), F.A.C."/>
    <n v="0.59"/>
    <n v="0.64"/>
    <s v="City of Cocoa Beach"/>
    <n v="0.11122108015523"/>
    <n v="3714.9623503799198"/>
    <n v="9.2562827835146404"/>
    <n v="1.3612142301236001"/>
    <n v="1.0294937694048301"/>
    <n v="0.15139571699702001"/>
    <n v="413.18212534529601"/>
    <n v="1210"/>
    <s v="Fixed Single Family Units"/>
    <n v="1210"/>
    <s v="City of Cocoa Beach           Brevard County"/>
    <s v="City of Cocoa Beach"/>
    <m/>
    <m/>
    <m/>
    <n v="0"/>
    <n v="1"/>
    <n v="1.0294937694048301"/>
    <n v="0.15139571699702001"/>
    <n v="413.18212534529601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84.962266004471999"/>
    <n v="450.09574253249002"/>
    <n v="0.33510310250000003"/>
  </r>
  <r>
    <n v="830000"/>
    <n v="2500000"/>
    <n v="2500000"/>
    <x v="0"/>
    <x v="0"/>
    <s v="BR3-5, BR-7"/>
    <s v="62-304.520 (10), F.A.C."/>
    <n v="0.59"/>
    <n v="0.64"/>
    <s v="City of Cocoa Beach"/>
    <n v="7.8078032036930006E-2"/>
    <n v="3714.9623503799198"/>
    <n v="9.2562827835146404"/>
    <n v="1.3612142301236001"/>
    <n v="0.72271234371420001"/>
    <n v="0.10628092826872"/>
    <n v="290.05694940897803"/>
    <n v="1200"/>
    <s v="Residential, Medium Density-Two-five dwellingunits per acre"/>
    <n v="1200"/>
    <s v="City of Cocoa Beach           Brevard County"/>
    <s v="City of Cocoa Beach"/>
    <m/>
    <m/>
    <m/>
    <n v="0"/>
    <n v="1"/>
    <n v="0.72271234371420001"/>
    <n v="0.10628092826872"/>
    <n v="608.62264103046596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01.755983624286"/>
    <n v="315.97058539703102"/>
    <n v="0.49361122549999997"/>
  </r>
  <r>
    <n v="830000"/>
    <n v="2500000"/>
    <n v="2500000"/>
    <x v="0"/>
    <x v="0"/>
    <s v="BR3-5, BR-7"/>
    <s v="62-304.520 (10), F.A.C."/>
    <n v="0.59"/>
    <n v="0.64"/>
    <s v="City of Cocoa Beach"/>
    <n v="1.098053105672E-2"/>
    <n v="3714.9623503799198"/>
    <n v="9.2562827835146404"/>
    <n v="1.3612142301236001"/>
    <n v="0.10163890057423"/>
    <n v="1.4946855128730001E-2"/>
    <n v="40.792259462918203"/>
    <n v="1200"/>
    <s v="Residential, Medium Density-Two-five dwellingunits per acre"/>
    <n v="1200"/>
    <s v="City of Cocoa Beach           Brevard County"/>
    <s v="City of Cocoa Beach"/>
    <m/>
    <m/>
    <m/>
    <n v="0"/>
    <n v="1"/>
    <n v="0.10163890057423"/>
    <n v="1.4946855128730001E-2"/>
    <n v="91.092744460207598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26.737928717792801"/>
    <n v="44.436632628278097"/>
    <n v="7.3878949299999996E-2"/>
  </r>
  <r>
    <n v="830000"/>
    <n v="2500000"/>
    <n v="2500000"/>
    <x v="0"/>
    <x v="0"/>
    <s v="BR3-5, BR-7"/>
    <s v="62-304.520 (10), F.A.C."/>
    <n v="0.59"/>
    <n v="0.64"/>
    <s v="City of Cocoa Beach"/>
    <n v="2.5958530435400001E-2"/>
    <n v="3714.9623503799198"/>
    <n v="9.2562827835146404"/>
    <n v="1.3612142301236001"/>
    <n v="0.24027949835456"/>
    <n v="3.5335121021760001E-2"/>
    <n v="96.434963238713394"/>
    <n v="1210"/>
    <s v="Fixed Single Family Units"/>
    <n v="1210"/>
    <s v="City of Cocoa Beach           Brevard County"/>
    <s v="City of Cocoa Beach"/>
    <m/>
    <m/>
    <m/>
    <n v="0"/>
    <n v="1"/>
    <n v="0.24027949835456"/>
    <n v="3.5335121021760001E-2"/>
    <n v="96.434963238715198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53.609837002456302"/>
    <n v="105.050445608578"/>
    <n v="7.8211648999999994E-2"/>
  </r>
  <r>
    <n v="830000"/>
    <n v="2500000"/>
    <n v="2500000"/>
    <x v="0"/>
    <x v="0"/>
    <s v="BR3-5, BR-7"/>
    <s v="62-304.520 (10), F.A.C."/>
    <n v="0.59"/>
    <n v="0.64"/>
    <s v="City of Cocoa Beach"/>
    <n v="3.4602917302960001E-2"/>
    <n v="3714.9623503799198"/>
    <n v="9.2562827835146404"/>
    <n v="1.3612142301236001"/>
    <n v="0.32029438769082003"/>
    <n v="4.7101983436580001E-2"/>
    <n v="128.54853499382801"/>
    <n v="1210"/>
    <s v="Fixed Single Family Units"/>
    <n v="1210"/>
    <s v="City of Cocoa Beach           Brevard County"/>
    <s v="City of Cocoa Beach"/>
    <m/>
    <m/>
    <m/>
    <n v="0"/>
    <n v="1"/>
    <n v="0.32029438769082003"/>
    <n v="4.7101983436580001E-2"/>
    <n v="128.54853499382699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57.155966442088904"/>
    <n v="140.033038121282"/>
    <n v="0.1042567194"/>
  </r>
  <r>
    <n v="830000"/>
    <n v="2500000"/>
    <n v="2500000"/>
    <x v="0"/>
    <x v="0"/>
    <s v="BR3-5, BR-7"/>
    <s v="62-304.520 (10), F.A.C."/>
    <n v="0.59"/>
    <n v="0.64"/>
    <s v="City of Cocoa Beach"/>
    <n v="4.6444989348599997E-3"/>
    <n v="3714.9623503799198"/>
    <n v="9.2562827835146404"/>
    <n v="1.3612142301236001"/>
    <n v="4.2990795528860003E-2"/>
    <n v="6.3221580419299999E-3"/>
    <n v="17.254138679410499"/>
    <n v="1210"/>
    <s v="Fixed Single Family Units"/>
    <n v="1210"/>
    <s v="City of Cocoa Beach           Brevard County"/>
    <s v="City of Cocoa Beach"/>
    <m/>
    <m/>
    <m/>
    <n v="0"/>
    <n v="1"/>
    <n v="4.2990795528860003E-2"/>
    <n v="6.3221580419299999E-3"/>
    <n v="17.254138679410602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9.551285144684901"/>
    <n v="18.7956203433965"/>
    <n v="1.3993624200000001E-2"/>
  </r>
  <r>
    <n v="830000"/>
    <n v="2500000"/>
    <n v="2500000"/>
    <x v="0"/>
    <x v="0"/>
    <s v="BR3-5, BR-7"/>
    <s v="62-304.520 (10), F.A.C."/>
    <n v="0.59"/>
    <n v="0.64"/>
    <s v="City of Cocoa Beach"/>
    <n v="1.358415454537E-2"/>
    <n v="3714.9623505183099"/>
    <n v="9.2562827838594703"/>
    <n v="1.36121423017431"/>
    <n v="0.12573877585161"/>
    <n v="1.849094447204E-2"/>
    <n v="50.464622699679197"/>
    <n v="1200"/>
    <s v="Residential, Medium Density-Two-five dwellingunits per acre"/>
    <n v="1200"/>
    <s v="City of Cocoa Beach           Brevard County"/>
    <s v="City of Cocoa Beach"/>
    <m/>
    <m/>
    <m/>
    <n v="0"/>
    <n v="1"/>
    <n v="0.12573877585161"/>
    <n v="1.849094447204E-2"/>
    <n v="124.655877977098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01.577815975212"/>
    <n v="54.973123064811901"/>
    <n v="0.1010996577"/>
  </r>
  <r>
    <n v="830000"/>
    <n v="2500000"/>
    <n v="2500000"/>
    <x v="0"/>
    <x v="0"/>
    <s v="BR3-5, BR-7"/>
    <s v="62-304.520 (10), F.A.C."/>
    <n v="0.59"/>
    <n v="0.64"/>
    <s v="City of Cocoa Beach"/>
    <n v="9.6866365708959998E-2"/>
    <n v="3714.9623505183099"/>
    <n v="9.2562827838594703"/>
    <n v="1.36121423017431"/>
    <n v="0.89662247324689004"/>
    <n v="0.13185587542829999"/>
    <n v="359.85490164032802"/>
    <n v="1210"/>
    <s v="Fixed Single Family Units"/>
    <n v="1210"/>
    <s v="City of Cocoa Beach           Brevard County"/>
    <s v="City of Cocoa Beach"/>
    <m/>
    <m/>
    <m/>
    <n v="0"/>
    <n v="1"/>
    <n v="0.89662247324689004"/>
    <n v="0.13185587542829999"/>
    <n v="359.85490164032802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80.521089977732302"/>
    <n v="392.00427418385601"/>
    <n v="0.2918531238"/>
  </r>
  <r>
    <n v="830000"/>
    <n v="2500000"/>
    <n v="2500000"/>
    <x v="0"/>
    <x v="0"/>
    <s v="BR3-5, BR-7"/>
    <s v="62-304.520 (10), F.A.C."/>
    <n v="0.59"/>
    <n v="0.64"/>
    <s v="City of Cocoa Beach"/>
    <n v="0.10046758376054001"/>
    <n v="3714.9623505183099"/>
    <n v="9.2562827838594703"/>
    <n v="1.36121423017431"/>
    <n v="0.92995636589869002"/>
    <n v="0.13675790468608001"/>
    <n v="373.23329111796897"/>
    <n v="1210"/>
    <s v="Fixed Single Family Units"/>
    <n v="1210"/>
    <s v="City of Cocoa Beach           Brevard County"/>
    <s v="City of Cocoa Beach"/>
    <m/>
    <m/>
    <m/>
    <n v="0"/>
    <n v="1"/>
    <n v="0.92995636589869002"/>
    <n v="0.13675790468608001"/>
    <n v="373.23329111796897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81.017624284677098"/>
    <n v="406.57788658437198"/>
    <n v="0.30270339909999999"/>
  </r>
  <r>
    <n v="830000"/>
    <n v="2500000"/>
    <n v="2500000"/>
    <x v="0"/>
    <x v="0"/>
    <s v="BR3-5, BR-7"/>
    <s v="62-304.520 (10), F.A.C."/>
    <n v="0.59"/>
    <n v="0.64"/>
    <s v="City of Cocoa Beach"/>
    <n v="3.1074551952999999E-4"/>
    <n v="3714.9623505183099"/>
    <n v="9.2562827838594703"/>
    <n v="1.36121423017431"/>
    <n v="2.8763484026599999E-3"/>
    <n v="4.2299122315E-4"/>
    <n v="1.15440790567592"/>
    <n v="1210"/>
    <s v="Fixed Single Family Units"/>
    <n v="1210"/>
    <s v="City of Cocoa Beach           Brevard County"/>
    <s v="City of Cocoa Beach"/>
    <m/>
    <m/>
    <m/>
    <n v="0"/>
    <n v="1"/>
    <n v="2.8763484026599999E-3"/>
    <n v="4.2299122315E-4"/>
    <n v="1.15440790567424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2.934934539485599"/>
    <n v="1.2575425014725401"/>
    <n v="9.362595E-4"/>
  </r>
  <r>
    <n v="830000"/>
    <n v="2500000"/>
    <n v="2500000"/>
    <x v="0"/>
    <x v="0"/>
    <s v="BR3-5, BR-7"/>
    <s v="62-304.520 (10), F.A.C."/>
    <n v="0.59"/>
    <n v="0.64"/>
    <s v="City of Cocoa Beach"/>
    <n v="0.19591492354963999"/>
    <n v="3714.9623505183099"/>
    <n v="9.2562827838594703"/>
    <n v="1.36121423017431"/>
    <n v="1.8134439339536901"/>
    <n v="0.26668218183928"/>
    <n v="727.81656489159298"/>
    <n v="1210"/>
    <s v="Fixed Single Family Units"/>
    <n v="1210"/>
    <s v="City of Cocoa Beach           Brevard County"/>
    <s v="City of Cocoa Beach"/>
    <m/>
    <m/>
    <m/>
    <n v="0"/>
    <n v="1"/>
    <n v="1.8134439339536901"/>
    <n v="0.26668218183928"/>
    <n v="727.81656489159298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13.973512724797"/>
    <n v="792.83956661087404"/>
    <n v="0.5902810745"/>
  </r>
  <r>
    <n v="830000"/>
    <n v="2500000"/>
    <n v="2500000"/>
    <x v="0"/>
    <x v="0"/>
    <s v="BR3-5, BR-7"/>
    <s v="62-304.520 (10), F.A.C."/>
    <n v="0.59"/>
    <n v="0.64"/>
    <s v="City of Cocoa Beach"/>
    <n v="0.17974132615760999"/>
    <n v="3714.9623505183099"/>
    <n v="9.2562827838594703"/>
    <n v="1.36121423017431"/>
    <n v="1.66373654286076"/>
    <n v="0.24466645091614"/>
    <n v="667.73225950775702"/>
    <n v="1210"/>
    <s v="Fixed Single Family Units"/>
    <n v="1210"/>
    <s v="City of Cocoa Beach           Brevard County"/>
    <s v="City of Cocoa Beach"/>
    <m/>
    <m/>
    <m/>
    <n v="0"/>
    <n v="1"/>
    <n v="1.66373654286076"/>
    <n v="0.24466645091614"/>
    <n v="667.73225950775702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09.628129265662"/>
    <n v="727.38734013162104"/>
    <n v="0.54155089980000004"/>
  </r>
  <r>
    <n v="830000"/>
    <n v="2500000"/>
    <n v="2500000"/>
    <x v="0"/>
    <x v="0"/>
    <s v="BR3-5, BR-7"/>
    <s v="62-304.520 (10), F.A.C."/>
    <n v="0.59"/>
    <n v="0.64"/>
    <s v="City of Cocoa Beach"/>
    <n v="1.090742382796E-2"/>
    <n v="3714.9623505183099"/>
    <n v="9.2562827838594703"/>
    <n v="1.36121423017431"/>
    <n v="0.10096219939506"/>
    <n v="1.484734052917E-2"/>
    <n v="40.520668862039997"/>
    <n v="1210"/>
    <s v="Fixed Single Family Units"/>
    <n v="1210"/>
    <s v="City of Cocoa Beach           Brevard County"/>
    <s v="City of Cocoa Beach"/>
    <m/>
    <m/>
    <m/>
    <n v="0"/>
    <n v="1"/>
    <n v="0.10096219939506"/>
    <n v="1.484734052917E-2"/>
    <n v="40.520668862039201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65.711368173081894"/>
    <n v="44.140778170042097"/>
    <n v="3.28634784E-2"/>
  </r>
  <r>
    <n v="830000"/>
    <n v="2500000"/>
    <n v="2500000"/>
    <x v="0"/>
    <x v="0"/>
    <s v="BR3-5, BR-7"/>
    <s v="62-304.520 (10), F.A.C."/>
    <n v="0.59"/>
    <n v="0.64"/>
    <s v="City of Cocoa Beach"/>
    <n v="0.17113230151945999"/>
    <n v="3713.6570372881902"/>
    <n v="9.2531954732780406"/>
    <n v="1.3607658252111801"/>
    <n v="1.5835206377515401"/>
    <n v="0.23287098749742"/>
    <n v="635.52667584507799"/>
    <n v="1200"/>
    <s v="Residential, Medium Density-Two-five dwellingunits per acre"/>
    <n v="1200"/>
    <s v="City of Cocoa Beach           Brevard County"/>
    <s v="City of Cocoa Beach"/>
    <m/>
    <m/>
    <m/>
    <n v="0"/>
    <n v="1"/>
    <n v="1.5835206377515401"/>
    <n v="0.23287098749742"/>
    <n v="703.375383188819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27.79325874154"/>
    <n v="692.54785348412997"/>
    <n v="0.57045854269999996"/>
  </r>
  <r>
    <n v="830000"/>
    <n v="2500000"/>
    <n v="2500000"/>
    <x v="0"/>
    <x v="0"/>
    <s v="BR3-5, BR-7"/>
    <s v="62-304.520 (10), F.A.C."/>
    <n v="0.59"/>
    <n v="0.64"/>
    <s v="City of Cocoa Beach"/>
    <n v="1.2038303E-3"/>
    <n v="3713.6570372881902"/>
    <n v="9.2531954732780406"/>
    <n v="1.3607658252111801"/>
    <n v="1.113927708258E-2"/>
    <n v="1.6381311315900001E-3"/>
    <n v="4.4706128653068902"/>
    <n v="1210"/>
    <s v="Fixed Single Family Units"/>
    <n v="1210"/>
    <s v="City of Cocoa Beach           Brevard County"/>
    <s v="City of Cocoa Beach"/>
    <m/>
    <m/>
    <m/>
    <n v="0"/>
    <n v="1"/>
    <n v="1.113927708258E-2"/>
    <n v="1.6381311315900001E-3"/>
    <n v="4.4706128653056298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25.458747584589599"/>
    <n v="4.8717283810454903"/>
    <n v="3.6258012000000002E-3"/>
  </r>
  <r>
    <n v="830000"/>
    <n v="2500000"/>
    <n v="2500000"/>
    <x v="0"/>
    <x v="0"/>
    <s v="BR3-5, BR-7"/>
    <s v="62-304.520 (10), F.A.C."/>
    <n v="0.59"/>
    <n v="0.64"/>
    <s v="City of Cocoa Beach"/>
    <n v="0.10849967614832"/>
    <n v="3713.6570372881902"/>
    <n v="9.2531954732780406"/>
    <n v="1.3607658252111801"/>
    <n v="1.00396871218785"/>
    <n v="0.14764265134912"/>
    <n v="402.93058587173101"/>
    <n v="1210"/>
    <s v="Fixed Single Family Units"/>
    <n v="1210"/>
    <s v="City of Cocoa Beach           Brevard County"/>
    <s v="City of Cocoa Beach"/>
    <m/>
    <m/>
    <m/>
    <n v="0"/>
    <n v="1"/>
    <n v="1.00396871218785"/>
    <n v="0.14764265134912"/>
    <n v="402.93058587173101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83.826605138766496"/>
    <n v="439.08261124918403"/>
    <n v="0.32678879630000002"/>
  </r>
  <r>
    <n v="830000"/>
    <n v="2500000"/>
    <n v="2500000"/>
    <x v="0"/>
    <x v="0"/>
    <s v="BR3-5, BR-7"/>
    <s v="62-304.520 (10), F.A.C."/>
    <n v="0.59"/>
    <n v="0.64"/>
    <s v="City of Cocoa Beach"/>
    <n v="0.16447059177755999"/>
    <n v="3713.6570372881902"/>
    <n v="9.2531954732780406"/>
    <n v="1.3607658252111801"/>
    <n v="1.5218785353235"/>
    <n v="0.22380596054315999"/>
    <n v="610.78737058169997"/>
    <n v="1210"/>
    <s v="Fixed Single Family Units"/>
    <n v="1210"/>
    <s v="City of Cocoa Beach           Brevard County"/>
    <s v="City of Cocoa Beach"/>
    <m/>
    <m/>
    <m/>
    <n v="0"/>
    <n v="1"/>
    <n v="1.5218785353235"/>
    <n v="0.22380596054315999"/>
    <n v="610.78737058169997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104.720725319153"/>
    <n v="665.58887063095995"/>
    <n v="0.49536688610000001"/>
  </r>
  <r>
    <n v="830000"/>
    <n v="2500000"/>
    <n v="2500000"/>
    <x v="0"/>
    <x v="0"/>
    <s v="BR3-5, BR-7"/>
    <s v="62-304.520 (10), F.A.C."/>
    <n v="0.59"/>
    <n v="0.64"/>
    <s v="City of Cocoa Beach"/>
    <n v="8.200930898771E-2"/>
    <n v="3713.6570371498401"/>
    <n v="9.2531954729333297"/>
    <n v="1.3607658251604899"/>
    <n v="0.75884816666346999"/>
    <n v="0.11159546501549999"/>
    <n v="304.55444743400898"/>
    <n v="1200"/>
    <s v="Residential, Medium Density-Two-five dwellingunits per acre"/>
    <n v="1200"/>
    <s v="City of Cocoa Beach           Brevard County"/>
    <s v="City of Cocoa Beach"/>
    <m/>
    <m/>
    <m/>
    <n v="0"/>
    <n v="1"/>
    <n v="0.75884816666346999"/>
    <n v="0.11159546501549999"/>
    <n v="943.81008583159996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99.837977485730704"/>
    <n v="331.87989877350299"/>
    <n v="0.76545830159999995"/>
  </r>
  <r>
    <n v="830000"/>
    <n v="2500000"/>
    <n v="2500000"/>
    <x v="0"/>
    <x v="0"/>
    <s v="BR3-5, BR-7"/>
    <s v="62-304.520 (10), F.A.C."/>
    <n v="0.59"/>
    <n v="0.64"/>
    <s v="City of Cocoa Beach"/>
    <n v="4.2517335730270001E-2"/>
    <n v="3713.6570371498401"/>
    <n v="9.2531954729333297"/>
    <n v="1.3607658251604899"/>
    <n v="0.39342121850056"/>
    <n v="5.7856137438630002E-2"/>
    <n v="157.89480303559799"/>
    <n v="1210"/>
    <s v="Fixed Single Family Units"/>
    <n v="1210"/>
    <s v="City of Cocoa Beach           Brevard County"/>
    <s v="City of Cocoa Beach"/>
    <m/>
    <m/>
    <m/>
    <n v="0"/>
    <n v="1"/>
    <n v="0.39342121850056"/>
    <n v="5.7856137438630002E-2"/>
    <n v="157.89480303559901"/>
    <m/>
    <n v="-1"/>
    <n v="-1"/>
    <n v="-1"/>
    <n v="-1"/>
    <n v="0"/>
    <m/>
    <m/>
    <s v="Banana River B"/>
    <n v="-1"/>
    <m/>
    <m/>
    <n v="365"/>
    <x v="1"/>
    <s v="9th St S &amp; Brevard Av Exfiltration"/>
    <x v="0"/>
    <n v="1.8981889999999999"/>
    <n v="58.4700435565086"/>
    <n v="172.06155316340099"/>
    <n v="0.12805742340000001"/>
  </r>
  <r>
    <n v="830000"/>
    <n v="2400000"/>
    <n v="2400000"/>
    <x v="0"/>
    <x v="0"/>
    <s v="BR3-5, BR-7"/>
    <s v="62-304.520 (10), F.A.C."/>
    <n v="0.59"/>
    <n v="0.64"/>
    <s v="City of Cocoa Beach"/>
    <n v="7.0104661750520006E-2"/>
    <n v="3668.9997107157601"/>
    <n v="9.1499915969963599"/>
    <n v="1.3458629876549599"/>
    <n v="0.64145706592758001"/>
    <n v="9.4351269512100003E-2"/>
    <n v="257.21398368250601"/>
    <n v="1200"/>
    <s v="Residential, Medium Density-Two-five dwellingunits per acre"/>
    <n v="1200"/>
    <s v="City of Cocoa Beach           Brevard County"/>
    <s v="City of Cocoa Beach"/>
    <m/>
    <m/>
    <m/>
    <n v="0"/>
    <n v="1"/>
    <n v="0.64145706592758001"/>
    <n v="9.4351269512100003E-2"/>
    <n v="755.59091485592796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85.044239960565307"/>
    <n v="283.70350064529703"/>
    <n v="0.61280690579999997"/>
  </r>
  <r>
    <n v="830000"/>
    <n v="2400000"/>
    <n v="2400000"/>
    <x v="0"/>
    <x v="0"/>
    <s v="BR3-5, BR-7"/>
    <s v="62-304.520 (10), F.A.C."/>
    <n v="0.59"/>
    <n v="0.64"/>
    <s v="City of Cocoa Beach"/>
    <n v="5.4443964558700004E-3"/>
    <n v="3668.9997107157601"/>
    <n v="9.1499915969963599"/>
    <n v="1.3458629876549599"/>
    <n v="4.9816181821989998E-2"/>
    <n v="7.3274116800799999E-3"/>
    <n v="19.975489021634601"/>
    <n v="1210"/>
    <s v="Fixed Single Family Units"/>
    <n v="1210"/>
    <s v="City of Cocoa Beach           Brevard County"/>
    <s v="City of Cocoa Beach"/>
    <m/>
    <m/>
    <m/>
    <n v="0"/>
    <n v="1"/>
    <n v="4.9816181821989998E-2"/>
    <n v="7.3274116800799999E-3"/>
    <n v="451.84842766129799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56.479177652302901"/>
    <n v="22.032690763558499"/>
    <n v="0.36646263400000001"/>
  </r>
  <r>
    <n v="830000"/>
    <n v="2400000"/>
    <n v="2400000"/>
    <x v="0"/>
    <x v="0"/>
    <s v="BR3-5, BR-7"/>
    <s v="62-304.520 (10), F.A.C."/>
    <n v="0.59"/>
    <n v="0.64"/>
    <s v="City of Cocoa Beach"/>
    <n v="0.17291570698816"/>
    <n v="3668.9997107157601"/>
    <n v="9.1499915969963599"/>
    <n v="1.3458629876549599"/>
    <n v="1.5821772659303499"/>
    <n v="0.23272085001955001"/>
    <n v="634.42767891777396"/>
    <n v="1210"/>
    <s v="Fixed Single Family Units"/>
    <n v="1210"/>
    <s v="City of Cocoa Beach           Brevard County"/>
    <s v="City of Cocoa Beach"/>
    <m/>
    <m/>
    <m/>
    <n v="0"/>
    <n v="1"/>
    <n v="1.5821772659303499"/>
    <n v="0.23272085001955001"/>
    <n v="634.42767891777396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06.357117947847"/>
    <n v="699.76503935887501"/>
    <n v="0.51453988559999997"/>
  </r>
  <r>
    <n v="830000"/>
    <n v="2400000"/>
    <n v="2400000"/>
    <x v="0"/>
    <x v="0"/>
    <s v="BR3-5, BR-7"/>
    <s v="62-304.520 (10), F.A.C."/>
    <n v="0.59"/>
    <n v="0.64"/>
    <s v="City of Cocoa Beach"/>
    <n v="4.9635081552890002E-2"/>
    <n v="3668.9997107157601"/>
    <n v="9.1499915969963599"/>
    <n v="1.3458629876549599"/>
    <n v="0.45416057912524999"/>
    <n v="6.6802019151280007E-2"/>
    <n v="182.11109985893901"/>
    <n v="1210"/>
    <s v="Fixed Single Family Units"/>
    <n v="1210"/>
    <s v="City of Cocoa Beach           Brevard County"/>
    <s v="City of Cocoa Beach"/>
    <m/>
    <m/>
    <m/>
    <n v="0"/>
    <n v="1"/>
    <n v="0.45416057912524999"/>
    <n v="6.6802019151280007E-2"/>
    <n v="182.111099858941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74.488734730066895"/>
    <n v="200.866048558698"/>
    <n v="0.14769756680000001"/>
  </r>
  <r>
    <n v="830000"/>
    <n v="2400000"/>
    <n v="2400000"/>
    <x v="0"/>
    <x v="0"/>
    <s v="BR3-5, BR-7"/>
    <s v="62-304.520 (10), F.A.C."/>
    <n v="0.59"/>
    <n v="0.64"/>
    <s v="City of Cocoa Beach"/>
    <n v="0.11972623029007"/>
    <n v="3678.3786735506801"/>
    <n v="9.1722206760714506"/>
    <n v="1.34909321757684"/>
    <n v="1.0981554049347499"/>
    <n v="0.16152184525037999"/>
    <n v="440.39841216364402"/>
    <n v="1200"/>
    <s v="Residential, Medium Density-Two-five dwellingunits per acre"/>
    <n v="1200"/>
    <s v="City of Cocoa Beach           Brevard County"/>
    <s v="City of Cocoa Beach"/>
    <m/>
    <m/>
    <m/>
    <n v="0"/>
    <n v="1"/>
    <n v="1.0981554049347499"/>
    <n v="0.16152184525037999"/>
    <n v="1351.47684724125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25.370264197992"/>
    <n v="484.51486397914903"/>
    <n v="1.0960882783999999"/>
  </r>
  <r>
    <n v="830000"/>
    <n v="2400000"/>
    <n v="2400000"/>
    <x v="0"/>
    <x v="0"/>
    <s v="BR3-5, BR-7"/>
    <s v="62-304.520 (10), F.A.C."/>
    <n v="0.59"/>
    <n v="0.64"/>
    <s v="City of Cocoa Beach"/>
    <n v="0.13257373754254001"/>
    <n v="3678.3786735506801"/>
    <n v="9.1722206760714506"/>
    <n v="1.34909321757684"/>
    <n v="1.21599557659182"/>
    <n v="0.17885433014745999"/>
    <n v="487.65640884941098"/>
    <n v="1210"/>
    <s v="Fixed Single Family Units"/>
    <n v="1210"/>
    <s v="City of Cocoa Beach           Brevard County"/>
    <s v="City of Cocoa Beach"/>
    <m/>
    <m/>
    <m/>
    <n v="0"/>
    <n v="1"/>
    <n v="1.21599557659182"/>
    <n v="0.17885433014745999"/>
    <n v="487.65640884941098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89.723358310437405"/>
    <n v="536.50688121562803"/>
    <n v="0.39550398120000002"/>
  </r>
  <r>
    <n v="830000"/>
    <n v="2400000"/>
    <n v="2400000"/>
    <x v="0"/>
    <x v="0"/>
    <s v="BR3-5, BR-7"/>
    <s v="62-304.520 (10), F.A.C."/>
    <n v="0.59"/>
    <n v="0.64"/>
    <s v="City of Cocoa Beach"/>
    <n v="0.10316920352922999"/>
    <n v="3668.9997109891201"/>
    <n v="9.1499915976780901"/>
    <n v="1.3458629877552399"/>
    <n v="0.94399734543163005"/>
    <n v="0.13885161250618"/>
    <n v="378.52777793173698"/>
    <n v="1200"/>
    <s v="Residential, Medium Density-Two-five dwellingunits per acre"/>
    <n v="1200"/>
    <s v="City of Cocoa Beach           Brevard County"/>
    <s v="City of Cocoa Beach"/>
    <m/>
    <m/>
    <m/>
    <n v="0"/>
    <n v="1"/>
    <n v="0.94399734543163005"/>
    <n v="0.13885161250618"/>
    <n v="804.81109458923504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31.170677082396"/>
    <n v="417.510953896172"/>
    <n v="0.65272594859999999"/>
  </r>
  <r>
    <n v="830000"/>
    <n v="2400000"/>
    <n v="2400000"/>
    <x v="0"/>
    <x v="0"/>
    <s v="BR3-5, BR-7"/>
    <s v="62-304.520 (10), F.A.C."/>
    <n v="0.59"/>
    <n v="0.64"/>
    <s v="City of Cocoa Beach"/>
    <n v="6.1809632206399996E-3"/>
    <n v="3668.9997109891201"/>
    <n v="9.1499915976780901"/>
    <n v="1.3458629877552399"/>
    <n v="5.6555761534440002E-2"/>
    <n v="8.3187296273399998E-3"/>
    <n v="22.677952270173499"/>
    <n v="1210"/>
    <s v="Fixed Single Family Units"/>
    <n v="1210"/>
    <s v="City of Cocoa Beach           Brevard County"/>
    <s v="City of Cocoa Beach"/>
    <m/>
    <m/>
    <m/>
    <n v="0"/>
    <n v="1"/>
    <n v="5.6555761534440002E-2"/>
    <n v="8.3187296273399998E-3"/>
    <n v="22.677952270173598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42.947727395646197"/>
    <n v="25.0134707060773"/>
    <n v="1.83924998E-2"/>
  </r>
  <r>
    <n v="830000"/>
    <n v="2400000"/>
    <n v="2400000"/>
    <x v="0"/>
    <x v="0"/>
    <s v="BR3-5, BR-7"/>
    <s v="62-304.520 (10), F.A.C."/>
    <n v="0.59"/>
    <n v="0.64"/>
    <s v="City of Cocoa Beach"/>
    <n v="9.9618465056499992E-3"/>
    <n v="3668.9997109891201"/>
    <n v="9.1499915976780901"/>
    <n v="1.3458629877552399"/>
    <n v="9.1150811824129999E-2"/>
    <n v="1.3407280501660001E-2"/>
    <n v="36.550011950177201"/>
    <n v="1210"/>
    <s v="Fixed Single Family Units"/>
    <n v="1210"/>
    <s v="City of Cocoa Beach           Brevard County"/>
    <s v="City of Cocoa Beach"/>
    <m/>
    <m/>
    <m/>
    <n v="0"/>
    <n v="1"/>
    <n v="9.1150811824129999E-2"/>
    <n v="1.3407280501660001E-2"/>
    <n v="36.550011950176803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31.440980820769202"/>
    <n v="40.314162510384598"/>
    <n v="2.96431565E-2"/>
  </r>
  <r>
    <n v="830000"/>
    <n v="2400000"/>
    <n v="2400000"/>
    <x v="0"/>
    <x v="0"/>
    <s v="BR3-5, BR-7"/>
    <s v="62-304.520 (10), F.A.C."/>
    <n v="0.59"/>
    <n v="0.64"/>
    <s v="City of Cocoa Beach"/>
    <n v="0.14133098409295999"/>
    <n v="3668.9997109891201"/>
    <n v="9.1499915976780901"/>
    <n v="1.3458629877552399"/>
    <n v="1.2931773169421601"/>
    <n v="0.19021214051374"/>
    <n v="518.54333979088199"/>
    <n v="1210"/>
    <s v="Fixed Single Family Units"/>
    <n v="1210"/>
    <s v="City of Cocoa Beach           Brevard County"/>
    <s v="City of Cocoa Beach"/>
    <m/>
    <m/>
    <m/>
    <n v="0"/>
    <n v="1"/>
    <n v="1.2931773169421601"/>
    <n v="0.19021214051374"/>
    <n v="518.54333979088199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99.749787789473501"/>
    <n v="571.94620066071104"/>
    <n v="0.42055420910000002"/>
  </r>
  <r>
    <n v="830000"/>
    <n v="2400000"/>
    <n v="2400000"/>
    <x v="0"/>
    <x v="0"/>
    <s v="BR3-5, BR-7"/>
    <s v="62-304.520 (10), F.A.C."/>
    <n v="0.59"/>
    <n v="0.64"/>
    <s v="City of Cocoa Beach"/>
    <n v="0.22645020994247"/>
    <n v="3668.9997109891201"/>
    <n v="9.1499915976780901"/>
    <n v="1.3458629877552399"/>
    <n v="2.0720175182660601"/>
    <n v="0.30477095613096999"/>
    <n v="830.84575483235994"/>
    <n v="1210"/>
    <s v="Fixed Single Family Units"/>
    <n v="1210"/>
    <s v="City of Cocoa Beach           Brevard County"/>
    <s v="City of Cocoa Beach"/>
    <m/>
    <m/>
    <m/>
    <n v="0"/>
    <n v="1"/>
    <n v="2.0720175182660601"/>
    <n v="0.30477095613096999"/>
    <n v="830.84575483235994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18.438523801732"/>
    <n v="916.41148645952501"/>
    <n v="0.67384083930000005"/>
  </r>
  <r>
    <n v="830000"/>
    <n v="2400000"/>
    <n v="2400000"/>
    <x v="0"/>
    <x v="0"/>
    <s v="BR3-5, BR-7"/>
    <s v="62-304.520 (10), F.A.C."/>
    <n v="0.59"/>
    <n v="0.64"/>
    <s v="City of Cocoa Beach"/>
    <n v="7.3178479075670003E-2"/>
    <n v="3670.6435150920302"/>
    <n v="9.1539115680253094"/>
    <n v="1.3464334775447799"/>
    <n v="0.66986932614130001"/>
    <n v="9.8529954063290001E-2"/>
    <n v="268.61210966341702"/>
    <n v="1200"/>
    <s v="Residential, Medium Density-Two-five dwellingunits per acre"/>
    <n v="1200"/>
    <s v="City of Cocoa Beach           Brevard County"/>
    <s v="City of Cocoa Beach"/>
    <m/>
    <m/>
    <m/>
    <n v="0"/>
    <n v="1"/>
    <n v="0.66986932614130001"/>
    <n v="9.8529954063290001E-2"/>
    <n v="521.74870596150595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85.7812211733591"/>
    <n v="296.14279802885"/>
    <n v="0.42315385719999998"/>
  </r>
  <r>
    <n v="830000"/>
    <n v="2400000"/>
    <n v="2400000"/>
    <x v="0"/>
    <x v="0"/>
    <s v="BR3-5, BR-7"/>
    <s v="62-304.520 (10), F.A.C."/>
    <n v="0.59"/>
    <n v="0.64"/>
    <s v="City of Cocoa Beach"/>
    <n v="2.867618501699E-2"/>
    <n v="3670.6435150920302"/>
    <n v="9.1539115680253094"/>
    <n v="1.3464334775447799"/>
    <n v="0.26249926175388999"/>
    <n v="3.8610575515140001E-2"/>
    <n v="105.260052570208"/>
    <n v="1210"/>
    <s v="Fixed Single Family Units"/>
    <n v="1210"/>
    <s v="City of Cocoa Beach           Brevard County"/>
    <s v="City of Cocoa Beach"/>
    <m/>
    <m/>
    <m/>
    <n v="0"/>
    <n v="1"/>
    <n v="0.26249926175388999"/>
    <n v="3.8610575515140001E-2"/>
    <n v="510.61198654250802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63.145373120888998"/>
    <n v="116.048403505951"/>
    <n v="0.41412164359999998"/>
  </r>
  <r>
    <n v="830000"/>
    <n v="2400000"/>
    <n v="2400000"/>
    <x v="0"/>
    <x v="0"/>
    <s v="BR3-5, BR-7"/>
    <s v="62-304.520 (10), F.A.C."/>
    <n v="0.59"/>
    <n v="0.64"/>
    <s v="City of Cocoa Beach"/>
    <n v="0.19556762838986999"/>
    <n v="3670.6435150920302"/>
    <n v="9.1539115680253094"/>
    <n v="1.3464334775447799"/>
    <n v="1.7902087758493701"/>
    <n v="0.26331880198815999"/>
    <n v="717.85904691123096"/>
    <n v="1210"/>
    <s v="Fixed Single Family Units"/>
    <n v="1210"/>
    <s v="City of Cocoa Beach           Brevard County"/>
    <s v="City of Cocoa Beach"/>
    <m/>
    <m/>
    <m/>
    <n v="0"/>
    <n v="1"/>
    <n v="1.7902087758493701"/>
    <n v="0.26331880198815999"/>
    <n v="728.119426596175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11.881779106373"/>
    <n v="791.43411296311206"/>
    <n v="0.5905267045"/>
  </r>
  <r>
    <n v="830000"/>
    <n v="2400000"/>
    <n v="2400000"/>
    <x v="0"/>
    <x v="0"/>
    <s v="BR3-5, BR-7"/>
    <s v="62-304.520 (10), F.A.C."/>
    <n v="0.59"/>
    <n v="0.64"/>
    <s v="City of Cocoa Beach"/>
    <n v="7.3193114427479999E-2"/>
    <n v="3670.6435150920302"/>
    <n v="9.1539115680253094"/>
    <n v="1.3464334775447799"/>
    <n v="0.67000329685754001"/>
    <n v="9.8549659590929997E-2"/>
    <n v="268.66583082263298"/>
    <n v="1210"/>
    <s v="Fixed Single Family Units"/>
    <n v="1210"/>
    <s v="City of Cocoa Beach           Brevard County"/>
    <s v="City of Cocoa Beach"/>
    <m/>
    <m/>
    <m/>
    <n v="0"/>
    <n v="1"/>
    <n v="0.67000329685754001"/>
    <n v="9.8549659590929997E-2"/>
    <n v="268.66583082263202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84.182990577570393"/>
    <n v="296.20202519631999"/>
    <n v="0.21789605100000001"/>
  </r>
  <r>
    <n v="830000"/>
    <n v="2400000"/>
    <n v="2400000"/>
    <x v="0"/>
    <x v="0"/>
    <s v="BR3-5, BR-7"/>
    <s v="62-304.520 (10), F.A.C."/>
    <n v="0.59"/>
    <n v="0.64"/>
    <s v="City of Cocoa Beach"/>
    <n v="1.3631116152299999E-3"/>
    <n v="3670.6435150920302"/>
    <n v="9.1539115680253094"/>
    <n v="1.3464334775447799"/>
    <n v="1.2477803183220001E-2"/>
    <n v="1.8353391123799999E-3"/>
    <n v="5.00349681081632"/>
    <n v="1210"/>
    <s v="Fixed Single Family Units"/>
    <n v="1210"/>
    <s v="City of Cocoa Beach           Brevard County"/>
    <s v="City of Cocoa Beach"/>
    <m/>
    <m/>
    <m/>
    <n v="0"/>
    <n v="1"/>
    <n v="1.2477803183220001E-2"/>
    <n v="1.8353391123799999E-3"/>
    <n v="134.92160415977301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3.7781908627639"/>
    <n v="5.5163169945691202"/>
    <n v="0.1094254697"/>
  </r>
  <r>
    <n v="830000"/>
    <n v="2400000"/>
    <n v="2400000"/>
    <x v="0"/>
    <x v="0"/>
    <s v="BR3-5, BR-7"/>
    <s v="62-304.520 (10), F.A.C."/>
    <n v="0.59"/>
    <n v="0.64"/>
    <s v="City of Cocoa Beach"/>
    <n v="2.5448308392430001E-2"/>
    <n v="3670.6435150920302"/>
    <n v="9.1539115680253094"/>
    <n v="1.3464334775447799"/>
    <n v="0.23295156458022001"/>
    <n v="3.4264454366460001E-2"/>
    <n v="93.411668170768394"/>
    <n v="1210"/>
    <s v="Fixed Single Family Units"/>
    <n v="1210"/>
    <s v="City of Cocoa Beach           Brevard County"/>
    <s v="City of Cocoa Beach"/>
    <m/>
    <m/>
    <m/>
    <n v="0"/>
    <n v="1"/>
    <n v="0.23295156458022001"/>
    <n v="3.4264454366460001E-2"/>
    <n v="93.411668170769104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57.312772214300402"/>
    <n v="102.985650257158"/>
    <n v="7.5759666000000003E-2"/>
  </r>
  <r>
    <n v="830000"/>
    <n v="2400000"/>
    <n v="2400000"/>
    <x v="0"/>
    <x v="0"/>
    <s v="BR3-5, BR-7"/>
    <s v="62-304.520 (10), F.A.C."/>
    <n v="0.59"/>
    <n v="0.64"/>
    <s v="City of Cocoa Beach"/>
    <n v="2.7543380866099998E-3"/>
    <n v="3670.6435150920302"/>
    <n v="9.1539115680253094"/>
    <n v="1.3464334775447799"/>
    <n v="2.5212967273290001E-2"/>
    <n v="3.7085330082900002E-3"/>
    <n v="10.1101932359933"/>
    <n v="1210"/>
    <s v="Fixed Single Family Units"/>
    <n v="1210"/>
    <s v="City of Cocoa Beach           Brevard County"/>
    <s v="City of Cocoa Beach"/>
    <m/>
    <m/>
    <m/>
    <n v="0"/>
    <n v="1"/>
    <n v="2.5212967273290001E-2"/>
    <n v="3.7085330082900002E-3"/>
    <n v="10.1101932359924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4.048327302112"/>
    <n v="11.1464107752657"/>
    <n v="8.1996701000000005E-3"/>
  </r>
  <r>
    <n v="830000"/>
    <n v="2400000"/>
    <n v="2400000"/>
    <x v="0"/>
    <x v="0"/>
    <s v="BR3-5, BR-7"/>
    <s v="62-304.520 (10), F.A.C."/>
    <n v="0.59"/>
    <n v="0.64"/>
    <s v="City of Cocoa Beach"/>
    <n v="5.9098213329789998E-2"/>
    <n v="3544.7045489805901"/>
    <n v="8.8627382286491105"/>
    <n v="1.3043828660193799"/>
    <n v="0.52377199452287004"/>
    <n v="7.7086696879739999E-2"/>
    <n v="209.485705626764"/>
    <n v="1200"/>
    <s v="Residential, Medium Density-Two-five dwellingunits per acre"/>
    <n v="1200"/>
    <s v="City of Cocoa Beach           Brevard County"/>
    <s v="City of Cocoa Beach"/>
    <m/>
    <m/>
    <m/>
    <n v="0"/>
    <n v="1"/>
    <n v="0.52377199452287004"/>
    <n v="7.7086696879739999E-2"/>
    <n v="581.54304284920397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84.211214671446498"/>
    <n v="239.161984166064"/>
    <n v="0.47164885880000001"/>
  </r>
  <r>
    <n v="830000"/>
    <n v="2400000"/>
    <n v="2400000"/>
    <x v="0"/>
    <x v="0"/>
    <s v="BR3-5, BR-7"/>
    <s v="62-304.520 (10), F.A.C."/>
    <n v="0.59"/>
    <n v="0.64"/>
    <s v="City of Cocoa Beach"/>
    <n v="1.5359601070049999E-2"/>
    <n v="3544.7045489805901"/>
    <n v="8.8627382286491105"/>
    <n v="1.3043828660193799"/>
    <n v="0.13612812358036"/>
    <n v="2.0034800464669999E-2"/>
    <n v="54.4452477835476"/>
    <n v="1210"/>
    <s v="Fixed Single Family Units"/>
    <n v="1210"/>
    <s v="City of Cocoa Beach           Brevard County"/>
    <s v="City of Cocoa Beach"/>
    <m/>
    <m/>
    <m/>
    <n v="0"/>
    <n v="1"/>
    <n v="0.13612812358036"/>
    <n v="2.0034800464669999E-2"/>
    <n v="54.445247783549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37.090050795655699"/>
    <n v="62.158100235851599"/>
    <n v="4.4156729800000002E-2"/>
  </r>
  <r>
    <n v="830000"/>
    <n v="2400000"/>
    <n v="2400000"/>
    <x v="0"/>
    <x v="0"/>
    <s v="BR3-5, BR-7"/>
    <s v="62-304.520 (10), F.A.C."/>
    <n v="0.59"/>
    <n v="0.64"/>
    <s v="City of Cocoa Beach"/>
    <n v="1.8436307442749999E-2"/>
    <n v="3544.7045489805901"/>
    <n v="8.8627382286491105"/>
    <n v="1.3043828660193799"/>
    <n v="0.16339616676798999"/>
    <n v="2.4048003540990001E-2"/>
    <n v="65.351262858724297"/>
    <n v="1210"/>
    <s v="Fixed Single Family Units"/>
    <n v="1210"/>
    <s v="City of Cocoa Beach           Brevard County"/>
    <s v="City of Cocoa Beach"/>
    <m/>
    <m/>
    <m/>
    <n v="0"/>
    <n v="1"/>
    <n v="0.16339616676798999"/>
    <n v="2.4048003540990001E-2"/>
    <n v="65.351262858725704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41.259195404518699"/>
    <n v="74.609089180039504"/>
    <n v="5.30018352E-2"/>
  </r>
  <r>
    <n v="830000"/>
    <n v="2400000"/>
    <n v="2400000"/>
    <x v="0"/>
    <x v="0"/>
    <s v="BR3-5, BR-7"/>
    <s v="62-304.520 (10), F.A.C."/>
    <n v="0.59"/>
    <n v="0.64"/>
    <s v="City of Cocoa Beach"/>
    <n v="9.9131995085470007E-2"/>
    <n v="3670.6435153655202"/>
    <n v="9.1539115687073291"/>
    <n v="1.3464334776450999"/>
    <n v="0.90744551664194995"/>
    <n v="0.13347463688882999"/>
    <n v="363.87821492573801"/>
    <n v="1200"/>
    <s v="Residential, Medium Density-Two-five dwellingunits per acre"/>
    <n v="1200"/>
    <s v="City of Cocoa Beach           Brevard County"/>
    <s v="City of Cocoa Beach"/>
    <m/>
    <m/>
    <m/>
    <n v="0"/>
    <n v="1"/>
    <n v="0.90744551664194995"/>
    <n v="0.13347463688882999"/>
    <n v="736.33943981979496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16.73101613220599"/>
    <n v="401.17295097697098"/>
    <n v="0.59719338180000003"/>
  </r>
  <r>
    <n v="830000"/>
    <n v="2400000"/>
    <n v="2400000"/>
    <x v="0"/>
    <x v="0"/>
    <s v="BR3-5, BR-7"/>
    <s v="62-304.520 (10), F.A.C."/>
    <n v="0.59"/>
    <n v="0.64"/>
    <s v="City of Cocoa Beach"/>
    <n v="0.12517008515063999"/>
    <n v="3670.6435153655202"/>
    <n v="9.1539115687073291"/>
    <n v="1.3464334776450999"/>
    <n v="1.1457958905165899"/>
    <n v="0.16853319304652001"/>
    <n v="459.45476137597598"/>
    <n v="1210"/>
    <s v="Fixed Single Family Units"/>
    <n v="1210"/>
    <s v="City of Cocoa Beach           Brevard County"/>
    <s v="City of Cocoa Beach"/>
    <m/>
    <m/>
    <m/>
    <n v="0"/>
    <n v="1"/>
    <n v="1.1457958905165899"/>
    <n v="0.16853319304652001"/>
    <n v="459.45476137597598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96.936741671291202"/>
    <n v="506.54536298425501"/>
    <n v="0.37263159880000002"/>
  </r>
  <r>
    <n v="830000"/>
    <n v="2400000"/>
    <n v="2400000"/>
    <x v="0"/>
    <x v="0"/>
    <s v="BR3-5, BR-7"/>
    <s v="62-304.520 (10), F.A.C."/>
    <n v="0.59"/>
    <n v="0.64"/>
    <s v="City of Cocoa Beach"/>
    <n v="0.19219757353690001"/>
    <n v="3670.6435153655202"/>
    <n v="9.1539115687073291"/>
    <n v="1.3464334776450999"/>
    <n v="1.75935959187692"/>
    <n v="0.25878124733224001"/>
    <n v="705.48877697221701"/>
    <n v="1210"/>
    <s v="Fixed Single Family Units"/>
    <n v="1210"/>
    <s v="City of Cocoa Beach           Brevard County"/>
    <s v="City of Cocoa Beach"/>
    <m/>
    <m/>
    <m/>
    <n v="0"/>
    <n v="1"/>
    <n v="1.75935959187692"/>
    <n v="0.25878124733224001"/>
    <n v="705.48877697221701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112.310494654256"/>
    <n v="777.79598483750897"/>
    <n v="0.57217256849999998"/>
  </r>
  <r>
    <n v="830000"/>
    <n v="2400000"/>
    <n v="2400000"/>
    <x v="0"/>
    <x v="0"/>
    <s v="BR3-5, BR-7"/>
    <s v="62-304.520 (10), F.A.C."/>
    <n v="0.59"/>
    <n v="0.64"/>
    <s v="City of Cocoa Beach"/>
    <n v="7.7130499258520002E-2"/>
    <n v="3670.6435153655202"/>
    <n v="9.1539115687073291"/>
    <n v="1.3464334776450999"/>
    <n v="0.70604576946279995"/>
    <n v="0.10385108634916"/>
    <n v="283.11856694021702"/>
    <n v="1210"/>
    <s v="Fixed Single Family Units"/>
    <n v="1210"/>
    <s v="City of Cocoa Beach           Brevard County"/>
    <s v="City of Cocoa Beach"/>
    <m/>
    <m/>
    <m/>
    <n v="0"/>
    <n v="1"/>
    <n v="0.70604576946279995"/>
    <n v="0.10385108634916"/>
    <n v="283.11856694021901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80.708117005188697"/>
    <n v="312.13605628728999"/>
    <n v="0.2296176536"/>
  </r>
  <r>
    <n v="830000"/>
    <n v="2400000"/>
    <n v="2400000"/>
    <x v="0"/>
    <x v="0"/>
    <s v="BR3-5, BR-7"/>
    <s v="62-304.520 (10), F.A.C."/>
    <n v="0.59"/>
    <n v="0.64"/>
    <s v="City of Cocoa Beach"/>
    <n v="4.64313695454E-3"/>
    <n v="3670.6435153655202"/>
    <n v="9.1539115687073291"/>
    <n v="1.3464334776450999"/>
    <n v="4.25028650833E-2"/>
    <n v="6.2516750368899997E-3"/>
    <n v="17.043300553154602"/>
    <n v="1210"/>
    <s v="Fixed Single Family Units"/>
    <n v="1210"/>
    <s v="City of Cocoa Beach           Brevard County"/>
    <s v="City of Cocoa Beach"/>
    <m/>
    <m/>
    <m/>
    <n v="0"/>
    <n v="1"/>
    <n v="4.25028650833E-2"/>
    <n v="6.2516750368899997E-3"/>
    <n v="17.043300553154999"/>
    <m/>
    <n v="-1"/>
    <n v="-1"/>
    <n v="-1"/>
    <n v="-1"/>
    <n v="0"/>
    <m/>
    <m/>
    <s v="Banana River B"/>
    <n v="-1"/>
    <m/>
    <m/>
    <n v="366"/>
    <x v="2"/>
    <s v="321 Jack Dr Exfiltration"/>
    <x v="0"/>
    <n v="2.028842"/>
    <n v="37.113212979941999"/>
    <n v="18.7901086045837"/>
    <n v="1.3822628199999999E-2"/>
  </r>
  <r>
    <n v="830000"/>
    <n v="2400000"/>
    <n v="2400000"/>
    <x v="0"/>
    <x v="0"/>
    <s v="BR3-5, BR-7"/>
    <s v="62-304.520 (10), F.A.C."/>
    <n v="0.59"/>
    <n v="0.64"/>
    <s v="City of Cocoa Beach"/>
    <n v="6.3577010549089999E-2"/>
    <n v="3783.36519923996"/>
    <n v="11.5724286033452"/>
    <n v="1.57258398950117"/>
    <n v="0.73574041539357005"/>
    <n v="9.9980188889860003E-2"/>
    <n v="240.53504918317299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73574041539357005"/>
    <n v="9.9980188889860003E-2"/>
    <n v="1643.40209792269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83.216812028678603"/>
    <n v="257.28703345761301"/>
    <n v="1.3328484168000001"/>
  </r>
  <r>
    <n v="830000"/>
    <n v="2400000"/>
    <n v="2400000"/>
    <x v="0"/>
    <x v="0"/>
    <s v="BR3-5, BR-7"/>
    <s v="62-304.520 (10), F.A.C."/>
    <n v="0.59"/>
    <n v="0.64"/>
    <s v="City of Cocoa Beach"/>
    <n v="1.5442104430710001E-2"/>
    <n v="3783.36519923996"/>
    <n v="11.5724286033452"/>
    <n v="1.57258398950117"/>
    <n v="0.17870265100988"/>
    <n v="2.4284006191950001E-2"/>
    <n v="58.423120506207603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17870265100988"/>
    <n v="2.4284006191950001E-2"/>
    <n v="117.75590579374899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42.302641873036201"/>
    <n v="62.491979490824299"/>
    <n v="9.5503573199999997E-2"/>
  </r>
  <r>
    <n v="830000"/>
    <n v="2400000"/>
    <n v="2400000"/>
    <x v="0"/>
    <x v="0"/>
    <s v="BR3-5, BR-7"/>
    <s v="62-304.520 (10), F.A.C."/>
    <n v="0.59"/>
    <n v="0.64"/>
    <s v="City of Cocoa Beach"/>
    <n v="5.3099023783000001E-4"/>
    <n v="3780.3077063793198"/>
    <n v="11.388033766841"/>
    <n v="1.70170075410444"/>
    <n v="6.04693475832E-3"/>
    <n v="9.0358648814000005E-4"/>
    <n v="2.0073064880998399"/>
    <n v="1300"/>
    <s v="Residential, High Density"/>
    <n v="1300"/>
    <s v="City of Cocoa Beach           Brevard County"/>
    <s v="City of Cocoa Beach"/>
    <m/>
    <m/>
    <m/>
    <n v="0"/>
    <n v="1"/>
    <n v="6.04693475832E-3"/>
    <n v="9.0358648814000005E-4"/>
    <n v="5.3834722577977097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3.522001934712801"/>
    <n v="2.14884125421404"/>
    <n v="4.3661574999999996E-3"/>
  </r>
  <r>
    <n v="830000"/>
    <n v="2400000"/>
    <n v="2400000"/>
    <x v="0"/>
    <x v="0"/>
    <s v="BR3-5, BR-7"/>
    <s v="62-304.520 (10), F.A.C."/>
    <n v="0.59"/>
    <n v="0.64"/>
    <s v="City of Cocoa Beach"/>
    <n v="6.6950117837740006E-2"/>
    <n v="3780.3077063793198"/>
    <n v="11.388033766841"/>
    <n v="1.70170075410444"/>
    <n v="0.76243020263022998"/>
    <n v="0.11392906601187"/>
    <n v="253.09204640503501"/>
    <n v="1400"/>
    <s v="Commercial and Services"/>
    <n v="1400"/>
    <s v="City of Cocoa Beach           Brevard County"/>
    <s v="City of Cocoa Beach"/>
    <m/>
    <m/>
    <m/>
    <n v="0"/>
    <n v="1"/>
    <n v="0.76243020263022998"/>
    <n v="0.11392906601187"/>
    <n v="1156.7060408842699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03.331270176469"/>
    <n v="270.937514352118"/>
    <n v="0.93812330970000002"/>
  </r>
  <r>
    <n v="830000"/>
    <n v="2400000"/>
    <n v="2400000"/>
    <x v="0"/>
    <x v="0"/>
    <s v="BR3-5, BR-7"/>
    <s v="62-304.520 (10), F.A.C."/>
    <n v="0.59"/>
    <n v="0.64"/>
    <s v="City of Cocoa Beach"/>
    <n v="8.6423837453000003E-4"/>
    <n v="3780.3077063793198"/>
    <n v="11.388033766841"/>
    <n v="1.70170075410444"/>
    <n v="9.8419757918499998E-3"/>
    <n v="1.47067509367E-3"/>
    <n v="3.26708698741852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9.8419757918499998E-3"/>
    <n v="1.47067509367E-3"/>
    <n v="3.2670869874192801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28.007266879434699"/>
    <n v="3.4974486164885001"/>
    <n v="2.6497055999999998E-3"/>
  </r>
  <r>
    <n v="830000"/>
    <n v="2400000"/>
    <n v="2400000"/>
    <x v="0"/>
    <x v="0"/>
    <s v="BR3-5, BR-7"/>
    <s v="62-304.520 (10), F.A.C."/>
    <n v="0.59"/>
    <n v="0.64"/>
    <s v="City of Cocoa Beach"/>
    <n v="2.1566463779790001E-2"/>
    <n v="3780.3077063793198"/>
    <n v="11.388033766841"/>
    <n v="1.70170075410444"/>
    <n v="0.24559961775562"/>
    <n v="3.6699667677429999E-2"/>
    <n v="81.527869226098304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24559961775562"/>
    <n v="3.6699667677429999E-2"/>
    <n v="472.62770810812498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68.321743280346794"/>
    <n v="87.276382455709907"/>
    <n v="0.38331525389999999"/>
  </r>
  <r>
    <n v="830000"/>
    <n v="2400000"/>
    <n v="2400000"/>
    <x v="0"/>
    <x v="0"/>
    <s v="BR3-5, BR-7"/>
    <s v="62-304.520 (10), F.A.C."/>
    <n v="0.59"/>
    <n v="0.64"/>
    <s v="City of Cocoa Beach"/>
    <n v="1.0888628770590001E-2"/>
    <n v="3744.7715662652699"/>
    <n v="10.3813278866524"/>
    <n v="1.8828424508758399"/>
    <n v="0.11303842550356"/>
    <n v="2.0501572481099999E-2"/>
    <n v="40.7754274157345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1303842550356"/>
    <n v="2.0501572481099999E-2"/>
    <n v="496.57605229235497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28.716431437050701"/>
    <n v="44.064717271402799"/>
    <n v="0.40273807969999997"/>
  </r>
  <r>
    <n v="830000"/>
    <n v="2400000"/>
    <n v="2400000"/>
    <x v="0"/>
    <x v="0"/>
    <s v="BR3-5, BR-7"/>
    <s v="62-304.520 (10), F.A.C."/>
    <n v="0.59"/>
    <n v="0.64"/>
    <s v="City of Cocoa Beach"/>
    <n v="9.2436603250000001E-4"/>
    <n v="3744.7715662652699"/>
    <n v="10.3813278866524"/>
    <n v="1.8828424508758399"/>
    <n v="9.5961468707600004E-3"/>
    <n v="1.74043560615E-3"/>
    <n v="3.4615396353611398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9.5961468707600004E-3"/>
    <n v="1.74043560615E-3"/>
    <n v="7.5399250793980901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5.0803350207301"/>
    <n v="3.7407766153067699"/>
    <n v="6.1151054999999998E-3"/>
  </r>
  <r>
    <n v="830000"/>
    <n v="2400000"/>
    <n v="2400000"/>
    <x v="0"/>
    <x v="0"/>
    <s v="BR3-5, BR-7"/>
    <s v="62-304.520 (10), F.A.C."/>
    <n v="0.59"/>
    <n v="0.64"/>
    <s v="City of Cocoa Beach"/>
    <n v="4.3161092390699998E-2"/>
    <n v="3743.6346793863399"/>
    <n v="10.3764922041841"/>
    <n v="1.87689973049961"/>
    <n v="0.44786073871616999"/>
    <n v="8.1009042676169998E-2"/>
    <n v="161.579362274022"/>
    <n v="1300"/>
    <s v="Residential, High Density"/>
    <n v="1300"/>
    <s v="City of Cocoa Beach           Brevard County"/>
    <s v="City of Cocoa Beach"/>
    <m/>
    <m/>
    <m/>
    <n v="0"/>
    <n v="1"/>
    <n v="0.44786073871616999"/>
    <n v="8.1009042676169998E-2"/>
    <n v="538.47528320493802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65.568027804721297"/>
    <n v="174.666743939106"/>
    <n v="0.43671961329999998"/>
  </r>
  <r>
    <n v="830000"/>
    <n v="2400000"/>
    <n v="2400000"/>
    <x v="0"/>
    <x v="0"/>
    <s v="BR3-5, BR-7"/>
    <s v="62-304.520 (10), F.A.C."/>
    <n v="0.59"/>
    <n v="0.64"/>
    <s v="City of Cocoa Beach"/>
    <n v="8.3384683296789996E-2"/>
    <n v="3743.6346793863399"/>
    <n v="10.3764922041841"/>
    <n v="1.87689973049961"/>
    <n v="0.86524051617749997"/>
    <n v="0.15650468960753999"/>
    <n v="312.161792119509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86524051617749997"/>
    <n v="0.15650468960753999"/>
    <n v="321.28840210092397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92.460033678655194"/>
    <n v="337.44584112940299"/>
    <n v="0.26057453539999997"/>
  </r>
  <r>
    <n v="830000"/>
    <n v="2400000"/>
    <n v="2400000"/>
    <x v="0"/>
    <x v="0"/>
    <s v="BR3-5, BR-7"/>
    <s v="62-304.520 (10), F.A.C."/>
    <n v="0.59"/>
    <n v="0.64"/>
    <s v="City of Cocoa Beach"/>
    <n v="0.16941488866014001"/>
    <n v="3743.6346793863399"/>
    <n v="10.3764922041841"/>
    <n v="1.87689973049961"/>
    <n v="1.7579322714547101"/>
    <n v="0.31797475886884002"/>
    <n v="634.227452392495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7579322714547101"/>
    <n v="0.31797475886884002"/>
    <n v="644.52563881429103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11.362167495056"/>
    <n v="685.59773022448906"/>
    <n v="0.52272963409999995"/>
  </r>
  <r>
    <n v="830000"/>
    <n v="2400000"/>
    <n v="2400000"/>
    <x v="0"/>
    <x v="0"/>
    <s v="BR3-5, BR-7"/>
    <s v="62-304.520 (10), F.A.C."/>
    <n v="0.59"/>
    <n v="0.64"/>
    <s v="City of Cocoa Beach"/>
    <n v="2.9076805235200001E-3"/>
    <n v="3743.6346793863399"/>
    <n v="10.3764922041841"/>
    <n v="1.87689973049961"/>
    <n v="3.0171524284589999E-2"/>
    <n v="5.4574247909700002E-3"/>
    <n v="10.885293644436899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3.0171524284589999E-2"/>
    <n v="5.4574247909700002E-3"/>
    <n v="14.027062531161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63.363221068170198"/>
    <n v="11.7669656009076"/>
    <n v="1.1376368600000001E-2"/>
  </r>
  <r>
    <n v="830000"/>
    <n v="2400000"/>
    <n v="2400000"/>
    <x v="0"/>
    <x v="0"/>
    <s v="BR3-5, BR-7"/>
    <s v="62-304.520 (10), F.A.C."/>
    <n v="0.59"/>
    <n v="0.64"/>
    <s v="City of Cocoa Beach"/>
    <n v="8.2254349064490001E-2"/>
    <n v="3743.6346793863399"/>
    <n v="10.3764922041841"/>
    <n v="1.87689973049961"/>
    <n v="0.85351161182795998"/>
    <n v="0.15438316559157"/>
    <n v="307.93023368818899"/>
    <n v="1210"/>
    <s v="Fixed Single Family Units"/>
    <n v="1210"/>
    <s v="City of Cocoa Beach           Brevard County"/>
    <s v="City of Cocoa Beach"/>
    <m/>
    <m/>
    <m/>
    <n v="0"/>
    <n v="1"/>
    <n v="0.85351161182795998"/>
    <n v="0.15438316559157"/>
    <n v="644.52386496633301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81.131863365727597"/>
    <n v="332.87154078198"/>
    <n v="0.52272819540000004"/>
  </r>
  <r>
    <n v="830000"/>
    <n v="2400000"/>
    <n v="2400000"/>
    <x v="0"/>
    <x v="0"/>
    <s v="BR3-5, BR-7"/>
    <s v="62-304.520 (10), F.A.C."/>
    <n v="0.59"/>
    <n v="0.64"/>
    <s v="City of Cocoa Beach"/>
    <n v="1.019146820149E-2"/>
    <n v="3743.6346793863399"/>
    <n v="10.3764922041841"/>
    <n v="1.87689973049961"/>
    <n v="0.10575169034203"/>
    <n v="1.912836392078E-2"/>
    <n v="38.1531337929910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0575169034203"/>
    <n v="1.912836392078E-2"/>
    <n v="148.098548223704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29.658404903247099"/>
    <n v="41.243408544916399"/>
    <n v="0.12011236679999999"/>
  </r>
  <r>
    <n v="830000"/>
    <n v="2400000"/>
    <n v="2400000"/>
    <x v="0"/>
    <x v="0"/>
    <s v="BR3-5, BR-7"/>
    <s v="62-304.520 (10), F.A.C."/>
    <n v="0.59"/>
    <n v="0.64"/>
    <s v="City of Cocoa Beach"/>
    <n v="4.6529326946000003E-4"/>
    <n v="3743.6346793863399"/>
    <n v="10.3764922041841"/>
    <n v="1.87689973049961"/>
    <n v="4.8281119832099999E-3"/>
    <n v="8.7330881204999999E-4"/>
    <n v="1.74188801963551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4.8281119832099999E-3"/>
    <n v="8.7330881204999999E-4"/>
    <n v="1.7418880196339399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8.5591233693241104"/>
    <n v="1.88297505581199"/>
    <n v="1.4127235E-3"/>
  </r>
  <r>
    <n v="830000"/>
    <n v="2400000"/>
    <n v="2400000"/>
    <x v="0"/>
    <x v="0"/>
    <s v="BR3-5, BR-7"/>
    <s v="62-304.520 (10), F.A.C."/>
    <n v="0.59"/>
    <n v="0.64"/>
    <s v="City of Cocoa Beach"/>
    <n v="0.10338910276111"/>
    <n v="3758.7978174879399"/>
    <n v="10.8116511543748"/>
    <n v="2.08286498315463"/>
    <n v="1.11780691221702"/>
    <n v="0.21534554178091"/>
    <n v="388.61873381053101"/>
    <n v="1300"/>
    <s v="Residential, High Density"/>
    <n v="1300"/>
    <s v="City of Cocoa Beach           Brevard County"/>
    <s v="City of Cocoa Beach"/>
    <m/>
    <m/>
    <m/>
    <n v="0"/>
    <n v="1"/>
    <n v="1.11780691221702"/>
    <n v="0.21534554178091"/>
    <n v="1122.1382727518401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33.928359428607"/>
    <n v="418.40085451501"/>
    <n v="0.91008781250000004"/>
  </r>
  <r>
    <n v="830000"/>
    <n v="2400000"/>
    <n v="2400000"/>
    <x v="0"/>
    <x v="0"/>
    <s v="BR3-5, BR-7"/>
    <s v="62-304.520 (10), F.A.C."/>
    <n v="0.59"/>
    <n v="0.64"/>
    <s v="City of Cocoa Beach"/>
    <n v="0.13239527820290001"/>
    <n v="3758.7978174879399"/>
    <n v="10.8116511543748"/>
    <n v="2.08286498315463"/>
    <n v="1.43141156241622"/>
    <n v="0.27576148890384"/>
    <n v="497.64708275479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43141156241622"/>
    <n v="0.27576148890384"/>
    <n v="497.647082754792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03.95660893588401"/>
    <n v="535.78468189086504"/>
    <n v="0.4036067176"/>
  </r>
  <r>
    <n v="830000"/>
    <n v="2400000"/>
    <n v="2400000"/>
    <x v="0"/>
    <x v="0"/>
    <s v="BR3-5, BR-7"/>
    <s v="62-304.520 (10), F.A.C."/>
    <n v="0.59"/>
    <n v="0.64"/>
    <s v="City of Cocoa Beach"/>
    <n v="2.9002873080000001E-4"/>
    <n v="3784.4654566990198"/>
    <n v="11.6261749784241"/>
    <n v="1.53551533700762"/>
    <n v="3.3719247731499999E-3"/>
    <n v="4.4534356433E-4"/>
    <n v="1.09760371319692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3.3719247731499999E-3"/>
    <n v="4.4534356433E-4"/>
    <n v="1.97724359796225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8.706955168943999"/>
    <n v="1.1737046319564599"/>
    <n v="1.6036039E-3"/>
  </r>
  <r>
    <n v="830000"/>
    <n v="2400000"/>
    <n v="2400000"/>
    <x v="0"/>
    <x v="0"/>
    <s v="BR3-5, BR-7"/>
    <s v="62-304.520 (10), F.A.C."/>
    <n v="0.59"/>
    <n v="0.64"/>
    <s v="City of Cocoa Beach"/>
    <n v="2.3169267963999999E-4"/>
    <n v="3784.4654566990198"/>
    <n v="11.6261749784241"/>
    <n v="1.53551533700762"/>
    <n v="2.69369963479E-3"/>
    <n v="3.5576766307E-4"/>
    <n v="0.87683294269409995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2.69369963479E-3"/>
    <n v="3.5576766307E-4"/>
    <n v="1775.58071648999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3.8483921268357"/>
    <n v="0.93762700865172999"/>
    <n v="1.4400492429"/>
  </r>
  <r>
    <n v="830000"/>
    <n v="2400000"/>
    <n v="2400000"/>
    <x v="0"/>
    <x v="0"/>
    <s v="BR3-5, BR-7"/>
    <s v="62-304.520 (10), F.A.C."/>
    <n v="0.59"/>
    <n v="0.64"/>
    <s v="City of Cocoa Beach"/>
    <n v="9.0490569441339999E-2"/>
    <n v="3757.7984406204"/>
    <n v="10.809663473736499"/>
    <n v="2.08190319762081"/>
    <n v="0.97817260320766997"/>
    <n v="0.18839260587445"/>
    <n v="340.04532073752"/>
    <n v="1300"/>
    <s v="Residential, High Density"/>
    <n v="1300"/>
    <s v="City of Cocoa Beach           Brevard County"/>
    <s v="City of Cocoa Beach"/>
    <m/>
    <m/>
    <m/>
    <n v="0"/>
    <n v="1"/>
    <n v="0.97817260320766997"/>
    <n v="0.18839260587445"/>
    <n v="556.26727127028198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14.65170876590599"/>
    <n v="366.20234211031902"/>
    <n v="0.45114944950000002"/>
  </r>
  <r>
    <n v="830000"/>
    <n v="2400000"/>
    <n v="2400000"/>
    <x v="0"/>
    <x v="0"/>
    <s v="BR3-5, BR-7"/>
    <s v="62-304.520 (10), F.A.C."/>
    <n v="0.59"/>
    <n v="0.64"/>
    <s v="City of Cocoa Beach"/>
    <n v="0.21034929502898"/>
    <n v="3757.7984406204"/>
    <n v="10.809663473736499"/>
    <n v="2.08190319762081"/>
    <n v="2.2738050912010102"/>
    <n v="0.43792686993812002"/>
    <n v="790.450252845510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2738050912010102"/>
    <n v="0.43792686993812002"/>
    <n v="791.74695590343401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20.75080289456"/>
    <n v="851.25339553534604"/>
    <n v="0.64213054010000004"/>
  </r>
  <r>
    <n v="830000"/>
    <n v="2400000"/>
    <n v="2400000"/>
    <x v="0"/>
    <x v="0"/>
    <s v="BR3-5, BR-7"/>
    <s v="62-304.520 (10), F.A.C."/>
    <n v="0.59"/>
    <n v="0.64"/>
    <s v="City of Cocoa Beach"/>
    <n v="0.25602390510584"/>
    <n v="3757.7984406204"/>
    <n v="10.809663473736499"/>
    <n v="2.08190319762081"/>
    <n v="2.767532255426"/>
    <n v="0.53301698670721998"/>
    <n v="962.086231368279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767532255426"/>
    <n v="0.53301698670721998"/>
    <n v="971.41588778201901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129.93448985417999"/>
    <n v="1036.0919846654999"/>
    <n v="0.78784743530000001"/>
  </r>
  <r>
    <n v="830000"/>
    <n v="2400000"/>
    <n v="2400000"/>
    <x v="0"/>
    <x v="0"/>
    <s v="BR3-5, BR-7"/>
    <s v="62-304.520 (10), F.A.C."/>
    <n v="0.59"/>
    <n v="0.64"/>
    <s v="City of Cocoa Beach"/>
    <n v="1.142354153E-5"/>
    <n v="3757.7984406204"/>
    <n v="10.809663473736499"/>
    <n v="2.08190319762081"/>
    <n v="1.2348463962999999E-4"/>
    <n v="2.378270764E-5"/>
    <n v="4.2927366555310001E-2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1.2348463962999999E-4"/>
    <n v="2.378270764E-5"/>
    <n v="2.0004276503874201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5.7592894264929004"/>
    <n v="4.622943241435E-2"/>
    <n v="1.6224068999999999E-3"/>
  </r>
  <r>
    <n v="830000"/>
    <n v="2400000"/>
    <n v="2400000"/>
    <x v="0"/>
    <x v="0"/>
    <s v="BR3-5, BR-7"/>
    <s v="62-304.520 (10), F.A.C."/>
    <n v="0.59"/>
    <n v="0.64"/>
    <s v="City of Cocoa Beach"/>
    <n v="3.5652389706369997E-2"/>
    <n v="3810.21840853092"/>
    <n v="10.4953372742829"/>
    <n v="1.6621914091080801"/>
    <n v="0.37418385460255998"/>
    <n v="5.9261095884100001E-2"/>
    <n v="135.84339156734401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37418385460255998"/>
    <n v="5.9261095884100001E-2"/>
    <n v="527.94494227259997"/>
    <m/>
    <n v="-1"/>
    <n v="-1"/>
    <n v="-1"/>
    <n v="-1"/>
    <n v="0"/>
    <m/>
    <m/>
    <s v="Banana River B"/>
    <n v="-1"/>
    <m/>
    <m/>
    <n v="367"/>
    <x v="3"/>
    <s v="125 Cedar Av Exfiltration"/>
    <x v="0"/>
    <n v="1.401357"/>
    <n v="57.937758900986204"/>
    <n v="144.28010225714701"/>
    <n v="0.4281791908"/>
  </r>
  <r>
    <n v="840000"/>
    <n v="2400000"/>
    <n v="2400000"/>
    <x v="0"/>
    <x v="0"/>
    <s v="BR3-5, BR-7"/>
    <s v="62-304.520 (10), F.A.C."/>
    <n v="0.59"/>
    <n v="0.64"/>
    <s v="City of Cocoa Beach"/>
    <n v="7.59218242267E-3"/>
    <n v="3738.3085289572"/>
    <n v="11.492024991659701"/>
    <n v="1.51717715032534"/>
    <n v="8.7249550142649998E-2"/>
    <n v="1.1518685692780001E-2"/>
    <n v="28.381920304096099"/>
    <n v="1400"/>
    <s v="Commercial and Services"/>
    <n v="1400"/>
    <s v="City of Cocoa Beach           Brevard County"/>
    <s v="City of Cocoa Beach"/>
    <m/>
    <m/>
    <m/>
    <n v="0"/>
    <n v="1"/>
    <n v="8.7249550142649998E-2"/>
    <n v="1.1518685692780001E-2"/>
    <n v="560.75566525094098"/>
    <m/>
    <n v="-1"/>
    <n v="-1"/>
    <n v="-1"/>
    <n v="-1"/>
    <n v="0"/>
    <m/>
    <m/>
    <s v="Banana River B"/>
    <n v="-1"/>
    <m/>
    <m/>
    <n v="368"/>
    <x v="4"/>
    <s v="Meade Bioretention Swale"/>
    <x v="0"/>
    <n v="1.935303"/>
    <n v="70.685718570298306"/>
    <n v="30.7244721972476"/>
    <n v="0.45478967170000001"/>
  </r>
  <r>
    <n v="830000"/>
    <n v="2400000"/>
    <n v="2400000"/>
    <x v="0"/>
    <x v="0"/>
    <s v="BR3-5, BR-7"/>
    <s v="62-304.520 (10), F.A.C."/>
    <n v="0.59"/>
    <n v="0.64"/>
    <s v="City of Cocoa Beach"/>
    <n v="5.8811397573309998E-2"/>
    <n v="3664.1173322510799"/>
    <n v="9.1385963506011301"/>
    <n v="1.3442133881684499"/>
    <n v="0.53745362323724"/>
    <n v="7.9055067994939998E-2"/>
    <n v="215.49186118229201"/>
    <n v="1200"/>
    <s v="Residential, Medium Density-Two-five dwellingunits per acre"/>
    <n v="1200"/>
    <s v="City of Cocoa Beach           Brevard County"/>
    <s v="City of Cocoa Beach"/>
    <m/>
    <m/>
    <m/>
    <n v="0"/>
    <n v="1"/>
    <n v="0.53745362323724"/>
    <n v="7.9055067994939998E-2"/>
    <n v="690.93287636235902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74.703424353825795"/>
    <n v="238.00128197988801"/>
    <n v="0.56036729630000004"/>
  </r>
  <r>
    <n v="830000"/>
    <n v="2400000"/>
    <n v="2400000"/>
    <x v="0"/>
    <x v="0"/>
    <s v="BR3-5, BR-7"/>
    <s v="62-304.520 (10), F.A.C."/>
    <n v="0.59"/>
    <n v="0.64"/>
    <s v="City of Cocoa Beach"/>
    <n v="8.2336020806200005E-2"/>
    <n v="3664.1173322510799"/>
    <n v="9.1385963506011301"/>
    <n v="1.3442133881684499"/>
    <n v="0.75243565926254996"/>
    <n v="0.11067718149621"/>
    <n v="301.688840904583"/>
    <n v="1210"/>
    <s v="Fixed Single Family Units"/>
    <n v="1210"/>
    <s v="City of Cocoa Beach           Brevard County"/>
    <s v="City of Cocoa Beach"/>
    <m/>
    <m/>
    <m/>
    <n v="0"/>
    <n v="1"/>
    <n v="0.75243565926254996"/>
    <n v="0.11067718149621"/>
    <n v="594.13248343482701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74.519605555859698"/>
    <n v="333.20205459443002"/>
    <n v="0.48185927290000002"/>
  </r>
  <r>
    <n v="830000"/>
    <n v="2400000"/>
    <n v="2400000"/>
    <x v="0"/>
    <x v="0"/>
    <s v="BR3-5, BR-7"/>
    <s v="62-304.520 (10), F.A.C."/>
    <n v="0.59"/>
    <n v="0.64"/>
    <s v="City of Cocoa Beach"/>
    <n v="1.311010034071E-2"/>
    <n v="3664.1173322510799"/>
    <n v="9.1385963506011301"/>
    <n v="1.3442133881684499"/>
    <n v="0.11980791512966001"/>
    <n v="1.762277239822E-2"/>
    <n v="48.036945885961003"/>
    <n v="1210"/>
    <s v="Fixed Single Family Units"/>
    <n v="1210"/>
    <s v="City of Cocoa Beach           Brevard County"/>
    <s v="City of Cocoa Beach"/>
    <m/>
    <m/>
    <m/>
    <n v="0"/>
    <n v="1"/>
    <n v="0.11980791512966001"/>
    <n v="1.762277239822E-2"/>
    <n v="665.88291559321704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37.971732045031501"/>
    <n v="53.054693762127002"/>
    <n v="0.54005102640000002"/>
  </r>
  <r>
    <n v="830000"/>
    <n v="2400000"/>
    <n v="2400000"/>
    <x v="0"/>
    <x v="0"/>
    <s v="BR3-5, BR-7"/>
    <s v="62-304.520 (10), F.A.C."/>
    <n v="0.59"/>
    <n v="0.64"/>
    <s v="City of Cocoa Beach"/>
    <n v="1.6845075596409999E-2"/>
    <n v="3664.1173325240802"/>
    <n v="9.1385963512820094"/>
    <n v="1.3442133882686"/>
    <n v="0.15394034638250001"/>
    <n v="2.26433761431E-2"/>
    <n v="61.722333460517298"/>
    <n v="1200"/>
    <s v="Residential, Medium Density-Two-five dwellingunits per acre"/>
    <n v="1200"/>
    <s v="City of Cocoa Beach           Brevard County"/>
    <s v="City of Cocoa Beach"/>
    <m/>
    <m/>
    <m/>
    <n v="0"/>
    <n v="1"/>
    <n v="0.15394034638250001"/>
    <n v="2.26433761431E-2"/>
    <n v="643.08392571164495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33.090313281258901"/>
    <n v="68.169602363181596"/>
    <n v="0.52156036149999996"/>
  </r>
  <r>
    <n v="830000"/>
    <n v="2400000"/>
    <n v="2400000"/>
    <x v="0"/>
    <x v="0"/>
    <s v="BR3-5, BR-7"/>
    <s v="62-304.520 (10), F.A.C."/>
    <n v="0.59"/>
    <n v="0.64"/>
    <s v="City of Cocoa Beach"/>
    <n v="1.9933976181459999E-2"/>
    <n v="3664.1173325240802"/>
    <n v="9.1385963512820094"/>
    <n v="1.3442133882686"/>
    <n v="0.18216856199848"/>
    <n v="2.679551766455E-2"/>
    <n v="73.040427632631804"/>
    <n v="1210"/>
    <s v="Fixed Single Family Units"/>
    <n v="1210"/>
    <s v="City of Cocoa Beach           Brevard County"/>
    <s v="City of Cocoa Beach"/>
    <m/>
    <m/>
    <m/>
    <n v="0"/>
    <n v="1"/>
    <n v="0.18216856199848"/>
    <n v="2.679551766455E-2"/>
    <n v="807.26936508725203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40.024483229200598"/>
    <n v="80.669939533933004"/>
    <n v="0.6547196797"/>
  </r>
  <r>
    <n v="830000"/>
    <n v="2400000"/>
    <n v="2400000"/>
    <x v="0"/>
    <x v="0"/>
    <s v="BR3-5, BR-7"/>
    <s v="62-304.520 (10), F.A.C."/>
    <n v="0.59"/>
    <n v="0.64"/>
    <s v="City of Cocoa Beach"/>
    <n v="1.3495844001870001E-2"/>
    <n v="3664.1173325240802"/>
    <n v="9.1385963512820094"/>
    <n v="1.3442133882686"/>
    <n v="0.12333307075296999"/>
    <n v="1.81412941933E-2"/>
    <n v="49.450355924296701"/>
    <n v="1210"/>
    <s v="Fixed Single Family Units"/>
    <n v="1210"/>
    <s v="City of Cocoa Beach           Brevard County"/>
    <s v="City of Cocoa Beach"/>
    <m/>
    <m/>
    <m/>
    <n v="0"/>
    <n v="1"/>
    <n v="0.12333307075296999"/>
    <n v="1.81412941933E-2"/>
    <n v="142.44422725739301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36.599895081385597"/>
    <n v="54.615742974678703"/>
    <n v="0.11552654280000001"/>
  </r>
  <r>
    <n v="840000"/>
    <n v="2400000"/>
    <n v="2400000"/>
    <x v="0"/>
    <x v="0"/>
    <s v="BR3-5, BR-7"/>
    <s v="62-304.520 (10), F.A.C."/>
    <n v="0.59"/>
    <n v="0.64"/>
    <s v="City of Cocoa Beach"/>
    <n v="3.4539459187599999E-3"/>
    <n v="3666.8022040303799"/>
    <n v="9.1449516373431603"/>
    <n v="1.3451366194457399"/>
    <n v="3.1586168385120003E-2"/>
    <n v="4.6460291369100001E-3"/>
    <n v="12.664936507536501"/>
    <n v="1200"/>
    <s v="Residential, Medium Density-Two-five dwellingunits per acre"/>
    <n v="1200"/>
    <s v="City of Cocoa Beach           Brevard County"/>
    <s v="City of Cocoa Beach"/>
    <m/>
    <m/>
    <m/>
    <n v="0"/>
    <n v="1"/>
    <n v="3.1586168385120003E-2"/>
    <n v="4.6460291369100001E-3"/>
    <n v="295.01343158544898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33.462285940222998"/>
    <n v="13.9776232239852"/>
    <n v="0.23926474580000001"/>
  </r>
  <r>
    <n v="840000"/>
    <n v="2400000"/>
    <n v="2400000"/>
    <x v="0"/>
    <x v="0"/>
    <s v="BR3-5, BR-7"/>
    <s v="62-304.520 (10), F.A.C."/>
    <n v="0.59"/>
    <n v="0.64"/>
    <s v="City of Cocoa Beach"/>
    <n v="9.2888995204869998E-2"/>
    <n v="3664.1173325240802"/>
    <n v="9.1385963512820201"/>
    <n v="1.3442133882686"/>
    <n v="0.84887503265356001"/>
    <n v="0.12486263097721"/>
    <n v="340.35617733094301"/>
    <n v="1200"/>
    <s v="Residential, Medium Density-Two-five dwellingunits per acre"/>
    <n v="1200"/>
    <s v="City of Cocoa Beach           Brevard County"/>
    <s v="City of Cocoa Beach"/>
    <m/>
    <m/>
    <m/>
    <n v="0"/>
    <n v="1"/>
    <n v="0.84887503265356001"/>
    <n v="0.12486263097721"/>
    <n v="399.68584847866401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114.37960549552299"/>
    <n v="375.908426815148"/>
    <n v="0.32415721689999999"/>
  </r>
  <r>
    <n v="840000"/>
    <n v="2400000"/>
    <n v="2400000"/>
    <x v="0"/>
    <x v="0"/>
    <s v="BR3-5, BR-7"/>
    <s v="62-304.520 (10), F.A.C."/>
    <n v="0.59"/>
    <n v="0.64"/>
    <s v="City of Cocoa Beach"/>
    <n v="6.0490922584600003E-2"/>
    <n v="3664.1173325240802"/>
    <n v="9.1385963512820201"/>
    <n v="1.3442133882686"/>
    <n v="0.55280212441734"/>
    <n v="8.1312708006940002E-2"/>
    <n v="221.64583790262"/>
    <n v="1210"/>
    <s v="Fixed Single Family Units"/>
    <n v="1210"/>
    <s v="City of Cocoa Beach           Brevard County"/>
    <s v="City of Cocoa Beach"/>
    <m/>
    <m/>
    <m/>
    <n v="0"/>
    <n v="1"/>
    <n v="0.55280212441734"/>
    <n v="8.1312708006940002E-2"/>
    <n v="598.77546409358399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63.315458347108901"/>
    <n v="244.79807855840599"/>
    <n v="0.4856248695"/>
  </r>
  <r>
    <n v="840000"/>
    <n v="2400000"/>
    <n v="2400000"/>
    <x v="0"/>
    <x v="0"/>
    <s v="BR3-5, BR-7"/>
    <s v="62-304.520 (10), F.A.C."/>
    <n v="0.59"/>
    <n v="0.64"/>
    <s v="City of Cocoa Beach"/>
    <n v="9.2691749198390003E-2"/>
    <n v="3664.1173325240802"/>
    <n v="9.1385963512820201"/>
    <n v="1.3442133882686"/>
    <n v="0.84707248101840005"/>
    <n v="0.12459749025451"/>
    <n v="339.63344481981397"/>
    <n v="1210"/>
    <s v="Fixed Single Family Units"/>
    <n v="1210"/>
    <s v="City of Cocoa Beach           Brevard County"/>
    <s v="City of Cocoa Beach"/>
    <m/>
    <m/>
    <m/>
    <n v="0"/>
    <n v="1"/>
    <n v="0.84707248101840005"/>
    <n v="0.12459749025451"/>
    <n v="858.05478562260305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80.7331828076682"/>
    <n v="375.11020054701299"/>
    <n v="0.69590817969999996"/>
  </r>
  <r>
    <n v="840000"/>
    <n v="2400000"/>
    <n v="2400000"/>
    <x v="0"/>
    <x v="0"/>
    <s v="BR3-5, BR-7"/>
    <s v="62-304.520 (10), F.A.C."/>
    <n v="0.59"/>
    <n v="0.64"/>
    <s v="City of Cocoa Beach"/>
    <n v="1.8886991878719998E-2"/>
    <n v="3664.1173325240802"/>
    <n v="9.1385963512820201"/>
    <n v="1.3442133882686"/>
    <n v="0.17260059506962999"/>
    <n v="2.5388147347500001E-2"/>
    <n v="69.204154302088796"/>
    <n v="1210"/>
    <s v="Fixed Single Family Units"/>
    <n v="1210"/>
    <s v="City of Cocoa Beach           Brevard County"/>
    <s v="City of Cocoa Beach"/>
    <m/>
    <m/>
    <m/>
    <n v="0"/>
    <n v="1"/>
    <n v="0.17260059506962999"/>
    <n v="2.5388147347500001E-2"/>
    <n v="213.66307521665499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39.965570937179599"/>
    <n v="76.432944384245701"/>
    <n v="0.17328716559999999"/>
  </r>
  <r>
    <n v="840000"/>
    <n v="2400000"/>
    <n v="2400000"/>
    <x v="0"/>
    <x v="0"/>
    <s v="BR3-5, BR-7"/>
    <s v="62-304.520 (10), F.A.C."/>
    <n v="0.59"/>
    <n v="0.64"/>
    <s v="City of Cocoa Beach"/>
    <n v="1.2941057864050001E-2"/>
    <n v="3689.62023253801"/>
    <n v="9.7954920720454393"/>
    <n v="1.6436795223587599"/>
    <n v="0.12676402971121001"/>
    <n v="2.1270951808799999E-2"/>
    <n v="47.747588925655101"/>
    <n v="1200"/>
    <s v="Residential, Medium Density-Two-five dwellingunits per acre"/>
    <n v="1200"/>
    <s v="City of Cocoa Beach           Brevard County"/>
    <s v="City of Cocoa Beach"/>
    <m/>
    <m/>
    <m/>
    <n v="0"/>
    <n v="1"/>
    <n v="0.12676402971121001"/>
    <n v="2.1270951808799999E-2"/>
    <n v="496.02607179839498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42.157056977649702"/>
    <n v="52.370603129794297"/>
    <n v="0.402292029"/>
  </r>
  <r>
    <n v="840000"/>
    <n v="2400000"/>
    <n v="2400000"/>
    <x v="0"/>
    <x v="0"/>
    <s v="BR3-5, BR-7"/>
    <s v="62-304.520 (10), F.A.C."/>
    <n v="0.59"/>
    <n v="0.64"/>
    <s v="City of Cocoa Beach"/>
    <n v="2.125098814247E-2"/>
    <n v="3689.62023253801"/>
    <n v="9.7954920720454393"/>
    <n v="1.6436795223587599"/>
    <n v="0.20816388587272999"/>
    <n v="3.492981403967E-2"/>
    <n v="78.408075811897405"/>
    <n v="1300"/>
    <s v="Residential, High Density"/>
    <n v="1300"/>
    <s v="City of Cocoa Beach           Brevard County"/>
    <s v="City of Cocoa Beach"/>
    <m/>
    <m/>
    <m/>
    <n v="0"/>
    <n v="1"/>
    <n v="0.20816388587272999"/>
    <n v="3.492981403967E-2"/>
    <n v="390.38516934199401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37.293472733276303"/>
    <n v="85.999697846715307"/>
    <n v="0.3166140871"/>
  </r>
  <r>
    <n v="840000"/>
    <n v="2400000"/>
    <n v="2400000"/>
    <x v="0"/>
    <x v="0"/>
    <s v="BR3-5, BR-7"/>
    <s v="62-304.520 (10), F.A.C."/>
    <n v="0.59"/>
    <n v="0.64"/>
    <s v="City of Cocoa Beach"/>
    <n v="2.312607436081E-2"/>
    <n v="3682.0525930429599"/>
    <n v="9.6478322220914201"/>
    <n v="1.57785830965503"/>
    <n v="0.22311648538876"/>
    <n v="3.648966859991E-2"/>
    <n v="85.151422067146896"/>
    <n v="1200"/>
    <s v="Residential, Medium Density-Two-five dwellingunits per acre"/>
    <n v="1200"/>
    <s v="City of Cocoa Beach           Brevard County"/>
    <s v="City of Cocoa Beach"/>
    <m/>
    <m/>
    <m/>
    <n v="0"/>
    <n v="1"/>
    <n v="0.22311648538876"/>
    <n v="3.648966859991E-2"/>
    <n v="480.983612954497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44.850180848407597"/>
    <n v="93.587902551969094"/>
    <n v="0.39009214349999999"/>
  </r>
  <r>
    <n v="840000"/>
    <n v="2400000"/>
    <n v="2400000"/>
    <x v="0"/>
    <x v="0"/>
    <s v="BR3-5, BR-7"/>
    <s v="62-304.520 (10), F.A.C."/>
    <n v="0.59"/>
    <n v="0.64"/>
    <s v="City of Cocoa Beach"/>
    <n v="1.35218264049E-2"/>
    <n v="3682.0525930429599"/>
    <n v="9.6478322220914201"/>
    <n v="1.57785830965503"/>
    <n v="0.13045631249072001"/>
    <n v="2.1335526154679998E-2"/>
    <n v="49.788075976838797"/>
    <n v="1300"/>
    <s v="Residential, High Density"/>
    <n v="1300"/>
    <s v="City of Cocoa Beach           Brevard County"/>
    <s v="City of Cocoa Beach"/>
    <m/>
    <m/>
    <m/>
    <n v="0"/>
    <n v="1"/>
    <n v="0.13045631249072001"/>
    <n v="2.1335526154679998E-2"/>
    <n v="392.01453304568702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29.845498949515498"/>
    <n v="54.720890029245901"/>
    <n v="0.3179355499"/>
  </r>
  <r>
    <n v="840000"/>
    <n v="2400000"/>
    <n v="2400000"/>
    <x v="0"/>
    <x v="0"/>
    <s v="BR3-5, BR-7"/>
    <s v="62-304.520 (10), F.A.C."/>
    <n v="0.59"/>
    <n v="0.64"/>
    <s v="City of Cocoa Beach"/>
    <n v="6.2589723337399998E-3"/>
    <n v="3682.0525930429599"/>
    <n v="9.6478322220914201"/>
    <n v="1.57785830965503"/>
    <n v="6.0385514958630003E-2"/>
    <n v="9.8757715066899992E-3"/>
    <n v="23.045865311231498"/>
    <n v="1210"/>
    <s v="Fixed Single Family Units"/>
    <n v="1210"/>
    <s v="City of Cocoa Beach           Brevard County"/>
    <s v="City of Cocoa Beach"/>
    <m/>
    <m/>
    <m/>
    <n v="0"/>
    <n v="1"/>
    <n v="6.0385514958630003E-2"/>
    <n v="9.8757715066899992E-3"/>
    <n v="260.54676970620301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22.740521306544199"/>
    <n v="25.329162386420101"/>
    <n v="0.21131124870000001"/>
  </r>
  <r>
    <n v="840000"/>
    <n v="2400000"/>
    <n v="2400000"/>
    <x v="0"/>
    <x v="0"/>
    <s v="BR3-5, BR-7"/>
    <s v="62-304.520 (10), F.A.C."/>
    <n v="0.59"/>
    <n v="0.64"/>
    <s v="City of Cocoa Beach"/>
    <n v="8.2443682049959999E-2"/>
    <n v="3664.1173325240802"/>
    <n v="9.1385963512820094"/>
    <n v="1.3442133882686"/>
    <n v="0.75341953196806999"/>
    <n v="0.11082190118972"/>
    <n v="302.08332435638499"/>
    <n v="1200"/>
    <s v="Residential, Medium Density-Two-five dwellingunits per acre"/>
    <n v="1200"/>
    <s v="City of Cocoa Beach           Brevard County"/>
    <s v="City of Cocoa Beach"/>
    <m/>
    <m/>
    <m/>
    <n v="0"/>
    <n v="1"/>
    <n v="0.75341953196806999"/>
    <n v="0.11082190118972"/>
    <n v="643.08392571164495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99.767578842082997"/>
    <n v="333.637744190207"/>
    <n v="0.52156036149999996"/>
  </r>
  <r>
    <n v="840000"/>
    <n v="2400000"/>
    <n v="2400000"/>
    <x v="0"/>
    <x v="0"/>
    <s v="BR3-5, BR-7"/>
    <s v="62-304.520 (10), F.A.C."/>
    <n v="0.59"/>
    <n v="0.64"/>
    <s v="City of Cocoa Beach"/>
    <n v="7.5394695790259994E-2"/>
    <n v="3664.1173325240802"/>
    <n v="9.1385963512820094"/>
    <n v="1.3442133882686"/>
    <n v="0.68900169185496996"/>
    <n v="0.10134655948571"/>
    <n v="276.25501162550501"/>
    <n v="1210"/>
    <s v="Fixed Single Family Units"/>
    <n v="1210"/>
    <s v="City of Cocoa Beach           Brevard County"/>
    <s v="City of Cocoa Beach"/>
    <m/>
    <m/>
    <m/>
    <n v="0"/>
    <n v="1"/>
    <n v="0.68900169185496996"/>
    <n v="0.10134655948571"/>
    <n v="642.70301012968798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70.968079190187495"/>
    <n v="305.11150887374299"/>
    <n v="0.52125142749999998"/>
  </r>
  <r>
    <n v="840000"/>
    <n v="2400000"/>
    <n v="2400000"/>
    <x v="0"/>
    <x v="0"/>
    <s v="BR3-5, BR-7"/>
    <s v="62-304.520 (10), F.A.C."/>
    <n v="0.59"/>
    <n v="0.64"/>
    <s v="City of Cocoa Beach"/>
    <n v="7.2806224279639994E-2"/>
    <n v="3664.1173325240802"/>
    <n v="9.1385963512820094"/>
    <n v="1.3442133882686"/>
    <n v="0.66534669555259995"/>
    <n v="9.7867101425979999E-2"/>
    <n v="266.77054829869002"/>
    <n v="1210"/>
    <s v="Fixed Single Family Units"/>
    <n v="1210"/>
    <s v="City of Cocoa Beach           Brevard County"/>
    <s v="City of Cocoa Beach"/>
    <m/>
    <m/>
    <m/>
    <n v="0"/>
    <n v="1"/>
    <n v="0.66534669555259995"/>
    <n v="9.7867101425979999E-2"/>
    <n v="807.26936508725203"/>
    <m/>
    <n v="-1"/>
    <n v="-1"/>
    <n v="-1"/>
    <n v="-1"/>
    <n v="0"/>
    <m/>
    <m/>
    <s v="Banana River B"/>
    <n v="-1"/>
    <m/>
    <m/>
    <n v="369"/>
    <x v="5"/>
    <s v="Osceola E Bioretention"/>
    <x v="0"/>
    <n v="1.1638539999999999"/>
    <n v="69.640715018243995"/>
    <n v="294.63633631678601"/>
    <n v="0.6547196797"/>
  </r>
  <r>
    <n v="830000"/>
    <n v="2400000"/>
    <n v="2400000"/>
    <x v="0"/>
    <x v="0"/>
    <s v="BR3-5, BR-7"/>
    <s v="62-304.520 (10), F.A.C."/>
    <n v="0.59"/>
    <n v="0.64"/>
    <s v="City of Cocoa Beach"/>
    <n v="8.7846202779999998E-6"/>
    <n v="3745.9434823829201"/>
    <n v="10.777530530554801"/>
    <n v="2.0766235887589701"/>
    <n v="9.4676513240000005E-5"/>
    <n v="1.8242349679999999E-5"/>
    <n v="3.2906691075580002E-2"/>
    <n v="1300"/>
    <s v="Residential, High Density"/>
    <n v="1300"/>
    <s v="City of Cocoa Beach           Brevard County"/>
    <s v="City of Cocoa Beach"/>
    <m/>
    <m/>
    <m/>
    <n v="0"/>
    <n v="1"/>
    <n v="9.4676513240000005E-5"/>
    <n v="1.8242349679999999E-5"/>
    <n v="219.46023591702101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10.957481319289901"/>
    <n v="3.5550096989909998E-2"/>
    <n v="0.1779888369"/>
  </r>
  <r>
    <n v="840000"/>
    <n v="2400000"/>
    <n v="2400000"/>
    <x v="0"/>
    <x v="0"/>
    <s v="BR3-5, BR-7"/>
    <s v="62-304.520 (10), F.A.C."/>
    <n v="0.59"/>
    <n v="0.64"/>
    <s v="City of Cocoa Beach"/>
    <n v="1.8426739464570002E-2"/>
    <n v="3745.9434823829201"/>
    <n v="10.777530530554801"/>
    <n v="2.0766235887589701"/>
    <n v="0.19859474715798001"/>
    <n v="3.8265401836039999E-2"/>
    <n v="69.0255245988741"/>
    <n v="1300"/>
    <s v="Residential, High Density"/>
    <n v="1300"/>
    <s v="City of Cocoa Beach           Brevard County"/>
    <s v="City of Cocoa Beach"/>
    <m/>
    <m/>
    <m/>
    <n v="0"/>
    <n v="1"/>
    <n v="0.19859474715798001"/>
    <n v="3.8265401836039999E-2"/>
    <n v="219.46023591702101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55.176256759449501"/>
    <n v="74.570368946087299"/>
    <n v="0.1779888369"/>
  </r>
  <r>
    <n v="840000"/>
    <n v="2400000"/>
    <n v="2400000"/>
    <x v="0"/>
    <x v="0"/>
    <s v="BR3-5, BR-7"/>
    <s v="62-304.520 (10), F.A.C."/>
    <n v="0.59"/>
    <n v="0.64"/>
    <s v="City of Cocoa Beach"/>
    <n v="3.0752429091260001E-2"/>
    <n v="3758.2429968760698"/>
    <n v="11.0465500871888"/>
    <n v="1.9024307402999601"/>
    <n v="0.33970824825939999"/>
    <n v="5.8504366442120002E-2"/>
    <n v="115.575101269182"/>
    <n v="1300"/>
    <s v="Residential, High Density"/>
    <n v="1300"/>
    <s v="City of Cocoa Beach           Brevard County"/>
    <s v="City of Cocoa Beach"/>
    <m/>
    <m/>
    <m/>
    <n v="0"/>
    <n v="1"/>
    <n v="0.33970824825939999"/>
    <n v="5.8504366442120002E-2"/>
    <n v="307.84057609007999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75.415044552947293"/>
    <n v="124.450665172393"/>
    <n v="0.24966794489999999"/>
  </r>
  <r>
    <n v="840000"/>
    <n v="2400000"/>
    <n v="2400000"/>
    <x v="0"/>
    <x v="0"/>
    <s v="BR3-5, BR-7"/>
    <s v="62-304.520 (10), F.A.C."/>
    <n v="0.59"/>
    <n v="0.64"/>
    <s v="FDOT District 5"/>
    <n v="7.0875876168299996E-3"/>
    <n v="3758.2429968760698"/>
    <n v="11.0465500871888"/>
    <n v="1.9024307402999601"/>
    <n v="7.8293391606649998E-2"/>
    <n v="1.3483644556819999E-2"/>
    <n v="26.6368765256968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7.8293391606649998E-2"/>
    <n v="1.3483644556819999E-2"/>
    <n v="388.37265188056801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22.764993355944501"/>
    <n v="28.682449466493001"/>
    <n v="0.31498187500000002"/>
  </r>
  <r>
    <n v="840000"/>
    <n v="2400000"/>
    <n v="2400000"/>
    <x v="0"/>
    <x v="0"/>
    <s v="BR3-5, BR-7"/>
    <s v="62-304.520 (10), F.A.C."/>
    <n v="0.59"/>
    <n v="0.64"/>
    <s v="FDOT District 5"/>
    <n v="9.7912597458100006E-3"/>
    <n v="3758.2429968760698"/>
    <n v="11.0465500871888"/>
    <n v="1.9024307402999601"/>
    <n v="0.10815964119880001"/>
    <n v="1.8627193526690001E-2"/>
    <n v="36.797933370296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0815964119880001"/>
    <n v="1.8627193526690001E-2"/>
    <n v="744.92422800204201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27.255431086845899"/>
    <n v="39.623822385728197"/>
    <n v="0.60415590269999997"/>
  </r>
  <r>
    <n v="840000"/>
    <n v="2400000"/>
    <n v="2400000"/>
    <x v="0"/>
    <x v="0"/>
    <s v="BR3-5, BR-7"/>
    <s v="62-304.520 (10), F.A.C."/>
    <n v="0.59"/>
    <n v="0.64"/>
    <s v="City of Cocoa Beach"/>
    <n v="2.2898192477729999E-2"/>
    <n v="3746.0260549578902"/>
    <n v="10.779169181903001"/>
    <n v="2.0755727976781202"/>
    <n v="0.24682349067726"/>
    <n v="4.752686542278E-2"/>
    <n v="85.777225633028493"/>
    <n v="1300"/>
    <s v="Residential, High Density"/>
    <n v="1300"/>
    <s v="City of Cocoa Beach           Brevard County"/>
    <s v="City of Cocoa Beach"/>
    <m/>
    <m/>
    <m/>
    <n v="0"/>
    <n v="1"/>
    <n v="0.24682349067726"/>
    <n v="4.752686542278E-2"/>
    <n v="85.777225633028195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56.948652464065603"/>
    <n v="92.665697289864696"/>
    <n v="6.9567904E-2"/>
  </r>
  <r>
    <n v="840000"/>
    <n v="2400000"/>
    <n v="2400000"/>
    <x v="0"/>
    <x v="0"/>
    <s v="BR3-5, BR-7"/>
    <s v="62-304.520 (10), F.A.C."/>
    <n v="0.59"/>
    <n v="0.64"/>
    <s v="City of Cocoa Beach"/>
    <n v="5.8625365769000002E-4"/>
    <n v="3746.0260549578902"/>
    <n v="10.779169181903001"/>
    <n v="2.0755727976781202"/>
    <n v="6.3193273598199998E-3"/>
    <n v="1.21681214445E-3"/>
    <n v="2.19612147654732"/>
    <n v="1400"/>
    <s v="Commercial and Services"/>
    <n v="1400"/>
    <s v="City of Cocoa Beach           Brevard County"/>
    <s v="City of Cocoa Beach"/>
    <m/>
    <m/>
    <m/>
    <n v="0"/>
    <n v="1"/>
    <n v="6.3193273598199998E-3"/>
    <n v="1.21681214445E-3"/>
    <n v="2.1961214765478898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13.452817855024"/>
    <n v="2.3724843798072102"/>
    <n v="1.7811204000000001E-3"/>
  </r>
  <r>
    <n v="840000"/>
    <n v="2400000"/>
    <n v="2400000"/>
    <x v="0"/>
    <x v="0"/>
    <s v="BR3-5, BR-7"/>
    <s v="62-304.520 (10), F.A.C."/>
    <n v="0.59"/>
    <n v="0.64"/>
    <s v="City of Cocoa Beach"/>
    <n v="2.6299379133839999E-2"/>
    <n v="3746.0260549578902"/>
    <n v="10.779169181903001"/>
    <n v="2.0755727976781202"/>
    <n v="0.28348545706269002"/>
    <n v="5.458627592602E-2"/>
    <n v="98.518159464587995"/>
    <n v="1300"/>
    <s v="Residential, High Density"/>
    <n v="1300"/>
    <s v="City of Cocoa Beach           Brevard County"/>
    <s v="City of Cocoa Beach"/>
    <m/>
    <m/>
    <m/>
    <n v="0"/>
    <n v="1"/>
    <n v="0.28348545706269002"/>
    <n v="5.458627592602E-2"/>
    <n v="1045.13186191933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56.1163775465089"/>
    <n v="106.42981135292"/>
    <n v="0.84763330240000001"/>
  </r>
  <r>
    <n v="840000"/>
    <n v="2400000"/>
    <n v="2400000"/>
    <x v="0"/>
    <x v="0"/>
    <s v="BR3-5, BR-7"/>
    <s v="62-304.520 (10), F.A.C."/>
    <n v="0.59"/>
    <n v="0.64"/>
    <s v="FDOT District 5"/>
    <n v="2.23426548641E-3"/>
    <n v="3773.5392049614502"/>
    <n v="11.594993325188099"/>
    <n v="1.53082384235918"/>
    <n v="2.5906293401639999E-2"/>
    <n v="3.42026687676E-3"/>
    <n v="8.431088407267960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5906293401639999E-2"/>
    <n v="3.42026687676E-3"/>
    <n v="603.78540914011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12.929726042172099"/>
    <n v="9.0417516330328596"/>
    <n v="0.48968808530000002"/>
  </r>
  <r>
    <n v="840000"/>
    <n v="2400000"/>
    <n v="2500000"/>
    <x v="0"/>
    <x v="0"/>
    <s v="BR3-5, BR-7"/>
    <s v="62-304.520 (10), F.A.C."/>
    <n v="0.59"/>
    <n v="0.64"/>
    <s v="FDOT District 5"/>
    <n v="1.61167246928E-3"/>
    <n v="3773.5392045397298"/>
    <n v="11.5949933238923"/>
    <n v="1.5308238421881"/>
    <n v="1.868733152167E-2"/>
    <n v="2.4671866417799999E-3"/>
    <n v="6.08170924772807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868733152167E-2"/>
    <n v="2.4671866417799999E-3"/>
    <n v="1382.99573863351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11.470666294288799"/>
    <n v="6.5222070831372498"/>
    <n v="1.1216510450999999"/>
  </r>
  <r>
    <n v="840000"/>
    <n v="2400000"/>
    <n v="2500000"/>
    <x v="0"/>
    <x v="0"/>
    <s v="BR3-5, BR-7"/>
    <s v="62-304.520 (10), F.A.C."/>
    <n v="0.59"/>
    <n v="0.64"/>
    <s v="City of Cocoa Beach"/>
    <n v="2.2727705124400002E-2"/>
    <n v="3772.23717431368"/>
    <n v="11.535326158682301"/>
    <n v="1.57186229106693"/>
    <n v="0.26217149144840002"/>
    <n v="3.5724822647539997E-2"/>
    <n v="85.734294157131302"/>
    <n v="1300"/>
    <s v="Residential, High Density"/>
    <n v="1300"/>
    <s v="City of Cocoa Beach           Brevard County"/>
    <s v="City of Cocoa Beach"/>
    <m/>
    <m/>
    <m/>
    <n v="0"/>
    <n v="1"/>
    <n v="0.26217149144840002"/>
    <n v="3.5724822647539997E-2"/>
    <n v="85.734294157133206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75.890561544973295"/>
    <n v="91.975759449125704"/>
    <n v="6.9533085300000005E-2"/>
  </r>
  <r>
    <n v="840000"/>
    <n v="2400000"/>
    <n v="2500000"/>
    <x v="0"/>
    <x v="0"/>
    <s v="BR3-5, BR-7"/>
    <s v="62-304.520 (10), F.A.C."/>
    <n v="0.59"/>
    <n v="0.64"/>
    <s v="FDOT District 5"/>
    <n v="3.4371567940200002E-3"/>
    <n v="3772.23717431368"/>
    <n v="11.535326158682301"/>
    <n v="1.57186229106693"/>
    <n v="3.9648724677570003E-2"/>
    <n v="5.4027371530000002E-3"/>
    <n v="12.965770632354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9648724677570003E-2"/>
    <n v="5.4027371530000002E-3"/>
    <n v="12.965770632353999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17.768443834327599"/>
    <n v="13.9096800466831"/>
    <n v="1.05156291E-2"/>
  </r>
  <r>
    <n v="840000"/>
    <n v="2400000"/>
    <n v="2500000"/>
    <x v="0"/>
    <x v="0"/>
    <s v="BR3-5, BR-7"/>
    <s v="62-304.520 (10), F.A.C."/>
    <n v="0.59"/>
    <n v="0.64"/>
    <s v="City of Cocoa Beach"/>
    <n v="5.0218117390859997E-2"/>
    <n v="3772.23717431368"/>
    <n v="11.535326158682301"/>
    <n v="1.57186229106693"/>
    <n v="0.57928236317859005"/>
    <n v="7.8935965055059995E-2"/>
    <n v="189.434649245857"/>
    <n v="1400"/>
    <s v="Commercial and Services"/>
    <n v="1400"/>
    <s v="City of Cocoa Beach           Brevard County"/>
    <s v="City of Cocoa Beach"/>
    <m/>
    <m/>
    <m/>
    <n v="0"/>
    <n v="1"/>
    <n v="0.57928236317859005"/>
    <n v="7.8935965055059995E-2"/>
    <n v="1763.70129821047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83.938930909556305"/>
    <n v="203.225510884047"/>
    <n v="1.4304146782"/>
  </r>
  <r>
    <n v="840000"/>
    <n v="2400000"/>
    <n v="2500000"/>
    <x v="0"/>
    <x v="0"/>
    <s v="BR3-5, BR-7"/>
    <s v="62-304.520 (10), F.A.C."/>
    <n v="0.59"/>
    <n v="0.64"/>
    <s v="FDOT District 5"/>
    <n v="1.555852652279E-2"/>
    <n v="3772.23717431368"/>
    <n v="11.535326158682301"/>
    <n v="1.57186229106693"/>
    <n v="0.17947267798891001"/>
    <n v="2.4455861145739999E-2"/>
    <n v="58.690452126821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7947267798891001"/>
    <n v="2.4455861145739999E-2"/>
    <n v="270.308179827164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38.718837337598401"/>
    <n v="62.963122981839902"/>
    <n v="0.21922804530000001"/>
  </r>
  <r>
    <n v="840000"/>
    <n v="2400000"/>
    <n v="2500000"/>
    <x v="0"/>
    <x v="0"/>
    <s v="BR3-5, BR-7"/>
    <s v="62-304.520 (10), F.A.C."/>
    <n v="0.59"/>
    <n v="0.64"/>
    <s v="City of Cocoa Beach"/>
    <n v="2.6446817695600002E-3"/>
    <n v="3772.23717431368"/>
    <n v="11.535326158682301"/>
    <n v="1.57186229106693"/>
    <n v="3.0507266797830002E-2"/>
    <n v="4.1570755454400001E-3"/>
    <n v="9.9763668853752296"/>
    <n v="1300"/>
    <s v="Residential, High Density"/>
    <n v="1300"/>
    <s v="City of Cocoa Beach           Brevard County"/>
    <s v="City of Cocoa Beach"/>
    <m/>
    <m/>
    <m/>
    <n v="0"/>
    <n v="1"/>
    <n v="3.0507266797830002E-2"/>
    <n v="4.1570755454400001E-3"/>
    <n v="75.638176399470396"/>
    <m/>
    <n v="-1"/>
    <n v="-1"/>
    <n v="-1"/>
    <n v="-1"/>
    <n v="0"/>
    <m/>
    <m/>
    <s v="Banana River B"/>
    <n v="-1"/>
    <m/>
    <m/>
    <n v="370"/>
    <x v="6"/>
    <s v="4th St North N Bioretention"/>
    <x v="0"/>
    <n v="0.344219"/>
    <n v="14.822544292559501"/>
    <n v="10.702647404358901"/>
    <n v="6.13448308E-2"/>
  </r>
  <r>
    <n v="830000"/>
    <n v="2400000"/>
    <n v="2400000"/>
    <x v="0"/>
    <x v="0"/>
    <s v="BR3-5, BR-7"/>
    <s v="62-304.520 (10), F.A.C."/>
    <n v="0.59"/>
    <n v="0.64"/>
    <s v="City of Cocoa Beach"/>
    <n v="4.0043495000859998E-2"/>
    <n v="3745.9434823829201"/>
    <n v="10.777530530554801"/>
    <n v="2.0766235887589701"/>
    <n v="0.43156998992196"/>
    <n v="8.3155266295149993E-2"/>
    <n v="150.00066911032999"/>
    <n v="1300"/>
    <s v="Residential, High Density"/>
    <n v="1300"/>
    <s v="City of Cocoa Beach           Brevard County"/>
    <s v="City of Cocoa Beach"/>
    <m/>
    <m/>
    <m/>
    <n v="0"/>
    <n v="1"/>
    <n v="0.43156998992196"/>
    <n v="8.3155266295149993E-2"/>
    <n v="219.460235917021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62.466132692472897"/>
    <n v="162.05027491960101"/>
    <n v="0.1779888369"/>
  </r>
  <r>
    <n v="830000"/>
    <n v="2400000"/>
    <n v="2400000"/>
    <x v="0"/>
    <x v="0"/>
    <s v="BR3-5, BR-7"/>
    <s v="62-304.520 (10), F.A.C."/>
    <n v="0.59"/>
    <n v="0.64"/>
    <s v="City of Cocoa Beach"/>
    <n v="4.0470088459899998E-3"/>
    <n v="3745.9434823829201"/>
    <n v="10.777530530554801"/>
    <n v="2.0766235887589701"/>
    <n v="4.3616761395159999E-2"/>
    <n v="8.4041140335099993E-3"/>
    <n v="15.159866409812199"/>
    <n v="1300"/>
    <s v="Residential, High Density"/>
    <n v="1300"/>
    <s v="City of Cocoa Beach           Brevard County"/>
    <s v="City of Cocoa Beach"/>
    <m/>
    <m/>
    <m/>
    <n v="0"/>
    <n v="1"/>
    <n v="4.3616761395159999E-2"/>
    <n v="8.4041140335099993E-3"/>
    <n v="961.30433677949702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50.854900341210801"/>
    <n v="16.3776637399348"/>
    <n v="0.77964666410000005"/>
  </r>
  <r>
    <n v="830000"/>
    <n v="2400000"/>
    <n v="2400000"/>
    <x v="0"/>
    <x v="0"/>
    <s v="BR3-5, BR-7"/>
    <s v="62-304.520 (10), F.A.C."/>
    <n v="0.59"/>
    <n v="0.64"/>
    <s v="City of Cocoa Beach"/>
    <n v="5.0472721034959998E-2"/>
    <n v="3758.2429968760698"/>
    <n v="11.0465500871888"/>
    <n v="1.9024307402999601"/>
    <n v="0.55754944094944003"/>
    <n v="9.6020856043499997E-2"/>
    <n v="189.68875036293301"/>
    <n v="1300"/>
    <s v="Residential, High Density"/>
    <n v="1300"/>
    <s v="City of Cocoa Beach           Brevard County"/>
    <s v="City of Cocoa Beach"/>
    <m/>
    <m/>
    <m/>
    <n v="0"/>
    <n v="1"/>
    <n v="0.55754944094944003"/>
    <n v="9.6020856043499997E-2"/>
    <n v="307.84057609007999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76.399108613579301"/>
    <n v="204.25585527634701"/>
    <n v="0.24966794489999999"/>
  </r>
  <r>
    <n v="830000"/>
    <n v="2400000"/>
    <n v="2400000"/>
    <x v="0"/>
    <x v="0"/>
    <s v="BR3-5, BR-7"/>
    <s v="62-304.520 (10), F.A.C."/>
    <n v="0.59"/>
    <n v="0.64"/>
    <s v="FDOT District 5"/>
    <n v="1.2410819234629999E-2"/>
    <n v="3758.2429968760698"/>
    <n v="11.0465500871888"/>
    <n v="1.9024307402999601"/>
    <n v="0.1370967362984"/>
    <n v="2.3610724024269999E-2"/>
    <n v="46.642874474050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1370967362984"/>
    <n v="2.3610724024269999E-2"/>
    <n v="388.372651880568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29.155530101889699"/>
    <n v="50.2248035269158"/>
    <n v="0.31498187500000002"/>
  </r>
  <r>
    <n v="830000"/>
    <n v="2400000"/>
    <n v="2400000"/>
    <x v="0"/>
    <x v="0"/>
    <s v="BR3-5, BR-7"/>
    <s v="62-304.520 (10), F.A.C."/>
    <n v="0.59"/>
    <n v="0.64"/>
    <s v="FDOT District 5"/>
    <n v="1.674209379967E-2"/>
    <n v="3758.2429968760698"/>
    <n v="11.0465500871888"/>
    <n v="1.9024307402999601"/>
    <n v="0.18494237772253"/>
    <n v="3.1850673901479998E-2"/>
    <n v="62.9208567756747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8494237772253"/>
    <n v="3.1850673901479998E-2"/>
    <n v="744.924228002042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33.879443934954999"/>
    <n v="67.752849817643906"/>
    <n v="0.60415590269999997"/>
  </r>
  <r>
    <n v="830000"/>
    <n v="2400000"/>
    <n v="2400000"/>
    <x v="0"/>
    <x v="0"/>
    <s v="BR3-5, BR-7"/>
    <s v="62-304.520 (10), F.A.C."/>
    <n v="0.59"/>
    <n v="0.64"/>
    <s v="City of Cocoa Beach"/>
    <n v="1.73152681402E-3"/>
    <n v="3758.2429968760698"/>
    <n v="11.0465500871888"/>
    <n v="1.9024307402999601"/>
    <n v="1.9127397678430001E-2"/>
    <n v="3.2941098386500001E-3"/>
    <n v="6.5074985227126003"/>
    <n v="1300"/>
    <s v="Residential, High Density"/>
    <n v="1300"/>
    <s v="City of Cocoa Beach           Brevard County"/>
    <s v="City of Cocoa Beach"/>
    <m/>
    <m/>
    <m/>
    <n v="0"/>
    <n v="1"/>
    <n v="1.9127397678430001E-2"/>
    <n v="3.2941098386500001E-3"/>
    <n v="877.65463352134998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60.367574663486501"/>
    <n v="7.0072404078960702"/>
    <n v="0.71180424450000002"/>
  </r>
  <r>
    <n v="830000"/>
    <n v="2400000"/>
    <n v="2400000"/>
    <x v="0"/>
    <x v="0"/>
    <s v="BR3-5, BR-7"/>
    <s v="62-304.520 (10), F.A.C."/>
    <n v="0.59"/>
    <n v="0.64"/>
    <s v="FDOT District 5"/>
    <n v="2.0350536882E-4"/>
    <n v="3773.5392049614502"/>
    <n v="11.594993325188099"/>
    <n v="1.53082384235918"/>
    <n v="2.35964339321E-3"/>
    <n v="3.1153087064999998E-4"/>
    <n v="0.76793548769636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35964339321E-3"/>
    <n v="3.1153087064999998E-4"/>
    <n v="603.7854091401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4.7484460470006402"/>
    <n v="0.82355700883969996"/>
    <n v="0.48968808530000002"/>
  </r>
  <r>
    <n v="840000"/>
    <n v="2400000"/>
    <n v="2400000"/>
    <x v="0"/>
    <x v="0"/>
    <s v="BR3-5, BR-7"/>
    <s v="62-304.520 (10), F.A.C."/>
    <n v="0.59"/>
    <n v="0.64"/>
    <s v="City of Cocoa Beach"/>
    <n v="5.1925523109030002E-2"/>
    <n v="3745.9425158229101"/>
    <n v="10.777527749643401"/>
    <n v="2.0766230529304099"/>
    <n v="0.55962876622234003"/>
    <n v="0.10782973832367999"/>
    <n v="194.510024670468"/>
    <n v="1300"/>
    <s v="Residential, High Density"/>
    <n v="1300"/>
    <s v="City of Cocoa Beach           Brevard County"/>
    <s v="City of Cocoa Beach"/>
    <m/>
    <m/>
    <m/>
    <n v="0"/>
    <n v="1"/>
    <n v="0.55962876622234003"/>
    <n v="0.10782973832367999"/>
    <n v="436.30099109430699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68.411400514265907"/>
    <n v="210.135136680264"/>
    <n v="0.35385319630000001"/>
  </r>
  <r>
    <n v="840000"/>
    <n v="2400000"/>
    <n v="2400000"/>
    <x v="0"/>
    <x v="0"/>
    <s v="BR3-5, BR-7"/>
    <s v="62-304.520 (10), F.A.C."/>
    <n v="0.59"/>
    <n v="0.64"/>
    <s v="City of Cocoa Beach"/>
    <n v="1.0708530709E-4"/>
    <n v="3745.9434823829201"/>
    <n v="10.777530530554801"/>
    <n v="2.0766235887589701"/>
    <n v="1.15411516662E-3"/>
    <n v="2.2237587471999999E-4"/>
    <n v="0.40113550818271998"/>
    <n v="1300"/>
    <s v="Residential, High Density"/>
    <n v="1300"/>
    <s v="City of Cocoa Beach           Brevard County"/>
    <s v="City of Cocoa Beach"/>
    <m/>
    <m/>
    <m/>
    <n v="0"/>
    <n v="1"/>
    <n v="1.15411516662E-3"/>
    <n v="2.2237587471999999E-4"/>
    <n v="219.460235917021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38.257304371738797"/>
    <n v="0.43335886277233998"/>
    <n v="0.1779888369"/>
  </r>
  <r>
    <n v="840000"/>
    <n v="2400000"/>
    <n v="2400000"/>
    <x v="0"/>
    <x v="0"/>
    <s v="BR3-5, BR-7"/>
    <s v="62-304.520 (10), F.A.C."/>
    <n v="0.59"/>
    <n v="0.64"/>
    <s v="City of Cocoa Beach"/>
    <n v="0.25257841580468998"/>
    <n v="3745.9434823829201"/>
    <n v="10.777530530554801"/>
    <n v="2.0766235887589701"/>
    <n v="2.72217158769431"/>
    <n v="0.5245102962714"/>
    <n v="946.14447047421197"/>
    <n v="1300"/>
    <s v="Residential, High Density"/>
    <n v="1300"/>
    <s v="City of Cocoa Beach           Brevard County"/>
    <s v="City of Cocoa Beach"/>
    <m/>
    <m/>
    <m/>
    <n v="0"/>
    <n v="1"/>
    <n v="2.72217158769431"/>
    <n v="0.5245102962714"/>
    <n v="961.30433677949702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131.60915530293599"/>
    <n v="1022.14858415885"/>
    <n v="0.77964666410000005"/>
  </r>
  <r>
    <n v="840000"/>
    <n v="2400000"/>
    <n v="2400000"/>
    <x v="0"/>
    <x v="0"/>
    <s v="BR3-5, BR-7"/>
    <s v="62-304.520 (10), F.A.C."/>
    <n v="0.59"/>
    <n v="0.64"/>
    <s v="City of Cocoa Beach"/>
    <n v="6.8629075916999997E-4"/>
    <n v="3758.2429968760698"/>
    <n v="11.0465500871888"/>
    <n v="1.9024307402999601"/>
    <n v="7.5811452455999996E-3"/>
    <n v="1.3056206370300001E-3"/>
    <n v="2.5792474394902101"/>
    <n v="1300"/>
    <s v="Residential, High Density"/>
    <n v="1300"/>
    <s v="City of Cocoa Beach           Brevard County"/>
    <s v="City of Cocoa Beach"/>
    <m/>
    <m/>
    <m/>
    <n v="0"/>
    <n v="1"/>
    <n v="7.5811452455999996E-3"/>
    <n v="1.3056206370300001E-3"/>
    <n v="307.84057609007999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65.977412021490494"/>
    <n v="2.7773201664014402"/>
    <n v="0.24966794489999999"/>
  </r>
  <r>
    <n v="840000"/>
    <n v="2400000"/>
    <n v="2400000"/>
    <x v="0"/>
    <x v="0"/>
    <s v="BR3-5, BR-7"/>
    <s v="62-304.520 (10), F.A.C."/>
    <n v="0.59"/>
    <n v="0.64"/>
    <s v="FDOT District 5"/>
    <n v="2.3317850099000001E-4"/>
    <n v="3758.2429968760698"/>
    <n v="11.0465500871888"/>
    <n v="1.9024307402999601"/>
    <n v="2.5758179905400001E-3"/>
    <n v="4.4360594826999998E-4"/>
    <n v="0.8763414684015500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5758179905400001E-3"/>
    <n v="4.4360594826999998E-4"/>
    <n v="388.372651880568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14.583191158864601"/>
    <n v="0.94363991433472005"/>
    <n v="0.31498187500000002"/>
  </r>
  <r>
    <n v="840000"/>
    <n v="2400000"/>
    <n v="2400000"/>
    <x v="0"/>
    <x v="0"/>
    <s v="BR3-5, BR-7"/>
    <s v="62-304.520 (10), F.A.C."/>
    <n v="0.59"/>
    <n v="0.64"/>
    <s v="FDOT District 5"/>
    <n v="6.46437714118E-2"/>
    <n v="3758.2429968760698"/>
    <n v="11.0465500871888"/>
    <n v="1.9024307402999601"/>
    <n v="0.71409065872523003"/>
    <n v="0.12298029790273"/>
    <n v="242.947001200055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71409065872523003"/>
    <n v="0.12298029790273"/>
    <n v="388.372651880568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94.286423488063093"/>
    <n v="261.60406150599903"/>
    <n v="0.31498187500000002"/>
  </r>
  <r>
    <n v="840000"/>
    <n v="2400000"/>
    <n v="2400000"/>
    <x v="0"/>
    <x v="0"/>
    <s v="BR3-5, BR-7"/>
    <s v="62-304.520 (10), F.A.C."/>
    <n v="0.59"/>
    <n v="0.64"/>
    <s v="FDOT District 5"/>
    <n v="1.8963426535430001E-2"/>
    <n v="3758.2429968760698"/>
    <n v="11.0465500871888"/>
    <n v="1.9024307402999601"/>
    <n v="0.2094804410484"/>
    <n v="3.6076605582429998E-2"/>
    <n v="71.2691649735725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094804410484"/>
    <n v="3.6076605582429998E-2"/>
    <n v="388.372651880568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85.214865554492704"/>
    <n v="76.742264465636097"/>
    <n v="0.31498187500000002"/>
  </r>
  <r>
    <n v="840000"/>
    <n v="2400000"/>
    <n v="2400000"/>
    <x v="0"/>
    <x v="0"/>
    <s v="BR3-5, BR-7"/>
    <s v="62-304.520 (10), F.A.C."/>
    <n v="0.59"/>
    <n v="0.64"/>
    <s v="FDOT District 5"/>
    <n v="3.7493736193999999E-4"/>
    <n v="3758.2429968760698"/>
    <n v="11.0465500871888"/>
    <n v="1.9024307402999601"/>
    <n v="4.1417643482599999E-3"/>
    <n v="7.1329236304E-4"/>
    <n v="1.40910571478947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1417643482599999E-3"/>
    <n v="7.1329236304E-4"/>
    <n v="744.924228002042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20.2393004510438"/>
    <n v="1.51731767117695"/>
    <n v="0.60415590269999997"/>
  </r>
  <r>
    <n v="840000"/>
    <n v="2400000"/>
    <n v="2400000"/>
    <x v="0"/>
    <x v="0"/>
    <s v="BR3-5, BR-7"/>
    <s v="62-304.520 (10), F.A.C."/>
    <n v="0.59"/>
    <n v="0.64"/>
    <s v="FDOT District 5"/>
    <n v="3.343067928316E-2"/>
    <n v="3758.2429968760698"/>
    <n v="11.0465500871888"/>
    <n v="1.9024307402999601"/>
    <n v="0.36929367315020001"/>
    <n v="6.3599551937390003E-2"/>
    <n v="125.640616296757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6929367315020001"/>
    <n v="6.3599551937390003E-2"/>
    <n v="744.924228002042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92.1421786155029"/>
    <n v="135.289159162262"/>
    <n v="0.60415590269999997"/>
  </r>
  <r>
    <n v="840000"/>
    <n v="2400000"/>
    <n v="2400000"/>
    <x v="0"/>
    <x v="0"/>
    <s v="BR3-5, BR-7"/>
    <s v="62-304.520 (10), F.A.C."/>
    <n v="0.59"/>
    <n v="0.64"/>
    <s v="City of Cocoa Beach"/>
    <n v="0.23179572865413001"/>
    <n v="3758.2429968760698"/>
    <n v="11.0465500871888"/>
    <n v="1.9024307402999601"/>
    <n v="2.5605431265743701"/>
    <n v="0.44097531966185999"/>
    <n v="871.14467392020094"/>
    <n v="1300"/>
    <s v="Residential, High Density"/>
    <n v="1300"/>
    <s v="City of Cocoa Beach           Brevard County"/>
    <s v="City of Cocoa Beach"/>
    <m/>
    <m/>
    <m/>
    <n v="0"/>
    <n v="1"/>
    <n v="2.5605431265743701"/>
    <n v="0.44097531966185999"/>
    <n v="877.65463352134998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128.676659601148"/>
    <n v="938.04403318888706"/>
    <n v="0.71180424450000002"/>
  </r>
  <r>
    <n v="840000"/>
    <n v="2400000"/>
    <n v="2400000"/>
    <x v="0"/>
    <x v="0"/>
    <s v="BR3-5, BR-7"/>
    <s v="62-304.520 (10), F.A.C."/>
    <n v="0.59"/>
    <n v="0.64"/>
    <s v="FDOT District 5"/>
    <n v="7.7520666348999999E-4"/>
    <n v="3758.2429968760698"/>
    <n v="11.0465500871888"/>
    <n v="1.9024307402999601"/>
    <n v="8.5633592362000001E-3"/>
    <n v="1.4747769867100001E-3"/>
    <n v="2.913415014207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8.5633592362000001E-3"/>
    <n v="1.4747769867100001E-3"/>
    <n v="2.91308380639100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82.658921363959905"/>
    <n v="3.1371500648468902"/>
    <n v="2.3625984000000002E-3"/>
  </r>
  <r>
    <n v="840000"/>
    <n v="2400000"/>
    <n v="2400000"/>
    <x v="0"/>
    <x v="0"/>
    <s v="BR3-5, BR-7"/>
    <s v="62-304.520 (10), F.A.C."/>
    <n v="0.59"/>
    <n v="0.64"/>
    <s v="FDOT District 5"/>
    <n v="4.4384962817990002E-2"/>
    <n v="3762.7820072413201"/>
    <n v="11.1686970493102"/>
    <n v="1.77180170362087"/>
    <n v="0.49572220325913002"/>
    <n v="7.864135273608E-2"/>
    <n v="167.010939483641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49572220325913002"/>
    <n v="7.864135273608E-2"/>
    <n v="523.659900424709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71.640087624486"/>
    <n v="179.61957183800399"/>
    <n v="0.42470389330000002"/>
  </r>
  <r>
    <n v="840000"/>
    <n v="2400000"/>
    <n v="2400000"/>
    <x v="0"/>
    <x v="0"/>
    <s v="BR3-5, BR-7"/>
    <s v="62-304.520 (10), F.A.C."/>
    <n v="0.59"/>
    <n v="0.64"/>
    <s v="FDOT District 5"/>
    <n v="2.3409449100869999E-2"/>
    <n v="3762.7820072413201"/>
    <n v="11.1686970493102"/>
    <n v="1.77180170362087"/>
    <n v="0.26145304509896"/>
    <n v="4.147690179776E-2"/>
    <n v="88.08465387621899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6145304509896"/>
    <n v="4.147690179776E-2"/>
    <n v="523.6599004247090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61.660675489002401"/>
    <n v="94.734679438738297"/>
    <n v="0.42470389330000002"/>
  </r>
  <r>
    <n v="840000"/>
    <n v="2400000"/>
    <n v="2400000"/>
    <x v="0"/>
    <x v="0"/>
    <s v="BR3-5, BR-7"/>
    <s v="62-304.520 (10), F.A.C."/>
    <n v="0.59"/>
    <n v="0.64"/>
    <s v="FDOT District 5"/>
    <n v="1.848763190108E-2"/>
    <n v="3762.7820072413201"/>
    <n v="11.1686970493102"/>
    <n v="1.77180170362087"/>
    <n v="0.20648275986236"/>
    <n v="3.2756417698250002E-2"/>
    <n v="69.56492867389569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0648275986236"/>
    <n v="3.2756417698250002E-2"/>
    <n v="979.58457943896303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65.758622785782407"/>
    <n v="74.816791893866295"/>
    <n v="0.79447248940000004"/>
  </r>
  <r>
    <n v="840000"/>
    <n v="2400000"/>
    <n v="2400000"/>
    <x v="0"/>
    <x v="0"/>
    <s v="BR3-5, BR-7"/>
    <s v="62-304.520 (10), F.A.C."/>
    <n v="0.59"/>
    <n v="0.64"/>
    <s v="City of Cocoa Beach"/>
    <n v="3.4829876959300003E-2"/>
    <n v="3762.7820072413201"/>
    <n v="11.1686970493102"/>
    <n v="1.77180170362087"/>
    <n v="0.38900434402317002"/>
    <n v="6.1711635333389997E-2"/>
    <n v="131.057234336883"/>
    <n v="1300"/>
    <s v="Residential, High Density"/>
    <n v="1300"/>
    <s v="City of Cocoa Beach           Brevard County"/>
    <s v="City of Cocoa Beach"/>
    <m/>
    <m/>
    <m/>
    <n v="0"/>
    <n v="1"/>
    <n v="0.38900434402317002"/>
    <n v="6.1711635333389997E-2"/>
    <n v="250.07828411436199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50.546562172552001"/>
    <n v="140.95151126414399"/>
    <n v="0.20282099279999999"/>
  </r>
  <r>
    <n v="840000"/>
    <n v="2400000"/>
    <n v="2400000"/>
    <x v="0"/>
    <x v="0"/>
    <s v="BR3-5, BR-7"/>
    <s v="62-304.520 (10), F.A.C."/>
    <n v="0.59"/>
    <n v="0.64"/>
    <s v="FDOT District 5"/>
    <n v="1.8395903213E-4"/>
    <n v="3762.7820072413201"/>
    <n v="11.1686970493102"/>
    <n v="1.77180170362087"/>
    <n v="2.0545826993400001E-3"/>
    <n v="3.2593892652E-4"/>
    <n v="0.6921977361682899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0545826993400001E-3"/>
    <n v="3.2593892652E-4"/>
    <n v="1.4984715209994299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18.280840986255502"/>
    <n v="0.74445579063260003"/>
    <n v="1.2153054E-3"/>
  </r>
  <r>
    <n v="840000"/>
    <n v="2400000"/>
    <n v="2400000"/>
    <x v="0"/>
    <x v="0"/>
    <s v="BR3-5, BR-7"/>
    <s v="62-304.520 (10), F.A.C."/>
    <n v="0.59"/>
    <n v="0.64"/>
    <s v="FDOT District 5"/>
    <n v="3.8461127419999997E-5"/>
    <n v="3773.5392049614502"/>
    <n v="11.594993325188099"/>
    <n v="1.53082384235918"/>
    <n v="4.4595651579000002E-4"/>
    <n v="5.8877210859999998E-5"/>
    <n v="0.14513457221279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4595651579000002E-4"/>
    <n v="5.8877210859999998E-5"/>
    <n v="603.78540914011"/>
    <m/>
    <n v="-1"/>
    <n v="-1"/>
    <n v="-1"/>
    <n v="-1"/>
    <n v="0"/>
    <m/>
    <m/>
    <s v="Banana River B"/>
    <n v="-1"/>
    <m/>
    <m/>
    <n v="371"/>
    <x v="7"/>
    <s v="4th St North S Bioretention"/>
    <x v="0"/>
    <n v="1.342676"/>
    <n v="2.2319902220880001"/>
    <n v="0.15564666053990001"/>
    <n v="0.48968808530000002"/>
  </r>
  <r>
    <n v="840000"/>
    <n v="2400000"/>
    <n v="2400000"/>
    <x v="0"/>
    <x v="0"/>
    <s v="BR3-5, BR-7"/>
    <s v="62-304.520 (10), F.A.C."/>
    <n v="0.59"/>
    <n v="0.64"/>
    <s v="City of Cocoa Beach"/>
    <n v="2.2724401480600002E-3"/>
    <n v="3768.66542927504"/>
    <n v="10.136910725021099"/>
    <n v="1.85697628508424"/>
    <n v="2.3035522908890001E-2"/>
    <n v="4.2198674642300003E-3"/>
    <n v="8.5640666261129894"/>
    <n v="1300"/>
    <s v="Residential, High Density"/>
    <n v="1300"/>
    <s v="City of Cocoa Beach           Brevard County"/>
    <s v="City of Cocoa Beach"/>
    <m/>
    <m/>
    <m/>
    <n v="0"/>
    <n v="1"/>
    <n v="2.3035522908890001E-2"/>
    <n v="4.2198674642300003E-3"/>
    <n v="31.873671295631599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33.282142329398397"/>
    <n v="9.1962390077222693"/>
    <n v="2.5850503899999999E-2"/>
  </r>
  <r>
    <n v="840000"/>
    <n v="2400000"/>
    <n v="2400000"/>
    <x v="0"/>
    <x v="0"/>
    <s v="BR3-5, BR-7"/>
    <s v="62-304.520 (10), F.A.C."/>
    <n v="0.59"/>
    <n v="0.64"/>
    <s v="FDOT District 5"/>
    <n v="2.9599119048439999E-2"/>
    <n v="3768.66542927504"/>
    <n v="10.136910725021099"/>
    <n v="1.85697628508424"/>
    <n v="0.30004362733336998"/>
    <n v="5.4964862132340003E-2"/>
    <n v="111.549176694874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30004362733336998"/>
    <n v="5.4964862132340003E-2"/>
    <n v="892.55793943311301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46.429200273550599"/>
    <n v="119.783385018587"/>
    <n v="0.72389127289999999"/>
  </r>
  <r>
    <n v="840000"/>
    <n v="2400000"/>
    <n v="2400000"/>
    <x v="0"/>
    <x v="0"/>
    <s v="BR3-5, BR-7"/>
    <s v="62-304.520 (10), F.A.C."/>
    <n v="0.59"/>
    <n v="0.64"/>
    <s v="City of Cocoa Beach"/>
    <n v="9.3101612208500006E-3"/>
    <n v="3768.66542927504"/>
    <n v="10.136910725021099"/>
    <n v="1.85697628508424"/>
    <n v="9.4376273131349997E-2"/>
    <n v="1.7288748597430001E-2"/>
    <n v="35.086882734009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9.4376273131349997E-2"/>
    <n v="1.7288748597430001E-2"/>
    <n v="55.628547456845801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32.197813152389202"/>
    <n v="37.676885730191003"/>
    <n v="4.5116421300000001E-2"/>
  </r>
  <r>
    <n v="840000"/>
    <n v="2400000"/>
    <n v="2400000"/>
    <x v="0"/>
    <x v="0"/>
    <s v="BR3-5, BR-7"/>
    <s v="62-304.520 (10), F.A.C."/>
    <n v="0.59"/>
    <n v="0.64"/>
    <s v="City of Cocoa Beach"/>
    <n v="7.8452065982189997E-2"/>
    <n v="3768.66542927504"/>
    <n v="10.136910725021099"/>
    <n v="1.85697628508424"/>
    <n v="0.79526158905501998"/>
    <n v="0.14568362604480001"/>
    <n v="295.659588922317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79526158905501998"/>
    <n v="0.14568362604480001"/>
    <n v="493.10898689561498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81.193371589707795"/>
    <n v="317.48424707061099"/>
    <n v="0.39992618559999998"/>
  </r>
  <r>
    <n v="840000"/>
    <n v="2400000"/>
    <n v="2400000"/>
    <x v="0"/>
    <x v="0"/>
    <s v="BR3-5, BR-7"/>
    <s v="62-304.520 (10), F.A.C."/>
    <n v="0.59"/>
    <n v="0.64"/>
    <s v="City of Cocoa Beach"/>
    <n v="4.1664985347669999E-2"/>
    <n v="3777.7388730708099"/>
    <n v="9.8672962632328094"/>
    <n v="1.7833472465904301"/>
    <n v="0.41112075422875999"/>
    <n v="7.4303136899000005E-2"/>
    <n v="157.399434793837"/>
    <n v="1300"/>
    <s v="Residential, High Density"/>
    <n v="1300"/>
    <s v="City of Cocoa Beach           Brevard County"/>
    <s v="City of Cocoa Beach"/>
    <m/>
    <m/>
    <m/>
    <n v="0"/>
    <n v="1"/>
    <n v="0.41112075422875999"/>
    <n v="7.4303136899000005E-2"/>
    <n v="287.942342793926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69.580433799145496"/>
    <n v="168.612213543438"/>
    <n v="0.23352988059999999"/>
  </r>
  <r>
    <n v="840000"/>
    <n v="2400000"/>
    <n v="2400000"/>
    <x v="0"/>
    <x v="0"/>
    <s v="BR3-5, BR-7"/>
    <s v="62-304.520 (10), F.A.C."/>
    <n v="0.59"/>
    <n v="0.64"/>
    <s v="FDOT District 5"/>
    <n v="1.6152579053609999E-2"/>
    <n v="3777.7388730708099"/>
    <n v="9.8672962632328094"/>
    <n v="1.7833472465904301"/>
    <n v="0.15938228293734"/>
    <n v="2.8805657380600001E-2"/>
    <n v="61.02022579120590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15938228293734"/>
    <n v="2.8805657380600001E-2"/>
    <n v="715.931462472769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32.3725619586153"/>
    <n v="65.367168281460494"/>
    <n v="0.58064189980000003"/>
  </r>
  <r>
    <n v="840000"/>
    <n v="2400000"/>
    <n v="2400000"/>
    <x v="0"/>
    <x v="0"/>
    <s v="BR3-5, BR-7"/>
    <s v="62-304.520 (10), F.A.C."/>
    <n v="0.59"/>
    <n v="0.64"/>
    <s v="City of Cocoa Beach"/>
    <n v="7.2833040769999997E-4"/>
    <n v="3777.7388730708099"/>
    <n v="9.8672962632328094"/>
    <n v="1.7833472465904301"/>
    <n v="7.1866519103499999E-3"/>
    <n v="1.2988660271899999E-3"/>
    <n v="2.7514420936304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7.1866519103499999E-3"/>
    <n v="1.2988660271899999E-3"/>
    <n v="2.7514420936314901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8.9167524213725393"/>
    <n v="2.9474485880553298"/>
    <n v="2.2315020999999998E-3"/>
  </r>
  <r>
    <n v="840000"/>
    <n v="2400000"/>
    <n v="2400000"/>
    <x v="0"/>
    <x v="0"/>
    <s v="BR3-5, BR-7"/>
    <s v="62-304.520 (10), F.A.C."/>
    <n v="0.59"/>
    <n v="0.64"/>
    <s v="City of Cocoa Beach"/>
    <n v="6.44025421048E-3"/>
    <n v="3777.7388730708099"/>
    <n v="9.8672962632328094"/>
    <n v="1.7833472465904301"/>
    <n v="6.3547896305350002E-2"/>
    <n v="1.14852096136E-2"/>
    <n v="24.3295986833958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6.3547896305350002E-2"/>
    <n v="1.14852096136E-2"/>
    <n v="24.329598683396298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48.354630135469399"/>
    <n v="26.0627841135782"/>
    <n v="1.97320346E-2"/>
  </r>
  <r>
    <n v="840000"/>
    <n v="2400000"/>
    <n v="2400000"/>
    <x v="0"/>
    <x v="0"/>
    <s v="BR3-5, BR-7"/>
    <s v="62-304.520 (10), F.A.C."/>
    <n v="0.59"/>
    <n v="0.64"/>
    <s v="City of Cocoa Beach"/>
    <n v="0.11602173087891"/>
    <n v="3737.4686967357602"/>
    <n v="10.115799686661701"/>
    <n v="1.7613689011664699"/>
    <n v="1.17365258887089"/>
    <n v="0.20435706862962"/>
    <n v="433.627587301049"/>
    <n v="1200"/>
    <s v="Residential, Medium Density-Two-five dwellingunits per acre"/>
    <n v="1200"/>
    <s v="City of Cocoa Beach           Brevard County"/>
    <s v="City of Cocoa Beach"/>
    <m/>
    <m/>
    <m/>
    <n v="0"/>
    <n v="1"/>
    <n v="1.17365258887089"/>
    <n v="0.20435706862962"/>
    <n v="439.28566849245402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119.976498587329"/>
    <n v="469.523286745306"/>
    <n v="0.3562738593"/>
  </r>
  <r>
    <n v="840000"/>
    <n v="2400000"/>
    <n v="2400000"/>
    <x v="0"/>
    <x v="0"/>
    <s v="BR3-5, BR-7"/>
    <s v="62-304.520 (10), F.A.C."/>
    <n v="0.59"/>
    <n v="0.64"/>
    <s v="City of Cocoa Beach"/>
    <n v="4.0785329236139999E-2"/>
    <n v="3737.4686967357602"/>
    <n v="10.115799686661701"/>
    <n v="1.7613689011664699"/>
    <n v="0.41257622070741001"/>
    <n v="7.1838010540379998E-2"/>
    <n v="152.433891306161"/>
    <n v="1300"/>
    <s v="Residential, High Density"/>
    <n v="1300"/>
    <s v="City of Cocoa Beach           Brevard County"/>
    <s v="City of Cocoa Beach"/>
    <m/>
    <m/>
    <m/>
    <n v="0"/>
    <n v="1"/>
    <n v="0.41257622070741001"/>
    <n v="7.1838010540379998E-2"/>
    <n v="597.84066951150498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105.69229286459699"/>
    <n v="165.05237155900099"/>
    <n v="0.484866723"/>
  </r>
  <r>
    <n v="840000"/>
    <n v="2400000"/>
    <n v="2400000"/>
    <x v="0"/>
    <x v="0"/>
    <s v="BR3-5, BR-7"/>
    <s v="62-304.520 (10), F.A.C."/>
    <n v="0.59"/>
    <n v="0.64"/>
    <s v="FDOT District 5"/>
    <n v="4.6396397516000002E-4"/>
    <n v="3737.4686967357602"/>
    <n v="10.115799686661701"/>
    <n v="1.7613689011664699"/>
    <n v="4.6933666346199998E-3"/>
    <n v="8.1721171711999997E-4"/>
    <n v="1.73405083360347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4.6933666346199998E-3"/>
    <n v="8.1721171711999997E-4"/>
    <n v="7.3193554925630497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26.807953685169299"/>
    <n v="1.87759559267204"/>
    <n v="5.9362169000000001E-3"/>
  </r>
  <r>
    <n v="840000"/>
    <n v="2400000"/>
    <n v="2400000"/>
    <x v="0"/>
    <x v="0"/>
    <s v="BR3-5, BR-7"/>
    <s v="62-304.520 (10), F.A.C."/>
    <n v="0.59"/>
    <n v="0.64"/>
    <s v="City of Cocoa Beach"/>
    <n v="7.6027739366999999E-4"/>
    <n v="3737.4686967357602"/>
    <n v="10.115799686661701"/>
    <n v="1.7613689011664699"/>
    <n v="7.6908138207500004E-3"/>
    <n v="1.33912895748E-3"/>
    <n v="2.84151295971111"/>
    <n v="1210"/>
    <s v="Fixed Single Family Units"/>
    <n v="1210"/>
    <s v="City of Cocoa Beach           Brevard County"/>
    <s v="City of Cocoa Beach"/>
    <m/>
    <m/>
    <m/>
    <n v="0"/>
    <n v="1"/>
    <n v="7.6908138207500004E-3"/>
    <n v="1.33912895748E-3"/>
    <n v="2.8415129597117601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28.479156857113502"/>
    <n v="3.0767334534161002"/>
    <n v="2.3045523000000002E-3"/>
  </r>
  <r>
    <n v="840000"/>
    <n v="2400000"/>
    <n v="2400000"/>
    <x v="0"/>
    <x v="0"/>
    <s v="BR3-5, BR-7"/>
    <s v="62-304.520 (10), F.A.C."/>
    <n v="0.59"/>
    <n v="0.64"/>
    <s v="City of Cocoa Beach"/>
    <n v="2.0026804027399999E-3"/>
    <n v="3737.4686967357602"/>
    <n v="10.115799686661701"/>
    <n v="1.7613689011664699"/>
    <n v="2.0258713790590001E-2"/>
    <n v="3.5274589803699998E-3"/>
    <n v="7.4849553148330799"/>
    <n v="1210"/>
    <s v="Fixed Single Family Units"/>
    <n v="1210"/>
    <s v="City of Cocoa Beach           Brevard County"/>
    <s v="City of Cocoa Beach"/>
    <m/>
    <m/>
    <m/>
    <n v="0"/>
    <n v="1"/>
    <n v="2.0258713790590001E-2"/>
    <n v="3.5274589803699998E-3"/>
    <n v="7.4849553148323702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64.061793544542994"/>
    <n v="8.1045600498705497"/>
    <n v="6.0705233999999997E-3"/>
  </r>
  <r>
    <n v="840000"/>
    <n v="2400000"/>
    <n v="2400000"/>
    <x v="0"/>
    <x v="0"/>
    <s v="BR3-5, BR-7"/>
    <s v="62-304.520 (10), F.A.C."/>
    <n v="0.59"/>
    <n v="0.64"/>
    <s v="City of Cocoa Beach"/>
    <n v="4.4333239574950001E-2"/>
    <n v="3737.4686967357602"/>
    <n v="10.115799686661701"/>
    <n v="1.7613689011664699"/>
    <n v="0.44846617100107"/>
    <n v="7.8087189475290003E-2"/>
    <n v="165.694095136296"/>
    <n v="1210"/>
    <s v="Fixed Single Family Units"/>
    <n v="1210"/>
    <s v="City of Cocoa Beach           Brevard County"/>
    <s v="City of Cocoa Beach"/>
    <m/>
    <m/>
    <m/>
    <n v="0"/>
    <n v="1"/>
    <n v="0.44846617100107"/>
    <n v="7.8087189475290003E-2"/>
    <n v="301.63487264474799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54.524385980591198"/>
    <n v="179.410255299721"/>
    <n v="0.24463493319999999"/>
  </r>
  <r>
    <n v="840000"/>
    <n v="2400000"/>
    <n v="2400000"/>
    <x v="0"/>
    <x v="0"/>
    <s v="BR3-5, BR-7"/>
    <s v="62-304.520 (10), F.A.C."/>
    <n v="0.59"/>
    <n v="0.64"/>
    <s v="City of Cocoa Beach"/>
    <n v="9.4343091985819999E-2"/>
    <n v="3738.66490964901"/>
    <n v="10.176386056100799"/>
    <n v="1.7898962071248701"/>
    <n v="0.96007172577402"/>
    <n v="0.16886434251386001"/>
    <n v="352.71720747520402"/>
    <n v="1200"/>
    <s v="Residential, Medium Density-Two-five dwellingunits per acre"/>
    <n v="1200"/>
    <s v="City of Cocoa Beach           Brevard County"/>
    <s v="City of Cocoa Beach"/>
    <m/>
    <m/>
    <m/>
    <n v="0"/>
    <n v="1"/>
    <n v="0.96007172577402"/>
    <n v="0.16886434251386001"/>
    <n v="475.69295128180403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95.439710417846101"/>
    <n v="381.79294771192099"/>
    <n v="0.38580125809999999"/>
  </r>
  <r>
    <n v="840000"/>
    <n v="2400000"/>
    <n v="2400000"/>
    <x v="0"/>
    <x v="0"/>
    <s v="BR3-5, BR-7"/>
    <s v="62-304.520 (10), F.A.C."/>
    <n v="0.59"/>
    <n v="0.64"/>
    <s v="City of Cocoa Beach"/>
    <n v="3.4532833248999999E-4"/>
    <n v="3738.66490964901"/>
    <n v="10.176386056100799"/>
    <n v="1.7898962071248701"/>
    <n v="3.5141944275800001E-3"/>
    <n v="6.1810187254000002E-4"/>
    <n v="1.2910669190104"/>
    <n v="1300"/>
    <s v="Residential, High Density"/>
    <n v="1300"/>
    <s v="City of Cocoa Beach           Brevard County"/>
    <s v="City of Cocoa Beach"/>
    <m/>
    <m/>
    <m/>
    <n v="0"/>
    <n v="1"/>
    <n v="3.5141944275800001E-3"/>
    <n v="6.1810187254000002E-4"/>
    <n v="642.41050350591695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48.7362803242154"/>
    <n v="1.39749418019899"/>
    <n v="0.52101419589999998"/>
  </r>
  <r>
    <n v="840000"/>
    <n v="2400000"/>
    <n v="2400000"/>
    <x v="0"/>
    <x v="0"/>
    <s v="BR3-5, BR-7"/>
    <s v="62-304.520 (10), F.A.C."/>
    <n v="0.59"/>
    <n v="0.64"/>
    <s v="City of Cocoa Beach"/>
    <n v="4.8678595960000002E-5"/>
    <n v="3738.66490964901"/>
    <n v="10.176386056100799"/>
    <n v="1.7898962071248701"/>
    <n v="4.9537218516999999E-4"/>
    <n v="8.7129634279999995E-5"/>
    <n v="0.18199295857410999"/>
    <n v="1210"/>
    <s v="Fixed Single Family Units"/>
    <n v="1210"/>
    <s v="City of Cocoa Beach           Brevard County"/>
    <s v="City of Cocoa Beach"/>
    <m/>
    <m/>
    <m/>
    <n v="0"/>
    <n v="1"/>
    <n v="4.9537218516999999E-4"/>
    <n v="8.7129634279999995E-5"/>
    <n v="0.18199295857452999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2.3107251662058101"/>
    <n v="0.19699528870269001"/>
    <n v="1.476018E-4"/>
  </r>
  <r>
    <n v="840000"/>
    <n v="2400000"/>
    <n v="2400000"/>
    <x v="0"/>
    <x v="0"/>
    <s v="BR3-5, BR-7"/>
    <s v="62-304.520 (10), F.A.C."/>
    <n v="0.59"/>
    <n v="0.64"/>
    <s v="City of Cocoa Beach"/>
    <n v="7.0995127312000004E-4"/>
    <n v="3738.66490964901"/>
    <n v="10.176386056100799"/>
    <n v="1.7898962071248701"/>
    <n v="7.2247382363E-3"/>
    <n v="1.270739091E-3"/>
    <n v="2.65426991237811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7.2247382363E-3"/>
    <n v="1.270739091E-3"/>
    <n v="2.65426991237798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29.716432347370102"/>
    <n v="2.8730708692206202"/>
    <n v="2.1526925000000001E-3"/>
  </r>
  <r>
    <n v="840000"/>
    <n v="2400000"/>
    <n v="2400000"/>
    <x v="0"/>
    <x v="0"/>
    <s v="BR3-5, BR-7"/>
    <s v="62-304.520 (10), F.A.C."/>
    <n v="0.59"/>
    <n v="0.64"/>
    <s v="City of Cocoa Beach"/>
    <n v="6.8880981577999995E-4"/>
    <n v="3738.66490964901"/>
    <n v="10.176386056100799"/>
    <n v="1.7898962071248701"/>
    <n v="7.00959460462E-3"/>
    <n v="1.2328980766899999E-3"/>
    <n v="2.57522908768596"/>
    <n v="1210"/>
    <s v="Fixed Single Family Units"/>
    <n v="1210"/>
    <s v="City of Cocoa Beach           Brevard County"/>
    <s v="City of Cocoa Beach"/>
    <m/>
    <m/>
    <m/>
    <n v="0"/>
    <n v="1"/>
    <n v="7.00959460462E-3"/>
    <n v="1.2328980766899999E-3"/>
    <n v="2.5752290876859498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32.720569294498603"/>
    <n v="2.7875144268095302"/>
    <n v="2.0885881000000002E-3"/>
  </r>
  <r>
    <n v="840000"/>
    <n v="2400000"/>
    <n v="2400000"/>
    <x v="0"/>
    <x v="0"/>
    <s v="BR3-5, BR-7"/>
    <s v="62-304.520 (10), F.A.C."/>
    <n v="0.59"/>
    <n v="0.64"/>
    <s v="City of Cocoa Beach"/>
    <n v="2.0514869651000001E-4"/>
    <n v="3738.66490964901"/>
    <n v="10.176386056100799"/>
    <n v="1.7898962071248701"/>
    <n v="2.0876723346000001E-3"/>
    <n v="3.6719487378000001E-4"/>
    <n v="0.76698223290591006"/>
    <n v="1210"/>
    <s v="Fixed Single Family Units"/>
    <n v="1210"/>
    <s v="City of Cocoa Beach           Brevard County"/>
    <s v="City of Cocoa Beach"/>
    <m/>
    <m/>
    <m/>
    <n v="0"/>
    <n v="1"/>
    <n v="2.0876723346000001E-3"/>
    <n v="3.6719487378000001E-4"/>
    <n v="1.55178367445307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11.9487392386526"/>
    <n v="0.83020732002425002"/>
    <n v="1.2585431E-3"/>
  </r>
  <r>
    <n v="840000"/>
    <n v="2400000"/>
    <n v="2400000"/>
    <x v="0"/>
    <x v="0"/>
    <s v="BR3-5, BR-7"/>
    <s v="62-304.520 (10), F.A.C."/>
    <n v="0.59"/>
    <n v="0.64"/>
    <s v="City of Cocoa Beach"/>
    <n v="1.0297659180300001E-3"/>
    <n v="3753.31698130307"/>
    <n v="9.9456634254991698"/>
    <n v="1.7438898703919601"/>
    <n v="1.024170522785E-2"/>
    <n v="1.79579835334E-3"/>
    <n v="3.86503790693917"/>
    <n v="1300"/>
    <s v="Residential, High Density"/>
    <n v="1300"/>
    <s v="City of Cocoa Beach           Brevard County"/>
    <s v="City of Cocoa Beach"/>
    <m/>
    <m/>
    <m/>
    <n v="0"/>
    <n v="1"/>
    <n v="1.024170522785E-2"/>
    <n v="1.79579835334E-3"/>
    <n v="3.86503790694064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37.529106972479703"/>
    <n v="4.1673148189823097"/>
    <n v="3.1346617000000002E-3"/>
  </r>
  <r>
    <n v="840000"/>
    <n v="2400000"/>
    <n v="2400000"/>
    <x v="0"/>
    <x v="0"/>
    <s v="BR3-5, BR-7"/>
    <s v="62-304.520 (10), F.A.C."/>
    <n v="0.59"/>
    <n v="0.64"/>
    <s v="City of Cocoa Beach"/>
    <n v="0.11620399070092"/>
    <n v="3753.31698130307"/>
    <n v="9.9456634254991698"/>
    <n v="1.7438898703919601"/>
    <n v="1.15572578021124"/>
    <n v="0.20264696228246001"/>
    <n v="436.15041159296999"/>
    <n v="1210"/>
    <s v="Fixed Single Family Units"/>
    <n v="1210"/>
    <s v="City of Cocoa Beach           Brevard County"/>
    <s v="City of Cocoa Beach"/>
    <m/>
    <m/>
    <m/>
    <n v="0"/>
    <n v="1"/>
    <n v="1.15572578021124"/>
    <n v="0.20264696228246001"/>
    <n v="664.50527082634403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91.418070045223899"/>
    <n v="470.260866076551"/>
    <n v="0.5389337152"/>
  </r>
  <r>
    <n v="840000"/>
    <n v="2400000"/>
    <n v="2400000"/>
    <x v="0"/>
    <x v="0"/>
    <s v="BR3-5, BR-7"/>
    <s v="62-304.520 (10), F.A.C."/>
    <n v="0.59"/>
    <n v="0.64"/>
    <s v="City of Cocoa Beach"/>
    <n v="6.688215335363E-2"/>
    <n v="3753.31698130307"/>
    <n v="9.9456634254991698"/>
    <n v="1.7438898703919601"/>
    <n v="0.66518738642784003"/>
    <n v="0.1166351097434"/>
    <n v="251.0299219283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66518738642784003"/>
    <n v="0.1166351097434"/>
    <n v="386.64560750289297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66.812566233359107"/>
    <n v="270.66247184308497"/>
    <n v="0.31358119020000003"/>
  </r>
  <r>
    <n v="840000"/>
    <n v="2400000"/>
    <n v="2400000"/>
    <x v="0"/>
    <x v="0"/>
    <s v="BR3-5, BR-7"/>
    <s v="62-304.520 (10), F.A.C."/>
    <n v="0.59"/>
    <n v="0.64"/>
    <s v="City of Cocoa Beach"/>
    <n v="1.043730682878E-2"/>
    <n v="3618.6125122257199"/>
    <n v="8.9028021953563101"/>
    <n v="1.5077956406829101"/>
    <n v="9.2921278148869996E-2"/>
    <n v="1.5737325736899999E-2"/>
    <n v="37.768569084562202"/>
    <n v="1200"/>
    <s v="Residential, Medium Density-Two-five dwellingunits per acre"/>
    <n v="1200"/>
    <s v="City of Cocoa Beach           Brevard County"/>
    <s v="City of Cocoa Beach"/>
    <m/>
    <m/>
    <m/>
    <n v="0"/>
    <n v="1"/>
    <n v="9.2921278148869996E-2"/>
    <n v="1.5737325736899999E-2"/>
    <n v="66.3891041419445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27.859151547027999"/>
    <n v="42.238282172609601"/>
    <n v="5.3843555699999997E-2"/>
  </r>
  <r>
    <n v="840000"/>
    <n v="2400000"/>
    <n v="2400000"/>
    <x v="0"/>
    <x v="0"/>
    <s v="BR3-5, BR-7"/>
    <s v="62-304.520 (10), F.A.C."/>
    <n v="0.59"/>
    <n v="0.64"/>
    <s v="City of Cocoa Beach"/>
    <n v="3.4409676926640001E-2"/>
    <n v="3618.6125122257199"/>
    <n v="8.9028021953563101"/>
    <n v="1.5077956406829101"/>
    <n v="0.30634254728407001"/>
    <n v="5.1882760867300003E-2"/>
    <n v="124.51528746841601"/>
    <n v="1300"/>
    <s v="Residential, High Density"/>
    <n v="1300"/>
    <s v="City of Cocoa Beach           Brevard County"/>
    <s v="City of Cocoa Beach"/>
    <m/>
    <m/>
    <m/>
    <n v="0"/>
    <n v="1"/>
    <n v="0.30634254728407001"/>
    <n v="5.1882760867300003E-2"/>
    <n v="783.78818837516997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75.617364922478899"/>
    <n v="139.25102206331701"/>
    <n v="0.6356757408"/>
  </r>
  <r>
    <n v="840000"/>
    <n v="2400000"/>
    <n v="2400000"/>
    <x v="0"/>
    <x v="0"/>
    <s v="BR3-5, BR-7"/>
    <s v="62-304.520 (10), F.A.C."/>
    <n v="0.59"/>
    <n v="0.64"/>
    <s v="FDOT District 5"/>
    <n v="1.6411070137E-4"/>
    <n v="3618.6125122257199"/>
    <n v="8.9028021953563101"/>
    <n v="1.5077956406829101"/>
    <n v="1.4610451124600001E-3"/>
    <n v="2.4744540012000001E-4"/>
    <n v="0.5938530373784699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4610451124600001E-3"/>
    <n v="2.4744540012000001E-4"/>
    <n v="4.95155318704174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10.236668245519301"/>
    <n v="0.66413244583414999"/>
    <n v="4.0158581999999998E-3"/>
  </r>
  <r>
    <n v="840000"/>
    <n v="2400000"/>
    <n v="2400000"/>
    <x v="0"/>
    <x v="0"/>
    <s v="BR3-5, BR-7"/>
    <s v="62-304.520 (10), F.A.C."/>
    <n v="0.59"/>
    <n v="0.64"/>
    <s v="City of Cocoa Beach"/>
    <n v="7.2890600396829999E-2"/>
    <n v="3761.35678253276"/>
    <n v="8.7597005472687606"/>
    <n v="1.41947732791967"/>
    <n v="0.63849983218688999"/>
    <n v="0.10346655468175001"/>
    <n v="274.16755418551702"/>
    <n v="1300"/>
    <s v="Residential, High Density"/>
    <n v="1300"/>
    <s v="City of Cocoa Beach           Brevard County"/>
    <s v="City of Cocoa Beach"/>
    <m/>
    <m/>
    <m/>
    <n v="0"/>
    <n v="1"/>
    <n v="0.63849983218688999"/>
    <n v="0.10346655468175001"/>
    <n v="546.262070062107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111.54653867627501"/>
    <n v="294.977794348521"/>
    <n v="0.44303493109999997"/>
  </r>
  <r>
    <n v="840000"/>
    <n v="2400000"/>
    <n v="2400000"/>
    <x v="0"/>
    <x v="0"/>
    <s v="BR3-5, BR-7"/>
    <s v="62-304.520 (10), F.A.C."/>
    <n v="0.59"/>
    <n v="0.64"/>
    <s v="City of Cocoa Beach"/>
    <n v="4.6997659216E-4"/>
    <n v="3761.35678253276"/>
    <n v="8.7597005472687606"/>
    <n v="1.41947732791967"/>
    <n v="4.1168542116000002E-3"/>
    <n v="6.6712111723000002E-4"/>
    <n v="1.7677496425752199"/>
    <n v="1210"/>
    <s v="Fixed Single Family Units"/>
    <n v="1210"/>
    <s v="City of Cocoa Beach           Brevard County"/>
    <s v="City of Cocoa Beach"/>
    <m/>
    <m/>
    <m/>
    <n v="0"/>
    <n v="1"/>
    <n v="4.1168542116000002E-3"/>
    <n v="6.6712111723000002E-4"/>
    <n v="1.7677496425739001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25.353461810011101"/>
    <n v="1.9019277903832199"/>
    <n v="1.433698E-3"/>
  </r>
  <r>
    <n v="840000"/>
    <n v="2400000"/>
    <n v="2400000"/>
    <x v="0"/>
    <x v="0"/>
    <s v="BR3-5, BR-7"/>
    <s v="62-304.520 (10), F.A.C."/>
    <n v="0.59"/>
    <n v="0.64"/>
    <s v="City of Cocoa Beach"/>
    <n v="2.4966520218400001E-3"/>
    <n v="3761.35678253276"/>
    <n v="8.7597005472687606"/>
    <n v="1.41947732791967"/>
    <n v="2.186992408206E-2"/>
    <n v="3.5439409406999999E-3"/>
    <n v="9.390799015975790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186992408206E-2"/>
    <n v="3.5439409406999999E-3"/>
    <n v="9.3907990159753396"/>
    <m/>
    <n v="-1"/>
    <n v="-1"/>
    <n v="-1"/>
    <n v="-1"/>
    <n v="0"/>
    <m/>
    <m/>
    <s v="Banana River B"/>
    <n v="-1"/>
    <m/>
    <m/>
    <n v="372"/>
    <x v="8"/>
    <s v="3rd St South N Bioretention"/>
    <x v="0"/>
    <n v="1.853804"/>
    <n v="38.952434380327297"/>
    <n v="10.1035922690847"/>
    <n v="7.6162197999999999E-3"/>
  </r>
  <r>
    <n v="840000"/>
    <n v="2400000"/>
    <n v="2400000"/>
    <x v="0"/>
    <x v="0"/>
    <s v="BR3-5, BR-7"/>
    <s v="62-304.520 (10), F.A.C."/>
    <n v="0.59"/>
    <n v="0.64"/>
    <s v="City of Cocoa Beach"/>
    <n v="0.26124667061640999"/>
    <n v="3777.7388730708099"/>
    <n v="9.8672962632328094"/>
    <n v="1.7833472465904301"/>
    <n v="2.5777982967553701"/>
    <n v="0.46589353072470002"/>
    <n v="986.92170304796196"/>
    <n v="1390"/>
    <s v="High Density Under Construction"/>
    <n v="1390"/>
    <s v="City of Cocoa Beach           Brevard County"/>
    <s v="City of Cocoa Beach"/>
    <m/>
    <m/>
    <m/>
    <n v="0"/>
    <n v="1"/>
    <n v="2.5777982967553701"/>
    <n v="0.46589353072470002"/>
    <n v="986.92170304796196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32.72629733018701"/>
    <n v="1057.2277668146601"/>
    <n v="0.8004231168"/>
  </r>
  <r>
    <n v="840000"/>
    <n v="2400000"/>
    <n v="2400000"/>
    <x v="0"/>
    <x v="0"/>
    <s v="BR3-5, BR-7"/>
    <s v="62-304.520 (10), F.A.C."/>
    <n v="0.59"/>
    <n v="0.64"/>
    <s v="FDOT District 5"/>
    <n v="4.4396926809010001E-2"/>
    <n v="3777.7388730708099"/>
    <n v="9.8672962632328094"/>
    <n v="1.7833472465904301"/>
    <n v="0.43807763000159"/>
    <n v="7.9175137181930005E-2"/>
    <n v="167.71999625128799"/>
    <n v="1390"/>
    <s v="High Density Under Construction"/>
    <n v="1390"/>
    <s v="FDOT District 5                                 City of Cocoa Beach           Brevard County"/>
    <s v="FDOT District 5"/>
    <m/>
    <m/>
    <m/>
    <n v="0"/>
    <n v="1"/>
    <n v="0.43807763000159"/>
    <n v="7.9175137181930005E-2"/>
    <n v="167.719996251287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87.974839537484996"/>
    <n v="179.667988391877"/>
    <n v="0.1360259499"/>
  </r>
  <r>
    <n v="840000"/>
    <n v="2400000"/>
    <n v="2400000"/>
    <x v="0"/>
    <x v="0"/>
    <s v="BR3-5, BR-7"/>
    <s v="62-304.520 (10), F.A.C."/>
    <n v="0.59"/>
    <n v="0.64"/>
    <s v="City of Cocoa Beach"/>
    <n v="1.9811341271980001E-2"/>
    <n v="3777.7388730708099"/>
    <n v="9.8672962632328094"/>
    <n v="1.7833472465904301"/>
    <n v="0.19548437370267999"/>
    <n v="3.5330500908650003E-2"/>
    <n v="74.842074050849902"/>
    <n v="1300"/>
    <s v="Residential, High Density"/>
    <n v="1300"/>
    <s v="City of Cocoa Beach           Brevard County"/>
    <s v="City of Cocoa Beach"/>
    <m/>
    <m/>
    <m/>
    <n v="0"/>
    <n v="1"/>
    <n v="0.19548437370267999"/>
    <n v="3.5330500908650003E-2"/>
    <n v="287.942342793926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60.1116377565669"/>
    <n v="80.173653662890402"/>
    <n v="0.23352988059999999"/>
  </r>
  <r>
    <n v="840000"/>
    <n v="2400000"/>
    <n v="2400000"/>
    <x v="0"/>
    <x v="0"/>
    <s v="BR3-5, BR-7"/>
    <s v="62-304.520 (10), F.A.C."/>
    <n v="0.59"/>
    <n v="0.64"/>
    <s v="FDOT District 5"/>
    <n v="5.5947050371980001E-2"/>
    <n v="3777.7388730708099"/>
    <n v="9.8672962632328094"/>
    <n v="1.7833472465904301"/>
    <n v="0.55204612107437001"/>
    <n v="9.9773018235729996E-2"/>
    <n v="211.35334702389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55204612107437001"/>
    <n v="9.9773018235729996E-2"/>
    <n v="715.93146247276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05.27928358957"/>
    <n v="226.409680112199"/>
    <n v="0.58064189980000003"/>
  </r>
  <r>
    <n v="840000"/>
    <n v="2400000"/>
    <n v="2400000"/>
    <x v="0"/>
    <x v="0"/>
    <s v="BR3-5, BR-7"/>
    <s v="62-304.520 (10), F.A.C."/>
    <n v="0.59"/>
    <n v="0.64"/>
    <s v="City of Cocoa Beach"/>
    <n v="2.333703163278E-2"/>
    <n v="3658.0058763699899"/>
    <n v="8.6960428537051406"/>
    <n v="1.42578221936369"/>
    <n v="0.20293982715698999"/>
    <n v="3.3273524754749997E-2"/>
    <n v="85.366998849770795"/>
    <n v="1300"/>
    <s v="Residential, High Density"/>
    <n v="1300"/>
    <s v="City of Cocoa Beach           Brevard County"/>
    <s v="City of Cocoa Beach"/>
    <m/>
    <m/>
    <m/>
    <n v="0"/>
    <n v="1"/>
    <n v="0.20293982715698999"/>
    <n v="3.3273524754749997E-2"/>
    <n v="706.39935959064098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43.938261283435899"/>
    <n v="94.441616342901597"/>
    <n v="0.57291107829999999"/>
  </r>
  <r>
    <n v="840000"/>
    <n v="2400000"/>
    <n v="2400000"/>
    <x v="0"/>
    <x v="0"/>
    <s v="BR3-5, BR-7"/>
    <s v="62-304.520 (10), F.A.C."/>
    <n v="0.59"/>
    <n v="0.64"/>
    <s v="Natural Lands"/>
    <n v="6.3263377493099999E-3"/>
    <n v="3658.0058763699899"/>
    <n v="8.6960428537051406"/>
    <n v="1.42578221936369"/>
    <n v="5.5014104175029999E-2"/>
    <n v="9.0199798766600007E-3"/>
    <n v="23.141780662888198"/>
    <n v="4340"/>
    <s v="Hardwood Conifer Mixed"/>
    <n v="4340"/>
    <s v="City of Cocoa Beach           Brevard County"/>
    <s v="City of Cocoa Beach"/>
    <m/>
    <m/>
    <s v="Natural Lands"/>
    <n v="0"/>
    <n v="1"/>
    <n v="5.5014104175029999E-2"/>
    <n v="9.0199798766600007E-3"/>
    <n v="252.174672486785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4.519461824277101"/>
    <n v="25.6017805510801"/>
    <n v="0.2045212267"/>
  </r>
  <r>
    <n v="840000"/>
    <n v="2400000"/>
    <n v="2400000"/>
    <x v="0"/>
    <x v="0"/>
    <s v="BR3-5, BR-7"/>
    <s v="62-304.520 (10), F.A.C."/>
    <n v="0.59"/>
    <n v="0.64"/>
    <s v="City of Cocoa Beach"/>
    <n v="1.24853718063E-3"/>
    <n v="3658.0058763699899"/>
    <n v="8.6960428537051406"/>
    <n v="1.42578221936369"/>
    <n v="1.085733282725E-2"/>
    <n v="1.78014211236E-3"/>
    <n v="4.5671563436328997"/>
    <n v="1200"/>
    <s v="Residential, Medium Density-Two-five dwellingunits per acre"/>
    <n v="1200"/>
    <s v="City of Cocoa Beach           Brevard County"/>
    <s v="City of Cocoa Beach"/>
    <m/>
    <m/>
    <m/>
    <n v="0"/>
    <n v="1"/>
    <n v="1.085733282725E-2"/>
    <n v="1.78014211236E-3"/>
    <n v="4.567156343633340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8.9986957609295803"/>
    <n v="5.0526507080624699"/>
    <n v="3.7041007999999999E-3"/>
  </r>
  <r>
    <n v="840000"/>
    <n v="2400000"/>
    <n v="2400000"/>
    <x v="0"/>
    <x v="0"/>
    <s v="BR3-5, BR-7"/>
    <s v="62-304.520 (10), F.A.C."/>
    <n v="0.59"/>
    <n v="0.64"/>
    <s v="City of Cocoa Beach"/>
    <n v="8.5817621902400006E-3"/>
    <n v="3658.0058763699899"/>
    <n v="8.6960428537051406"/>
    <n v="1.42578221936369"/>
    <n v="7.4627371766629993E-2"/>
    <n v="1.223572394165E-2"/>
    <n v="31.392136521507702"/>
    <n v="1210"/>
    <s v="Fixed Single Family Units"/>
    <n v="1210"/>
    <s v="City of Cocoa Beach           Brevard County"/>
    <s v="City of Cocoa Beach"/>
    <m/>
    <m/>
    <m/>
    <n v="0"/>
    <n v="1"/>
    <n v="7.4627371766629993E-2"/>
    <n v="1.223572394165E-2"/>
    <n v="226.67847044282101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44.9889427533641"/>
    <n v="34.729159435082501"/>
    <n v="0.18384304169999999"/>
  </r>
  <r>
    <n v="840000"/>
    <n v="2400000"/>
    <n v="2400000"/>
    <x v="0"/>
    <x v="0"/>
    <s v="BR3-5, BR-7"/>
    <s v="62-304.520 (10), F.A.C."/>
    <n v="0.59"/>
    <n v="0.64"/>
    <s v="FDOT District 5"/>
    <n v="4.1457478179999997E-5"/>
    <n v="3658.0058763699899"/>
    <n v="8.6960428537051406"/>
    <n v="1.42578221936369"/>
    <n v="3.6051600686E-4"/>
    <n v="5.9109335250000001E-5"/>
    <n v="0.15165169880557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6051600686E-4"/>
    <n v="5.9109335250000001E-5"/>
    <n v="0.427397205110369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8.8425923403603193"/>
    <n v="0.16777246183221001"/>
    <n v="3.4663199999999998E-4"/>
  </r>
  <r>
    <n v="840000"/>
    <n v="2400000"/>
    <n v="2400000"/>
    <x v="0"/>
    <x v="0"/>
    <s v="BR3-5, BR-7"/>
    <s v="62-304.520 (10), F.A.C."/>
    <n v="0.59"/>
    <n v="0.64"/>
    <s v="City of Cocoa Beach"/>
    <n v="1.7500682917160001E-2"/>
    <n v="3658.0058763699899"/>
    <n v="8.6960428537051406"/>
    <n v="1.42578221936369"/>
    <n v="0.15218668861675999"/>
    <n v="2.4952162530010001E-2"/>
    <n v="64.017600951473796"/>
    <n v="1210"/>
    <s v="Fixed Single Family Units"/>
    <n v="1210"/>
    <s v="City of Cocoa Beach           Brevard County"/>
    <s v="City of Cocoa Beach"/>
    <m/>
    <m/>
    <m/>
    <n v="0"/>
    <n v="1"/>
    <n v="0.15218668861675999"/>
    <n v="2.4952162530010001E-2"/>
    <n v="64.587391176879294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50.417767489867302"/>
    <n v="70.822751059711095"/>
    <n v="5.2382312399999999E-2"/>
  </r>
  <r>
    <n v="840000"/>
    <n v="2400000"/>
    <n v="2400000"/>
    <x v="0"/>
    <x v="0"/>
    <s v="BR3-5, BR-7"/>
    <s v="62-304.520 (10), F.A.C."/>
    <n v="0.59"/>
    <n v="0.64"/>
    <s v="FDOT District 5"/>
    <n v="3.9021607229999998E-5"/>
    <n v="3658.0058763699899"/>
    <n v="8.6960428537051406"/>
    <n v="1.42578221936369"/>
    <n v="3.3933356872000001E-4"/>
    <n v="5.5636313759999997E-5"/>
    <n v="0.142741268567369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3933356872000001E-4"/>
    <n v="5.5636313759999997E-5"/>
    <n v="0.14274126856689001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7.6005578111713499"/>
    <n v="0.15791484184674001"/>
    <n v="1.157675E-4"/>
  </r>
  <r>
    <n v="840000"/>
    <n v="2400000"/>
    <n v="2400000"/>
    <x v="0"/>
    <x v="0"/>
    <s v="BR3-5, BR-7"/>
    <s v="62-304.520 (10), F.A.C."/>
    <n v="0.59"/>
    <n v="0.64"/>
    <s v="City of Cocoa Beach"/>
    <n v="1.22049308569E-3"/>
    <n v="3773.8140038065098"/>
    <n v="9.4768971225364407"/>
    <n v="1.6345837971214201"/>
    <n v="1.1566487411900001E-2"/>
    <n v="1.99499822237E-3"/>
    <n v="4.6059138983485903"/>
    <n v="1390"/>
    <s v="High Density Under Construction"/>
    <n v="1390"/>
    <s v="City of Cocoa Beach           Brevard County"/>
    <s v="City of Cocoa Beach"/>
    <m/>
    <m/>
    <m/>
    <n v="0"/>
    <n v="1"/>
    <n v="1.1566487411900001E-2"/>
    <n v="1.99499822237E-3"/>
    <n v="1093.29682592447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4.6388123340853"/>
    <n v="4.9391602823430301"/>
    <n v="0.8866965336"/>
  </r>
  <r>
    <n v="840000"/>
    <n v="2400000"/>
    <n v="2400000"/>
    <x v="0"/>
    <x v="0"/>
    <s v="BR3-5, BR-7"/>
    <s v="62-304.520 (10), F.A.C."/>
    <n v="0.59"/>
    <n v="0.64"/>
    <s v="City of Cocoa Beach"/>
    <n v="0.25983838916816998"/>
    <n v="3760.6698091599601"/>
    <n v="8.0017926262209595"/>
    <n v="1.17712454080462"/>
    <n v="2.07917290645499"/>
    <n v="0.30586214453298999"/>
    <n v="977.16638540549297"/>
    <n v="1390"/>
    <s v="High Density Under Construction"/>
    <n v="1390"/>
    <s v="City of Cocoa Beach           Brevard County"/>
    <s v="City of Cocoa Beach"/>
    <m/>
    <m/>
    <m/>
    <n v="0"/>
    <n v="1"/>
    <n v="2.07917290645499"/>
    <n v="0.30586214453298999"/>
    <n v="982.10531030313598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41.518504170109"/>
    <n v="1051.5286539912699"/>
    <n v="0.79651687780000002"/>
  </r>
  <r>
    <n v="840000"/>
    <n v="2400000"/>
    <n v="2400000"/>
    <x v="0"/>
    <x v="0"/>
    <s v="BR3-5, BR-7"/>
    <s v="62-304.520 (10), F.A.C."/>
    <n v="0.59"/>
    <n v="0.64"/>
    <s v="City of Cocoa Beach"/>
    <n v="8.2775576887269997E-2"/>
    <n v="3760.6698091599601"/>
    <n v="8.0017926262209595"/>
    <n v="1.17712454080462"/>
    <n v="0.66235300076781001"/>
    <n v="9.7437162933269997E-2"/>
    <n v="311.29161293578898"/>
    <n v="1210"/>
    <s v="Fixed Single Family Units"/>
    <n v="1210"/>
    <s v="City of Cocoa Beach           Brevard County"/>
    <s v="City of Cocoa Beach"/>
    <m/>
    <m/>
    <m/>
    <n v="0"/>
    <n v="1"/>
    <n v="0.66235300076781001"/>
    <n v="9.7437162933269997E-2"/>
    <n v="316.42704579168998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79.939352327580494"/>
    <n v="334.98087494414898"/>
    <n v="0.25663182950000002"/>
  </r>
  <r>
    <n v="840000"/>
    <n v="2400000"/>
    <n v="2400000"/>
    <x v="0"/>
    <x v="0"/>
    <s v="BR3-5, BR-7"/>
    <s v="62-304.520 (10), F.A.C."/>
    <n v="0.59"/>
    <n v="0.64"/>
    <s v="City of Cocoa Beach"/>
    <n v="9.6452791200880003E-2"/>
    <n v="3760.6698091599601"/>
    <n v="8.0017926262209595"/>
    <n v="1.17712454080462"/>
    <n v="0.77179523340968004"/>
    <n v="0.11353694755165999"/>
    <n v="362.72709987838101"/>
    <n v="1210"/>
    <s v="Fixed Single Family Units"/>
    <n v="1210"/>
    <s v="City of Cocoa Beach           Brevard County"/>
    <s v="City of Cocoa Beach"/>
    <m/>
    <m/>
    <m/>
    <n v="0"/>
    <n v="1"/>
    <n v="0.77179523340968004"/>
    <n v="0.11353694755165999"/>
    <n v="362.727099878379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91.129057757851101"/>
    <n v="390.33059752971002"/>
    <n v="0.29418256279999999"/>
  </r>
  <r>
    <n v="840000"/>
    <n v="2400000"/>
    <n v="2400000"/>
    <x v="0"/>
    <x v="0"/>
    <s v="BR3-5, BR-7"/>
    <s v="62-304.520 (10), F.A.C."/>
    <n v="0.59"/>
    <n v="0.64"/>
    <s v="City of Cocoa Beach"/>
    <n v="0.10008027850421"/>
    <n v="3760.6698091599601"/>
    <n v="8.0017926262209595"/>
    <n v="1.17712454080462"/>
    <n v="0.80082163456513999"/>
    <n v="0.11780695187787001"/>
    <n v="376.36888186311"/>
    <n v="1210"/>
    <s v="Fixed Single Family Units"/>
    <n v="1210"/>
    <s v="City of Cocoa Beach           Brevard County"/>
    <s v="City of Cocoa Beach"/>
    <m/>
    <m/>
    <m/>
    <n v="0"/>
    <n v="1"/>
    <n v="0.80082163456513999"/>
    <n v="0.11780695187787001"/>
    <n v="376.36888186311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92.075878430393999"/>
    <n v="405.01051782034898"/>
    <n v="0.3052464573"/>
  </r>
  <r>
    <n v="840000"/>
    <n v="2400000"/>
    <n v="2400000"/>
    <x v="0"/>
    <x v="0"/>
    <s v="BR3-5, BR-7"/>
    <s v="62-304.520 (10), F.A.C."/>
    <n v="0.59"/>
    <n v="0.64"/>
    <s v="City of Cocoa Beach"/>
    <n v="7.5937544726479997E-2"/>
    <n v="3760.6698091599601"/>
    <n v="8.0017926262209595"/>
    <n v="1.17712454080462"/>
    <n v="0.60763648544572002"/>
    <n v="8.9387947465990006E-2"/>
    <n v="285.57603183463402"/>
    <n v="1210"/>
    <s v="Fixed Single Family Units"/>
    <n v="1210"/>
    <s v="City of Cocoa Beach           Brevard County"/>
    <s v="City of Cocoa Beach"/>
    <m/>
    <m/>
    <m/>
    <n v="0"/>
    <n v="1"/>
    <n v="0.60763648544572002"/>
    <n v="8.9387947465990006E-2"/>
    <n v="285.5760318346340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84.938198143385094"/>
    <n v="307.308340577671"/>
    <n v="0.23161073139999999"/>
  </r>
  <r>
    <n v="840000"/>
    <n v="2400000"/>
    <n v="2400000"/>
    <x v="0"/>
    <x v="0"/>
    <s v="BR3-5, BR-7"/>
    <s v="62-304.520 (10), F.A.C."/>
    <n v="0.59"/>
    <n v="0.64"/>
    <s v="City of Cocoa Beach"/>
    <n v="0.18268681012308999"/>
    <n v="3629.7692340633598"/>
    <n v="8.6519783792635891"/>
    <n v="1.4197397070881399"/>
    <n v="1.58060233136165"/>
    <n v="0.25936771829303001"/>
    <n v="663.11096285398503"/>
    <n v="1300"/>
    <s v="Residential, High Density"/>
    <n v="1300"/>
    <s v="City of Cocoa Beach           Brevard County"/>
    <s v="City of Cocoa Beach"/>
    <m/>
    <m/>
    <m/>
    <n v="0"/>
    <n v="1"/>
    <n v="1.58060233136165"/>
    <n v="0.25936771829303001"/>
    <n v="663.11096285398503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29.618603245451"/>
    <n v="739.30729083441599"/>
    <n v="0.5378028896"/>
  </r>
  <r>
    <n v="840000"/>
    <n v="2400000"/>
    <n v="2400000"/>
    <x v="0"/>
    <x v="0"/>
    <s v="BR3-5, BR-7"/>
    <s v="62-304.520 (10), F.A.C."/>
    <n v="0.59"/>
    <n v="0.64"/>
    <s v="FDOT District 5"/>
    <n v="3.7820955479999998E-5"/>
    <n v="3629.7692340633598"/>
    <n v="8.6519783792635891"/>
    <n v="1.4197397070881399"/>
    <n v="3.2722608908999999E-4"/>
    <n v="5.3695912250000001E-5"/>
    <n v="0.137281340604180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2722608908999999E-4"/>
    <n v="5.3695912250000001E-5"/>
    <n v="0.1372813406055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1.913770304243601"/>
    <n v="0.15305597658702999"/>
    <n v="1.1133930000000001E-4"/>
  </r>
  <r>
    <n v="840000"/>
    <n v="2400000"/>
    <n v="2400000"/>
    <x v="0"/>
    <x v="0"/>
    <s v="BR3-5, BR-7"/>
    <s v="62-304.520 (10), F.A.C."/>
    <n v="0.59"/>
    <n v="0.64"/>
    <s v="Natural Lands"/>
    <n v="8.8740245001010007E-2"/>
    <n v="3629.7692340633598"/>
    <n v="8.6519783792635891"/>
    <n v="1.4197397070881399"/>
    <n v="0.76777868111935998"/>
    <n v="0.12598804944467001"/>
    <n v="322.10661112794003"/>
    <n v="4340"/>
    <s v="Hardwood Conifer Mixed"/>
    <n v="4340"/>
    <s v="City of Cocoa Beach           Brevard County"/>
    <s v="City of Cocoa Beach"/>
    <m/>
    <m/>
    <s v="Natural Lands"/>
    <n v="0"/>
    <n v="1"/>
    <n v="0.76777868111935998"/>
    <n v="0.12598804944467001"/>
    <n v="322.10661112793798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14.44398532104"/>
    <n v="359.11903040771699"/>
    <n v="0.26123812740000002"/>
  </r>
  <r>
    <n v="840000"/>
    <n v="2400000"/>
    <n v="2400000"/>
    <x v="0"/>
    <x v="0"/>
    <s v="BR3-5, BR-7"/>
    <s v="62-304.520 (10), F.A.C."/>
    <n v="0.59"/>
    <n v="0.64"/>
    <s v="City of Cocoa Beach"/>
    <n v="2.108494693024E-2"/>
    <n v="3629.7692340633598"/>
    <n v="8.6519783792635891"/>
    <n v="1.4197397070881399"/>
    <n v="0.18242650496839"/>
    <n v="2.9935136378709998E-2"/>
    <n v="76.533491669258296"/>
    <n v="1200"/>
    <s v="Residential, Medium Density-Two-five dwellingunits per acre"/>
    <n v="1200"/>
    <s v="City of Cocoa Beach           Brevard County"/>
    <s v="City of Cocoa Beach"/>
    <m/>
    <m/>
    <m/>
    <n v="0"/>
    <n v="1"/>
    <n v="0.18242650496839"/>
    <n v="2.9935136378709998E-2"/>
    <n v="76.533491669259007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03.471937325681"/>
    <n v="85.327752900621803"/>
    <n v="6.2070958400000001E-2"/>
  </r>
  <r>
    <n v="840000"/>
    <n v="2400000"/>
    <n v="2400000"/>
    <x v="0"/>
    <x v="0"/>
    <s v="BR3-5, BR-7"/>
    <s v="62-304.520 (10), F.A.C."/>
    <n v="0.59"/>
    <n v="0.64"/>
    <s v="City of Cocoa Beach"/>
    <n v="4.2632789570839998E-2"/>
    <n v="3629.7692340633598"/>
    <n v="8.6519783792635891"/>
    <n v="1.4197397070881399"/>
    <n v="0.36885797361467998"/>
    <n v="6.0527464177660001E-2"/>
    <n v="154.747187946564"/>
    <n v="1210"/>
    <s v="Fixed Single Family Units"/>
    <n v="1210"/>
    <s v="City of Cocoa Beach           Brevard County"/>
    <s v="City of Cocoa Beach"/>
    <m/>
    <m/>
    <m/>
    <n v="0"/>
    <n v="1"/>
    <n v="0.36885797361467998"/>
    <n v="6.0527464177660001E-2"/>
    <n v="154.747187946565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75.038447177119494"/>
    <n v="172.52877827961899"/>
    <n v="0.1255046131"/>
  </r>
  <r>
    <n v="840000"/>
    <n v="2400000"/>
    <n v="2400000"/>
    <x v="0"/>
    <x v="0"/>
    <s v="BR3-5, BR-7"/>
    <s v="62-304.520 (10), F.A.C."/>
    <n v="0.59"/>
    <n v="0.64"/>
    <s v="FDOT District 5"/>
    <n v="1.2192862243E-4"/>
    <n v="3629.7692340633598"/>
    <n v="8.6519783792635891"/>
    <n v="1.4197397070881399"/>
    <n v="1.05492380507E-3"/>
    <n v="1.7310690669000001E-4"/>
    <n v="0.4425727624481399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05492380507E-3"/>
    <n v="1.7310690669000001E-4"/>
    <n v="0.44257276244693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0.479402687750699"/>
    <n v="0.49342762875388002"/>
    <n v="3.5893980000000002E-4"/>
  </r>
  <r>
    <n v="840000"/>
    <n v="2400000"/>
    <n v="2400000"/>
    <x v="0"/>
    <x v="0"/>
    <s v="BR3-5, BR-7"/>
    <s v="62-304.520 (10), F.A.C."/>
    <n v="0.59"/>
    <n v="0.64"/>
    <s v="City of Cocoa Beach"/>
    <n v="5.8610665719469997E-2"/>
    <n v="3629.7692340633598"/>
    <n v="8.6519783792635891"/>
    <n v="1.4197397070881399"/>
    <n v="0.50709821259912002"/>
    <n v="8.32118893808E-2"/>
    <n v="212.74319121651499"/>
    <n v="1210"/>
    <s v="Fixed Single Family Units"/>
    <n v="1210"/>
    <s v="City of Cocoa Beach           Brevard County"/>
    <s v="City of Cocoa Beach"/>
    <m/>
    <m/>
    <m/>
    <n v="0"/>
    <n v="1"/>
    <n v="0.50709821259912002"/>
    <n v="8.32118893808E-2"/>
    <n v="212.743191216513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89.812799027060294"/>
    <n v="237.188948987987"/>
    <n v="0.1725411121"/>
  </r>
  <r>
    <n v="840000"/>
    <n v="2400000"/>
    <n v="2400000"/>
    <x v="0"/>
    <x v="0"/>
    <s v="BR3-5, BR-7"/>
    <s v="62-304.520 (10), F.A.C."/>
    <n v="0.59"/>
    <n v="0.64"/>
    <s v="FDOT District 5"/>
    <n v="2.0505849931999999E-4"/>
    <n v="3629.7692340633598"/>
    <n v="8.6519783792635891"/>
    <n v="1.4197397070881399"/>
    <n v="1.77416170265E-3"/>
    <n v="2.9112969376000002E-4"/>
    <n v="0.744315032036710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77416170265E-3"/>
    <n v="2.9112969376000002E-4"/>
    <n v="0.7443150320383600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8.0176588067228"/>
    <n v="0.82984230496695999"/>
    <n v="6.0366179999999997E-4"/>
  </r>
  <r>
    <n v="840000"/>
    <n v="2400000"/>
    <n v="2400000"/>
    <x v="0"/>
    <x v="0"/>
    <s v="BR3-5, BR-7"/>
    <s v="62-304.520 (10), F.A.C."/>
    <n v="0.59"/>
    <n v="0.64"/>
    <s v="City of Cocoa Beach"/>
    <n v="5.6932628573440003E-2"/>
    <n v="3629.7692340633598"/>
    <n v="8.6519783792635891"/>
    <n v="1.4197397070881399"/>
    <n v="0.49257987149208998"/>
    <n v="8.0829513414619997E-2"/>
    <n v="206.652303610247"/>
    <n v="1210"/>
    <s v="Fixed Single Family Units"/>
    <n v="1210"/>
    <s v="City of Cocoa Beach           Brevard County"/>
    <s v="City of Cocoa Beach"/>
    <m/>
    <m/>
    <m/>
    <n v="0"/>
    <n v="1"/>
    <n v="0.49257987149208998"/>
    <n v="8.0829513414619997E-2"/>
    <n v="206.65230361024601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88.839685042546193"/>
    <n v="230.39817358655799"/>
    <n v="0.16760121950000001"/>
  </r>
  <r>
    <n v="840000"/>
    <n v="2400000"/>
    <n v="2400000"/>
    <x v="0"/>
    <x v="0"/>
    <s v="BR3-5, BR-7"/>
    <s v="62-304.520 (10), F.A.C."/>
    <n v="0.59"/>
    <n v="0.64"/>
    <s v="FDOT District 5"/>
    <n v="2.4917442590999999E-4"/>
    <n v="3629.7692340633598"/>
    <n v="8.6519783792635891"/>
    <n v="1.4197397070881399"/>
    <n v="2.1558517456999999E-3"/>
    <n v="3.5376282646000002E-4"/>
    <n v="0.9044456651125499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1558517456999999E-3"/>
    <n v="3.5376282646000002E-4"/>
    <n v="0.90444566511256996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8.043844091865498"/>
    <n v="1.00837312582411"/>
    <n v="7.3353260000000005E-4"/>
  </r>
  <r>
    <n v="840000"/>
    <n v="2400000"/>
    <n v="2400000"/>
    <x v="0"/>
    <x v="0"/>
    <s v="BR3-5, BR-7"/>
    <s v="62-304.520 (10), F.A.C."/>
    <n v="0.59"/>
    <n v="0.64"/>
    <s v="City of Cocoa Beach"/>
    <n v="4.8451543607469998E-2"/>
    <n v="3629.7692340633598"/>
    <n v="8.6519783792635891"/>
    <n v="1.4197397070881399"/>
    <n v="0.41920170773382998"/>
    <n v="6.8788580329239998E-2"/>
    <n v="175.867922329295"/>
    <n v="1210"/>
    <s v="Fixed Single Family Units"/>
    <n v="1210"/>
    <s v="City of Cocoa Beach           Brevard County"/>
    <s v="City of Cocoa Beach"/>
    <m/>
    <m/>
    <m/>
    <n v="0"/>
    <n v="1"/>
    <n v="0.41920170773382998"/>
    <n v="6.8788580329239998E-2"/>
    <n v="175.867922329295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68.565652227837603"/>
    <n v="196.07644042310801"/>
    <n v="0.14263416249999999"/>
  </r>
  <r>
    <n v="840000"/>
    <n v="2400000"/>
    <n v="2400000"/>
    <x v="0"/>
    <x v="0"/>
    <s v="BR3-5, BR-7"/>
    <s v="62-304.520 (10), F.A.C."/>
    <n v="0.59"/>
    <n v="0.64"/>
    <s v="FDOT District 5"/>
    <n v="2.1019078868999999E-4"/>
    <n v="3629.7692340633598"/>
    <n v="8.6519783792635891"/>
    <n v="1.4197397070881399"/>
    <n v="1.8185661593299999E-3"/>
    <n v="2.9841620877000001E-4"/>
    <n v="0.76294405809951005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8185661593299999E-3"/>
    <n v="2.9841620877000001E-4"/>
    <n v="0.76294405809897003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3.970865688883698"/>
    <n v="0.85061194317121003"/>
    <n v="6.1877049999999999E-4"/>
  </r>
  <r>
    <n v="840000"/>
    <n v="2400000"/>
    <n v="2400000"/>
    <x v="0"/>
    <x v="0"/>
    <s v="BR3-5, BR-7"/>
    <s v="62-304.520 (10), F.A.C."/>
    <n v="0.59"/>
    <n v="0.64"/>
    <s v="City of Cocoa Beach"/>
    <n v="7.9092566472300004E-3"/>
    <n v="3618.6125122257199"/>
    <n v="8.9028021953563101"/>
    <n v="1.5077956406829101"/>
    <n v="7.041454744266E-2"/>
    <n v="1.192554269374E-2"/>
    <n v="28.620535066099801"/>
    <n v="1200"/>
    <s v="Residential, Medium Density-Two-five dwellingunits per acre"/>
    <n v="1200"/>
    <s v="City of Cocoa Beach           Brevard County"/>
    <s v="City of Cocoa Beach"/>
    <m/>
    <m/>
    <m/>
    <n v="0"/>
    <n v="1"/>
    <n v="7.041454744266E-2"/>
    <n v="1.192554269374E-2"/>
    <n v="66.3891041419445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5.698951257424898"/>
    <n v="32.007626059283801"/>
    <n v="5.3843555699999997E-2"/>
  </r>
  <r>
    <n v="840000"/>
    <n v="2400000"/>
    <n v="2400000"/>
    <x v="0"/>
    <x v="0"/>
    <s v="BR3-5, BR-7"/>
    <s v="62-304.520 (10), F.A.C."/>
    <n v="0.59"/>
    <n v="0.64"/>
    <s v="City of Cocoa Beach"/>
    <n v="0.18218941620019"/>
    <n v="3618.6125122257199"/>
    <n v="8.9028021953563101"/>
    <n v="1.5077956406829101"/>
    <n v="1.6219963345177999"/>
    <n v="0.27470440752522002"/>
    <n v="659.272901057132"/>
    <n v="1300"/>
    <s v="Residential, High Density"/>
    <n v="1300"/>
    <s v="City of Cocoa Beach           Brevard County"/>
    <s v="City of Cocoa Beach"/>
    <m/>
    <m/>
    <m/>
    <n v="0"/>
    <n v="1"/>
    <n v="1.6219963345177999"/>
    <n v="0.27470440752522002"/>
    <n v="783.78818837516997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27.75809358727199"/>
    <n v="737.29440904307296"/>
    <n v="0.6356757408"/>
  </r>
  <r>
    <n v="840000"/>
    <n v="2400000"/>
    <n v="2400000"/>
    <x v="0"/>
    <x v="0"/>
    <s v="BR3-5, BR-7"/>
    <s v="62-304.520 (10), F.A.C."/>
    <n v="0.59"/>
    <n v="0.64"/>
    <s v="FDOT District 5"/>
    <n v="1.20424609835E-3"/>
    <n v="3618.6125122257199"/>
    <n v="8.9028021953563101"/>
    <n v="1.5077956406829101"/>
    <n v="1.072116480822E-2"/>
    <n v="1.81575701741E-3"/>
    <n v="4.357699999320879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072116480822E-2"/>
    <n v="1.81575701741E-3"/>
    <n v="4.95155318704174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90.246662469555702"/>
    <n v="4.8734110572951996"/>
    <n v="4.0158581999999998E-3"/>
  </r>
  <r>
    <n v="840000"/>
    <n v="2400000"/>
    <n v="2400000"/>
    <x v="0"/>
    <x v="0"/>
    <s v="BR3-5, BR-7"/>
    <s v="62-304.520 (10), F.A.C."/>
    <n v="0.59"/>
    <n v="0.64"/>
    <s v="Natural Lands"/>
    <n v="9.4271478051120003E-2"/>
    <n v="3618.6125122257199"/>
    <n v="8.9028021953563101"/>
    <n v="1.5077956406829101"/>
    <n v="0.83928032175302003"/>
    <n v="0.14214212364621001"/>
    <n v="341.13195002180601"/>
    <n v="4340"/>
    <s v="Hardwood Conifer Mixed"/>
    <n v="4340"/>
    <s v="City of Cocoa Beach           Brevard County"/>
    <s v="City of Cocoa Beach"/>
    <m/>
    <m/>
    <s v="Natural Lands"/>
    <n v="0"/>
    <n v="1"/>
    <n v="0.83928032175302003"/>
    <n v="0.14214212364621001"/>
    <n v="341.13195002180498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02.777510039456"/>
    <n v="381.50313640032698"/>
    <n v="0.27666824820000002"/>
  </r>
  <r>
    <n v="840000"/>
    <n v="2400000"/>
    <n v="2400000"/>
    <x v="0"/>
    <x v="0"/>
    <s v="BR3-5, BR-7"/>
    <s v="62-304.520 (10), F.A.C."/>
    <n v="0.59"/>
    <n v="0.64"/>
    <s v="City of Cocoa Beach"/>
    <n v="2.56124627369E-3"/>
    <n v="3618.6125122257199"/>
    <n v="8.9028021953563101"/>
    <n v="1.5077956406829101"/>
    <n v="2.2802268948329998E-2"/>
    <n v="3.8618359661900001E-3"/>
    <n v="9.2681578128986999"/>
    <n v="1200"/>
    <s v="Residential, Medium Density-Two-five dwellingunits per acre"/>
    <n v="1200"/>
    <s v="City of Cocoa Beach           Brevard County"/>
    <s v="City of Cocoa Beach"/>
    <m/>
    <m/>
    <m/>
    <n v="0"/>
    <n v="1"/>
    <n v="2.2802268948329998E-2"/>
    <n v="3.8618359661900001E-3"/>
    <n v="9.2681578128979094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9.8597661273513"/>
    <n v="10.3649959320659"/>
    <n v="7.5167541000000001E-3"/>
  </r>
  <r>
    <n v="840000"/>
    <n v="2400000"/>
    <n v="2400000"/>
    <x v="0"/>
    <x v="0"/>
    <s v="BR3-5, BR-7"/>
    <s v="62-304.520 (10), F.A.C."/>
    <n v="0.59"/>
    <n v="0.64"/>
    <s v="City of Cocoa Beach"/>
    <n v="8.0070380774279998E-2"/>
    <n v="3618.6125122257199"/>
    <n v="8.9028021953563101"/>
    <n v="1.5077956406829101"/>
    <n v="0.71285076174031003"/>
    <n v="0.12072977107928"/>
    <n v="289.74368172850097"/>
    <n v="1210"/>
    <s v="Fixed Single Family Units"/>
    <n v="1210"/>
    <s v="City of Cocoa Beach           Brevard County"/>
    <s v="City of Cocoa Beach"/>
    <m/>
    <m/>
    <m/>
    <n v="0"/>
    <n v="1"/>
    <n v="0.71285076174031003"/>
    <n v="0.12072977107928"/>
    <n v="289.74368172850001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73.183564758257901"/>
    <n v="324.033334680422"/>
    <n v="0.2349908205"/>
  </r>
  <r>
    <n v="840000"/>
    <n v="2400000"/>
    <n v="2400000"/>
    <x v="0"/>
    <x v="0"/>
    <s v="BR3-5, BR-7"/>
    <s v="62-304.520 (10), F.A.C."/>
    <n v="0.59"/>
    <n v="0.64"/>
    <s v="City of Cocoa Beach"/>
    <n v="6.8704302676499997E-3"/>
    <n v="3618.6125122257199"/>
    <n v="8.9028021953563101"/>
    <n v="1.5077956406829101"/>
    <n v="6.1166081669919999E-2"/>
    <n v="1.035920480718E-2"/>
    <n v="24.861424930910701"/>
    <n v="1210"/>
    <s v="Fixed Single Family Units"/>
    <n v="1210"/>
    <s v="City of Cocoa Beach           Brevard County"/>
    <s v="City of Cocoa Beach"/>
    <m/>
    <m/>
    <m/>
    <n v="0"/>
    <n v="1"/>
    <n v="6.1166081669919999E-2"/>
    <n v="1.035920480718E-2"/>
    <n v="24.861424930909301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35.258683241355698"/>
    <n v="27.8036448533095"/>
    <n v="2.01633617E-2"/>
  </r>
  <r>
    <n v="840000"/>
    <n v="2400000"/>
    <n v="2400000"/>
    <x v="0"/>
    <x v="0"/>
    <s v="BR3-5, BR-7"/>
    <s v="62-304.520 (10), F.A.C."/>
    <n v="0.59"/>
    <n v="0.64"/>
    <s v="FDOT District 5"/>
    <n v="1.505721411E-5"/>
    <n v="3618.6125122257199"/>
    <n v="8.9028021953563101"/>
    <n v="1.5077956406829101"/>
    <n v="1.3405139883E-4"/>
    <n v="2.2703201789999999E-5"/>
    <n v="5.4486223377699997E-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3405139883E-4"/>
    <n v="2.2703201789999999E-5"/>
    <n v="5.448622337747E-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4.1046844949349701"/>
    <n v="6.0934383624240002E-2"/>
    <n v="4.4190000000000002E-5"/>
  </r>
  <r>
    <n v="840000"/>
    <n v="2400000"/>
    <n v="2400000"/>
    <x v="0"/>
    <x v="0"/>
    <s v="BR3-5, BR-7"/>
    <s v="62-304.520 (10), F.A.C."/>
    <n v="0.59"/>
    <n v="0.64"/>
    <s v="City of Cocoa Beach"/>
    <n v="5.3905353843939997E-2"/>
    <n v="3618.6125122257199"/>
    <n v="8.9028021953563101"/>
    <n v="1.5077956406829101"/>
    <n v="0.47990870254328"/>
    <n v="8.1278257535359999E-2"/>
    <n v="195.062587895636"/>
    <n v="1210"/>
    <s v="Fixed Single Family Units"/>
    <n v="1210"/>
    <s v="City of Cocoa Beach           Brevard County"/>
    <s v="City of Cocoa Beach"/>
    <m/>
    <m/>
    <m/>
    <n v="0"/>
    <n v="1"/>
    <n v="0.47990870254328"/>
    <n v="8.1278257535359999E-2"/>
    <n v="195.062587895636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59.166284330353001"/>
    <n v="218.14722740509399"/>
    <n v="0.15820161220000001"/>
  </r>
  <r>
    <n v="840000"/>
    <n v="2400000"/>
    <n v="2400000"/>
    <x v="0"/>
    <x v="0"/>
    <s v="BR3-5, BR-7"/>
    <s v="62-304.520 (10), F.A.C."/>
    <n v="0.59"/>
    <n v="0.64"/>
    <s v="FDOT District 5"/>
    <n v="7.8586911129999992E-6"/>
    <n v="3618.6125122257199"/>
    <n v="8.9028021953563101"/>
    <n v="1.5077956406829101"/>
    <n v="6.9964372489999995E-5"/>
    <n v="1.18493002E-5"/>
    <n v="2.8437557991210002E-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6.9964372489999995E-5"/>
    <n v="1.18493002E-5"/>
    <n v="2.8437557989600001E-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5.7366395072694898"/>
    <n v="3.1802994600489999E-2"/>
    <n v="2.3063700000000001E-5"/>
  </r>
  <r>
    <n v="840000"/>
    <n v="2400000"/>
    <n v="2400000"/>
    <x v="0"/>
    <x v="0"/>
    <s v="BR3-5, BR-7"/>
    <s v="62-304.520 (10), F.A.C."/>
    <n v="0.59"/>
    <n v="0.64"/>
    <s v="City of Cocoa Beach"/>
    <n v="0.19598380778209001"/>
    <n v="3761.35678253276"/>
    <n v="8.7597005472687606"/>
    <n v="1.41947732791967"/>
    <n v="1.7167594682846401"/>
    <n v="0.27819457178605"/>
    <n v="737.16502466778502"/>
    <n v="1390"/>
    <s v="High Density Under Construction"/>
    <n v="1390"/>
    <s v="City of Cocoa Beach           Brevard County"/>
    <s v="City of Cocoa Beach"/>
    <m/>
    <m/>
    <m/>
    <n v="0"/>
    <n v="1"/>
    <n v="1.7167594682846401"/>
    <n v="0.27819457178605"/>
    <n v="737.1650246677850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20.799167843943"/>
    <n v="793.11833120938195"/>
    <n v="0.59786295590000005"/>
  </r>
  <r>
    <n v="840000"/>
    <n v="2400000"/>
    <n v="2400000"/>
    <x v="0"/>
    <x v="0"/>
    <s v="BR3-5, BR-7"/>
    <s v="62-304.520 (10), F.A.C."/>
    <n v="0.59"/>
    <n v="0.64"/>
    <s v="City of Cocoa Beach"/>
    <n v="7.233945929834E-2"/>
    <n v="3761.35678253276"/>
    <n v="8.7597005472687606"/>
    <n v="1.41947732791967"/>
    <n v="0.63367200120485001"/>
    <n v="0.10268422238797"/>
    <n v="272.09451587658998"/>
    <n v="1300"/>
    <s v="Residential, High Density"/>
    <n v="1300"/>
    <s v="City of Cocoa Beach           Brevard County"/>
    <s v="City of Cocoa Beach"/>
    <m/>
    <m/>
    <m/>
    <n v="0"/>
    <n v="1"/>
    <n v="0.63367200120485001"/>
    <n v="0.10268422238797"/>
    <n v="546.262070062107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15.045545247601"/>
    <n v="292.74740545445701"/>
    <n v="0.44303493109999997"/>
  </r>
  <r>
    <n v="840000"/>
    <n v="2400000"/>
    <n v="2400000"/>
    <x v="0"/>
    <x v="0"/>
    <s v="BR3-5, BR-7"/>
    <s v="62-304.520 (10), F.A.C."/>
    <n v="0.59"/>
    <n v="0.64"/>
    <s v="City of Cocoa Beach"/>
    <n v="0.14445554223575999"/>
    <n v="3761.35678253276"/>
    <n v="8.7597005472687606"/>
    <n v="1.41947732791967"/>
    <n v="1.26538729237864"/>
    <n v="0.20505136709600999"/>
    <n v="543.34883356294699"/>
    <n v="1210"/>
    <s v="Fixed Single Family Units"/>
    <n v="1210"/>
    <s v="City of Cocoa Beach           Brevard County"/>
    <s v="City of Cocoa Beach"/>
    <m/>
    <m/>
    <m/>
    <n v="0"/>
    <n v="1"/>
    <n v="1.26538729237864"/>
    <n v="0.20505136709600999"/>
    <n v="543.348833562946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04.333542483633"/>
    <n v="584.59083884808501"/>
    <n v="0.44067220889999997"/>
  </r>
  <r>
    <n v="840000"/>
    <n v="2400000"/>
    <n v="2400000"/>
    <x v="0"/>
    <x v="0"/>
    <s v="BR3-5, BR-7"/>
    <s v="62-304.520 (10), F.A.C."/>
    <n v="0.59"/>
    <n v="0.64"/>
    <s v="City of Cocoa Beach"/>
    <n v="2.5777943088390001E-2"/>
    <n v="3761.35678253276"/>
    <n v="8.7597005472687606"/>
    <n v="1.41947732791967"/>
    <n v="0.22580706217883001"/>
    <n v="3.659120577437E-2"/>
    <n v="96.960041075259397"/>
    <n v="1210"/>
    <s v="Fixed Single Family Units"/>
    <n v="1210"/>
    <s v="City of Cocoa Beach           Brevard County"/>
    <s v="City of Cocoa Beach"/>
    <m/>
    <m/>
    <m/>
    <n v="0"/>
    <n v="1"/>
    <n v="0.22580706217883001"/>
    <n v="3.659120577437E-2"/>
    <n v="96.960041075257905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67.512398551240295"/>
    <n v="104.319634543511"/>
    <n v="7.8637502900000003E-2"/>
  </r>
  <r>
    <n v="840000"/>
    <n v="2400000"/>
    <n v="2400000"/>
    <x v="0"/>
    <x v="0"/>
    <s v="BR3-5, BR-7"/>
    <s v="62-304.520 (10), F.A.C."/>
    <n v="0.59"/>
    <n v="0.64"/>
    <s v="City of Cocoa Beach"/>
    <n v="0.10334947220644"/>
    <n v="3761.35678253276"/>
    <n v="8.7597005472687606"/>
    <n v="1.41947732791967"/>
    <n v="0.90531042824675001"/>
    <n v="0.14670223264950999"/>
    <n v="388.73423825490102"/>
    <n v="1210"/>
    <s v="Fixed Single Family Units"/>
    <n v="1210"/>
    <s v="City of Cocoa Beach           Brevard County"/>
    <s v="City of Cocoa Beach"/>
    <m/>
    <m/>
    <m/>
    <n v="0"/>
    <n v="1"/>
    <n v="0.90531042824675001"/>
    <n v="0.14670223264950999"/>
    <n v="388.7342382549010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93.972997361425001"/>
    <n v="418.240475350309"/>
    <n v="0.31527513239999999"/>
  </r>
  <r>
    <n v="840000"/>
    <n v="2500000"/>
    <n v="2500000"/>
    <x v="0"/>
    <x v="0"/>
    <s v="BR3-5, BR-7"/>
    <s v="62-304.520 (10), F.A.C."/>
    <n v="0.59"/>
    <n v="0.64"/>
    <s v="City of Cocoa Beach"/>
    <n v="0.30716249918998001"/>
    <n v="3782.56191348942"/>
    <n v="9.5830836593905993"/>
    <n v="1.6952882494625601"/>
    <n v="2.9435639267651599"/>
    <n v="0.52072897555233999"/>
    <n v="1161.86117068827"/>
    <n v="1390"/>
    <s v="High Density Under Construction"/>
    <n v="1390"/>
    <s v="City of Cocoa Beach           Brevard County"/>
    <s v="City of Cocoa Beach"/>
    <m/>
    <m/>
    <m/>
    <n v="0"/>
    <n v="1"/>
    <n v="2.9435639267651599"/>
    <n v="0.52072897555233999"/>
    <n v="1191.0985619220801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48.904095630222"/>
    <n v="1243.04253256744"/>
    <n v="0.96601667629999999"/>
  </r>
  <r>
    <n v="840000"/>
    <n v="2500000"/>
    <n v="2500000"/>
    <x v="0"/>
    <x v="0"/>
    <s v="BR3-5, BR-7"/>
    <s v="62-304.520 (10), F.A.C."/>
    <n v="0.59"/>
    <n v="0.64"/>
    <s v="FDOT District 5"/>
    <n v="3.5031942640489998E-2"/>
    <n v="3782.56191348942"/>
    <n v="9.5830836593905993"/>
    <n v="1.6952882494625601"/>
    <n v="0.33571403707483"/>
    <n v="5.938924071427E-2"/>
    <n v="132.510491987482"/>
    <n v="1390"/>
    <s v="High Density Under Construction"/>
    <n v="1390"/>
    <s v="FDOT District 5                                 City of Cocoa Beach           Brevard County"/>
    <s v="FDOT District 5"/>
    <m/>
    <m/>
    <m/>
    <n v="0"/>
    <n v="1"/>
    <n v="0.33571403707483"/>
    <n v="5.938924071427E-2"/>
    <n v="139.59794414314399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01.874199959118"/>
    <n v="141.769242063836"/>
    <n v="0.1132181218"/>
  </r>
  <r>
    <n v="840000"/>
    <n v="2500000"/>
    <n v="2500000"/>
    <x v="0"/>
    <x v="0"/>
    <s v="BR3-5, BR-7"/>
    <s v="62-304.520 (10), F.A.C."/>
    <n v="0.59"/>
    <n v="0.64"/>
    <s v="FDOT District 5"/>
    <n v="7.625048420161E-2"/>
    <n v="3782.56191348942"/>
    <n v="9.5830836593905993"/>
    <n v="1.6952882494625601"/>
    <n v="0.73071476917311995"/>
    <n v="0.12926654988283001"/>
    <n v="288.422177426159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73071476917311995"/>
    <n v="0.12926654988283001"/>
    <n v="735.94598253935305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106.376224928959"/>
    <n v="308.57476170242097"/>
    <n v="0.5968742762"/>
  </r>
  <r>
    <n v="840000"/>
    <n v="2500000"/>
    <n v="2500000"/>
    <x v="0"/>
    <x v="0"/>
    <s v="BR3-5, BR-7"/>
    <s v="62-304.520 (10), F.A.C."/>
    <n v="0.59"/>
    <n v="0.64"/>
    <s v="City of Cocoa Beach"/>
    <n v="2.4340030775299999E-3"/>
    <n v="3759.5042782194901"/>
    <n v="7.9930859852977703"/>
    <n v="1.17370814340202"/>
    <n v="1.9455195887229999E-2"/>
    <n v="2.8568092331699999E-3"/>
    <n v="9.1506449831997703"/>
    <n v="1390"/>
    <s v="High Density Under Construction"/>
    <n v="1390"/>
    <s v="City of Cocoa Beach           Brevard County"/>
    <s v="City of Cocoa Beach"/>
    <m/>
    <m/>
    <m/>
    <n v="0"/>
    <n v="1"/>
    <n v="1.9455195887229999E-2"/>
    <n v="2.8568092331699999E-3"/>
    <n v="941.22325189261403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7.360955277757899"/>
    <n v="9.8500609864713304"/>
    <n v="0.76336030160000001"/>
  </r>
  <r>
    <n v="840000"/>
    <n v="2500000"/>
    <n v="2500000"/>
    <x v="0"/>
    <x v="0"/>
    <s v="BR3-5, BR-7"/>
    <s v="62-304.520 (10), F.A.C."/>
    <n v="0.59"/>
    <n v="0.64"/>
    <s v="City of Cocoa Beach"/>
    <n v="2.5820842574100001E-3"/>
    <n v="3759.5042782194901"/>
    <n v="7.9930859852977703"/>
    <n v="1.17370814340202"/>
    <n v="2.0638821490790001E-2"/>
    <n v="3.03061331987E-3"/>
    <n v="9.70735681247114"/>
    <n v="1210"/>
    <s v="Fixed Single Family Units"/>
    <n v="1210"/>
    <s v="City of Cocoa Beach           Brevard County"/>
    <s v="City of Cocoa Beach"/>
    <m/>
    <m/>
    <m/>
    <n v="0"/>
    <n v="1"/>
    <n v="2.0638821490790001E-2"/>
    <n v="3.03061331987E-3"/>
    <n v="365.30709740207402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20.518187462894701"/>
    <n v="10.449324260294899"/>
    <n v="0.29627501820000002"/>
  </r>
  <r>
    <n v="840000"/>
    <n v="2500000"/>
    <n v="2500000"/>
    <x v="0"/>
    <x v="0"/>
    <s v="BR3-5, BR-7"/>
    <s v="62-304.520 (10), F.A.C."/>
    <n v="0.59"/>
    <n v="0.64"/>
    <s v="City of Cocoa Beach"/>
    <n v="5.2285549870200003E-3"/>
    <n v="3759.5042782194901"/>
    <n v="7.9930859852977703"/>
    <n v="1.17370814340202"/>
    <n v="4.1792289590109999E-2"/>
    <n v="6.1367975664900001E-3"/>
    <n v="19.656774842611298"/>
    <n v="1210"/>
    <s v="Fixed Single Family Units"/>
    <n v="1210"/>
    <s v="City of Cocoa Beach           Brevard County"/>
    <s v="City of Cocoa Beach"/>
    <m/>
    <m/>
    <m/>
    <n v="0"/>
    <n v="1"/>
    <n v="4.1792289590109999E-2"/>
    <n v="6.1367975664900001E-3"/>
    <n v="47.637136485802003"/>
    <m/>
    <n v="-1"/>
    <n v="-1"/>
    <n v="-1"/>
    <n v="-1"/>
    <n v="0"/>
    <m/>
    <m/>
    <s v="Banana River B"/>
    <n v="-1"/>
    <m/>
    <m/>
    <n v="373"/>
    <x v="9"/>
    <s v="3rd St South S Bioretention"/>
    <x v="0"/>
    <n v="4.0744790000000002"/>
    <n v="39.724939701967202"/>
    <n v="21.1592113290979"/>
    <n v="3.8635147199999997E-2"/>
  </r>
  <r>
    <n v="830000"/>
    <n v="2400000"/>
    <n v="2400000"/>
    <x v="0"/>
    <x v="0"/>
    <s v="BR3-5, BR-7"/>
    <s v="62-304.520 (10), F.A.C."/>
    <n v="0.59"/>
    <n v="0.64"/>
    <s v="City of Cocoa Beach"/>
    <n v="4.259516965448E-2"/>
    <n v="3704.3297820909402"/>
    <n v="9.2335187263772802"/>
    <n v="1.3579933179922801"/>
    <n v="0.39330329665788999"/>
    <n v="5.7843955769529998E-2"/>
    <n v="157.78655552432099"/>
    <n v="1210"/>
    <s v="Fixed Single Family Units"/>
    <n v="1210"/>
    <s v="City of Cocoa Beach           Brevard County"/>
    <s v="City of Cocoa Beach"/>
    <m/>
    <m/>
    <m/>
    <n v="0"/>
    <n v="1"/>
    <n v="0.39330329665788999"/>
    <n v="5.7843955769529998E-2"/>
    <n v="657.669262808141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68.198086421595903"/>
    <n v="172.37653587946801"/>
    <n v="0.53338950750000003"/>
  </r>
  <r>
    <n v="830000"/>
    <n v="2400000"/>
    <n v="2400000"/>
    <x v="0"/>
    <x v="0"/>
    <s v="BR3-5, BR-7"/>
    <s v="62-304.520 (10), F.A.C."/>
    <n v="0.59"/>
    <n v="0.64"/>
    <s v="City of Cocoa Beach"/>
    <n v="6.993733415483E-2"/>
    <n v="3702.4202548427202"/>
    <n v="9.2289276646262692"/>
    <n v="1.3573238323050001"/>
    <n v="0.64544659797171999"/>
    <n v="9.4927610416219999E-2"/>
    <n v="258.93740254454599"/>
    <n v="1210"/>
    <s v="Fixed Single Family Units"/>
    <n v="1210"/>
    <s v="City of Cocoa Beach           Brevard County"/>
    <s v="City of Cocoa Beach"/>
    <m/>
    <m/>
    <m/>
    <n v="0"/>
    <n v="1"/>
    <n v="0.64544659797171999"/>
    <n v="9.4927610416219999E-2"/>
    <n v="665.299112117717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68.333517271507901"/>
    <n v="283.02634989001001"/>
    <n v="0.53957754430000004"/>
  </r>
  <r>
    <n v="830000"/>
    <n v="2400000"/>
    <n v="2400000"/>
    <x v="0"/>
    <x v="0"/>
    <s v="BR3-5, BR-7"/>
    <s v="62-304.520 (10), F.A.C."/>
    <n v="0.59"/>
    <n v="0.64"/>
    <s v="City of Cocoa Beach"/>
    <n v="0.10751219000517"/>
    <n v="3702.4202548427202"/>
    <n v="9.2289276646262692"/>
    <n v="1.3573238323050001"/>
    <n v="0.99222222462329002"/>
    <n v="0.14592885775732001"/>
    <n v="398.05530991765198"/>
    <n v="1210"/>
    <s v="Fixed Single Family Units"/>
    <n v="1210"/>
    <s v="City of Cocoa Beach           Brevard County"/>
    <s v="City of Cocoa Beach"/>
    <m/>
    <m/>
    <m/>
    <n v="0"/>
    <n v="1"/>
    <n v="0.99222222462329002"/>
    <n v="0.14592885775732001"/>
    <n v="539.77660060278697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83.545234292596305"/>
    <n v="435.08639660872097"/>
    <n v="0.43777502080000003"/>
  </r>
  <r>
    <n v="830000"/>
    <n v="2400000"/>
    <n v="2400000"/>
    <x v="0"/>
    <x v="0"/>
    <s v="BR3-5, BR-7"/>
    <s v="62-304.520 (10), F.A.C."/>
    <n v="0.59"/>
    <n v="0.64"/>
    <s v="City of Cocoa Beach"/>
    <n v="3.3191439138800002E-2"/>
    <n v="3760.8852341686002"/>
    <n v="10.7699511152847"/>
    <n v="1.4723322428641199"/>
    <n v="0.35747017697082001"/>
    <n v="4.8868826031110001E-2"/>
    <n v="124.829193357918"/>
    <n v="1400"/>
    <s v="Commercial and Services"/>
    <n v="1400"/>
    <s v="City of Cocoa Beach           Brevard County"/>
    <s v="City of Cocoa Beach"/>
    <m/>
    <m/>
    <m/>
    <n v="0"/>
    <n v="1"/>
    <n v="0.35747017697082001"/>
    <n v="4.8868826031110001E-2"/>
    <n v="345.107705253591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51.090455825961101"/>
    <n v="134.32098864755099"/>
    <n v="0.27989270500000002"/>
  </r>
  <r>
    <n v="830000"/>
    <n v="2400000"/>
    <n v="2400000"/>
    <x v="0"/>
    <x v="0"/>
    <s v="BR3-5, BR-7"/>
    <s v="62-304.520 (10), F.A.C."/>
    <n v="0.59"/>
    <n v="0.64"/>
    <s v="City of Cocoa Beach"/>
    <n v="0.10018825663714"/>
    <n v="3760.8852341686002"/>
    <n v="10.7699511152847"/>
    <n v="1.4723322428641199"/>
    <n v="1.0790226263076199"/>
    <n v="0.14751040060321"/>
    <n v="376.79653502372202"/>
    <n v="1450"/>
    <s v="Tourist Services"/>
    <n v="1450"/>
    <s v="City of Cocoa Beach           Brevard County"/>
    <s v="City of Cocoa Beach"/>
    <m/>
    <m/>
    <m/>
    <n v="0"/>
    <n v="1"/>
    <n v="1.0790226263076199"/>
    <n v="0.14751040060321"/>
    <n v="1136.09163263977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81.395040254073805"/>
    <n v="405.447489821077"/>
    <n v="0.92140440599999995"/>
  </r>
  <r>
    <n v="830000"/>
    <n v="2400000"/>
    <n v="2400000"/>
    <x v="0"/>
    <x v="0"/>
    <s v="BR3-5, BR-7"/>
    <s v="62-304.520 (10), F.A.C."/>
    <n v="0.59"/>
    <n v="0.64"/>
    <s v="City of Cocoa Beach"/>
    <n v="8.7186162164719999E-2"/>
    <n v="3760.8852341686002"/>
    <n v="10.7699511152847"/>
    <n v="1.4723322428641199"/>
    <n v="0.93899070444338995"/>
    <n v="0.12836699768670001"/>
    <n v="327.897149909147"/>
    <n v="1210"/>
    <s v="Fixed Single Family Units"/>
    <n v="1210"/>
    <s v="City of Cocoa Beach           Brevard County"/>
    <s v="City of Cocoa Beach"/>
    <m/>
    <m/>
    <m/>
    <n v="0"/>
    <n v="1"/>
    <n v="0.93899070444338995"/>
    <n v="0.12836699768670001"/>
    <n v="397.717671094563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75.196660128574194"/>
    <n v="352.82988030073"/>
    <n v="0.322560966"/>
  </r>
  <r>
    <n v="830000"/>
    <n v="2400000"/>
    <n v="2400000"/>
    <x v="0"/>
    <x v="0"/>
    <s v="BR3-5, BR-7"/>
    <s v="62-304.520 (10), F.A.C."/>
    <n v="0.59"/>
    <n v="0.64"/>
    <s v="City of Cocoa Beach"/>
    <n v="1.0637057792599999E-3"/>
    <n v="3758.1299554347202"/>
    <n v="10.6998943003032"/>
    <n v="1.4670580481095601"/>
    <n v="1.13815394048E-2"/>
    <n v="1.5605181242900001E-3"/>
    <n v="3.9975445528398601"/>
    <n v="1200"/>
    <s v="Residential, Medium Density-Two-five dwellingunits per acre"/>
    <n v="1200"/>
    <s v="City of Cocoa Beach           Brevard County"/>
    <s v="City of Cocoa Beach"/>
    <m/>
    <m/>
    <m/>
    <n v="0"/>
    <n v="1"/>
    <n v="1.13815394048E-2"/>
    <n v="1.5605181242900001E-3"/>
    <n v="3.99754455284011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9.9557857589422998"/>
    <n v="4.30466456437905"/>
    <n v="3.2421286000000001E-3"/>
  </r>
  <r>
    <n v="830000"/>
    <n v="2400000"/>
    <n v="2400000"/>
    <x v="0"/>
    <x v="0"/>
    <s v="BR3-5, BR-7"/>
    <s v="62-304.520 (10), F.A.C."/>
    <n v="0.59"/>
    <n v="0.64"/>
    <s v="City of Cocoa Beach"/>
    <n v="0.14638513842674"/>
    <n v="3758.1299554347202"/>
    <n v="10.6998943003032"/>
    <n v="1.4670580481095601"/>
    <n v="1.5663055083013999"/>
    <n v="0.21475549545257999"/>
    <n v="550.13437375199703"/>
    <n v="1400"/>
    <s v="Commercial and Services"/>
    <n v="1400"/>
    <s v="City of Cocoa Beach           Brevard County"/>
    <s v="City of Cocoa Beach"/>
    <m/>
    <m/>
    <m/>
    <n v="0"/>
    <n v="1"/>
    <n v="1.5663055083013999"/>
    <n v="0.21475549545257999"/>
    <n v="563.449911589547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57.135511164012"/>
    <n v="592.39963758617205"/>
    <n v="0.4569747864"/>
  </r>
  <r>
    <n v="830000"/>
    <n v="2400000"/>
    <n v="2400000"/>
    <x v="0"/>
    <x v="0"/>
    <s v="BR3-5, BR-7"/>
    <s v="62-304.520 (10), F.A.C."/>
    <n v="0.59"/>
    <n v="0.64"/>
    <s v="City of Cocoa Beach"/>
    <n v="0.21767816387471001"/>
    <n v="3758.1299554347202"/>
    <n v="10.6998943003032"/>
    <n v="1.4670580481095601"/>
    <n v="2.3291333449435201"/>
    <n v="0.31934650221011002"/>
    <n v="818.06282830158705"/>
    <n v="1450"/>
    <s v="Tourist Services"/>
    <n v="1450"/>
    <s v="City of Cocoa Beach           Brevard County"/>
    <s v="City of Cocoa Beach"/>
    <m/>
    <m/>
    <m/>
    <n v="0"/>
    <n v="1"/>
    <n v="2.3291333449435201"/>
    <n v="0.31934650221011002"/>
    <n v="850.10961950773003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23.960284402756"/>
    <n v="880.91227549262101"/>
    <n v="0.68946441160000005"/>
  </r>
  <r>
    <n v="830000"/>
    <n v="2400000"/>
    <n v="2400000"/>
    <x v="0"/>
    <x v="0"/>
    <s v="BR3-5, BR-7"/>
    <s v="62-304.520 (10), F.A.C."/>
    <n v="0.59"/>
    <n v="0.64"/>
    <s v="City of Cocoa Beach"/>
    <n v="4.5614035202709999E-2"/>
    <n v="3758.1299554347202"/>
    <n v="10.6998943003032"/>
    <n v="1.4670580481095601"/>
    <n v="0.48806535527937001"/>
    <n v="6.6918437450890003E-2"/>
    <n v="171.42347208358001"/>
    <n v="1210"/>
    <s v="Fixed Single Family Units"/>
    <n v="1210"/>
    <s v="City of Cocoa Beach           Brevard County"/>
    <s v="City of Cocoa Beach"/>
    <m/>
    <m/>
    <m/>
    <n v="0"/>
    <n v="1"/>
    <n v="0.48806535527937001"/>
    <n v="6.6918437450890003E-2"/>
    <n v="171.423472083578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66.402464041576494"/>
    <n v="184.59345131168899"/>
    <n v="0.13902958000000001"/>
  </r>
  <r>
    <n v="830000"/>
    <n v="2400000"/>
    <n v="2400000"/>
    <x v="0"/>
    <x v="0"/>
    <s v="BR3-5, BR-7"/>
    <s v="62-304.520 (10), F.A.C."/>
    <n v="0.59"/>
    <n v="0.64"/>
    <s v="City of Cocoa Beach"/>
    <n v="0.17896862312921"/>
    <n v="3758.1299554347202"/>
    <n v="10.6998943003032"/>
    <n v="1.4670580481095601"/>
    <n v="1.91494535055344"/>
    <n v="0.26255735892080001"/>
    <n v="672.58734366482099"/>
    <n v="1210"/>
    <s v="Fixed Single Family Units"/>
    <n v="1210"/>
    <s v="City of Cocoa Beach           Brevard County"/>
    <s v="City of Cocoa Beach"/>
    <m/>
    <m/>
    <m/>
    <n v="0"/>
    <n v="1"/>
    <n v="1.91494535055344"/>
    <n v="0.26255735892080001"/>
    <n v="672.587343664820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21.527328654264"/>
    <n v="724.26032191855995"/>
    <n v="0.54548851880000004"/>
  </r>
  <r>
    <n v="830000"/>
    <n v="2400000"/>
    <n v="2400000"/>
    <x v="0"/>
    <x v="0"/>
    <s v="BR3-5, BR-7"/>
    <s v="62-304.520 (10), F.A.C."/>
    <n v="0.59"/>
    <n v="0.64"/>
    <s v="City of Cocoa Beach"/>
    <n v="1.598333477447E-2"/>
    <n v="3758.1299554347202"/>
    <n v="10.6998943003032"/>
    <n v="1.4670580481095601"/>
    <n v="0.17101999265319001"/>
    <n v="2.3448479916510001E-2"/>
    <n v="60.0674492036771"/>
    <n v="1210"/>
    <s v="Fixed Single Family Units"/>
    <n v="1210"/>
    <s v="City of Cocoa Beach           Brevard County"/>
    <s v="City of Cocoa Beach"/>
    <m/>
    <m/>
    <m/>
    <n v="0"/>
    <n v="1"/>
    <n v="0.17101999265319001"/>
    <n v="2.3448479916510001E-2"/>
    <n v="60.067449203676397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45.449665246438698"/>
    <n v="64.682260983432201"/>
    <n v="4.8716503799999998E-2"/>
  </r>
  <r>
    <n v="830000"/>
    <n v="2400000"/>
    <n v="2400000"/>
    <x v="0"/>
    <x v="0"/>
    <s v="BR3-5, BR-7"/>
    <s v="62-304.520 (10), F.A.C."/>
    <n v="0.59"/>
    <n v="0.64"/>
    <s v="City of Cocoa Beach"/>
    <n v="1.501586957E-6"/>
    <n v="3783.8090208048302"/>
    <n v="11.6254551144582"/>
    <n v="1.53485638481041"/>
    <n v="1.745663176E-5"/>
    <n v="2.3047203282989999E-6"/>
    <n v="5.68171827341E-3"/>
    <n v="1450"/>
    <s v="Tourist Services"/>
    <n v="1450"/>
    <s v="City of Cocoa Beach           Brevard County"/>
    <s v="City of Cocoa Beach"/>
    <m/>
    <m/>
    <m/>
    <n v="0"/>
    <n v="1"/>
    <n v="1.745663176E-5"/>
    <n v="2.3047203282989999E-6"/>
    <n v="2337.49892897342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.4327773725056401"/>
    <n v="6.0767068194299998E-3"/>
    <n v="1.8957817752999999"/>
  </r>
  <r>
    <n v="830000"/>
    <n v="2400000"/>
    <n v="2400000"/>
    <x v="0"/>
    <x v="0"/>
    <s v="BR3-5, BR-7"/>
    <s v="62-304.520 (10), F.A.C."/>
    <n v="0.59"/>
    <n v="0.64"/>
    <s v="City of Cocoa Beach"/>
    <n v="0.25190378009057002"/>
    <n v="3703.5659744618602"/>
    <n v="9.23168230834826"/>
    <n v="1.35772552464825"/>
    <n v="2.3254956700681602"/>
    <n v="0.34201619198434002"/>
    <n v="932.942268781758"/>
    <n v="1210"/>
    <s v="Fixed Single Family Units"/>
    <n v="1210"/>
    <s v="City of Cocoa Beach           Brevard County"/>
    <s v="City of Cocoa Beach"/>
    <m/>
    <m/>
    <m/>
    <n v="0"/>
    <n v="1"/>
    <n v="2.3254956700681602"/>
    <n v="0.34201619198434002"/>
    <n v="1525.6816079976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27.42736535167001"/>
    <n v="1019.41843028635"/>
    <n v="1.2373735669000001"/>
  </r>
  <r>
    <n v="830000"/>
    <n v="2400000"/>
    <n v="2400000"/>
    <x v="0"/>
    <x v="0"/>
    <s v="BR3-5, BR-7"/>
    <s v="62-304.520 (10), F.A.C."/>
    <n v="0.59"/>
    <n v="0.64"/>
    <s v="City of Cocoa Beach"/>
    <n v="9.3452559460100004E-2"/>
    <n v="3703.5659744618602"/>
    <n v="9.23168230834826"/>
    <n v="1.35772552464825"/>
    <n v="0.86272433983767005"/>
    <n v="0.12688292532268"/>
    <n v="346.10771944280299"/>
    <n v="1210"/>
    <s v="Fixed Single Family Units"/>
    <n v="1210"/>
    <s v="City of Cocoa Beach           Brevard County"/>
    <s v="City of Cocoa Beach"/>
    <m/>
    <m/>
    <m/>
    <n v="0"/>
    <n v="1"/>
    <n v="0.86272433983767005"/>
    <n v="0.12688292532268"/>
    <n v="369.565257808772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87.006565375380404"/>
    <n v="378.18909044082801"/>
    <n v="0.299728514"/>
  </r>
  <r>
    <n v="830000"/>
    <n v="2400000"/>
    <n v="2400000"/>
    <x v="0"/>
    <x v="0"/>
    <s v="BR3-5, BR-7"/>
    <s v="62-304.520 (10), F.A.C."/>
    <n v="0.59"/>
    <n v="0.64"/>
    <s v="City of Cocoa Beach"/>
    <n v="1.7406306636689999E-2"/>
    <n v="3703.5659744618602"/>
    <n v="9.23168230834826"/>
    <n v="1.35772552464825"/>
    <n v="0.16068949303162"/>
    <n v="2.363298681049E-2"/>
    <n v="64.465405000698397"/>
    <n v="1210"/>
    <s v="Fixed Single Family Units"/>
    <n v="1210"/>
    <s v="City of Cocoa Beach           Brevard County"/>
    <s v="City of Cocoa Beach"/>
    <m/>
    <m/>
    <m/>
    <n v="0"/>
    <n v="1"/>
    <n v="0.16068949303162"/>
    <n v="2.363298681049E-2"/>
    <n v="116.466245018736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37.934386582725402"/>
    <n v="70.440823802954696"/>
    <n v="9.4457619600000001E-2"/>
  </r>
  <r>
    <n v="830000"/>
    <n v="2400000"/>
    <n v="2400000"/>
    <x v="0"/>
    <x v="0"/>
    <s v="BR3-5, BR-7"/>
    <s v="62-304.520 (10), F.A.C."/>
    <n v="0.59"/>
    <n v="0.64"/>
    <s v="City of Cocoa Beach"/>
    <n v="2.0284608601280001E-2"/>
    <n v="3703.5659744618602"/>
    <n v="9.23168230834826"/>
    <n v="1.35772552464825"/>
    <n v="0.18726106235623"/>
    <n v="2.754093085546E-2"/>
    <n v="75.125386220988105"/>
    <n v="1210"/>
    <s v="Fixed Single Family Units"/>
    <n v="1210"/>
    <s v="City of Cocoa Beach           Brevard County"/>
    <s v="City of Cocoa Beach"/>
    <m/>
    <m/>
    <m/>
    <n v="0"/>
    <n v="1"/>
    <n v="0.18726106235623"/>
    <n v="2.754093085546E-2"/>
    <n v="75.1253862209888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45.847410930623099"/>
    <n v="82.088898593973298"/>
    <n v="6.0928942600000001E-2"/>
  </r>
  <r>
    <n v="830000"/>
    <n v="2400000"/>
    <n v="2500000"/>
    <x v="0"/>
    <x v="0"/>
    <s v="BR3-5, BR-7"/>
    <s v="62-304.520 (10), F.A.C."/>
    <n v="0.59"/>
    <n v="0.64"/>
    <s v="City of Cocoa Beach"/>
    <n v="7.2732087029180006E-2"/>
    <n v="3755.9533178683901"/>
    <n v="10.6608373855219"/>
    <n v="1.4639972397383201"/>
    <n v="0.77538495252781003"/>
    <n v="0.10647957465114"/>
    <n v="273.17832359277497"/>
    <n v="1200"/>
    <s v="Residential, Medium Density-Two-five dwellingunits per acre"/>
    <n v="1200"/>
    <s v="City of Cocoa Beach           Brevard County"/>
    <s v="City of Cocoa Beach"/>
    <m/>
    <m/>
    <m/>
    <n v="0"/>
    <n v="1"/>
    <n v="0.77538495252781003"/>
    <n v="0.10647957465114"/>
    <n v="552.88571894847803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90.477048105390793"/>
    <n v="294.33631350862998"/>
    <n v="0.44840690909999997"/>
  </r>
  <r>
    <n v="830000"/>
    <n v="2400000"/>
    <n v="2500000"/>
    <x v="0"/>
    <x v="0"/>
    <s v="BR3-5, BR-7"/>
    <s v="62-304.520 (10), F.A.C."/>
    <n v="0.59"/>
    <n v="0.64"/>
    <s v="City of Cocoa Beach"/>
    <n v="6.8299524838179998E-2"/>
    <n v="3755.9533178683901"/>
    <n v="10.6608373855219"/>
    <n v="1.4639972397383201"/>
    <n v="0.72813012780826003"/>
    <n v="9.9990315838530006E-2"/>
    <n v="256.52982692479998"/>
    <n v="1400"/>
    <s v="Commercial and Services"/>
    <n v="1400"/>
    <s v="City of Cocoa Beach           Brevard County"/>
    <s v="City of Cocoa Beach"/>
    <m/>
    <m/>
    <m/>
    <n v="0"/>
    <n v="1"/>
    <n v="0.72813012780826003"/>
    <n v="9.9990315838530006E-2"/>
    <n v="265.17371144785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05.558509455982"/>
    <n v="276.398370738263"/>
    <n v="0.2150638373"/>
  </r>
  <r>
    <n v="830000"/>
    <n v="2400000"/>
    <n v="2500000"/>
    <x v="0"/>
    <x v="0"/>
    <s v="BR3-5, BR-7"/>
    <s v="62-304.520 (10), F.A.C."/>
    <n v="0.59"/>
    <n v="0.64"/>
    <s v="City of Cocoa Beach"/>
    <n v="5.213187777001E-2"/>
    <n v="3755.9533178683901"/>
    <n v="10.6608373855219"/>
    <n v="1.4639972397383201"/>
    <n v="0.55576947150806999"/>
    <n v="7.6320925157680006E-2"/>
    <n v="195.804899277012"/>
    <n v="1210"/>
    <s v="Fixed Single Family Units"/>
    <n v="1210"/>
    <s v="City of Cocoa Beach           Brevard County"/>
    <s v="City of Cocoa Beach"/>
    <m/>
    <m/>
    <m/>
    <n v="0"/>
    <n v="1"/>
    <n v="0.55576947150806999"/>
    <n v="7.6320925157680006E-2"/>
    <n v="227.602781511953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72.568544496695793"/>
    <n v="210.97022436537301"/>
    <n v="0.18459268570000001"/>
  </r>
  <r>
    <n v="830000"/>
    <n v="2400000"/>
    <n v="2500000"/>
    <x v="0"/>
    <x v="0"/>
    <s v="BR3-5, BR-7"/>
    <s v="62-304.520 (10), F.A.C."/>
    <n v="0.59"/>
    <n v="0.64"/>
    <s v="City of Cocoa Beach"/>
    <n v="1.595719446057E-2"/>
    <n v="3755.9533178683901"/>
    <n v="10.6608373855219"/>
    <n v="1.4639972397383201"/>
    <n v="0.17011705527335"/>
    <n v="2.3361288644250001E-2"/>
    <n v="59.9344774780715"/>
    <n v="1210"/>
    <s v="Fixed Single Family Units"/>
    <n v="1210"/>
    <s v="City of Cocoa Beach           Brevard County"/>
    <s v="City of Cocoa Beach"/>
    <m/>
    <m/>
    <m/>
    <n v="0"/>
    <n v="1"/>
    <n v="0.17011705527335"/>
    <n v="2.3361288644250001E-2"/>
    <n v="162.315165954868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46.396681357793199"/>
    <n v="64.5764748862657"/>
    <n v="0.13164247039999999"/>
  </r>
  <r>
    <n v="830000"/>
    <n v="2400000"/>
    <n v="2500000"/>
    <x v="0"/>
    <x v="0"/>
    <s v="BR3-5, BR-7"/>
    <s v="62-304.520 (10), F.A.C."/>
    <n v="0.59"/>
    <n v="0.64"/>
    <s v="City of Cocoa Beach"/>
    <n v="0.27137899906703999"/>
    <n v="3755.9533178683901"/>
    <n v="10.6608373855219"/>
    <n v="1.4639972397383201"/>
    <n v="2.89312737889948"/>
    <n v="0.39729810555709999"/>
    <n v="1019.28685194567"/>
    <n v="1410"/>
    <s v="Retail Sales and Services"/>
    <n v="1410"/>
    <s v="City of Cocoa Beach           Brevard County"/>
    <s v="City of Cocoa Beach"/>
    <m/>
    <m/>
    <m/>
    <n v="0"/>
    <n v="1"/>
    <n v="2.89312737889948"/>
    <n v="0.39729810555709999"/>
    <n v="1112.31331577155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33.08303864739"/>
    <n v="1098.23184527895"/>
    <n v="0.90211947749999999"/>
  </r>
  <r>
    <n v="830000"/>
    <n v="2400000"/>
    <n v="2500000"/>
    <x v="0"/>
    <x v="0"/>
    <s v="BR3-5, BR-7"/>
    <s v="62-304.520 (10), F.A.C."/>
    <n v="0.59"/>
    <n v="0.64"/>
    <s v="City of Cocoa Beach"/>
    <n v="1.325702250792E-2"/>
    <n v="3643.8667555897"/>
    <n v="10.257181101883599"/>
    <n v="1.4163915456398199"/>
    <n v="0.13597968073557001"/>
    <n v="1.877713460058E-2"/>
    <n v="48.306823594746902"/>
    <n v="1210"/>
    <s v="Fixed Single Family Units"/>
    <n v="1210"/>
    <s v="City of Cocoa Beach           Brevard County"/>
    <s v="City of Cocoa Beach"/>
    <m/>
    <m/>
    <m/>
    <n v="0"/>
    <n v="1"/>
    <n v="0.13597968073557001"/>
    <n v="1.877713460058E-2"/>
    <n v="546.784896477049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32.9078458810135"/>
    <n v="53.649266678113896"/>
    <n v="0.44345895899999999"/>
  </r>
  <r>
    <n v="830000"/>
    <n v="2400000"/>
    <n v="2500000"/>
    <x v="0"/>
    <x v="0"/>
    <s v="BR3-5, BR-7"/>
    <s v="62-304.520 (10), F.A.C."/>
    <n v="0.59"/>
    <n v="0.64"/>
    <s v="City of Cocoa Beach"/>
    <n v="0.10030083584337"/>
    <n v="3643.8667555897"/>
    <n v="10.257181101883599"/>
    <n v="1.4163915456398199"/>
    <n v="1.02880383791576"/>
    <n v="0.14206525590915001"/>
    <n v="365.48288128751898"/>
    <n v="1410"/>
    <s v="Retail Sales and Services"/>
    <n v="1410"/>
    <s v="City of Cocoa Beach           Brevard County"/>
    <s v="City of Cocoa Beach"/>
    <m/>
    <m/>
    <m/>
    <n v="0"/>
    <n v="1"/>
    <n v="1.02880383791576"/>
    <n v="0.14206525590915001"/>
    <n v="1167.96002429656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83.714672222058795"/>
    <n v="405.90308170483502"/>
    <n v="0.94725062800000004"/>
  </r>
  <r>
    <n v="840000"/>
    <n v="2400000"/>
    <n v="2400000"/>
    <x v="0"/>
    <x v="0"/>
    <s v="BR3-5, BR-7"/>
    <s v="62-304.520 (10), F.A.C."/>
    <n v="0.59"/>
    <n v="0.64"/>
    <s v="City of Cocoa Beach"/>
    <n v="3.5120687729999999E-5"/>
    <n v="3782.1091691373299"/>
    <n v="11.6204057133546"/>
    <n v="1.53418801912293"/>
    <n v="4.0811664042E-4"/>
    <n v="5.3881738340000001E-5"/>
    <n v="0.13283027511272999"/>
    <n v="1400"/>
    <s v="Commercial and Services"/>
    <n v="1400"/>
    <s v="City of Cocoa Beach           Brevard County"/>
    <s v="City of Cocoa Beach"/>
    <m/>
    <m/>
    <m/>
    <n v="0"/>
    <n v="1"/>
    <n v="4.0811664042E-4"/>
    <n v="5.3881738340000001E-5"/>
    <n v="401.13126111626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3.0419885308712602"/>
    <n v="0.14212838072402001"/>
    <n v="0.32532949"/>
  </r>
  <r>
    <n v="840000"/>
    <n v="2400000"/>
    <n v="2400000"/>
    <x v="0"/>
    <x v="0"/>
    <s v="BR3-5, BR-7"/>
    <s v="62-304.520 (10), F.A.C."/>
    <n v="0.59"/>
    <n v="0.64"/>
    <s v="FDOT District 5"/>
    <n v="5.2759389653600003E-3"/>
    <n v="3782.1091691373299"/>
    <n v="11.6204057133546"/>
    <n v="1.53418801912293"/>
    <n v="6.1308551296420002E-2"/>
    <n v="8.0942823502800007E-3"/>
    <n v="19.9541771367121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6.1308551296420002E-2"/>
    <n v="8.0942823502800007E-3"/>
    <n v="169.96779631161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8.352315166480999"/>
    <n v="21.350967486173701"/>
    <n v="0.1378489832"/>
  </r>
  <r>
    <n v="840000"/>
    <n v="2400000"/>
    <n v="2400000"/>
    <x v="0"/>
    <x v="0"/>
    <s v="BR3-5, BR-7"/>
    <s v="62-304.520 (10), F.A.C."/>
    <n v="0.59"/>
    <n v="0.64"/>
    <s v="FDOT District 5"/>
    <n v="5.2557563559000003E-4"/>
    <n v="3724.5547691608899"/>
    <n v="8.1072001934389402"/>
    <n v="1.08242589716147"/>
    <n v="4.26094689459E-3"/>
    <n v="5.6889667888000001E-4"/>
    <n v="1.95753524012501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26094689459E-3"/>
    <n v="5.6889667888000001E-4"/>
    <n v="1.9575352401238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23.542145143664101"/>
    <n v="2.1269291363794598"/>
    <n v="1.5876198E-3"/>
  </r>
  <r>
    <n v="840000"/>
    <n v="2400000"/>
    <n v="2400000"/>
    <x v="0"/>
    <x v="0"/>
    <s v="BR3-5, BR-7"/>
    <s v="62-304.520 (10), F.A.C."/>
    <n v="0.59"/>
    <n v="0.64"/>
    <s v="FDOT District 5"/>
    <n v="0.10055417213376"/>
    <n v="3724.5547691608899"/>
    <n v="8.1072001934389402"/>
    <n v="1.08242589716147"/>
    <n v="0.81521280377396999"/>
    <n v="0.10884243998522"/>
    <n v="374.51952137985103"/>
    <n v="8140"/>
    <s v="Roads and Highways"/>
    <n v="8140"/>
    <s v="FDOT District 5                                 City of Cocoa Beach           Brevard County"/>
    <s v="FDOT District 5"/>
    <m/>
    <m/>
    <m/>
    <n v="0"/>
    <n v="1"/>
    <n v="0.81521280377396999"/>
    <n v="0.10884243998522"/>
    <n v="977.42905566511604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16.065185203059"/>
    <n v="406.928297298654"/>
    <n v="0.79272429489999996"/>
  </r>
  <r>
    <n v="840000"/>
    <n v="2400000"/>
    <n v="2400000"/>
    <x v="0"/>
    <x v="0"/>
    <s v="BR3-5, BR-7"/>
    <s v="62-304.520 (10), F.A.C."/>
    <n v="0.59"/>
    <n v="0.64"/>
    <s v="City of Cocoa Beach"/>
    <n v="6.9656622305999997E-4"/>
    <n v="3760.8852341686002"/>
    <n v="10.7699511152847"/>
    <n v="1.4723322428641199"/>
    <n v="7.5019841709200001E-3"/>
    <n v="1.0255769095000001E-3"/>
    <n v="2.6197056229307099"/>
    <n v="1450"/>
    <s v="Tourist Services"/>
    <n v="1450"/>
    <s v="City of Cocoa Beach           Brevard County"/>
    <s v="City of Cocoa Beach"/>
    <m/>
    <m/>
    <m/>
    <n v="0"/>
    <n v="1"/>
    <n v="7.5019841709200001E-3"/>
    <n v="1.0255769095000001E-3"/>
    <n v="1136.09163263977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30.851299650825901"/>
    <n v="2.81890349342097"/>
    <n v="0.92140440599999995"/>
  </r>
  <r>
    <n v="840000"/>
    <n v="2400000"/>
    <n v="2400000"/>
    <x v="0"/>
    <x v="0"/>
    <s v="BR3-5, BR-7"/>
    <s v="62-304.520 (10), F.A.C."/>
    <n v="0.59"/>
    <n v="0.64"/>
    <s v="City of Cocoa Beach"/>
    <n v="3.54312862584E-3"/>
    <n v="3758.1299554347202"/>
    <n v="10.6998943003032"/>
    <n v="1.4670580481095601"/>
    <n v="3.791110178887E-2"/>
    <n v="5.1979753660200004E-3"/>
    <n v="13.315537824731299"/>
    <n v="1400"/>
    <s v="Commercial and Services"/>
    <n v="1400"/>
    <s v="City of Cocoa Beach           Brevard County"/>
    <s v="City of Cocoa Beach"/>
    <m/>
    <m/>
    <m/>
    <n v="0"/>
    <n v="1"/>
    <n v="3.791110178887E-2"/>
    <n v="5.1979753660200004E-3"/>
    <n v="563.449911589547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22.506509922705799"/>
    <n v="14.3385328348754"/>
    <n v="0.4569747864"/>
  </r>
  <r>
    <n v="840000"/>
    <n v="2400000"/>
    <n v="2400000"/>
    <x v="0"/>
    <x v="0"/>
    <s v="BR3-5, BR-7"/>
    <s v="62-304.520 (10), F.A.C."/>
    <n v="0.59"/>
    <n v="0.64"/>
    <s v="City of Cocoa Beach"/>
    <n v="8.5273238549400006E-3"/>
    <n v="3758.1299554347202"/>
    <n v="10.6998943003032"/>
    <n v="1.4670580481095601"/>
    <n v="9.1241463912360002E-2"/>
    <n v="1.2510079090229999E-2"/>
    <n v="32.0467912189618"/>
    <n v="1450"/>
    <s v="Tourist Services"/>
    <n v="1450"/>
    <s v="City of Cocoa Beach           Brevard County"/>
    <s v="City of Cocoa Beach"/>
    <m/>
    <m/>
    <m/>
    <n v="0"/>
    <n v="1"/>
    <n v="9.1241463912360002E-2"/>
    <n v="1.2510079090229999E-2"/>
    <n v="850.10961950773003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82.1551031025528"/>
    <n v="34.508855308270498"/>
    <n v="0.68946441160000005"/>
  </r>
  <r>
    <n v="840000"/>
    <n v="2400000"/>
    <n v="2400000"/>
    <x v="0"/>
    <x v="0"/>
    <s v="BR3-5, BR-7"/>
    <s v="62-304.520 (10), F.A.C."/>
    <n v="0.59"/>
    <n v="0.64"/>
    <s v="City of Cocoa Beach"/>
    <n v="2.1454629676200001E-3"/>
    <n v="3781.8716354419298"/>
    <n v="11.579550042135599"/>
    <n v="1.5286200724267101"/>
    <n v="2.4843495797149999E-2"/>
    <n v="3.2795977569500001E-3"/>
    <n v="8.1138655421482895"/>
    <n v="1400"/>
    <s v="Commercial and Services"/>
    <n v="1400"/>
    <s v="City of Cocoa Beach           Brevard County"/>
    <s v="City of Cocoa Beach"/>
    <m/>
    <m/>
    <m/>
    <n v="0"/>
    <n v="1"/>
    <n v="2.4843495797149999E-2"/>
    <n v="3.2795977569500001E-3"/>
    <n v="8.113865542149120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00.369383924863"/>
    <n v="8.6823805895514194"/>
    <n v="6.5805884000000002E-3"/>
  </r>
  <r>
    <n v="840000"/>
    <n v="2400000"/>
    <n v="2400000"/>
    <x v="0"/>
    <x v="0"/>
    <s v="BR3-5, BR-7"/>
    <s v="62-304.520 (10), F.A.C."/>
    <n v="0.59"/>
    <n v="0.64"/>
    <s v="FDOT District 5"/>
    <n v="8.1572203335150001E-2"/>
    <n v="3781.8716354419298"/>
    <n v="11.579550042135599"/>
    <n v="1.5286200724267101"/>
    <n v="0.94456941056669996"/>
    <n v="0.12469290737019"/>
    <n v="308.495602033728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94456941056669996"/>
    <n v="0.12469290737019"/>
    <n v="308.49560203372903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12.71699787134899"/>
    <n v="330.11099495619499"/>
    <n v="0.25019919060000001"/>
  </r>
  <r>
    <n v="840000"/>
    <n v="2400000"/>
    <n v="2400000"/>
    <x v="0"/>
    <x v="0"/>
    <s v="BR3-5, BR-7"/>
    <s v="62-304.520 (10), F.A.C."/>
    <n v="0.59"/>
    <n v="0.64"/>
    <s v="FDOT District 5"/>
    <n v="8.7400388222400004E-3"/>
    <n v="3781.8716354419298"/>
    <n v="11.579550042135599"/>
    <n v="1.5286200724267101"/>
    <n v="0.10120571691234"/>
    <n v="1.3360198777459999E-2"/>
    <n v="33.053704914494602"/>
    <n v="8140"/>
    <s v="Roads and Highways"/>
    <n v="8140"/>
    <s v="FDOT District 5                                 City of Cocoa Beach           Brevard County"/>
    <s v="FDOT District 5"/>
    <m/>
    <m/>
    <m/>
    <n v="0"/>
    <n v="1"/>
    <n v="0.10120571691234"/>
    <n v="1.3360198777459999E-2"/>
    <n v="33.0537049144964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01.96529761782701"/>
    <n v="35.369682239813201"/>
    <n v="2.6807546599999999E-2"/>
  </r>
  <r>
    <n v="840000"/>
    <n v="2400000"/>
    <n v="2400000"/>
    <x v="0"/>
    <x v="0"/>
    <s v="BR3-5, BR-7"/>
    <s v="62-304.520 (10), F.A.C."/>
    <n v="0.59"/>
    <n v="0.64"/>
    <s v="City of Cocoa Beach"/>
    <n v="0.47742420324753998"/>
    <n v="3781.8716354419298"/>
    <n v="11.579550042135599"/>
    <n v="1.5286200724267101"/>
    <n v="5.5283574528316697"/>
    <n v="0.72980022014652002"/>
    <n v="1805.5570523353499"/>
    <n v="1410"/>
    <s v="Retail Sales and Services"/>
    <n v="1410"/>
    <s v="City of Cocoa Beach           Brevard County"/>
    <s v="City of Cocoa Beach"/>
    <m/>
    <m/>
    <m/>
    <n v="0"/>
    <n v="1"/>
    <n v="5.5283574528316697"/>
    <n v="0.72980022014652002"/>
    <n v="1986.63891069709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75.07354506348901"/>
    <n v="1932.0672031215199"/>
    <n v="1.6112237719"/>
  </r>
  <r>
    <n v="840000"/>
    <n v="2400000"/>
    <n v="2400000"/>
    <x v="0"/>
    <x v="0"/>
    <s v="BR3-5, BR-7"/>
    <s v="62-304.520 (10), F.A.C."/>
    <n v="0.59"/>
    <n v="0.64"/>
    <s v="City of Cocoa Beach"/>
    <n v="7.8372097874010005E-2"/>
    <n v="3782.1091691373299"/>
    <n v="11.6204057133546"/>
    <n v="1.53418801912293"/>
    <n v="0.91071557390281999"/>
    <n v="0.12023753359184"/>
    <n v="296.41182997385198"/>
    <n v="1400"/>
    <s v="Commercial and Services"/>
    <n v="1400"/>
    <s v="City of Cocoa Beach           Brevard County"/>
    <s v="City of Cocoa Beach"/>
    <m/>
    <m/>
    <m/>
    <n v="0"/>
    <n v="1"/>
    <n v="0.91071557390281999"/>
    <n v="0.12023753359184"/>
    <n v="296.411829973851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12.705094993532"/>
    <n v="317.16062761843199"/>
    <n v="0.2403988889"/>
  </r>
  <r>
    <n v="840000"/>
    <n v="2400000"/>
    <n v="2400000"/>
    <x v="0"/>
    <x v="0"/>
    <s v="BR3-5, BR-7"/>
    <s v="62-304.520 (10), F.A.C."/>
    <n v="0.59"/>
    <n v="0.64"/>
    <s v="City of Cocoa Beach"/>
    <n v="0.53939135579388997"/>
    <n v="3782.1091691373299"/>
    <n v="11.6204057133546"/>
    <n v="1.53418801912293"/>
    <n v="6.2679463926014796"/>
    <n v="0.82752775567746995"/>
    <n v="2040.0369925015"/>
    <n v="1410"/>
    <s v="Retail Sales and Services"/>
    <n v="1410"/>
    <s v="City of Cocoa Beach           Brevard County"/>
    <s v="City of Cocoa Beach"/>
    <m/>
    <m/>
    <m/>
    <n v="0"/>
    <n v="1"/>
    <n v="6.2679463926014796"/>
    <n v="0.82752775567746995"/>
    <n v="2040.0369925015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87.332244784057"/>
    <n v="2182.8393723815602"/>
    <n v="1.6545312186000001"/>
  </r>
  <r>
    <n v="840000"/>
    <n v="2400000"/>
    <n v="2400000"/>
    <x v="0"/>
    <x v="0"/>
    <s v="BR3-5, BR-7"/>
    <s v="62-304.520 (10), F.A.C."/>
    <n v="0.59"/>
    <n v="0.64"/>
    <s v="FDOT District 5"/>
    <n v="3.8371460621069997E-2"/>
    <n v="3774.46272523159"/>
    <n v="10.6418536584173"/>
    <n v="1.4008455664980699"/>
    <n v="0.40834346858916998"/>
    <n v="5.3752490491080003E-2"/>
    <n v="144.83164782692799"/>
    <n v="8140"/>
    <s v="Roads and Highways"/>
    <n v="8140"/>
    <s v="FDOT District 5                                 City of Cocoa Beach           Brevard County"/>
    <s v="FDOT District 5"/>
    <m/>
    <m/>
    <m/>
    <n v="0"/>
    <n v="1"/>
    <n v="0.40834346858916998"/>
    <n v="5.3752490491080003E-2"/>
    <n v="786.01381358088497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06.275710194751"/>
    <n v="155.283791851252"/>
    <n v="0.63748078959999999"/>
  </r>
  <r>
    <n v="840000"/>
    <n v="2400000"/>
    <n v="2400000"/>
    <x v="0"/>
    <x v="0"/>
    <s v="BR3-5, BR-7"/>
    <s v="62-304.520 (10), F.A.C."/>
    <n v="0.59"/>
    <n v="0.64"/>
    <s v="City of Cocoa Beach"/>
    <n v="0.12731611169095"/>
    <n v="3783.8090208048302"/>
    <n v="11.6254551144582"/>
    <n v="1.53485638481041"/>
    <n v="1.4801077418105499"/>
    <n v="0.19541194691809"/>
    <n v="481.73985191003101"/>
    <n v="1450"/>
    <s v="Tourist Services"/>
    <n v="1450"/>
    <s v="City of Cocoa Beach           Brevard County"/>
    <s v="City of Cocoa Beach"/>
    <m/>
    <m/>
    <m/>
    <n v="0"/>
    <n v="1"/>
    <n v="1.4801077418105499"/>
    <n v="0.19541194691809"/>
    <n v="2337.49892897342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21.02366313856101"/>
    <n v="515.23002427153801"/>
    <n v="1.8957817752999999"/>
  </r>
  <r>
    <n v="840000"/>
    <n v="2400000"/>
    <n v="2400000"/>
    <x v="0"/>
    <x v="0"/>
    <s v="BR3-5, BR-7"/>
    <s v="62-304.520 (10), F.A.C."/>
    <n v="0.59"/>
    <n v="0.64"/>
    <s v="FDOT District 5"/>
    <n v="4.9863011619000002E-4"/>
    <n v="3724.5902340310099"/>
    <n v="8.1031414486942204"/>
    <n v="1.0815343837899101"/>
    <n v="4.0404703621299996E-3"/>
    <n v="5.3928561546000005E-4"/>
    <n v="1.85719286118854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0404703621299996E-3"/>
    <n v="5.3928561546000005E-4"/>
    <n v="60.367873091993403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0.0563273796435"/>
    <n v="2.0178844881417399"/>
    <n v="4.8960156599999999E-2"/>
  </r>
  <r>
    <n v="840000"/>
    <n v="2400000"/>
    <n v="2400000"/>
    <x v="0"/>
    <x v="0"/>
    <s v="BR3-5, BR-7"/>
    <s v="62-304.520 (10), F.A.C."/>
    <n v="0.59"/>
    <n v="0.64"/>
    <s v="FDOT District 5"/>
    <n v="1.008702253066E-2"/>
    <n v="3724.5902340310099"/>
    <n v="8.1031414486942204"/>
    <n v="1.0815343837899101"/>
    <n v="8.1736570362140007E-2"/>
    <n v="1.090946169697E-2"/>
    <n v="37.570025608165601"/>
    <n v="8140"/>
    <s v="Roads and Highways"/>
    <n v="8140"/>
    <s v="FDOT District 5                                 City of Cocoa Beach           Brevard County"/>
    <s v="FDOT District 5"/>
    <m/>
    <m/>
    <m/>
    <n v="0"/>
    <n v="1"/>
    <n v="8.1736570362140007E-2"/>
    <n v="1.090946169697E-2"/>
    <n v="998.962367103782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27.198996134420302"/>
    <n v="40.820731911114699"/>
    <n v="0.81018845669999995"/>
  </r>
  <r>
    <n v="840000"/>
    <n v="2400000"/>
    <n v="2400000"/>
    <x v="0"/>
    <x v="0"/>
    <s v="BR3-5, BR-7"/>
    <s v="62-304.520 (10), F.A.C."/>
    <n v="0.59"/>
    <n v="0.64"/>
    <s v="FDOT District 5"/>
    <n v="2.39801993196E-3"/>
    <n v="3776.3353987987098"/>
    <n v="10.7516417475435"/>
    <n v="1.4157952348805301"/>
    <n v="2.578265121191E-2"/>
    <n v="3.39510519281E-3"/>
    <n v="9.0557275560892094"/>
    <n v="8140"/>
    <s v="Roads and Highways"/>
    <n v="8140"/>
    <s v="FDOT District 5                                 City of Cocoa Beach           Brevard County"/>
    <s v="FDOT District 5"/>
    <m/>
    <m/>
    <m/>
    <n v="0"/>
    <n v="1"/>
    <n v="2.578265121191E-2"/>
    <n v="3.39510519281E-3"/>
    <n v="700.37633038001502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4.880290389072201"/>
    <n v="9.7044423626996004"/>
    <n v="0.56802622089999999"/>
  </r>
  <r>
    <n v="840000"/>
    <n v="2400000"/>
    <n v="2400000"/>
    <x v="0"/>
    <x v="0"/>
    <s v="BR3-5, BR-7"/>
    <s v="62-304.520 (10), F.A.C."/>
    <n v="0.59"/>
    <n v="0.64"/>
    <s v="FDOT District 5"/>
    <n v="6.9725604184370002E-2"/>
    <n v="3773.50880480261"/>
    <n v="10.5118458581266"/>
    <n v="1.3831271150873501"/>
    <n v="0.73294480355090996"/>
    <n v="9.643937376325E-2"/>
    <n v="263.11018130992397"/>
    <n v="8140"/>
    <s v="Roads and Highways"/>
    <n v="8140"/>
    <s v="FDOT District 5                                 City of Cocoa Beach           Brevard County"/>
    <s v="FDOT District 5"/>
    <m/>
    <m/>
    <m/>
    <n v="0"/>
    <n v="1"/>
    <n v="0.73294480355090996"/>
    <n v="9.643937376325E-2"/>
    <n v="890.49505133160403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11.351138878255"/>
    <n v="282.16950909926197"/>
    <n v="0.72221820869999998"/>
  </r>
  <r>
    <n v="840000"/>
    <n v="2400000"/>
    <n v="2400000"/>
    <x v="0"/>
    <x v="0"/>
    <s v="BR3-5, BR-7"/>
    <s v="62-304.520 (10), F.A.C."/>
    <n v="0.59"/>
    <n v="0.64"/>
    <s v="City of Cocoa Beach"/>
    <n v="4.1710682680399999E-3"/>
    <n v="3781.4657523627202"/>
    <n v="11.211659378571699"/>
    <n v="1.47846289516623"/>
    <n v="4.6764596666090001E-2"/>
    <n v="6.1667696675100003E-3"/>
    <n v="15.772751806379"/>
    <n v="1450"/>
    <s v="Tourist Services"/>
    <n v="1450"/>
    <s v="City of Cocoa Beach           Brevard County"/>
    <s v="City of Cocoa Beach"/>
    <m/>
    <m/>
    <m/>
    <n v="0"/>
    <n v="1"/>
    <n v="4.6764596666090001E-2"/>
    <n v="6.1667696675100003E-3"/>
    <n v="1779.66267586681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23.424676870584801"/>
    <n v="16.879714408808201"/>
    <n v="1.4433598344"/>
  </r>
  <r>
    <n v="840000"/>
    <n v="2400000"/>
    <n v="2400000"/>
    <x v="0"/>
    <x v="0"/>
    <s v="BR3-5, BR-7"/>
    <s v="62-304.520 (10), F.A.C."/>
    <n v="0.59"/>
    <n v="0.64"/>
    <s v="City of Cocoa Beach"/>
    <n v="7.8329125672799996E-2"/>
    <n v="3781.2318427149698"/>
    <n v="11.4678244406386"/>
    <n v="1.51339376336706"/>
    <n v="0.89826466180444997"/>
    <n v="0.11854281028321"/>
    <n v="296.18058420603199"/>
    <n v="1400"/>
    <s v="Commercial and Services"/>
    <n v="1400"/>
    <s v="City of Cocoa Beach           Brevard County"/>
    <s v="City of Cocoa Beach"/>
    <m/>
    <m/>
    <m/>
    <n v="0"/>
    <n v="1"/>
    <n v="0.89826466180444997"/>
    <n v="0.11854281028321"/>
    <n v="296.180584206031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80.59953825431199"/>
    <n v="316.98672528996599"/>
    <n v="0.24021134159999999"/>
  </r>
  <r>
    <n v="840000"/>
    <n v="2400000"/>
    <n v="2400000"/>
    <x v="0"/>
    <x v="0"/>
    <s v="BR3-5, BR-7"/>
    <s v="62-304.520 (10), F.A.C."/>
    <n v="0.59"/>
    <n v="0.64"/>
    <s v="FDOT District 5"/>
    <n v="7.1928941767760005E-2"/>
    <n v="3781.2318427149698"/>
    <n v="11.4678244406386"/>
    <n v="1.51339376336706"/>
    <n v="0.82486847639367999"/>
    <n v="0.10885681187693"/>
    <n v="271.980005025075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82486847639367999"/>
    <n v="0.10885681187693"/>
    <n v="271.98000502507603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12.393345786296"/>
    <n v="291.086099949328"/>
    <n v="0.22058394570000001"/>
  </r>
  <r>
    <n v="840000"/>
    <n v="2400000"/>
    <n v="2400000"/>
    <x v="0"/>
    <x v="0"/>
    <s v="BR3-5, BR-7"/>
    <s v="62-304.520 (10), F.A.C."/>
    <n v="0.59"/>
    <n v="0.64"/>
    <s v="FDOT District 5"/>
    <n v="3.2646203798430001E-2"/>
    <n v="3781.2318427149698"/>
    <n v="11.4678244406386"/>
    <n v="1.51339376336706"/>
    <n v="0.37438093381375998"/>
    <n v="4.9406561226160002E-2"/>
    <n v="123.44286534640401"/>
    <n v="8140"/>
    <s v="Roads and Highways"/>
    <n v="8140"/>
    <s v="FDOT District 5                                 City of Cocoa Beach           Brevard County"/>
    <s v="FDOT District 5"/>
    <m/>
    <m/>
    <m/>
    <n v="0"/>
    <n v="1"/>
    <n v="0.37438093381375998"/>
    <n v="4.9406561226160002E-2"/>
    <n v="123.442865346405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05.169354865695"/>
    <n v="132.114499508676"/>
    <n v="0.10011586810000001"/>
  </r>
  <r>
    <n v="840000"/>
    <n v="2400000"/>
    <n v="2400000"/>
    <x v="0"/>
    <x v="0"/>
    <s v="BR3-5, BR-7"/>
    <s v="62-304.520 (10), F.A.C."/>
    <n v="0.59"/>
    <n v="0.64"/>
    <s v="City of Cocoa Beach"/>
    <n v="0.43485918256697997"/>
    <n v="3781.2318427149698"/>
    <n v="11.4678244406386"/>
    <n v="1.51339376336706"/>
    <n v="4.9868887620778404"/>
    <n v="0.65811317483977005"/>
    <n v="1644.3033882192899"/>
    <n v="1410"/>
    <s v="Retail Sales and Services"/>
    <n v="1410"/>
    <s v="City of Cocoa Beach           Brevard County"/>
    <s v="City of Cocoa Beach"/>
    <m/>
    <m/>
    <m/>
    <n v="0"/>
    <n v="1"/>
    <n v="4.9868887620778404"/>
    <n v="0.65811317483977005"/>
    <n v="1644.30338821928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67.848450872206"/>
    <n v="1759.8126758108201"/>
    <n v="1.3335793902999999"/>
  </r>
  <r>
    <n v="840000"/>
    <n v="2400000"/>
    <n v="2500000"/>
    <x v="0"/>
    <x v="0"/>
    <s v="BR3-5, BR-7"/>
    <s v="62-304.520 (10), F.A.C."/>
    <n v="0.59"/>
    <n v="0.64"/>
    <s v="City of Cocoa Beach"/>
    <n v="2.3013823079799998E-3"/>
    <n v="3755.9533178683901"/>
    <n v="10.6608373855219"/>
    <n v="1.4639972397383201"/>
    <n v="2.4534662547320001E-2"/>
    <n v="3.3692173464700001E-3"/>
    <n v="8.6438845153523705"/>
    <n v="1400"/>
    <s v="Commercial and Services"/>
    <n v="1400"/>
    <s v="City of Cocoa Beach           Brevard County"/>
    <s v="City of Cocoa Beach"/>
    <m/>
    <m/>
    <m/>
    <n v="0"/>
    <n v="1"/>
    <n v="2.4534662547320001E-2"/>
    <n v="3.3692173464700001E-3"/>
    <n v="265.17371144785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4.5793238808666"/>
    <n v="9.3133637734579207"/>
    <n v="0.2150638373"/>
  </r>
  <r>
    <n v="840000"/>
    <n v="2400000"/>
    <n v="2500000"/>
    <x v="0"/>
    <x v="0"/>
    <s v="BR3-5, BR-7"/>
    <s v="62-304.520 (10), F.A.C."/>
    <n v="0.59"/>
    <n v="0.64"/>
    <s v="City of Cocoa Beach"/>
    <n v="2.476773696601E-2"/>
    <n v="3755.9533178683901"/>
    <n v="10.6608373855219"/>
    <n v="1.4639972397383201"/>
    <n v="0.26404481620202003"/>
    <n v="3.6259898552799999E-2"/>
    <n v="93.026463833580706"/>
    <n v="1410"/>
    <s v="Retail Sales and Services"/>
    <n v="1410"/>
    <s v="City of Cocoa Beach           Brevard County"/>
    <s v="City of Cocoa Beach"/>
    <m/>
    <m/>
    <m/>
    <n v="0"/>
    <n v="1"/>
    <n v="0.26404481620202003"/>
    <n v="3.6259898552799999E-2"/>
    <n v="1112.31331577155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93.258886653811302"/>
    <n v="100.231475409216"/>
    <n v="0.90211947749999999"/>
  </r>
  <r>
    <n v="840000"/>
    <n v="2400000"/>
    <n v="2500000"/>
    <x v="0"/>
    <x v="0"/>
    <s v="BR3-5, BR-7"/>
    <s v="62-304.520 (10), F.A.C."/>
    <n v="0.59"/>
    <n v="0.64"/>
    <s v="City of Cocoa Beach"/>
    <n v="0.34560441250735002"/>
    <n v="3780.52060040059"/>
    <n v="11.558518110403501"/>
    <n v="1.52967414833229"/>
    <n v="3.9946748610016298"/>
    <n v="0.52866213536206996"/>
    <n v="1306.5646010733999"/>
    <n v="1410"/>
    <s v="Retail Sales and Services"/>
    <n v="1410"/>
    <s v="City of Cocoa Beach           Brevard County"/>
    <s v="City of Cocoa Beach"/>
    <m/>
    <m/>
    <m/>
    <n v="0"/>
    <n v="1"/>
    <n v="3.9946748610016298"/>
    <n v="0.52866213536206996"/>
    <n v="2274.06102534464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58.03811840496701"/>
    <n v="1398.61143636517"/>
    <n v="1.8443317318000001"/>
  </r>
  <r>
    <n v="840000"/>
    <n v="2400000"/>
    <n v="2500000"/>
    <x v="0"/>
    <x v="0"/>
    <s v="BR3-5, BR-7"/>
    <s v="62-304.520 (10), F.A.C."/>
    <n v="0.59"/>
    <n v="0.64"/>
    <s v="City of Cocoa Beach"/>
    <n v="7.2688351864429998E-2"/>
    <n v="3781.58062557526"/>
    <n v="11.350942464772301"/>
    <n v="1.4974528204359101"/>
    <n v="0.82508129987231005"/>
    <n v="0.10884737751223"/>
    <n v="274.87686311554103"/>
    <n v="1400"/>
    <s v="Commercial and Services"/>
    <n v="1400"/>
    <s v="City of Cocoa Beach           Brevard County"/>
    <s v="City of Cocoa Beach"/>
    <m/>
    <m/>
    <m/>
    <n v="0"/>
    <n v="1"/>
    <n v="0.82508129987231005"/>
    <n v="0.10884737751223"/>
    <n v="287.789890851251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93.7730908546949"/>
    <n v="294.15932357625701"/>
    <n v="0.2334062375"/>
  </r>
  <r>
    <n v="840000"/>
    <n v="2400000"/>
    <n v="2500000"/>
    <x v="0"/>
    <x v="0"/>
    <s v="BR3-5, BR-7"/>
    <s v="62-304.520 (10), F.A.C."/>
    <n v="0.59"/>
    <n v="0.64"/>
    <s v="FDOT District 5"/>
    <n v="6.7169075508899997E-3"/>
    <n v="3781.58062557526"/>
    <n v="11.350942464772301"/>
    <n v="1.4974528204359101"/>
    <n v="7.624323115145E-2"/>
    <n v="1.00582521567E-2"/>
    <n v="25.4005274582597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7.624323115145E-2"/>
    <n v="1.00582521567E-2"/>
    <n v="275.175296552260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21.1404890097348"/>
    <n v="27.182360461020998"/>
    <n v="0.22317542300000001"/>
  </r>
  <r>
    <n v="840000"/>
    <n v="2400000"/>
    <n v="2500000"/>
    <x v="0"/>
    <x v="0"/>
    <s v="BR3-5, BR-7"/>
    <s v="62-304.520 (10), F.A.C."/>
    <n v="0.59"/>
    <n v="0.64"/>
    <s v="FDOT District 5"/>
    <n v="4.8615917457900002E-3"/>
    <n v="3781.58062557526"/>
    <n v="11.350942464772301"/>
    <n v="1.4974528204359101"/>
    <n v="5.518364819372E-2"/>
    <n v="7.2800042715400002E-3"/>
    <n v="18.384501155351099"/>
    <n v="8140"/>
    <s v="Roads and Highways"/>
    <n v="8140"/>
    <s v="FDOT District 5                                 City of Cocoa Beach           Brevard County"/>
    <s v="FDOT District 5"/>
    <m/>
    <m/>
    <m/>
    <n v="0"/>
    <n v="1"/>
    <n v="5.518364819372E-2"/>
    <n v="7.2800042715400002E-3"/>
    <n v="220.45581554003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8.065989823471401"/>
    <n v="19.674163779554799"/>
    <n v="0.17879628189999999"/>
  </r>
  <r>
    <n v="840000"/>
    <n v="2400000"/>
    <n v="2500000"/>
    <x v="0"/>
    <x v="0"/>
    <s v="BR3-5, BR-7"/>
    <s v="62-304.520 (10), F.A.C."/>
    <n v="0.59"/>
    <n v="0.64"/>
    <s v="City of Cocoa Beach"/>
    <n v="0.26127129688949002"/>
    <n v="3781.58062557526"/>
    <n v="11.350942464772301"/>
    <n v="1.4974528204359101"/>
    <n v="2.9656754586890601"/>
    <n v="0.39124144042610998"/>
    <n v="988.01847433622095"/>
    <n v="1450"/>
    <s v="Tourist Services"/>
    <n v="1450"/>
    <s v="City of Cocoa Beach           Brevard County"/>
    <s v="City of Cocoa Beach"/>
    <m/>
    <m/>
    <m/>
    <n v="0"/>
    <n v="1"/>
    <n v="2.9656754586890601"/>
    <n v="0.39124144042610998"/>
    <n v="1552.7013049835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40.29832468844799"/>
    <n v="1057.3274258060101"/>
    <n v="1.2592873520000001"/>
  </r>
  <r>
    <n v="840000"/>
    <n v="2400000"/>
    <n v="2500000"/>
    <x v="0"/>
    <x v="0"/>
    <s v="BR3-5, BR-7"/>
    <s v="62-304.520 (10), F.A.C."/>
    <n v="0.59"/>
    <n v="0.64"/>
    <s v="City of Cocoa Beach"/>
    <n v="1.517528319903E-2"/>
    <n v="3643.8667555897"/>
    <n v="10.257181101883599"/>
    <n v="1.4163915456398199"/>
    <n v="0.15565562804488001"/>
    <n v="2.1494142825799999E-2"/>
    <n v="55.296709955626199"/>
    <n v="1410"/>
    <s v="Retail Sales and Services"/>
    <n v="1410"/>
    <s v="City of Cocoa Beach           Brevard County"/>
    <s v="City of Cocoa Beach"/>
    <m/>
    <m/>
    <m/>
    <n v="0"/>
    <n v="1"/>
    <n v="0.15565562804488001"/>
    <n v="2.1494142825799999E-2"/>
    <n v="1167.96002429656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46.5834242129567"/>
    <n v="61.412192275757398"/>
    <n v="0.94725062800000004"/>
  </r>
  <r>
    <n v="840000"/>
    <n v="2500000"/>
    <n v="2500000"/>
    <x v="0"/>
    <x v="0"/>
    <s v="BR3-5, BR-7"/>
    <s v="62-304.520 (10), F.A.C."/>
    <n v="0.59"/>
    <n v="0.64"/>
    <s v="City of Cocoa Beach"/>
    <n v="0.11062643771373"/>
    <n v="3783.1290786606401"/>
    <n v="11.6234353517301"/>
    <n v="1.5345890382112199"/>
    <n v="1.2858592469577801"/>
    <n v="0.16976611865185001"/>
    <n v="418.51409338346298"/>
    <n v="1400"/>
    <s v="Commercial and Services"/>
    <n v="1400"/>
    <s v="City of Cocoa Beach           Brevard County"/>
    <s v="City of Cocoa Beach"/>
    <m/>
    <m/>
    <m/>
    <n v="0"/>
    <n v="1"/>
    <n v="1.2858592469577801"/>
    <n v="0.16976611865185001"/>
    <n v="418.514093383462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17.933873565497"/>
    <n v="447.68930994905497"/>
    <n v="0.33942748859999999"/>
  </r>
  <r>
    <n v="840000"/>
    <n v="2500000"/>
    <n v="2500000"/>
    <x v="0"/>
    <x v="0"/>
    <s v="BR3-5, BR-7"/>
    <s v="62-304.520 (10), F.A.C."/>
    <n v="0.59"/>
    <n v="0.64"/>
    <s v="City of Cocoa Beach"/>
    <n v="0.50713701590814997"/>
    <n v="3783.1290786606401"/>
    <n v="11.6234353517301"/>
    <n v="1.5345890382112199"/>
    <n v="5.8946743188777697"/>
    <n v="0.77824690548380004"/>
    <n v="1918.56479174731"/>
    <n v="1450"/>
    <s v="Tourist Services"/>
    <n v="1450"/>
    <s v="City of Cocoa Beach           Brevard County"/>
    <s v="City of Cocoa Beach"/>
    <m/>
    <m/>
    <m/>
    <n v="0"/>
    <n v="1"/>
    <n v="5.8946743188777697"/>
    <n v="0.77824690548380004"/>
    <n v="1918.5647917473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82.118728762122"/>
    <n v="2052.3106898646802"/>
    <n v="1.5560136186"/>
  </r>
  <r>
    <n v="840000"/>
    <n v="2500000"/>
    <n v="2500000"/>
    <x v="0"/>
    <x v="0"/>
    <s v="BR3-5, BR-7"/>
    <s v="62-304.520 (10), F.A.C."/>
    <n v="0.59"/>
    <n v="0.64"/>
    <s v="City of Cocoa Beach"/>
    <n v="7.4609383869000002E-4"/>
    <n v="3782.0297623923402"/>
    <n v="11.606796577064999"/>
    <n v="1.5323333199976701"/>
    <n v="8.6597594130800003E-3"/>
    <n v="1.1432644488699999E-3"/>
    <n v="2.8217491034669102"/>
    <n v="1400"/>
    <s v="Commercial and Services"/>
    <n v="1400"/>
    <s v="City of Cocoa Beach           Brevard County"/>
    <s v="City of Cocoa Beach"/>
    <m/>
    <m/>
    <m/>
    <n v="0"/>
    <n v="1"/>
    <n v="8.6597594130800003E-3"/>
    <n v="1.1432644488699999E-3"/>
    <n v="268.36139527567002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35.587831984028803"/>
    <n v="3.0193346428212702"/>
    <n v="0.21764914460000001"/>
  </r>
  <r>
    <n v="840000"/>
    <n v="2500000"/>
    <n v="2500000"/>
    <x v="0"/>
    <x v="0"/>
    <s v="BR3-5, BR-7"/>
    <s v="62-304.520 (10), F.A.C."/>
    <n v="0.59"/>
    <n v="0.64"/>
    <s v="FDOT District 5"/>
    <n v="5.6700088694110001E-2"/>
    <n v="3782.0297623923402"/>
    <n v="11.606796577064999"/>
    <n v="1.5323333199976701"/>
    <n v="0.65810639537415005"/>
    <n v="8.6883435152809996E-2"/>
    <n v="214.441422971431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65810639537415005"/>
    <n v="8.6883435152809996E-2"/>
    <n v="278.56824430954498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112.56202449377"/>
    <n v="229.457118082432"/>
    <n v="0.2259272054"/>
  </r>
  <r>
    <n v="840000"/>
    <n v="2500000"/>
    <n v="2500000"/>
    <x v="0"/>
    <x v="0"/>
    <s v="BR3-5, BR-7"/>
    <s v="62-304.520 (10), F.A.C."/>
    <n v="0.59"/>
    <n v="0.64"/>
    <s v="FDOT District 5"/>
    <n v="2.9109005299300002E-3"/>
    <n v="3782.0297623923402"/>
    <n v="11.606796577064999"/>
    <n v="1.5323333199976701"/>
    <n v="3.3786230306979997E-2"/>
    <n v="4.4604698732099999E-3"/>
    <n v="11.0091124395626"/>
    <n v="8140"/>
    <s v="Roads and Highways"/>
    <n v="8140"/>
    <s v="FDOT District 5                                 City of Cocoa Beach           Brevard County"/>
    <s v="FDOT District 5"/>
    <m/>
    <m/>
    <m/>
    <n v="0"/>
    <n v="1"/>
    <n v="3.3786230306979997E-2"/>
    <n v="4.4604698732099999E-3"/>
    <n v="11.0091124395622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77.269961394896796"/>
    <n v="11.779996504518399"/>
    <n v="8.9287206000000004E-3"/>
  </r>
  <r>
    <n v="840000"/>
    <n v="2500000"/>
    <n v="2500000"/>
    <x v="0"/>
    <x v="0"/>
    <s v="BR3-5, BR-7"/>
    <s v="62-304.520 (10), F.A.C."/>
    <n v="0.59"/>
    <n v="0.64"/>
    <s v="City of Cocoa Beach"/>
    <n v="4.1450865976820003E-2"/>
    <n v="3782.0297623923402"/>
    <n v="11.606796577064999"/>
    <n v="1.5323333199976701"/>
    <n v="0.48111176933616001"/>
    <n v="6.3516543079040005E-2"/>
    <n v="156.76840880127699"/>
    <n v="1410"/>
    <s v="Retail Sales and Services"/>
    <n v="1410"/>
    <s v="City of Cocoa Beach           Brevard County"/>
    <s v="City of Cocoa Beach"/>
    <m/>
    <m/>
    <m/>
    <n v="0"/>
    <n v="1"/>
    <n v="0.48111176933616001"/>
    <n v="6.3516543079040005E-2"/>
    <n v="606.64710383142199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62.017992804846699"/>
    <n v="167.745703192343"/>
    <n v="0.49200900549999999"/>
  </r>
  <r>
    <n v="840000"/>
    <n v="2500000"/>
    <n v="2500000"/>
    <x v="0"/>
    <x v="0"/>
    <s v="BR3-5, BR-7"/>
    <s v="62-304.520 (10), F.A.C."/>
    <n v="0.59"/>
    <n v="0.64"/>
    <s v="City of Cocoa Beach"/>
    <n v="4.7787276124000003E-4"/>
    <n v="3782.0297623923402"/>
    <n v="11.606796577064999"/>
    <n v="1.5323333199976701"/>
    <n v="5.5465719294499997E-3"/>
    <n v="7.3226035477000004E-4"/>
    <n v="1.80732900565385"/>
    <n v="1430"/>
    <s v="Professional Services"/>
    <n v="1430"/>
    <s v="City of Cocoa Beach           Brevard County"/>
    <s v="City of Cocoa Beach"/>
    <m/>
    <m/>
    <m/>
    <n v="0"/>
    <n v="1"/>
    <n v="5.5465719294499997E-3"/>
    <n v="7.3226035477000004E-4"/>
    <n v="1171.8139128174601"/>
    <m/>
    <n v="-1"/>
    <n v="-1"/>
    <n v="-1"/>
    <n v="-1"/>
    <n v="0"/>
    <m/>
    <m/>
    <s v="Banana River B"/>
    <n v="-1"/>
    <m/>
    <m/>
    <n v="374"/>
    <x v="10"/>
    <s v="Holiday Lane Bioretention"/>
    <x v="0"/>
    <n v="5.6539809999999999"/>
    <n v="6.7882012539698602"/>
    <n v="1.93388245292144"/>
    <n v="0.95037624720000002"/>
  </r>
  <r>
    <n v="830000"/>
    <n v="1400000"/>
    <n v="1400000"/>
    <x v="0"/>
    <x v="0"/>
    <s v="BR3-5, BR-7"/>
    <s v="62-304.520 (10), F.A.C."/>
    <n v="0.59"/>
    <n v="0.64"/>
    <s v="City of Cocoa Beach"/>
    <n v="6.3736787075420007E-2"/>
    <n v="3688.82269287901"/>
    <n v="10.525515615222901"/>
    <n v="1.9529015761409201"/>
    <n v="0.67086254762647002"/>
    <n v="0.12447167193774"/>
    <n v="235.113706535007"/>
    <n v="1750"/>
    <s v="Governmental"/>
    <n v="1750"/>
    <s v="City of Cocoa Beach           Brevard County"/>
    <s v="City of Cocoa Beach"/>
    <m/>
    <m/>
    <m/>
    <n v="0"/>
    <n v="1"/>
    <n v="0.67086254762647002"/>
    <n v="0.12447167193774"/>
    <n v="235.11370653500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3.557402559577298"/>
    <n v="257.93362611930399"/>
    <n v="0.19068427130000001"/>
  </r>
  <r>
    <n v="830000"/>
    <n v="1400000"/>
    <n v="1400000"/>
    <x v="0"/>
    <x v="0"/>
    <s v="BR3-5, BR-7"/>
    <s v="62-304.520 (10), F.A.C."/>
    <n v="0.59"/>
    <n v="0.64"/>
    <s v="City of Cocoa Beach"/>
    <n v="4.9733428766049997E-2"/>
    <n v="3693.3901165391999"/>
    <n v="10.730568170938801"/>
    <n v="2.0287099410404599"/>
    <n v="0.53366794774867998"/>
    <n v="0.10089470133972001"/>
    <n v="183.684954266153"/>
    <n v="1750"/>
    <s v="Governmental"/>
    <n v="1750"/>
    <s v="City of Cocoa Beach           Brevard County"/>
    <s v="City of Cocoa Beach"/>
    <m/>
    <m/>
    <m/>
    <n v="0"/>
    <n v="1"/>
    <n v="0.53366794774867998"/>
    <n v="0.10089470133972001"/>
    <n v="190.13156431773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544534650484"/>
    <n v="201.264045609883"/>
    <n v="0.1542024042"/>
  </r>
  <r>
    <n v="830000"/>
    <n v="1400000"/>
    <n v="1400000"/>
    <x v="0"/>
    <x v="0"/>
    <s v="BR3-5, BR-7"/>
    <s v="62-304.520 (10), F.A.C."/>
    <n v="0.59"/>
    <n v="0.64"/>
    <s v="City of Cocoa Beach"/>
    <n v="0.22600735991741"/>
    <n v="3711.6344683201401"/>
    <n v="9.3419405300623204"/>
    <n v="1.2463148326812701"/>
    <n v="2.1113473157048799"/>
    <n v="0.28167632496021"/>
    <n v="838.85670716351399"/>
    <n v="1750"/>
    <s v="Governmental"/>
    <n v="1750"/>
    <s v="City of Cocoa Beach           Brevard County"/>
    <s v="City of Cocoa Beach"/>
    <m/>
    <m/>
    <m/>
    <n v="0"/>
    <n v="1"/>
    <n v="2.1113473157048799"/>
    <n v="0.28167632496021"/>
    <n v="907.717579814443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1.91993057664499"/>
    <n v="914.61933599146005"/>
    <n v="0.73618619610000002"/>
  </r>
  <r>
    <n v="830000"/>
    <n v="1400000"/>
    <n v="1400000"/>
    <x v="0"/>
    <x v="0"/>
    <s v="BR3-5, BR-7"/>
    <s v="62-304.520 (10), F.A.C."/>
    <n v="0.59"/>
    <n v="0.64"/>
    <s v="City of Cocoa Beach"/>
    <n v="0.18861528764145"/>
    <n v="3695.6535633538101"/>
    <n v="9.4867124968976295"/>
    <n v="1.25624546124614"/>
    <n v="1.7893390063741199"/>
    <n v="0.23694709902121"/>
    <n v="697.05675987514496"/>
    <n v="1750"/>
    <s v="Governmental"/>
    <n v="1750"/>
    <s v="City of Cocoa Beach           Brevard County"/>
    <s v="City of Cocoa Beach"/>
    <m/>
    <m/>
    <m/>
    <n v="0"/>
    <n v="1"/>
    <n v="1.7893390063741199"/>
    <n v="0.23694709902121"/>
    <n v="697.056759875144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080522449965"/>
    <n v="763.29898815464196"/>
    <n v="0.56533394960000005"/>
  </r>
  <r>
    <n v="830000"/>
    <n v="2400000"/>
    <n v="2400000"/>
    <x v="0"/>
    <x v="0"/>
    <s v="BR3-5, BR-7"/>
    <s v="62-304.520 (10), F.A.C."/>
    <n v="0.59"/>
    <n v="0.64"/>
    <s v="City of Cocoa Beach"/>
    <n v="0.11998378117010999"/>
    <n v="3814.5536575197698"/>
    <n v="9.7382504591805503"/>
    <n v="1.30532463298901"/>
    <n v="1.1684321120740999"/>
    <n v="0.15661778512051"/>
    <n v="457.68457130551798"/>
    <n v="1400"/>
    <s v="Commercial and Services"/>
    <n v="1400"/>
    <s v="City of Cocoa Beach           Brevard County"/>
    <s v="City of Cocoa Beach"/>
    <m/>
    <m/>
    <m/>
    <n v="0"/>
    <n v="1"/>
    <n v="1.1684321120740999"/>
    <n v="0.15661778512051"/>
    <n v="533.836241766244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8.917107278058"/>
    <n v="485.557135412121"/>
    <n v="0.43295721149999999"/>
  </r>
  <r>
    <n v="830000"/>
    <n v="2400000"/>
    <n v="2400000"/>
    <x v="0"/>
    <x v="0"/>
    <s v="BR3-5, BR-7"/>
    <s v="62-304.520 (10), F.A.C."/>
    <n v="0.59"/>
    <n v="0.64"/>
    <s v="City of Cocoa Beach"/>
    <n v="6.0174163634600002E-3"/>
    <n v="3814.5536575197698"/>
    <n v="9.7382504591805503"/>
    <n v="1.30532463298901"/>
    <n v="5.8599107664630001E-2"/>
    <n v="7.85468180618E-3"/>
    <n v="22.95375759809"/>
    <n v="1410"/>
    <s v="Retail Sales and Services"/>
    <n v="1410"/>
    <s v="City of Cocoa Beach           Brevard County"/>
    <s v="City of Cocoa Beach"/>
    <m/>
    <m/>
    <m/>
    <n v="0"/>
    <n v="1"/>
    <n v="5.8599107664630001E-2"/>
    <n v="7.85468180618E-3"/>
    <n v="22.953757598091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0.975859881976007"/>
    <n v="24.351620056760598"/>
    <n v="1.8616186199999999E-2"/>
  </r>
  <r>
    <n v="830000"/>
    <n v="2400000"/>
    <n v="2400000"/>
    <x v="0"/>
    <x v="0"/>
    <s v="BR3-5, BR-7"/>
    <s v="62-304.520 (10), F.A.C."/>
    <n v="0.59"/>
    <n v="0.64"/>
    <s v="City of Cocoa Beach"/>
    <n v="0.32954015195045"/>
    <n v="3814.5536575197698"/>
    <n v="9.7382504591805503"/>
    <n v="1.30532463298901"/>
    <n v="3.2091445360499198"/>
    <n v="0.43015687789986001"/>
    <n v="1257.0485919222201"/>
    <n v="1410"/>
    <s v="Retail Sales and Services"/>
    <n v="1410"/>
    <s v="City of Cocoa Beach           Brevard County"/>
    <s v="City of Cocoa Beach"/>
    <m/>
    <m/>
    <m/>
    <n v="0"/>
    <n v="1"/>
    <n v="3.2091445360499198"/>
    <n v="0.43015687789986001"/>
    <n v="1427.242982508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6.390937503798"/>
    <n v="1333.60168035936"/>
    <n v="1.1575368877000001"/>
  </r>
  <r>
    <n v="830000"/>
    <n v="2400000"/>
    <n v="2400000"/>
    <x v="0"/>
    <x v="0"/>
    <s v="BR3-5, BR-7"/>
    <s v="62-304.520 (10), F.A.C."/>
    <n v="0.59"/>
    <n v="0.64"/>
    <s v="City of Cocoa Beach"/>
    <n v="9.7641531110159996E-2"/>
    <n v="3814.5536575197698"/>
    <n v="9.7382504591805503"/>
    <n v="1.30532463298901"/>
    <n v="0.95085768516864999"/>
    <n v="0.12745389576086"/>
    <n v="372.45885962211003"/>
    <n v="1450"/>
    <s v="Tourist Services"/>
    <n v="1450"/>
    <s v="City of Cocoa Beach           Brevard County"/>
    <s v="City of Cocoa Beach"/>
    <m/>
    <m/>
    <m/>
    <n v="0"/>
    <n v="1"/>
    <n v="0.95085768516864999"/>
    <n v="0.12745389576086"/>
    <n v="372.45885962211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7.071752095330694"/>
    <n v="395.14125726614202"/>
    <n v="0.30207531189999998"/>
  </r>
  <r>
    <n v="830000"/>
    <n v="2400000"/>
    <n v="2400000"/>
    <x v="0"/>
    <x v="0"/>
    <s v="BR3-5, BR-7"/>
    <s v="62-304.520 (10), F.A.C."/>
    <n v="0.59"/>
    <n v="0.64"/>
    <s v="City of Cocoa Beach"/>
    <n v="7.6253779979000005E-4"/>
    <n v="3811.3396671840001"/>
    <n v="9.6314439814663295"/>
    <n v="1.34660469972349"/>
    <n v="7.3443401024399996E-3"/>
    <n v="1.0268369849100001E-3"/>
    <n v="2.9062905640744598"/>
    <n v="1400"/>
    <s v="Commercial and Services"/>
    <n v="1400"/>
    <s v="City of Cocoa Beach           Brevard County"/>
    <s v="City of Cocoa Beach"/>
    <m/>
    <m/>
    <m/>
    <n v="0"/>
    <n v="1"/>
    <n v="7.3443401024399996E-3"/>
    <n v="1.0268369849100001E-3"/>
    <n v="716.317906171115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.2780854595478"/>
    <n v="3.0858809924092001"/>
    <n v="0.58095531730000005"/>
  </r>
  <r>
    <n v="830000"/>
    <n v="2400000"/>
    <n v="2400000"/>
    <x v="0"/>
    <x v="0"/>
    <s v="BR3-5, BR-7"/>
    <s v="62-304.520 (10), F.A.C."/>
    <n v="0.59"/>
    <n v="0.64"/>
    <s v="City of Cocoa Beach"/>
    <n v="0.11625174557827"/>
    <n v="3732.2521369716201"/>
    <n v="10.8799067419413"/>
    <n v="2.112839446637"/>
    <n v="1.2648081504794699"/>
    <n v="0.24562127379818"/>
    <n v="433.88082586118298"/>
    <n v="1300"/>
    <s v="Residential, High Density"/>
    <n v="1300"/>
    <s v="City of Cocoa Beach           Brevard County"/>
    <s v="City of Cocoa Beach"/>
    <m/>
    <m/>
    <m/>
    <n v="0"/>
    <n v="1"/>
    <n v="1.2648081504794699"/>
    <n v="0.24562127379818"/>
    <n v="433.880825861182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8.992973831901"/>
    <n v="470.45412320863801"/>
    <n v="0.35189036969999998"/>
  </r>
  <r>
    <n v="830000"/>
    <n v="2400000"/>
    <n v="2400000"/>
    <x v="0"/>
    <x v="0"/>
    <s v="BR3-5, BR-7"/>
    <s v="62-304.520 (10), F.A.C."/>
    <n v="0.59"/>
    <n v="0.64"/>
    <s v="City of Cocoa Beach"/>
    <n v="0.50151170808963996"/>
    <n v="3732.2521369716201"/>
    <n v="10.8799067419413"/>
    <n v="2.112839446637"/>
    <n v="5.4564006140070003"/>
    <n v="1.0596137198020901"/>
    <n v="1871.7681442338501"/>
    <n v="1300"/>
    <s v="Residential, High Density"/>
    <n v="1300"/>
    <s v="City of Cocoa Beach           Brevard County"/>
    <s v="City of Cocoa Beach"/>
    <m/>
    <m/>
    <m/>
    <n v="0"/>
    <n v="1"/>
    <n v="5.4564006140070003"/>
    <n v="1.0596137198020901"/>
    <n v="1871.76814423385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81.35664397985701"/>
    <n v="2029.5458767913599"/>
    <n v="1.5180601332000001"/>
  </r>
  <r>
    <n v="830000"/>
    <n v="2400000"/>
    <n v="2400000"/>
    <x v="0"/>
    <x v="0"/>
    <s v="BR3-5, BR-7"/>
    <s v="62-304.520 (10), F.A.C."/>
    <n v="0.59"/>
    <n v="0.64"/>
    <s v="City of Cocoa Beach"/>
    <n v="7.0880599168490002E-2"/>
    <n v="3727.5621870137402"/>
    <n v="11.689816842707099"/>
    <n v="2.1813009680552198"/>
    <n v="0.82858122198108997"/>
    <n v="0.15461191958258"/>
    <n v="264.21184125337402"/>
    <n v="1300"/>
    <s v="Residential, High Density"/>
    <n v="1300"/>
    <s v="City of Cocoa Beach           Brevard County"/>
    <s v="City of Cocoa Beach"/>
    <m/>
    <m/>
    <m/>
    <n v="0"/>
    <n v="1"/>
    <n v="0.82858122198108997"/>
    <n v="0.15461191958258"/>
    <n v="264.21184125337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1.79093336630901"/>
    <n v="286.84360796860102"/>
    <n v="0.21428373179999999"/>
  </r>
  <r>
    <n v="830000"/>
    <n v="2400000"/>
    <n v="2400000"/>
    <x v="0"/>
    <x v="0"/>
    <s v="BR3-5, BR-7"/>
    <s v="62-304.520 (10), F.A.C."/>
    <n v="0.59"/>
    <n v="0.64"/>
    <s v="City of Cocoa Beach"/>
    <n v="0.11841376143125"/>
    <n v="3727.5621870137402"/>
    <n v="11.689816842707099"/>
    <n v="2.1813009680552198"/>
    <n v="1.38423518278738"/>
    <n v="0.25829605244104997"/>
    <n v="441.39465953321201"/>
    <n v="1400"/>
    <s v="Commercial and Services"/>
    <n v="1400"/>
    <s v="City of Cocoa Beach           Brevard County"/>
    <s v="City of Cocoa Beach"/>
    <m/>
    <m/>
    <m/>
    <n v="0"/>
    <n v="1"/>
    <n v="1.38423518278738"/>
    <n v="0.25829605244104997"/>
    <n v="441.39465953321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9.485332405964"/>
    <n v="479.203490948617"/>
    <n v="0.35798431429999999"/>
  </r>
  <r>
    <n v="830000"/>
    <n v="2400000"/>
    <n v="2400000"/>
    <x v="0"/>
    <x v="0"/>
    <s v="BR3-5, BR-7"/>
    <s v="62-304.520 (10), F.A.C."/>
    <n v="0.59"/>
    <n v="0.64"/>
    <s v="City of Cocoa Beach"/>
    <n v="3.2372036669050003E-2"/>
    <n v="3727.5621870137402"/>
    <n v="11.689816842707099"/>
    <n v="2.1813009680552198"/>
    <n v="0.37842317948665"/>
    <n v="7.061315492412E-2"/>
    <n v="120.668779804191"/>
    <n v="1450"/>
    <s v="Tourist Services"/>
    <n v="1450"/>
    <s v="City of Cocoa Beach           Brevard County"/>
    <s v="City of Cocoa Beach"/>
    <m/>
    <m/>
    <m/>
    <n v="0"/>
    <n v="1"/>
    <n v="0.37842317948665"/>
    <n v="7.061315492412E-2"/>
    <n v="120.66877980419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5.40122460396501"/>
    <n v="131.00498450033399"/>
    <n v="9.7866001499999994E-2"/>
  </r>
  <r>
    <n v="830000"/>
    <n v="2400000"/>
    <n v="2400000"/>
    <x v="0"/>
    <x v="0"/>
    <s v="BR3-5, BR-7"/>
    <s v="62-304.520 (10), F.A.C."/>
    <n v="0.59"/>
    <n v="0.64"/>
    <s v="City of Cocoa Beach"/>
    <n v="0.39609705633005998"/>
    <n v="3727.5621870137402"/>
    <n v="11.689816842707099"/>
    <n v="2.1813009680552198"/>
    <n v="4.6303020404338797"/>
    <n v="0.86400689241659001"/>
    <n v="1476.47640956339"/>
    <n v="1300"/>
    <s v="Residential, High Density"/>
    <n v="1300"/>
    <s v="City of Cocoa Beach           Brevard County"/>
    <s v="City of Cocoa Beach"/>
    <m/>
    <m/>
    <m/>
    <n v="0"/>
    <n v="1"/>
    <n v="4.6303020404338797"/>
    <n v="0.86400689241659001"/>
    <n v="1476.4764095633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4.278938150659"/>
    <n v="1602.9479163030501"/>
    <n v="1.1974666744"/>
  </r>
  <r>
    <n v="830000"/>
    <n v="2400000"/>
    <n v="2400000"/>
    <x v="0"/>
    <x v="0"/>
    <s v="BR3-5, BR-7"/>
    <s v="62-304.520 (10), F.A.C."/>
    <n v="0.59"/>
    <n v="0.64"/>
    <s v="City of Cocoa Beach"/>
    <n v="0.12204512847198"/>
    <n v="3685.0282923178202"/>
    <n v="9.5844390252242899"/>
    <n v="1.54454372283949"/>
    <n v="1.1697340921654"/>
    <n v="0.18850403708454"/>
    <n v="449.73975135882802"/>
    <n v="1200"/>
    <s v="Residential, Medium Density-Two-five dwellingunits per acre"/>
    <n v="1200"/>
    <s v="City of Cocoa Beach           Brevard County"/>
    <s v="City of Cocoa Beach"/>
    <m/>
    <m/>
    <m/>
    <n v="0"/>
    <n v="1"/>
    <n v="1.1697340921654"/>
    <n v="0.18850403708454"/>
    <n v="449.739751358828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0.428270750441"/>
    <n v="493.89911197948601"/>
    <n v="0.36475243419999998"/>
  </r>
  <r>
    <n v="830000"/>
    <n v="2400000"/>
    <n v="2400000"/>
    <x v="0"/>
    <x v="0"/>
    <s v="BR3-5, BR-7"/>
    <s v="62-304.520 (10), F.A.C."/>
    <n v="0.59"/>
    <n v="0.64"/>
    <s v="City of Cocoa Beach"/>
    <n v="0.12720060266752001"/>
    <n v="3685.0282923178202"/>
    <n v="9.5844390252242899"/>
    <n v="1.54454372283949"/>
    <n v="1.2191464202386699"/>
    <n v="0.19646689239151999"/>
    <n v="468.73781962970799"/>
    <n v="1300"/>
    <s v="Residential, High Density"/>
    <n v="1300"/>
    <s v="City of Cocoa Beach           Brevard County"/>
    <s v="City of Cocoa Beach"/>
    <m/>
    <m/>
    <m/>
    <n v="0"/>
    <n v="1"/>
    <n v="1.2191464202386699"/>
    <n v="0.19646689239151999"/>
    <n v="468.73781962970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1.18345747804401"/>
    <n v="514.76257583822598"/>
    <n v="0.38016043770000002"/>
  </r>
  <r>
    <n v="830000"/>
    <n v="2400000"/>
    <n v="2400000"/>
    <x v="0"/>
    <x v="0"/>
    <s v="BR3-5, BR-7"/>
    <s v="62-304.520 (10), F.A.C."/>
    <n v="0.59"/>
    <n v="0.64"/>
    <s v="City of Cocoa Beach"/>
    <n v="6.2374847457199997E-2"/>
    <n v="3685.0282923178202"/>
    <n v="9.5844390252242899"/>
    <n v="1.54454372283949"/>
    <n v="0.59782792216128"/>
    <n v="9.6340679103099999E-2"/>
    <n v="229.85307760882301"/>
    <n v="1210"/>
    <s v="Fixed Single Family Units"/>
    <n v="1210"/>
    <s v="City of Cocoa Beach           Brevard County"/>
    <s v="City of Cocoa Beach"/>
    <m/>
    <m/>
    <m/>
    <n v="0"/>
    <n v="1"/>
    <n v="0.59782792216128"/>
    <n v="9.6340679103099999E-2"/>
    <n v="229.85307760882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3.712508039064701"/>
    <n v="252.42205202842501"/>
    <n v="0.1864177434"/>
  </r>
  <r>
    <n v="830000"/>
    <n v="2400000"/>
    <n v="2400000"/>
    <x v="0"/>
    <x v="0"/>
    <s v="BR3-5, BR-7"/>
    <s v="62-304.520 (10), F.A.C."/>
    <n v="0.59"/>
    <n v="0.64"/>
    <s v="City of Cocoa Beach"/>
    <n v="0.15019034074991"/>
    <n v="3685.0282923178202"/>
    <n v="9.5844390252242899"/>
    <n v="1.54454372283949"/>
    <n v="1.43949016309517"/>
    <n v="0.23197554803639001"/>
    <n v="553.45565489627302"/>
    <n v="1210"/>
    <s v="Fixed Single Family Units"/>
    <n v="1210"/>
    <s v="City of Cocoa Beach           Brevard County"/>
    <s v="City of Cocoa Beach"/>
    <m/>
    <m/>
    <m/>
    <n v="0"/>
    <n v="1"/>
    <n v="1.43949016309517"/>
    <n v="0.23197554803639001"/>
    <n v="553.455654896273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3.48150562911501"/>
    <n v="607.79874504621705"/>
    <n v="0.44886914430000002"/>
  </r>
  <r>
    <n v="830000"/>
    <n v="2400000"/>
    <n v="2400000"/>
    <x v="0"/>
    <x v="0"/>
    <s v="BR3-5, BR-7"/>
    <s v="62-304.520 (10), F.A.C."/>
    <n v="0.59"/>
    <n v="0.64"/>
    <s v="City of Cocoa Beach"/>
    <n v="0.14626844879820999"/>
    <n v="3666.8022043035699"/>
    <n v="9.1449516380245104"/>
    <n v="1.34513661954596"/>
    <n v="1.33761789042857"/>
    <n v="0.19675104676266"/>
    <n v="536.33747047337397"/>
    <n v="1200"/>
    <s v="Residential, Medium Density-Two-five dwellingunits per acre"/>
    <n v="1200"/>
    <s v="City of Cocoa Beach           Brevard County"/>
    <s v="City of Cocoa Beach"/>
    <m/>
    <m/>
    <m/>
    <n v="0"/>
    <n v="1"/>
    <n v="1.33761789042857"/>
    <n v="0.19675104676266"/>
    <n v="536.337470473373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4.01610919790301"/>
    <n v="591.92741141355805"/>
    <n v="0.43498578300000001"/>
  </r>
  <r>
    <n v="830000"/>
    <n v="2400000"/>
    <n v="2400000"/>
    <x v="0"/>
    <x v="0"/>
    <s v="BR3-5, BR-7"/>
    <s v="62-304.520 (10), F.A.C."/>
    <n v="0.59"/>
    <n v="0.64"/>
    <s v="City of Cocoa Beach"/>
    <n v="0.16712936486637001"/>
    <n v="3666.8022043035699"/>
    <n v="9.1449516380245104"/>
    <n v="1.34513661954596"/>
    <n v="1.52838995899672"/>
    <n v="0.22481182888321"/>
    <n v="612.83032349586995"/>
    <n v="1210"/>
    <s v="Fixed Single Family Units"/>
    <n v="1210"/>
    <s v="City of Cocoa Beach           Brevard County"/>
    <s v="City of Cocoa Beach"/>
    <m/>
    <m/>
    <m/>
    <n v="0"/>
    <n v="1"/>
    <n v="1.52838995899672"/>
    <n v="0.22481182888321"/>
    <n v="612.830323495869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038261402042"/>
    <n v="676.34854358111204"/>
    <n v="0.49702378219999999"/>
  </r>
  <r>
    <n v="830000"/>
    <n v="2400000"/>
    <n v="2400000"/>
    <x v="0"/>
    <x v="0"/>
    <s v="BR3-5, BR-7"/>
    <s v="62-304.520 (10), F.A.C."/>
    <n v="0.59"/>
    <n v="0.64"/>
    <s v="City of Cocoa Beach"/>
    <n v="0.24024244969909"/>
    <n v="3666.8022043035699"/>
    <n v="9.1449516380245104"/>
    <n v="1.34513661954596"/>
    <n v="2.1970055838987799"/>
    <n v="0.32315891665968"/>
    <n v="880.92154412394405"/>
    <n v="1210"/>
    <s v="Fixed Single Family Units"/>
    <n v="1210"/>
    <s v="City of Cocoa Beach           Brevard County"/>
    <s v="City of Cocoa Beach"/>
    <m/>
    <m/>
    <m/>
    <n v="0"/>
    <n v="1"/>
    <n v="2.1970055838987799"/>
    <n v="0.32315891665968"/>
    <n v="880.921544123944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7.086375758988"/>
    <n v="972.22670049790497"/>
    <n v="0.71445380709999995"/>
  </r>
  <r>
    <n v="830000"/>
    <n v="2400000"/>
    <n v="2400000"/>
    <x v="0"/>
    <x v="0"/>
    <s v="BR3-5, BR-7"/>
    <s v="62-304.520 (10), F.A.C."/>
    <n v="0.59"/>
    <n v="0.64"/>
    <s v="City of Cocoa Beach"/>
    <n v="6.412319039627E-2"/>
    <n v="3666.8022043035699"/>
    <n v="9.1449516380245104"/>
    <n v="1.34513661954596"/>
    <n v="0.58640347504979995"/>
    <n v="8.625445156415E-2"/>
    <n v="235.12705589205001"/>
    <n v="1210"/>
    <s v="Fixed Single Family Units"/>
    <n v="1210"/>
    <s v="City of Cocoa Beach           Brevard County"/>
    <s v="City of Cocoa Beach"/>
    <m/>
    <m/>
    <m/>
    <n v="0"/>
    <n v="1"/>
    <n v="0.58640347504979995"/>
    <n v="8.625445156415E-2"/>
    <n v="235.12705589204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5.936210969158196"/>
    <n v="259.497344879953"/>
    <n v="0.19069509800000001"/>
  </r>
  <r>
    <n v="830000"/>
    <n v="2400000"/>
    <n v="2400000"/>
    <x v="0"/>
    <x v="0"/>
    <s v="BR3-5, BR-7"/>
    <s v="62-304.520 (10), F.A.C."/>
    <n v="0.59"/>
    <n v="0.64"/>
    <s v="City of Cocoa Beach"/>
    <n v="0.19207978492851999"/>
    <n v="3870.95905982251"/>
    <n v="8.71713939889203"/>
    <n v="1.1823419795158601"/>
    <n v="1.6743862609311"/>
    <n v="0.22710399313735999"/>
    <n v="743.53298367781395"/>
    <n v="1450"/>
    <s v="Tourist Services"/>
    <n v="1450"/>
    <s v="City of Cocoa Beach           Brevard County"/>
    <s v="City of Cocoa Beach"/>
    <m/>
    <m/>
    <m/>
    <n v="0"/>
    <n v="1"/>
    <n v="1.6743862609311"/>
    <n v="0.22710399313735999"/>
    <n v="2391.3370370012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1.26591148095099"/>
    <n v="777.31931125119104"/>
    <n v="1.9394460965"/>
  </r>
  <r>
    <n v="830000"/>
    <n v="2400000"/>
    <n v="2400000"/>
    <x v="0"/>
    <x v="0"/>
    <s v="BR3-5, BR-7"/>
    <s v="62-304.520 (10), F.A.C."/>
    <n v="0.59"/>
    <n v="0.64"/>
    <s v="City of Cocoa Beach"/>
    <n v="7.7001288688969993E-2"/>
    <n v="3666.8022040303799"/>
    <n v="9.1449516373431603"/>
    <n v="1.3451366194457399"/>
    <n v="0.70417306107376998"/>
    <n v="0.10357725316005"/>
    <n v="282.34849507791301"/>
    <n v="1200"/>
    <s v="Residential, Medium Density-Two-five dwellingunits per acre"/>
    <n v="1200"/>
    <s v="City of Cocoa Beach           Brevard County"/>
    <s v="City of Cocoa Beach"/>
    <m/>
    <m/>
    <m/>
    <n v="0"/>
    <n v="1"/>
    <n v="0.70417306107376998"/>
    <n v="0.10357725316005"/>
    <n v="295.013431585448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9.00375717774801"/>
    <n v="311.613159664053"/>
    <n v="0.23926474580000001"/>
  </r>
  <r>
    <n v="830000"/>
    <n v="2400000"/>
    <n v="2400000"/>
    <x v="0"/>
    <x v="0"/>
    <s v="BR3-5, BR-7"/>
    <s v="62-304.520 (10), F.A.C."/>
    <n v="0.59"/>
    <n v="0.64"/>
    <s v="City of Cocoa Beach"/>
    <n v="5.8401708707000002E-4"/>
    <n v="3666.8022040303799"/>
    <n v="9.1449516373431603"/>
    <n v="1.3451366194457399"/>
    <n v="5.3408080167100004E-3"/>
    <n v="7.8558277021E-4"/>
    <n v="2.1414751420890101"/>
    <n v="1210"/>
    <s v="Fixed Single Family Units"/>
    <n v="1210"/>
    <s v="City of Cocoa Beach           Brevard County"/>
    <s v="City of Cocoa Beach"/>
    <m/>
    <m/>
    <m/>
    <n v="0"/>
    <n v="1"/>
    <n v="5.3408080167100004E-3"/>
    <n v="7.8558277021E-4"/>
    <n v="2.1414751420897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.5096477819678"/>
    <n v="2.36343329963371"/>
    <n v="1.7368005999999999E-3"/>
  </r>
  <r>
    <n v="830000"/>
    <n v="2400000"/>
    <n v="2400000"/>
    <x v="0"/>
    <x v="0"/>
    <s v="BR3-5, BR-7"/>
    <s v="62-304.520 (10), F.A.C."/>
    <n v="0.59"/>
    <n v="0.64"/>
    <s v="City of Cocoa Beach"/>
    <n v="1.190829550374E-2"/>
    <n v="3666.8022040303799"/>
    <n v="9.1449516373431603"/>
    <n v="1.3451366194457399"/>
    <n v="0.10890078646496"/>
    <n v="1.6018284357269999E-2"/>
    <n v="43.6653641993882"/>
    <n v="1210"/>
    <s v="Fixed Single Family Units"/>
    <n v="1210"/>
    <s v="City of Cocoa Beach           Brevard County"/>
    <s v="City of Cocoa Beach"/>
    <m/>
    <m/>
    <m/>
    <n v="0"/>
    <n v="1"/>
    <n v="0.10890078646496"/>
    <n v="1.6018284357269999E-2"/>
    <n v="43.6653641993870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0.458870812538002"/>
    <n v="48.191162139178402"/>
    <n v="3.5413920699999997E-2"/>
  </r>
  <r>
    <n v="830000"/>
    <n v="2400000"/>
    <n v="2400000"/>
    <x v="0"/>
    <x v="0"/>
    <s v="BR3-5, BR-7"/>
    <s v="62-304.520 (10), F.A.C."/>
    <n v="0.59"/>
    <n v="0.64"/>
    <s v="City of Cocoa Beach"/>
    <n v="0.25290872736482001"/>
    <n v="3666.8022040303799"/>
    <n v="9.1449516373431603"/>
    <n v="1.3451366194457399"/>
    <n v="2.31283808041331"/>
    <n v="0.34019679055584001"/>
    <n v="927.36627891985097"/>
    <n v="1210"/>
    <s v="Fixed Single Family Units"/>
    <n v="1210"/>
    <s v="City of Cocoa Beach           Brevard County"/>
    <s v="City of Cocoa Beach"/>
    <m/>
    <m/>
    <m/>
    <n v="0"/>
    <n v="1"/>
    <n v="2.31283808041331"/>
    <n v="0.34019679055584001"/>
    <n v="927.366278919850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1.58077250137501"/>
    <n v="1023.48530761734"/>
    <n v="0.75212188069999997"/>
  </r>
  <r>
    <n v="830000"/>
    <n v="2400000"/>
    <n v="2400000"/>
    <x v="0"/>
    <x v="0"/>
    <s v="BR3-5, BR-7"/>
    <s v="62-304.520 (10), F.A.C."/>
    <n v="0.59"/>
    <n v="0.64"/>
    <s v="City of Cocoa Beach"/>
    <n v="0.26601037640238001"/>
    <n v="3666.8022040303799"/>
    <n v="9.1449516373431603"/>
    <n v="1.3451366194457399"/>
    <n v="2.4326520272312502"/>
    <n v="0.35782029845139002"/>
    <n v="975.40743448721298"/>
    <n v="1210"/>
    <s v="Fixed Single Family Units"/>
    <n v="1210"/>
    <s v="City of Cocoa Beach           Brevard County"/>
    <s v="City of Cocoa Beach"/>
    <m/>
    <m/>
    <m/>
    <n v="0"/>
    <n v="1"/>
    <n v="2.4326520272312502"/>
    <n v="0.35782029845139002"/>
    <n v="975.407434487212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4.789697075514"/>
    <n v="1076.50580016903"/>
    <n v="0.79108469950000004"/>
  </r>
  <r>
    <n v="830000"/>
    <n v="2400000"/>
    <n v="2400000"/>
    <x v="0"/>
    <x v="0"/>
    <s v="BR3-5, BR-7"/>
    <s v="62-304.520 (10), F.A.C."/>
    <n v="0.59"/>
    <n v="0.64"/>
    <s v="City of Cocoa Beach"/>
    <n v="5.8968027021299996E-3"/>
    <n v="3666.8022040303799"/>
    <n v="9.1449516373431603"/>
    <n v="1.3451366194457399"/>
    <n v="5.3925975526000001E-2"/>
    <n v="7.9320052522900003E-3"/>
    <n v="21.6224091449319"/>
    <n v="1210"/>
    <s v="Fixed Single Family Units"/>
    <n v="1210"/>
    <s v="City of Cocoa Beach           Brevard County"/>
    <s v="City of Cocoa Beach"/>
    <m/>
    <m/>
    <m/>
    <n v="0"/>
    <n v="1"/>
    <n v="5.3925975526000001E-2"/>
    <n v="7.9320052522900003E-3"/>
    <n v="21.622409144932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3.113425468103998"/>
    <n v="23.863513886773902"/>
    <n v="1.7536422699999998E-2"/>
  </r>
  <r>
    <n v="830000"/>
    <n v="2400000"/>
    <n v="2400000"/>
    <x v="0"/>
    <x v="0"/>
    <s v="BR3-5, BR-7"/>
    <s v="62-304.520 (10), F.A.C."/>
    <n v="0.59"/>
    <n v="0.64"/>
    <s v="City of Cocoa Beach"/>
    <n v="7.497987669799E-2"/>
    <n v="3731.9231298561599"/>
    <n v="9.4700604874153598"/>
    <n v="1.6773109885088899"/>
    <n v="0.71006396766894997"/>
    <n v="0.12576457110257999"/>
    <n v="279.81913612301099"/>
    <n v="1300"/>
    <s v="Residential, High Density"/>
    <n v="1300"/>
    <s v="City of Cocoa Beach           Brevard County"/>
    <s v="City of Cocoa Beach"/>
    <m/>
    <m/>
    <m/>
    <n v="0"/>
    <n v="1"/>
    <n v="0.71006396766894997"/>
    <n v="0.12576457110257999"/>
    <n v="343.33639414929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1.55474800454701"/>
    <n v="303.43279556604"/>
    <n v="0.27845611850000002"/>
  </r>
  <r>
    <n v="830000"/>
    <n v="2400000"/>
    <n v="2400000"/>
    <x v="0"/>
    <x v="0"/>
    <s v="BR3-5, BR-7"/>
    <s v="62-304.520 (10), F.A.C."/>
    <n v="0.59"/>
    <n v="0.64"/>
    <s v="City of Cocoa Beach"/>
    <n v="0.11500185227011001"/>
    <n v="3731.9231298561599"/>
    <n v="9.4700604874153598"/>
    <n v="1.6773109885088899"/>
    <n v="1.0890744971627599"/>
    <n v="0.19289387051153001"/>
    <n v="429.17807246313299"/>
    <n v="1300"/>
    <s v="Residential, High Density"/>
    <n v="1300"/>
    <s v="City of Cocoa Beach           Brevard County"/>
    <s v="City of Cocoa Beach"/>
    <m/>
    <m/>
    <m/>
    <n v="0"/>
    <n v="1"/>
    <n v="1.0890744971627599"/>
    <n v="0.19289387051153001"/>
    <n v="429.17807246313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7.496089626967503"/>
    <n v="465.39598444719701"/>
    <n v="0.34807629559999997"/>
  </r>
  <r>
    <n v="830000"/>
    <n v="2400000"/>
    <n v="2400000"/>
    <x v="0"/>
    <x v="0"/>
    <s v="BR3-5, BR-7"/>
    <s v="62-304.520 (10), F.A.C."/>
    <n v="0.59"/>
    <n v="0.64"/>
    <s v="City of Cocoa Beach"/>
    <n v="0.10974572020539999"/>
    <n v="3731.9231298561599"/>
    <n v="9.4700604874153598"/>
    <n v="1.6773109885088899"/>
    <n v="1.0392986085801299"/>
    <n v="0.18407770244234001"/>
    <n v="409.56259163726997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1.0392986085801299"/>
    <n v="0.18407770244234001"/>
    <n v="409.562591637269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5.058860499735303"/>
    <n v="444.12517264415197"/>
    <n v="0.33216755199999998"/>
  </r>
  <r>
    <n v="830000"/>
    <n v="2400000"/>
    <n v="2400000"/>
    <x v="0"/>
    <x v="0"/>
    <s v="BR3-5, BR-7"/>
    <s v="62-304.520 (10), F.A.C."/>
    <n v="0.59"/>
    <n v="0.64"/>
    <s v="City of Cocoa Beach"/>
    <n v="9.7752353607090003E-2"/>
    <n v="3731.9231298561599"/>
    <n v="9.4700604874153598"/>
    <n v="1.6773109885088899"/>
    <n v="0.92572070144637997"/>
    <n v="0.16396109685777999"/>
    <n v="364.80426942418899"/>
    <n v="1300"/>
    <s v="Residential, High Density"/>
    <n v="1300"/>
    <s v="City of Cocoa Beach           Brevard County"/>
    <s v="City of Cocoa Beach"/>
    <m/>
    <m/>
    <m/>
    <n v="0"/>
    <n v="1"/>
    <n v="0.92572070144637997"/>
    <n v="0.16396109685777999"/>
    <n v="1123.3686635310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9.099832787892794"/>
    <n v="395.58973999957999"/>
    <n v="0.91108569630000003"/>
  </r>
  <r>
    <n v="830000"/>
    <n v="2400000"/>
    <n v="2400000"/>
    <x v="0"/>
    <x v="0"/>
    <s v="BR3-5, BR-7"/>
    <s v="62-304.520 (10), F.A.C."/>
    <n v="0.59"/>
    <n v="0.64"/>
    <s v="City of Cocoa Beach"/>
    <n v="0.19147977750337999"/>
    <n v="3667.3977546454898"/>
    <n v="9.1617955501752792"/>
    <n v="1.3528633670083201"/>
    <n v="1.75429857347902"/>
    <n v="0.25904597650722999"/>
    <n v="702.23250607591694"/>
    <n v="1200"/>
    <s v="Residential, Medium Density-Two-five dwellingunits per acre"/>
    <n v="1200"/>
    <s v="City of Cocoa Beach           Brevard County"/>
    <s v="City of Cocoa Beach"/>
    <m/>
    <m/>
    <m/>
    <n v="0"/>
    <n v="1"/>
    <n v="1.75429857347902"/>
    <n v="0.25904597650722999"/>
    <n v="702.2325060759169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7.92614118342601"/>
    <n v="774.89116734928098"/>
    <n v="0.56953163510000004"/>
  </r>
  <r>
    <n v="830000"/>
    <n v="2400000"/>
    <n v="2400000"/>
    <x v="0"/>
    <x v="0"/>
    <s v="BR3-5, BR-7"/>
    <s v="62-304.520 (10), F.A.C."/>
    <n v="0.59"/>
    <n v="0.64"/>
    <s v="City of Cocoa Beach"/>
    <n v="6.6311785536300001E-3"/>
    <n v="3667.3977546454898"/>
    <n v="9.1617955501752792"/>
    <n v="1.3528633670083201"/>
    <n v="6.0753502165060001E-2"/>
    <n v="8.9710785452899993E-3"/>
    <n v="24.319169338235898"/>
    <n v="1300"/>
    <s v="Residential, High Density"/>
    <n v="1300"/>
    <s v="City of Cocoa Beach           Brevard County"/>
    <s v="City of Cocoa Beach"/>
    <m/>
    <m/>
    <m/>
    <n v="0"/>
    <n v="1"/>
    <n v="6.0753502165060001E-2"/>
    <n v="8.9710785452899993E-3"/>
    <n v="24.319169338235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5.545965025863303"/>
    <n v="26.835427517838099"/>
    <n v="1.9723576100000001E-2"/>
  </r>
  <r>
    <n v="830000"/>
    <n v="2400000"/>
    <n v="2400000"/>
    <x v="0"/>
    <x v="0"/>
    <s v="BR3-5, BR-7"/>
    <s v="62-304.520 (10), F.A.C."/>
    <n v="0.59"/>
    <n v="0.64"/>
    <s v="City of Cocoa Beach"/>
    <n v="4.2788766320000002E-4"/>
    <n v="3667.3977546454898"/>
    <n v="9.1617955501752792"/>
    <n v="1.3528633670083201"/>
    <n v="3.9202192887200001E-3"/>
    <n v="5.7887354474E-4"/>
    <n v="1.5692342552785199"/>
    <n v="1210"/>
    <s v="Fixed Single Family Units"/>
    <n v="1210"/>
    <s v="City of Cocoa Beach           Brevard County"/>
    <s v="City of Cocoa Beach"/>
    <m/>
    <m/>
    <m/>
    <n v="0"/>
    <n v="1"/>
    <n v="3.9202192887200001E-3"/>
    <n v="5.7887354474E-4"/>
    <n v="1.5692342552801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.570028938435501"/>
    <n v="1.7315999379087199"/>
    <n v="1.2726961000000001E-3"/>
  </r>
  <r>
    <n v="830000"/>
    <n v="2400000"/>
    <n v="2400000"/>
    <x v="0"/>
    <x v="0"/>
    <s v="BR3-5, BR-7"/>
    <s v="62-304.520 (10), F.A.C."/>
    <n v="0.59"/>
    <n v="0.64"/>
    <s v="City of Cocoa Beach"/>
    <n v="3.6881450407900002E-3"/>
    <n v="3667.3977546454898"/>
    <n v="9.1617955501752792"/>
    <n v="1.3528633670083201"/>
    <n v="3.3790030823120001E-2"/>
    <n v="4.9895563178999998E-3"/>
    <n v="13.525894841403799"/>
    <n v="1210"/>
    <s v="Fixed Single Family Units"/>
    <n v="1210"/>
    <s v="City of Cocoa Beach           Brevard County"/>
    <s v="City of Cocoa Beach"/>
    <m/>
    <m/>
    <m/>
    <n v="0"/>
    <n v="1"/>
    <n v="3.3790030823120001E-2"/>
    <n v="4.9895563178999998E-3"/>
    <n v="13.5258948414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5.586329536330702"/>
    <n v="14.925393445068"/>
    <n v="1.0969906600000001E-2"/>
  </r>
  <r>
    <n v="830000"/>
    <n v="2400000"/>
    <n v="2400000"/>
    <x v="0"/>
    <x v="0"/>
    <s v="BR3-5, BR-7"/>
    <s v="62-304.520 (10), F.A.C."/>
    <n v="0.59"/>
    <n v="0.64"/>
    <s v="City of Cocoa Beach"/>
    <n v="0.26720746867590001"/>
    <n v="3667.3977546454898"/>
    <n v="9.1617955501752792"/>
    <n v="1.3528633670083201"/>
    <n v="2.4481001974885301"/>
    <n v="0.36149519576265998"/>
    <n v="979.95607064652995"/>
    <n v="1210"/>
    <s v="Fixed Single Family Units"/>
    <n v="1210"/>
    <s v="City of Cocoa Beach           Brevard County"/>
    <s v="City of Cocoa Beach"/>
    <m/>
    <m/>
    <m/>
    <n v="0"/>
    <n v="1"/>
    <n v="2.4481001974885301"/>
    <n v="0.36149519576265998"/>
    <n v="979.956070646529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4.98908058931801"/>
    <n v="1081.3502607243399"/>
    <n v="0.79477377989999998"/>
  </r>
  <r>
    <n v="830000"/>
    <n v="2400000"/>
    <n v="2400000"/>
    <x v="0"/>
    <x v="0"/>
    <s v="BR3-5, BR-7"/>
    <s v="62-304.520 (10), F.A.C."/>
    <n v="0.59"/>
    <n v="0.64"/>
    <s v="City of Cocoa Beach"/>
    <n v="0.14832899630002999"/>
    <n v="3667.3977546454898"/>
    <n v="9.1617955501752792"/>
    <n v="1.3528633670083201"/>
    <n v="1.3589599382636499"/>
    <n v="0.20066886535942999"/>
    <n v="543.98142797957803"/>
    <n v="1210"/>
    <s v="Fixed Single Family Units"/>
    <n v="1210"/>
    <s v="City of Cocoa Beach           Brevard County"/>
    <s v="City of Cocoa Beach"/>
    <m/>
    <m/>
    <m/>
    <n v="0"/>
    <n v="1"/>
    <n v="1.3589599382636499"/>
    <n v="0.20066886535942999"/>
    <n v="543.981427979578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3.885414938943"/>
    <n v="600.266151304956"/>
    <n v="0.44118526190000001"/>
  </r>
  <r>
    <n v="830000"/>
    <n v="2400000"/>
    <n v="2400000"/>
    <x v="0"/>
    <x v="0"/>
    <s v="BR3-5, BR-7"/>
    <s v="62-304.520 (10), F.A.C."/>
    <n v="0.59"/>
    <n v="0.64"/>
    <s v="City of Cocoa Beach"/>
    <n v="0.11609988058758999"/>
    <n v="3688.82269287901"/>
    <n v="10.525515615222901"/>
    <n v="1.9529015761409201"/>
    <n v="1.2220111060502801"/>
    <n v="0.22673163978929001"/>
    <n v="428.27187415207902"/>
    <n v="1300"/>
    <s v="Residential, High Density"/>
    <n v="1300"/>
    <s v="City of Cocoa Beach           Brevard County"/>
    <s v="City of Cocoa Beach"/>
    <m/>
    <m/>
    <m/>
    <n v="0"/>
    <n v="1"/>
    <n v="1.2220111060502801"/>
    <n v="0.22673163978929001"/>
    <n v="782.20577064462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4.33374006289199"/>
    <n v="469.83954739579701"/>
    <n v="0.63439235250000003"/>
  </r>
  <r>
    <n v="830000"/>
    <n v="2400000"/>
    <n v="2400000"/>
    <x v="0"/>
    <x v="0"/>
    <s v="BR3-5, BR-7"/>
    <s v="62-304.520 (10), F.A.C."/>
    <n v="0.59"/>
    <n v="0.64"/>
    <s v="City of Cocoa Beach"/>
    <n v="9.4473939918380004E-2"/>
    <n v="3688.82269287901"/>
    <n v="10.525515615222901"/>
    <n v="1.9529015761409201"/>
    <n v="0.99438692984254995"/>
    <n v="0.18449830617084001"/>
    <n v="348.49761345661199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99438692984254995"/>
    <n v="0.18449830617084001"/>
    <n v="504.22716827446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93648136356001"/>
    <n v="382.32247050812998"/>
    <n v="0.40894336440000001"/>
  </r>
  <r>
    <n v="830000"/>
    <n v="2400000"/>
    <n v="2400000"/>
    <x v="0"/>
    <x v="0"/>
    <s v="BR3-5, BR-7"/>
    <s v="62-304.520 (10), F.A.C."/>
    <n v="0.59"/>
    <n v="0.64"/>
    <s v="City of Cocoa Beach"/>
    <n v="0.20528843585691001"/>
    <n v="3688.82269287901"/>
    <n v="10.525515615222901"/>
    <n v="1.9529015761409201"/>
    <n v="2.1607666372365899"/>
    <n v="0.40090810994845999"/>
    <n v="757.27264077460802"/>
    <n v="1300"/>
    <s v="Residential, High Density"/>
    <n v="1300"/>
    <s v="City of Cocoa Beach           Brevard County"/>
    <s v="City of Cocoa Beach"/>
    <m/>
    <m/>
    <m/>
    <n v="0"/>
    <n v="1"/>
    <n v="2.1607666372365899"/>
    <n v="0.40090810994845999"/>
    <n v="757.272640774608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5.60995173550999"/>
    <n v="830.77282509198596"/>
    <n v="0.614170836"/>
  </r>
  <r>
    <n v="830000"/>
    <n v="2400000"/>
    <n v="2400000"/>
    <x v="0"/>
    <x v="0"/>
    <s v="BR3-5, BR-7"/>
    <s v="62-304.520 (10), F.A.C."/>
    <n v="0.59"/>
    <n v="0.64"/>
    <s v="City of Cocoa Beach"/>
    <n v="4.141200284866E-2"/>
    <n v="3676.7661837923401"/>
    <n v="10.3146274250891"/>
    <n v="1.75740847675275"/>
    <n v="0.42714938031068"/>
    <n v="7.2777804845550007E-2"/>
    <n v="152.26225167707599"/>
    <n v="1200"/>
    <s v="Residential, Medium Density-Two-five dwellingunits per acre"/>
    <n v="1200"/>
    <s v="City of Cocoa Beach           Brevard County"/>
    <s v="City of Cocoa Beach"/>
    <m/>
    <m/>
    <m/>
    <n v="0"/>
    <n v="1"/>
    <n v="0.42714938031068"/>
    <n v="7.2777804845550007E-2"/>
    <n v="267.504842837066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9.399917082403498"/>
    <n v="167.58842969255701"/>
    <n v="0.21695445490000001"/>
  </r>
  <r>
    <n v="830000"/>
    <n v="2400000"/>
    <n v="2400000"/>
    <x v="0"/>
    <x v="0"/>
    <s v="BR3-5, BR-7"/>
    <s v="62-304.520 (10), F.A.C."/>
    <n v="0.59"/>
    <n v="0.64"/>
    <s v="City of Cocoa Beach"/>
    <n v="3.1192626759840001E-2"/>
    <n v="3676.7661837923401"/>
    <n v="10.3146274250891"/>
    <n v="1.75740847675275"/>
    <n v="0.32174032343769998"/>
    <n v="5.4818186679939998E-2"/>
    <n v="114.687995254269"/>
    <n v="1410"/>
    <s v="Retail Sales and Services"/>
    <n v="1410"/>
    <s v="City of Cocoa Beach           Brevard County"/>
    <s v="City of Cocoa Beach"/>
    <m/>
    <m/>
    <m/>
    <n v="0"/>
    <n v="1"/>
    <n v="0.32174032343769998"/>
    <n v="5.4818186679939998E-2"/>
    <n v="114.68799525426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6.034950926595201"/>
    <n v="126.23208193462099"/>
    <n v="9.3015405699999998E-2"/>
  </r>
  <r>
    <n v="830000"/>
    <n v="2400000"/>
    <n v="2400000"/>
    <x v="0"/>
    <x v="0"/>
    <s v="BR3-5, BR-7"/>
    <s v="62-304.520 (10), F.A.C."/>
    <n v="0.59"/>
    <n v="0.64"/>
    <s v="City of Cocoa Beach"/>
    <n v="5.5064075659800003E-3"/>
    <n v="3676.7661837923401"/>
    <n v="10.3146274250891"/>
    <n v="1.75740847675275"/>
    <n v="5.6796542493799999E-2"/>
    <n v="9.6770073329099995E-3"/>
    <n v="20.245773132784599"/>
    <n v="1410"/>
    <s v="Retail Sales and Services"/>
    <n v="1410"/>
    <s v="City of Cocoa Beach           Brevard County"/>
    <s v="City of Cocoa Beach"/>
    <m/>
    <m/>
    <m/>
    <n v="0"/>
    <n v="1"/>
    <n v="5.6796542493799999E-2"/>
    <n v="9.6770073329099995E-3"/>
    <n v="177.19799473583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.0241355151805"/>
    <n v="22.283640822750399"/>
    <n v="0.14371289109999999"/>
  </r>
  <r>
    <n v="830000"/>
    <n v="2400000"/>
    <n v="2400000"/>
    <x v="0"/>
    <x v="0"/>
    <s v="BR3-5, BR-7"/>
    <s v="62-304.520 (10), F.A.C."/>
    <n v="0.59"/>
    <n v="0.64"/>
    <s v="City of Cocoa Beach"/>
    <n v="0.18650037315281001"/>
    <n v="3676.7661837923401"/>
    <n v="10.3146274250891"/>
    <n v="1.75740847675275"/>
    <n v="1.92368186371135"/>
    <n v="0.32775733669629997"/>
    <n v="685.71826527291296"/>
    <n v="1210"/>
    <s v="Fixed Single Family Units"/>
    <n v="1210"/>
    <s v="City of Cocoa Beach           Brevard County"/>
    <s v="City of Cocoa Beach"/>
    <m/>
    <m/>
    <m/>
    <n v="0"/>
    <n v="1"/>
    <n v="1.92368186371135"/>
    <n v="0.32775733669629997"/>
    <n v="685.718265272912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601011610222"/>
    <n v="754.74023287345506"/>
    <n v="0.55613809020000005"/>
  </r>
  <r>
    <n v="830000"/>
    <n v="2400000"/>
    <n v="2400000"/>
    <x v="0"/>
    <x v="0"/>
    <s v="BR3-5, BR-7"/>
    <s v="62-304.520 (10), F.A.C."/>
    <n v="0.59"/>
    <n v="0.64"/>
    <s v="City of Cocoa Beach"/>
    <n v="3.037784118431E-2"/>
    <n v="3676.7661837923401"/>
    <n v="10.3146274250891"/>
    <n v="1.75740847675275"/>
    <n v="0.31333611379471998"/>
    <n v="5.3386275602759999E-2"/>
    <n v="111.692219203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1333611379471998"/>
    <n v="5.3386275602759999E-2"/>
    <n v="861.015292139127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0.013115796498596"/>
    <n v="122.934761695388"/>
    <n v="0.6983092394"/>
  </r>
  <r>
    <n v="830000"/>
    <n v="2400000"/>
    <n v="2400000"/>
    <x v="0"/>
    <x v="0"/>
    <s v="BR3-5, BR-7"/>
    <s v="62-304.520 (10), F.A.C."/>
    <n v="0.59"/>
    <n v="0.64"/>
    <s v="City of Cocoa Beach"/>
    <n v="8.4042323211559994E-2"/>
    <n v="3691.1121952001299"/>
    <n v="11.0680615203941"/>
    <n v="2.0487928968420901"/>
    <n v="0.93018560362241998"/>
    <n v="0.17218531482995"/>
    <n v="310.20964411915099"/>
    <n v="1300"/>
    <s v="Residential, High Density"/>
    <n v="1300"/>
    <s v="City of Cocoa Beach           Brevard County"/>
    <s v="City of Cocoa Beach"/>
    <m/>
    <m/>
    <m/>
    <n v="0"/>
    <n v="1"/>
    <n v="0.93018560362241998"/>
    <n v="0.17218531482995"/>
    <n v="310.209644119150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3.765370604276"/>
    <n v="340.10721544213101"/>
    <n v="0.25158933020000002"/>
  </r>
  <r>
    <n v="830000"/>
    <n v="2400000"/>
    <n v="2400000"/>
    <x v="0"/>
    <x v="0"/>
    <s v="BR3-5, BR-7"/>
    <s v="62-304.520 (10), F.A.C."/>
    <n v="0.59"/>
    <n v="0.64"/>
    <s v="City of Cocoa Beach"/>
    <n v="0.23054775472332001"/>
    <n v="3691.1121952001299"/>
    <n v="11.0680615203941"/>
    <n v="2.0487928968420901"/>
    <n v="2.5517167326664598"/>
    <n v="0.47234460226003"/>
    <n v="850.977629035262"/>
    <n v="1210"/>
    <s v="Fixed Single Family Units"/>
    <n v="1210"/>
    <s v="City of Cocoa Beach           Brevard County"/>
    <s v="City of Cocoa Beach"/>
    <m/>
    <m/>
    <m/>
    <n v="0"/>
    <n v="1"/>
    <n v="2.5517167326664598"/>
    <n v="0.47234460226003"/>
    <n v="850.97762903526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3.536518563846"/>
    <n v="932.99366187197597"/>
    <n v="0.69016839340000002"/>
  </r>
  <r>
    <n v="830000"/>
    <n v="2400000"/>
    <n v="2400000"/>
    <x v="0"/>
    <x v="0"/>
    <s v="BR3-5, BR-7"/>
    <s v="62-304.520 (10), F.A.C."/>
    <n v="0.59"/>
    <n v="0.64"/>
    <s v="City of Cocoa Beach"/>
    <n v="3.0923300128200002E-3"/>
    <n v="3691.1121952001299"/>
    <n v="11.0680615203941"/>
    <n v="2.0487928968420901"/>
    <n v="3.422609882331E-2"/>
    <n v="6.3355437649699996E-3"/>
    <n v="11.4141370219254"/>
    <n v="1300"/>
    <s v="Residential, High Density"/>
    <n v="1300"/>
    <s v="City of Cocoa Beach           Brevard County"/>
    <s v="City of Cocoa Beach"/>
    <m/>
    <m/>
    <m/>
    <n v="0"/>
    <n v="1"/>
    <n v="3.422609882331E-2"/>
    <n v="6.3355437649699996E-3"/>
    <n v="11.414137021925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6.661406603303497"/>
    <n v="12.5142155725854"/>
    <n v="9.2572075999999993E-3"/>
  </r>
  <r>
    <n v="830000"/>
    <n v="2400000"/>
    <n v="2400000"/>
    <x v="0"/>
    <x v="0"/>
    <s v="BR3-5, BR-7"/>
    <s v="62-304.520 (10), F.A.C."/>
    <n v="0.59"/>
    <n v="0.64"/>
    <s v="City of Cocoa Beach"/>
    <n v="1.77418619237E-3"/>
    <n v="3691.1121952001299"/>
    <n v="11.0680615203941"/>
    <n v="2.0487928968420901"/>
    <n v="1.963680192578E-2"/>
    <n v="3.6349400685999999E-3"/>
    <n v="6.5487202912125904"/>
    <n v="1210"/>
    <s v="Fixed Single Family Units"/>
    <n v="1210"/>
    <s v="City of Cocoa Beach           Brevard County"/>
    <s v="City of Cocoa Beach"/>
    <m/>
    <m/>
    <m/>
    <n v="0"/>
    <n v="1"/>
    <n v="1.963680192578E-2"/>
    <n v="3.6349400685999999E-3"/>
    <n v="6.54872029121159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.175508852213801"/>
    <n v="7.1798767871248197"/>
    <n v="5.3112087000000002E-3"/>
  </r>
  <r>
    <n v="830000"/>
    <n v="2400000"/>
    <n v="2400000"/>
    <x v="0"/>
    <x v="0"/>
    <s v="BR3-5, BR-7"/>
    <s v="62-304.520 (10), F.A.C."/>
    <n v="0.59"/>
    <n v="0.64"/>
    <s v="City of Cocoa Beach"/>
    <n v="3.5694831691909998E-2"/>
    <n v="3691.1121952001299"/>
    <n v="11.0680615203941"/>
    <n v="2.0487928968420901"/>
    <n v="0.39507259312627002"/>
    <n v="7.3131317624370001E-2"/>
    <n v="131.753628563658"/>
    <n v="1300"/>
    <s v="Residential, High Density"/>
    <n v="1300"/>
    <s v="City of Cocoa Beach           Brevard County"/>
    <s v="City of Cocoa Beach"/>
    <m/>
    <m/>
    <m/>
    <n v="0"/>
    <n v="1"/>
    <n v="0.39507259312627002"/>
    <n v="7.3131317624370001E-2"/>
    <n v="131.75362856365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2.970345627142699"/>
    <n v="144.45185887892899"/>
    <n v="0.1068561464"/>
  </r>
  <r>
    <n v="830000"/>
    <n v="2400000"/>
    <n v="2400000"/>
    <x v="0"/>
    <x v="0"/>
    <s v="BR3-5, BR-7"/>
    <s v="62-304.520 (10), F.A.C."/>
    <n v="0.59"/>
    <n v="0.64"/>
    <s v="City of Cocoa Beach"/>
    <n v="0.26261202788193999"/>
    <n v="3691.1121952001299"/>
    <n v="11.0680615203941"/>
    <n v="2.0487928968420901"/>
    <n v="2.90660608059276"/>
    <n v="0.53803765734981002"/>
    <n v="969.33045872126502"/>
    <n v="1300"/>
    <s v="Residential, High Density"/>
    <n v="1300"/>
    <s v="City of Cocoa Beach           Brevard County"/>
    <s v="City of Cocoa Beach"/>
    <m/>
    <m/>
    <m/>
    <n v="0"/>
    <n v="1"/>
    <n v="2.90660608059276"/>
    <n v="0.53803765734981002"/>
    <n v="969.33045872126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6.604262853547"/>
    <n v="1062.75317163351"/>
    <n v="0.78615608979999996"/>
  </r>
  <r>
    <n v="830000"/>
    <n v="2400000"/>
    <n v="2400000"/>
    <x v="0"/>
    <x v="0"/>
    <s v="BR3-5, BR-7"/>
    <s v="62-304.520 (10), F.A.C."/>
    <n v="0.59"/>
    <n v="0.64"/>
    <s v="City of Cocoa Beach"/>
    <n v="9.2379242108690002E-2"/>
    <n v="3693.3901165391999"/>
    <n v="10.730568170938801"/>
    <n v="2.0287099410404599"/>
    <n v="0.99128175502697002"/>
    <n v="0.18741068681167999"/>
    <n v="341.19257977762101"/>
    <n v="1300"/>
    <s v="Residential, High Density"/>
    <n v="1300"/>
    <s v="City of Cocoa Beach           Brevard County"/>
    <s v="City of Cocoa Beach"/>
    <m/>
    <m/>
    <m/>
    <n v="0"/>
    <n v="1"/>
    <n v="0.99128175502697002"/>
    <n v="0.18741068681167999"/>
    <n v="356.04872336943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1.8152883361"/>
    <n v="373.84552922399899"/>
    <n v="0.288766199"/>
  </r>
  <r>
    <n v="830000"/>
    <n v="2400000"/>
    <n v="2400000"/>
    <x v="0"/>
    <x v="0"/>
    <s v="BR3-5, BR-7"/>
    <s v="62-304.520 (10), F.A.C."/>
    <n v="0.59"/>
    <n v="0.64"/>
    <s v="City of Cocoa Beach"/>
    <n v="9.0005980115860001E-2"/>
    <n v="3693.3901165391999"/>
    <n v="10.730568170938801"/>
    <n v="2.0287099410404599"/>
    <n v="0.96581530542546001"/>
    <n v="0.18259602661414001"/>
    <n v="332.42719738936302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96581530542546001"/>
    <n v="0.18259602661414001"/>
    <n v="350.84650578495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0.336177674346"/>
    <n v="364.24127868629699"/>
    <n v="0.2845470444"/>
  </r>
  <r>
    <n v="830000"/>
    <n v="2400000"/>
    <n v="2400000"/>
    <x v="0"/>
    <x v="0"/>
    <s v="BR3-5, BR-7"/>
    <s v="62-304.520 (10), F.A.C."/>
    <n v="0.59"/>
    <n v="0.64"/>
    <s v="City of Cocoa Beach"/>
    <n v="2.0155419058230001E-2"/>
    <n v="3693.3901165391999"/>
    <n v="10.730568170938801"/>
    <n v="2.0287099410404599"/>
    <n v="0.21627909821826"/>
    <n v="4.0889499009280003E-2"/>
    <n v="74.441825544401993"/>
    <n v="1210"/>
    <s v="Fixed Single Family Units"/>
    <n v="1210"/>
    <s v="City of Cocoa Beach           Brevard County"/>
    <s v="City of Cocoa Beach"/>
    <m/>
    <m/>
    <m/>
    <n v="0"/>
    <n v="1"/>
    <n v="0.21627909821826"/>
    <n v="4.0889499009280003E-2"/>
    <n v="90.6217451806576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8417146464176"/>
    <n v="81.566087061995106"/>
    <n v="7.3496954700000006E-2"/>
  </r>
  <r>
    <n v="830000"/>
    <n v="2400000"/>
    <n v="2400000"/>
    <x v="0"/>
    <x v="0"/>
    <s v="BR3-5, BR-7"/>
    <s v="62-304.520 (10), F.A.C."/>
    <n v="0.59"/>
    <n v="0.64"/>
    <s v="City of Cocoa Beach"/>
    <n v="0.19848320428735999"/>
    <n v="3693.3901165391999"/>
    <n v="10.730568170938801"/>
    <n v="2.0287099410404599"/>
    <n v="2.1298375543919299"/>
    <n v="0.40266484966734001"/>
    <n v="733.07590501398101"/>
    <n v="1300"/>
    <s v="Residential, High Density"/>
    <n v="1300"/>
    <s v="City of Cocoa Beach           Brevard County"/>
    <s v="City of Cocoa Beach"/>
    <m/>
    <m/>
    <m/>
    <n v="0"/>
    <n v="1"/>
    <n v="2.1298375543919299"/>
    <n v="0.40266484966734001"/>
    <n v="733.07590501398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3.927610397016"/>
    <n v="803.23303000885005"/>
    <n v="0.59454655720000005"/>
  </r>
  <r>
    <n v="830000"/>
    <n v="2400000"/>
    <n v="2400000"/>
    <x v="0"/>
    <x v="0"/>
    <s v="BR3-5, BR-7"/>
    <s v="62-304.520 (10), F.A.C."/>
    <n v="0.59"/>
    <n v="0.64"/>
    <s v="City of Cocoa Beach"/>
    <n v="0.15187052012103"/>
    <n v="3693.3901165391999"/>
    <n v="10.730568170938801"/>
    <n v="2.0287099410404599"/>
    <n v="1.62965696931471"/>
    <n v="0.30810123392053002"/>
    <n v="560.91707800870199"/>
    <n v="1300"/>
    <s v="Residential, High Density"/>
    <n v="1300"/>
    <s v="City of Cocoa Beach           Brevard County"/>
    <s v="City of Cocoa Beach"/>
    <m/>
    <m/>
    <m/>
    <n v="0"/>
    <n v="1"/>
    <n v="1.62965696931471"/>
    <n v="0.30810123392053002"/>
    <n v="560.91707800870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0.553368854559"/>
    <n v="614.59818972504195"/>
    <n v="0.45492058229999999"/>
  </r>
  <r>
    <n v="830000"/>
    <n v="2400000"/>
    <n v="2400000"/>
    <x v="0"/>
    <x v="0"/>
    <s v="BR3-5, BR-7"/>
    <s v="62-304.520 (10), F.A.C."/>
    <n v="0.59"/>
    <n v="0.64"/>
    <s v="City of Cocoa Beach"/>
    <n v="0.16452761148207001"/>
    <n v="3753.1364846507099"/>
    <n v="11.535652761444901"/>
    <n v="1.5229562431325201"/>
    <n v="1.89793339572716"/>
    <n v="0.25056835307431002"/>
    <n v="617.49458138581997"/>
    <n v="1400"/>
    <s v="Commercial and Services"/>
    <n v="1400"/>
    <s v="City of Cocoa Beach           Brevard County"/>
    <s v="City of Cocoa Beach"/>
    <m/>
    <m/>
    <m/>
    <n v="0"/>
    <n v="1"/>
    <n v="1.89793339572716"/>
    <n v="0.25056835307431002"/>
    <n v="617.494581385819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26.71241181885199"/>
    <n v="665.819621188376"/>
    <n v="0.50080663530000002"/>
  </r>
  <r>
    <n v="830000"/>
    <n v="2400000"/>
    <n v="2400000"/>
    <x v="0"/>
    <x v="0"/>
    <s v="BR3-5, BR-7"/>
    <s v="62-304.520 (10), F.A.C."/>
    <n v="0.59"/>
    <n v="0.64"/>
    <s v="City of Cocoa Beach"/>
    <n v="0.45323584246199"/>
    <n v="3753.1364846507099"/>
    <n v="11.535652761444901"/>
    <n v="1.5229562431325201"/>
    <n v="5.22837129768258"/>
    <n v="0.69025835588892004"/>
    <n v="1701.0559764955201"/>
    <n v="1410"/>
    <s v="Retail Sales and Services"/>
    <n v="1410"/>
    <s v="City of Cocoa Beach           Brevard County"/>
    <s v="City of Cocoa Beach"/>
    <m/>
    <m/>
    <m/>
    <n v="0"/>
    <n v="1"/>
    <n v="5.22837129768258"/>
    <n v="0.69025835588892004"/>
    <n v="1701.0559764955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3.44684213568701"/>
    <n v="1834.1803799292099"/>
    <n v="1.3796074424"/>
  </r>
  <r>
    <n v="830000"/>
    <n v="2400000"/>
    <n v="2400000"/>
    <x v="0"/>
    <x v="0"/>
    <s v="BR3-5, BR-7"/>
    <s v="62-304.520 (10), F.A.C."/>
    <n v="0.59"/>
    <n v="0.64"/>
    <s v="City of Cocoa Beach"/>
    <n v="4.3689834153500001E-2"/>
    <n v="3668.63635252823"/>
    <n v="9.14931315647401"/>
    <n v="1.34577093054508"/>
    <n v="0.39973197442486003"/>
    <n v="5.8796508764120001E-2"/>
    <n v="160.282113811492"/>
    <n v="1200"/>
    <s v="Residential, Medium Density-Two-five dwellingunits per acre"/>
    <n v="1200"/>
    <s v="City of Cocoa Beach           Brevard County"/>
    <s v="City of Cocoa Beach"/>
    <m/>
    <m/>
    <m/>
    <n v="0"/>
    <n v="1"/>
    <n v="0.39973197442486003"/>
    <n v="5.8796508764120001E-2"/>
    <n v="160.28211381149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7.41141277765099"/>
    <n v="176.80648593772"/>
    <n v="0.12999360409999999"/>
  </r>
  <r>
    <n v="830000"/>
    <n v="2400000"/>
    <n v="2400000"/>
    <x v="0"/>
    <x v="0"/>
    <s v="BR3-5, BR-7"/>
    <s v="62-304.520 (10), F.A.C."/>
    <n v="0.59"/>
    <n v="0.64"/>
    <s v="City of Cocoa Beach"/>
    <n v="2.4402590129999999E-5"/>
    <n v="3668.63635252823"/>
    <n v="9.14931315647401"/>
    <n v="1.34577093054508"/>
    <n v="2.2326693895000001E-4"/>
    <n v="3.2840296430000003E-5"/>
    <n v="8.9524229257769997E-2"/>
    <n v="1210"/>
    <s v="Fixed Single Family Units"/>
    <n v="1210"/>
    <s v="City of Cocoa Beach           Brevard County"/>
    <s v="City of Cocoa Beach"/>
    <m/>
    <m/>
    <m/>
    <n v="0"/>
    <n v="1"/>
    <n v="2.2326693895000001E-4"/>
    <n v="3.2840296430000003E-5"/>
    <n v="8.9524229257669993E-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.7734493787354699"/>
    <n v="9.8753778602820003E-2"/>
    <n v="7.2606800000000004E-5"/>
  </r>
  <r>
    <n v="830000"/>
    <n v="2400000"/>
    <n v="2400000"/>
    <x v="0"/>
    <x v="0"/>
    <s v="BR3-5, BR-7"/>
    <s v="62-304.520 (10), F.A.C."/>
    <n v="0.59"/>
    <n v="0.64"/>
    <s v="City of Cocoa Beach"/>
    <n v="5.1537078663520003E-2"/>
    <n v="3668.63635252823"/>
    <n v="9.14931315647401"/>
    <n v="1.34577093054508"/>
    <n v="0.47152887186242998"/>
    <n v="6.9357102310579996E-2"/>
    <n v="189.07080028811799"/>
    <n v="1210"/>
    <s v="Fixed Single Family Units"/>
    <n v="1210"/>
    <s v="City of Cocoa Beach           Brevard County"/>
    <s v="City of Cocoa Beach"/>
    <m/>
    <m/>
    <m/>
    <n v="0"/>
    <n v="1"/>
    <n v="0.47152887186242998"/>
    <n v="6.9357102310579996E-2"/>
    <n v="189.07080028812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7.567091409326096"/>
    <n v="208.56315778122601"/>
    <n v="0.15334209269999999"/>
  </r>
  <r>
    <n v="830000"/>
    <n v="2400000"/>
    <n v="2400000"/>
    <x v="0"/>
    <x v="0"/>
    <s v="BR3-5, BR-7"/>
    <s v="62-304.520 (10), F.A.C."/>
    <n v="0.59"/>
    <n v="0.64"/>
    <s v="City of Cocoa Beach"/>
    <n v="6.6609976103229995E-2"/>
    <n v="3668.63635252823"/>
    <n v="9.14931315647401"/>
    <n v="1.34577093054508"/>
    <n v="0.60943553071374001"/>
    <n v="8.9641769524029996E-2"/>
    <n v="244.36777977336499"/>
    <n v="1210"/>
    <s v="Fixed Single Family Units"/>
    <n v="1210"/>
    <s v="City of Cocoa Beach           Brevard County"/>
    <s v="City of Cocoa Beach"/>
    <m/>
    <m/>
    <m/>
    <n v="0"/>
    <n v="1"/>
    <n v="0.60943553071374001"/>
    <n v="8.9641769524029996E-2"/>
    <n v="244.36777977336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1.032166537022405"/>
    <n v="269.56100958928499"/>
    <n v="0.1981896024"/>
  </r>
  <r>
    <n v="830000"/>
    <n v="2400000"/>
    <n v="2400000"/>
    <x v="0"/>
    <x v="0"/>
    <s v="BR3-5, BR-7"/>
    <s v="62-304.520 (10), F.A.C."/>
    <n v="0.59"/>
    <n v="0.64"/>
    <s v="City of Cocoa Beach"/>
    <n v="0.20942591998662999"/>
    <n v="3668.63635252823"/>
    <n v="9.14931315647401"/>
    <n v="1.34577093054508"/>
    <n v="1.91610332504043"/>
    <n v="0.28183931522068001"/>
    <n v="768.30754322465395"/>
    <n v="1210"/>
    <s v="Fixed Single Family Units"/>
    <n v="1210"/>
    <s v="City of Cocoa Beach           Brevard County"/>
    <s v="City of Cocoa Beach"/>
    <m/>
    <m/>
    <m/>
    <n v="0"/>
    <n v="1"/>
    <n v="1.91610332504043"/>
    <n v="0.28183931522068001"/>
    <n v="768.307543224653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9.798435217697"/>
    <n v="847.516629314959"/>
    <n v="0.62312047299999995"/>
  </r>
  <r>
    <n v="830000"/>
    <n v="2400000"/>
    <n v="2400000"/>
    <x v="0"/>
    <x v="0"/>
    <s v="BR3-5, BR-7"/>
    <s v="62-304.520 (10), F.A.C."/>
    <n v="0.59"/>
    <n v="0.64"/>
    <s v="City of Cocoa Beach"/>
    <n v="0.23355978354642001"/>
    <n v="3668.63635252823"/>
    <n v="9.14931315647401"/>
    <n v="1.34577093054508"/>
    <n v="2.1369116004245301"/>
    <n v="0.31431796724118"/>
    <n v="856.84591240704106"/>
    <n v="1210"/>
    <s v="Fixed Single Family Units"/>
    <n v="1210"/>
    <s v="City of Cocoa Beach           Brevard County"/>
    <s v="City of Cocoa Beach"/>
    <m/>
    <m/>
    <m/>
    <n v="0"/>
    <n v="1"/>
    <n v="2.1369116004245301"/>
    <n v="0.31431796724118"/>
    <n v="856.8459124070410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4.299121919066"/>
    <n v="945.182910059204"/>
    <n v="0.69492774729999995"/>
  </r>
  <r>
    <n v="830000"/>
    <n v="2400000"/>
    <n v="2400000"/>
    <x v="0"/>
    <x v="0"/>
    <s v="BR3-5, BR-7"/>
    <s v="62-304.520 (10), F.A.C."/>
    <n v="0.59"/>
    <n v="0.64"/>
    <s v="City of Cocoa Beach"/>
    <n v="1.2916458762520001E-2"/>
    <n v="3668.63635252823"/>
    <n v="9.14931315647401"/>
    <n v="1.34577093054508"/>
    <n v="0.11817672609103"/>
    <n v="1.7382594728189999E-2"/>
    <n v="47.385790162134697"/>
    <n v="1210"/>
    <s v="Fixed Single Family Units"/>
    <n v="1210"/>
    <s v="City of Cocoa Beach           Brevard County"/>
    <s v="City of Cocoa Beach"/>
    <m/>
    <m/>
    <m/>
    <n v="0"/>
    <n v="1"/>
    <n v="0.11817672609103"/>
    <n v="1.7382594728189999E-2"/>
    <n v="47.385790162136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3.808636630228698"/>
    <n v="52.271054097794703"/>
    <n v="3.84312978E-2"/>
  </r>
  <r>
    <n v="830000"/>
    <n v="2400000"/>
    <n v="2400000"/>
    <x v="0"/>
    <x v="0"/>
    <s v="BR3-5, BR-7"/>
    <s v="62-304.520 (10), F.A.C."/>
    <n v="0.59"/>
    <n v="0.64"/>
    <s v="City of Cocoa Beach"/>
    <n v="0.16344585846407"/>
    <n v="3666.8022040303799"/>
    <n v="9.1449516373431603"/>
    <n v="1.3451366194457399"/>
    <n v="1.49470447097798"/>
    <n v="0.21985700951677001"/>
    <n v="599.32363405570004"/>
    <n v="1200"/>
    <s v="Residential, Medium Density-Two-five dwellingunits per acre"/>
    <n v="1200"/>
    <s v="City of Cocoa Beach           Brevard County"/>
    <s v="City of Cocoa Beach"/>
    <m/>
    <m/>
    <m/>
    <n v="0"/>
    <n v="1"/>
    <n v="1.49470447097798"/>
    <n v="0.21985700951677001"/>
    <n v="600.00788040147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5.76695033161199"/>
    <n v="661.44192204001399"/>
    <n v="0.48662439610000002"/>
  </r>
  <r>
    <n v="830000"/>
    <n v="2400000"/>
    <n v="2400000"/>
    <x v="0"/>
    <x v="0"/>
    <s v="BR3-5, BR-7"/>
    <s v="62-304.520 (10), F.A.C."/>
    <n v="0.59"/>
    <n v="0.64"/>
    <s v="City of Cocoa Beach"/>
    <n v="7.7126254885000005E-4"/>
    <n v="3666.8022040303799"/>
    <n v="9.1449516373431603"/>
    <n v="1.3451366194457399"/>
    <n v="7.0531587089899999E-3"/>
    <n v="1.0374534976700001E-3"/>
    <n v="2.8280672140349301"/>
    <n v="1210"/>
    <s v="Fixed Single Family Units"/>
    <n v="1210"/>
    <s v="City of Cocoa Beach           Brevard County"/>
    <s v="City of Cocoa Beach"/>
    <m/>
    <m/>
    <m/>
    <n v="0"/>
    <n v="1"/>
    <n v="7.0531587089899999E-3"/>
    <n v="1.0374534976700001E-3"/>
    <n v="2.8280672140348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.533626612668201"/>
    <n v="3.12118879919842"/>
    <n v="2.2936473999999999E-3"/>
  </r>
  <r>
    <n v="830000"/>
    <n v="2400000"/>
    <n v="2400000"/>
    <x v="0"/>
    <x v="0"/>
    <s v="BR3-5, BR-7"/>
    <s v="62-304.520 (10), F.A.C."/>
    <n v="0.59"/>
    <n v="0.64"/>
    <s v="City of Cocoa Beach"/>
    <n v="5.1076889980290002E-2"/>
    <n v="3666.8022040303799"/>
    <n v="9.1449516373431603"/>
    <n v="1.3451366194457399"/>
    <n v="0.4670956886557"/>
    <n v="6.8705395119890003E-2"/>
    <n v="187.288852754766"/>
    <n v="1210"/>
    <s v="Fixed Single Family Units"/>
    <n v="1210"/>
    <s v="City of Cocoa Beach           Brevard County"/>
    <s v="City of Cocoa Beach"/>
    <m/>
    <m/>
    <m/>
    <n v="0"/>
    <n v="1"/>
    <n v="0.4670956886557"/>
    <n v="6.8705395119890003E-2"/>
    <n v="187.28885275476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9.163559076739404"/>
    <n v="206.700840252978"/>
    <n v="0.1518968798"/>
  </r>
  <r>
    <n v="830000"/>
    <n v="2400000"/>
    <n v="2400000"/>
    <x v="0"/>
    <x v="0"/>
    <s v="BR3-5, BR-7"/>
    <s v="62-304.520 (10), F.A.C."/>
    <n v="0.59"/>
    <n v="0.64"/>
    <s v="City of Cocoa Beach"/>
    <n v="0.2395223167295"/>
    <n v="3666.8022040303799"/>
    <n v="9.1449516373431603"/>
    <n v="1.3451366194457399"/>
    <n v="2.1904200025557099"/>
    <n v="0.32219023940733998"/>
    <n v="878.28095889821202"/>
    <n v="1210"/>
    <s v="Fixed Single Family Units"/>
    <n v="1210"/>
    <s v="City of Cocoa Beach           Brevard County"/>
    <s v="City of Cocoa Beach"/>
    <m/>
    <m/>
    <m/>
    <n v="0"/>
    <n v="1"/>
    <n v="2.1904200025557099"/>
    <n v="0.32219023940733998"/>
    <n v="878.28095889821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6.86093579501301"/>
    <n v="969.31242576492298"/>
    <n v="0.71231221320000004"/>
  </r>
  <r>
    <n v="830000"/>
    <n v="2400000"/>
    <n v="2400000"/>
    <x v="0"/>
    <x v="0"/>
    <s v="BR3-5, BR-7"/>
    <s v="62-304.520 (10), F.A.C."/>
    <n v="0.59"/>
    <n v="0.64"/>
    <s v="City of Cocoa Beach"/>
    <n v="0.14804573018914999"/>
    <n v="3666.8022040303799"/>
    <n v="9.1449516373431603"/>
    <n v="1.3451366194457399"/>
    <n v="1.35387104269499"/>
    <n v="0.19914173303002"/>
    <n v="542.85440975488802"/>
    <n v="1210"/>
    <s v="Fixed Single Family Units"/>
    <n v="1210"/>
    <s v="City of Cocoa Beach           Brevard County"/>
    <s v="City of Cocoa Beach"/>
    <m/>
    <m/>
    <m/>
    <n v="0"/>
    <n v="1"/>
    <n v="1.35387104269499"/>
    <n v="0.19914173303002"/>
    <n v="596.810634547985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4.28396992057"/>
    <n v="599.119814024888"/>
    <n v="0.48403133380000002"/>
  </r>
  <r>
    <n v="830000"/>
    <n v="2400000"/>
    <n v="2400000"/>
    <x v="0"/>
    <x v="0"/>
    <s v="BR3-5, BR-7"/>
    <s v="62-304.520 (10), F.A.C."/>
    <n v="0.59"/>
    <n v="0.64"/>
    <s v="City of Cocoa Beach"/>
    <n v="0.31145701617770999"/>
    <n v="3754.4677992902798"/>
    <n v="11.539611779402099"/>
    <n v="1.5234802352785599"/>
    <n v="3.5940930526617598"/>
    <n v="0.47449860828557999"/>
    <n v="1169.35533810225"/>
    <n v="1400"/>
    <s v="Commercial and Services"/>
    <n v="1400"/>
    <s v="City of Cocoa Beach           Brevard County"/>
    <s v="City of Cocoa Beach"/>
    <m/>
    <m/>
    <m/>
    <n v="0"/>
    <n v="1"/>
    <n v="3.5940930526617598"/>
    <n v="0.47449860828557999"/>
    <n v="1646.260343099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2.23524520365399"/>
    <n v="1260.4218262203101"/>
    <n v="1.3351665394000001"/>
  </r>
  <r>
    <n v="830000"/>
    <n v="2400000"/>
    <n v="2400000"/>
    <x v="0"/>
    <x v="0"/>
    <s v="BR3-5, BR-7"/>
    <s v="62-304.520 (10), F.A.C."/>
    <n v="0.59"/>
    <n v="0.64"/>
    <s v="City of Cocoa Beach"/>
    <n v="6.5147290087620005E-2"/>
    <n v="3754.4677992902798"/>
    <n v="11.539611779402099"/>
    <n v="1.5234802352785599"/>
    <n v="0.75177443609129002"/>
    <n v="9.9250608830450004E-2"/>
    <n v="244.593402845014"/>
    <n v="1410"/>
    <s v="Retail Sales and Services"/>
    <n v="1410"/>
    <s v="City of Cocoa Beach           Brevard County"/>
    <s v="City of Cocoa Beach"/>
    <m/>
    <m/>
    <m/>
    <n v="0"/>
    <n v="1"/>
    <n v="0.75177443609129002"/>
    <n v="9.9250608830450004E-2"/>
    <n v="398.82700527251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5.525996562091507"/>
    <n v="263.64172929306301"/>
    <n v="0.3234606693"/>
  </r>
  <r>
    <n v="830000"/>
    <n v="2400000"/>
    <n v="2400000"/>
    <x v="0"/>
    <x v="0"/>
    <s v="BR3-5, BR-7"/>
    <s v="62-304.520 (10), F.A.C."/>
    <n v="0.59"/>
    <n v="0.64"/>
    <s v="City of Cocoa Beach"/>
    <n v="7.3055799294349993E-2"/>
    <n v="3754.4677992902798"/>
    <n v="11.539611779402099"/>
    <n v="1.5234802352785599"/>
    <n v="0.84303556209073005"/>
    <n v="0.11129906629741999"/>
    <n v="274.28564600205402"/>
    <n v="1410"/>
    <s v="Retail Sales and Services"/>
    <n v="1410"/>
    <s v="City of Cocoa Beach           Brevard County"/>
    <s v="City of Cocoa Beach"/>
    <m/>
    <m/>
    <m/>
    <n v="0"/>
    <n v="1"/>
    <n v="0.84303556209073005"/>
    <n v="0.11129906629741999"/>
    <n v="274.285646002054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9.353003663922706"/>
    <n v="295.64633056791001"/>
    <n v="0.22245388969999999"/>
  </r>
  <r>
    <n v="830000"/>
    <n v="2400000"/>
    <n v="2400000"/>
    <x v="0"/>
    <x v="0"/>
    <s v="BR3-5, BR-7"/>
    <s v="62-304.520 (10), F.A.C."/>
    <n v="0.59"/>
    <n v="0.64"/>
    <s v="City of Cocoa Beach"/>
    <n v="4.3762901791530001E-2"/>
    <n v="3738.1119240672901"/>
    <n v="11.4392770755124"/>
    <n v="1.55619039642575"/>
    <n v="0.50061595922178004"/>
    <n v="6.8103407487699996E-2"/>
    <n v="163.590625018715"/>
    <n v="1300"/>
    <s v="Residential, High Density"/>
    <n v="1300"/>
    <s v="City of Cocoa Beach           Brevard County"/>
    <s v="City of Cocoa Beach"/>
    <m/>
    <m/>
    <m/>
    <n v="0"/>
    <n v="1"/>
    <n v="0.50061595922178004"/>
    <n v="6.8103407487699996E-2"/>
    <n v="163.59062501871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6.83674091767"/>
    <n v="177.10218017792599"/>
    <n v="0.1326769059"/>
  </r>
  <r>
    <n v="830000"/>
    <n v="2400000"/>
    <n v="2400000"/>
    <x v="0"/>
    <x v="0"/>
    <s v="BR3-5, BR-7"/>
    <s v="62-304.520 (10), F.A.C."/>
    <n v="0.59"/>
    <n v="0.64"/>
    <s v="City of Cocoa Beach"/>
    <n v="0.12295472755724"/>
    <n v="3738.1119240672901"/>
    <n v="11.4392770755124"/>
    <n v="1.55619039642575"/>
    <n v="1.4065131962714199"/>
    <n v="0.19134096621971999"/>
    <n v="459.61853320216699"/>
    <n v="1400"/>
    <s v="Commercial and Services"/>
    <n v="1400"/>
    <s v="City of Cocoa Beach           Brevard County"/>
    <s v="City of Cocoa Beach"/>
    <m/>
    <m/>
    <m/>
    <n v="0"/>
    <n v="1"/>
    <n v="1.4065131962714199"/>
    <n v="0.19134096621971999"/>
    <n v="459.61853320216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0.128937571713"/>
    <n v="497.58012887946302"/>
    <n v="0.37276442269999999"/>
  </r>
  <r>
    <n v="830000"/>
    <n v="2400000"/>
    <n v="2400000"/>
    <x v="0"/>
    <x v="0"/>
    <s v="BR3-5, BR-7"/>
    <s v="62-304.520 (10), F.A.C."/>
    <n v="0.59"/>
    <n v="0.64"/>
    <s v="City of Cocoa Beach"/>
    <n v="1.22744958E-5"/>
    <n v="3738.1119240672901"/>
    <n v="11.4392770755124"/>
    <n v="1.55619039642575"/>
    <n v="1.4041135848000001E-4"/>
    <n v="1.910145249E-5"/>
    <n v="4.5883439134319998E-2"/>
    <n v="1300"/>
    <s v="Residential, High Density"/>
    <n v="1300"/>
    <s v="City of Cocoa Beach           Brevard County"/>
    <s v="City of Cocoa Beach"/>
    <m/>
    <m/>
    <m/>
    <n v="0"/>
    <n v="1"/>
    <n v="1.4041135848000001E-4"/>
    <n v="1.910145249E-5"/>
    <n v="4.588343913377E-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.8789936448236602"/>
    <n v="4.9673122183639999E-2"/>
    <n v="3.7212799999999997E-5"/>
  </r>
  <r>
    <n v="830000"/>
    <n v="2400000"/>
    <n v="2400000"/>
    <x v="0"/>
    <x v="0"/>
    <s v="BR3-5, BR-7"/>
    <s v="62-304.520 (10), F.A.C."/>
    <n v="0.59"/>
    <n v="0.64"/>
    <s v="City of Cocoa Beach"/>
    <n v="7.9014992466759998E-2"/>
    <n v="3738.1119240672901"/>
    <n v="11.4392770755124"/>
    <n v="1.55619039642575"/>
    <n v="0.90387439194679997"/>
    <n v="0.12296237245041999"/>
    <n v="295.36688552008599"/>
    <n v="1410"/>
    <s v="Retail Sales and Services"/>
    <n v="1410"/>
    <s v="City of Cocoa Beach           Brevard County"/>
    <s v="City of Cocoa Beach"/>
    <m/>
    <m/>
    <m/>
    <n v="0"/>
    <n v="1"/>
    <n v="0.90387439194679997"/>
    <n v="0.12296237245041999"/>
    <n v="295.36688552008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1.294703047768394"/>
    <n v="319.76232972999998"/>
    <n v="0.23955140759999999"/>
  </r>
  <r>
    <n v="830000"/>
    <n v="2400000"/>
    <n v="2400000"/>
    <x v="0"/>
    <x v="0"/>
    <s v="BR3-5, BR-7"/>
    <s v="62-304.520 (10), F.A.C."/>
    <n v="0.59"/>
    <n v="0.64"/>
    <s v="City of Cocoa Beach"/>
    <n v="0.37201855728753003"/>
    <n v="3738.1119240672901"/>
    <n v="11.4392770755124"/>
    <n v="1.55619039642575"/>
    <n v="4.2556233540444701"/>
    <n v="0.57893170614302003"/>
    <n v="1390.64700497083"/>
    <n v="1450"/>
    <s v="Tourist Services"/>
    <n v="1450"/>
    <s v="City of Cocoa Beach           Brevard County"/>
    <s v="City of Cocoa Beach"/>
    <m/>
    <m/>
    <m/>
    <n v="0"/>
    <n v="1"/>
    <n v="4.2556233540444701"/>
    <n v="0.57893170614302003"/>
    <n v="1390.6470049708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5.53323783630901"/>
    <n v="1505.5056878110199"/>
    <n v="1.1278564517"/>
  </r>
  <r>
    <n v="830000"/>
    <n v="2400000"/>
    <n v="2400000"/>
    <x v="0"/>
    <x v="0"/>
    <s v="BR3-5, BR-7"/>
    <s v="62-304.520 (10), F.A.C."/>
    <n v="0.59"/>
    <n v="0.64"/>
    <s v="City of Cocoa Beach"/>
    <n v="6.2191184320229999E-2"/>
    <n v="3709.8271751018401"/>
    <n v="10.5996015031127"/>
    <n v="2.0191215433123699"/>
    <n v="0.65920177080113995"/>
    <n v="0.12557156006510001"/>
    <n v="230.718545642983"/>
    <n v="1300"/>
    <s v="Residential, High Density"/>
    <n v="1300"/>
    <s v="City of Cocoa Beach           Brevard County"/>
    <s v="City of Cocoa Beach"/>
    <m/>
    <m/>
    <m/>
    <n v="0"/>
    <n v="1"/>
    <n v="0.65920177080113995"/>
    <n v="0.12557156006510001"/>
    <n v="230.71854564298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0.366635969971"/>
    <n v="251.678793683012"/>
    <n v="0.18711966390000001"/>
  </r>
  <r>
    <n v="830000"/>
    <n v="2400000"/>
    <n v="2400000"/>
    <x v="0"/>
    <x v="0"/>
    <s v="BR3-5, BR-7"/>
    <s v="62-304.520 (10), F.A.C."/>
    <n v="0.59"/>
    <n v="0.64"/>
    <s v="City of Cocoa Beach"/>
    <n v="4.5494858548989998E-2"/>
    <n v="3674.6848608200198"/>
    <n v="9.5415145435720703"/>
    <n v="1.5320190155556801"/>
    <n v="0.43408985450301002"/>
    <n v="6.9698988407079998E-2"/>
    <n v="167.179267955151"/>
    <n v="1200"/>
    <s v="Residential, Medium Density-Two-five dwellingunits per acre"/>
    <n v="1200"/>
    <s v="City of Cocoa Beach           Brevard County"/>
    <s v="City of Cocoa Beach"/>
    <m/>
    <m/>
    <m/>
    <n v="0"/>
    <n v="1"/>
    <n v="0.43408985450301002"/>
    <n v="6.9698988407079998E-2"/>
    <n v="295.565131464967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8.422542663187897"/>
    <n v="184.111160505192"/>
    <n v="0.23971219099999999"/>
  </r>
  <r>
    <n v="830000"/>
    <n v="2400000"/>
    <n v="2400000"/>
    <x v="0"/>
    <x v="0"/>
    <s v="BR3-5, BR-7"/>
    <s v="62-304.520 (10), F.A.C."/>
    <n v="0.59"/>
    <n v="0.64"/>
    <s v="City of Cocoa Beach"/>
    <n v="5.7868123150939997E-2"/>
    <n v="3674.6848608200198"/>
    <n v="9.5415145435720703"/>
    <n v="1.5320190155556801"/>
    <n v="0.55214953865395"/>
    <n v="8.8655065061760005E-2"/>
    <n v="212.64711606684199"/>
    <n v="1300"/>
    <s v="Residential, High Density"/>
    <n v="1300"/>
    <s v="City of Cocoa Beach           Brevard County"/>
    <s v="City of Cocoa Beach"/>
    <m/>
    <m/>
    <m/>
    <n v="0"/>
    <n v="1"/>
    <n v="0.55214953865395"/>
    <n v="8.8655065061760005E-2"/>
    <n v="402.538383985430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0.975487293645998"/>
    <n v="234.18398582563299"/>
    <n v="0.32647070880000001"/>
  </r>
  <r>
    <n v="830000"/>
    <n v="2400000"/>
    <n v="2400000"/>
    <x v="0"/>
    <x v="0"/>
    <s v="BR3-5, BR-7"/>
    <s v="62-304.520 (10), F.A.C."/>
    <n v="0.59"/>
    <n v="0.64"/>
    <s v="City of Cocoa Beach"/>
    <n v="5.3047573921370002E-2"/>
    <n v="3674.6848608200198"/>
    <n v="9.5415145435720703"/>
    <n v="1.5320190155556801"/>
    <n v="0.50615419807196005"/>
    <n v="8.1269891976629996E-2"/>
    <n v="194.933116792089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0615419807196005"/>
    <n v="8.1269891976629996E-2"/>
    <n v="194.93311679208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127620307745005"/>
    <n v="214.67591521643399"/>
    <n v="0.1580966073"/>
  </r>
  <r>
    <n v="830000"/>
    <n v="2400000"/>
    <n v="2400000"/>
    <x v="0"/>
    <x v="0"/>
    <s v="BR3-5, BR-7"/>
    <s v="62-304.520 (10), F.A.C."/>
    <n v="0.59"/>
    <n v="0.64"/>
    <s v="City of Cocoa Beach"/>
    <n v="4.3718342301000003E-4"/>
    <n v="3674.6848608200198"/>
    <n v="9.5415145435720703"/>
    <n v="1.5320190155556801"/>
    <n v="4.1713919889000001E-3"/>
    <n v="6.6977331734000001E-4"/>
    <n v="1.60651130595469"/>
    <n v="1210"/>
    <s v="Fixed Single Family Units"/>
    <n v="1210"/>
    <s v="City of Cocoa Beach           Brevard County"/>
    <s v="City of Cocoa Beach"/>
    <m/>
    <m/>
    <m/>
    <n v="0"/>
    <n v="1"/>
    <n v="4.1713919889000001E-3"/>
    <n v="6.6977331734000001E-4"/>
    <n v="117.94964109693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.119660314409201"/>
    <n v="1.7692185431966201"/>
    <n v="9.5660698399999994E-2"/>
  </r>
  <r>
    <n v="830000"/>
    <n v="2400000"/>
    <n v="2400000"/>
    <x v="0"/>
    <x v="0"/>
    <s v="BR3-5, BR-7"/>
    <s v="62-304.520 (10), F.A.C."/>
    <n v="0.59"/>
    <n v="0.64"/>
    <s v="City of Cocoa Beach"/>
    <n v="2.4307670288270002E-2"/>
    <n v="3674.6848608200198"/>
    <n v="9.5415145435720703"/>
    <n v="1.5320190155556801"/>
    <n v="0.23193198957594999"/>
    <n v="3.7239813105490002E-2"/>
    <n v="89.323028010136099"/>
    <n v="1210"/>
    <s v="Fixed Single Family Units"/>
    <n v="1210"/>
    <s v="City of Cocoa Beach           Brevard County"/>
    <s v="City of Cocoa Beach"/>
    <m/>
    <m/>
    <m/>
    <n v="0"/>
    <n v="1"/>
    <n v="0.23193198957594999"/>
    <n v="3.7239813105490002E-2"/>
    <n v="89.3230280101367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7.886266950099298"/>
    <n v="98.369651619696299"/>
    <n v="7.2443656100000003E-2"/>
  </r>
  <r>
    <n v="830000"/>
    <n v="2400000"/>
    <n v="2400000"/>
    <x v="0"/>
    <x v="0"/>
    <s v="BR3-5, BR-7"/>
    <s v="62-304.520 (10), F.A.C."/>
    <n v="0.59"/>
    <n v="0.64"/>
    <s v="City of Cocoa Beach"/>
    <n v="0.16531381489329"/>
    <n v="3674.6848608200198"/>
    <n v="9.5415145435720703"/>
    <n v="1.5320190155556801"/>
    <n v="1.5773441690577601"/>
    <n v="0.25326390795058001"/>
    <n v="607.47617287279695"/>
    <n v="1210"/>
    <s v="Fixed Single Family Units"/>
    <n v="1210"/>
    <s v="City of Cocoa Beach           Brevard County"/>
    <s v="City of Cocoa Beach"/>
    <m/>
    <m/>
    <m/>
    <n v="0"/>
    <n v="1"/>
    <n v="1.5773441690577601"/>
    <n v="0.25326390795058001"/>
    <n v="627.66741348685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3.63868509237599"/>
    <n v="669.00127351237995"/>
    <n v="0.50905710749999999"/>
  </r>
  <r>
    <n v="830000"/>
    <n v="2400000"/>
    <n v="2400000"/>
    <x v="0"/>
    <x v="0"/>
    <s v="BR3-5, BR-7"/>
    <s v="62-304.520 (10), F.A.C."/>
    <n v="0.59"/>
    <n v="0.64"/>
    <s v="City of Cocoa Beach"/>
    <n v="5.8806908959000001E-4"/>
    <n v="3674.6848608200198"/>
    <n v="9.5415145435720703"/>
    <n v="1.5320190155556801"/>
    <n v="5.6110697709700003E-3"/>
    <n v="9.0093302771000001E-4"/>
    <n v="2.1609685806435999"/>
    <n v="1210"/>
    <s v="Fixed Single Family Units"/>
    <n v="1210"/>
    <s v="City of Cocoa Beach           Brevard County"/>
    <s v="City of Cocoa Beach"/>
    <m/>
    <m/>
    <m/>
    <n v="0"/>
    <n v="1"/>
    <n v="5.6110697709700003E-3"/>
    <n v="9.0093302771000001E-4"/>
    <n v="2.1609685806421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.6152552109971"/>
    <n v="2.3798311720327598"/>
    <n v="1.7526104000000001E-3"/>
  </r>
  <r>
    <n v="830000"/>
    <n v="2400000"/>
    <n v="2400000"/>
    <x v="0"/>
    <x v="0"/>
    <s v="BR3-5, BR-7"/>
    <s v="62-304.520 (10), F.A.C."/>
    <n v="0.59"/>
    <n v="0.64"/>
    <s v="City of Cocoa Beach"/>
    <n v="8.4252068979529998E-2"/>
    <n v="3728.0713502154399"/>
    <n v="9.7127487521311302"/>
    <n v="1.75359000779138"/>
    <n v="0.81831917784538999"/>
    <n v="0.14774358629824999"/>
    <n v="314.09772455896098"/>
    <n v="1300"/>
    <s v="Residential, High Density"/>
    <n v="1300"/>
    <s v="City of Cocoa Beach           Brevard County"/>
    <s v="City of Cocoa Beach"/>
    <m/>
    <m/>
    <m/>
    <n v="0"/>
    <n v="1"/>
    <n v="0.81831917784538999"/>
    <n v="0.14774358629824999"/>
    <n v="314.09772455895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5.568009066027"/>
    <n v="340.95602645029601"/>
    <n v="0.25474268010000001"/>
  </r>
  <r>
    <n v="830000"/>
    <n v="2400000"/>
    <n v="2400000"/>
    <x v="0"/>
    <x v="0"/>
    <s v="BR3-5, BR-7"/>
    <s v="62-304.520 (10), F.A.C."/>
    <n v="0.59"/>
    <n v="0.64"/>
    <s v="City of Cocoa Beach"/>
    <n v="5.3893853341360001E-2"/>
    <n v="3728.0713502154399"/>
    <n v="9.7127487521311302"/>
    <n v="1.75359000779138"/>
    <n v="0.52345745678891997"/>
    <n v="9.4507722700789998E-2"/>
    <n v="200.92013059467001"/>
    <n v="1300"/>
    <s v="Residential, High Density"/>
    <n v="1300"/>
    <s v="City of Cocoa Beach           Brevard County"/>
    <s v="City of Cocoa Beach"/>
    <m/>
    <m/>
    <m/>
    <n v="0"/>
    <n v="1"/>
    <n v="0.52345745678891997"/>
    <n v="9.4507722700789998E-2"/>
    <n v="200.92013059466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7.106421695691"/>
    <n v="218.1006865224"/>
    <n v="0.1629522551"/>
  </r>
  <r>
    <n v="830000"/>
    <n v="2400000"/>
    <n v="2400000"/>
    <x v="0"/>
    <x v="0"/>
    <s v="BR3-5, BR-7"/>
    <s v="62-304.520 (10), F.A.C."/>
    <n v="0.59"/>
    <n v="0.64"/>
    <s v="Brevard County"/>
    <n v="0.22138834871193999"/>
    <n v="3690.5216183653702"/>
    <n v="10.298836202458199"/>
    <n v="1.8882205501441101"/>
    <n v="2.2800423405169901"/>
    <n v="0.41803002960036001"/>
    <n v="817.03848697563399"/>
    <n v="1300"/>
    <s v="Residential, High Density"/>
    <n v="1300"/>
    <s v="Brevard County"/>
    <s v="Brevard County"/>
    <m/>
    <m/>
    <m/>
    <n v="0"/>
    <n v="1"/>
    <n v="2.2800423405169901"/>
    <n v="0.41803002960036001"/>
    <n v="889.203766000156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4.09582439204399"/>
    <n v="895.92686082945295"/>
    <n v="0.72117093759999995"/>
  </r>
  <r>
    <n v="830000"/>
    <n v="2400000"/>
    <n v="2400000"/>
    <x v="0"/>
    <x v="0"/>
    <s v="BR3-5, BR-7"/>
    <s v="62-304.520 (10), F.A.C."/>
    <n v="0.59"/>
    <n v="0.64"/>
    <s v="Brevard County"/>
    <n v="8.3397063939659996E-2"/>
    <n v="3690.5216183653702"/>
    <n v="10.298836202458199"/>
    <n v="1.8882205501441101"/>
    <n v="0.85889270128052997"/>
    <n v="0.15747204995254999"/>
    <n v="307.77866737752902"/>
    <n v="1210"/>
    <s v="Fixed Single Family Units"/>
    <n v="1210"/>
    <s v="Brevard County"/>
    <s v="Brevard County"/>
    <m/>
    <m/>
    <m/>
    <n v="0"/>
    <n v="1"/>
    <n v="0.85889270128052997"/>
    <n v="0.15747204995254999"/>
    <n v="307.778667377529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6.413924467903499"/>
    <n v="337.49594381353199"/>
    <n v="0.24961773509999999"/>
  </r>
  <r>
    <n v="830000"/>
    <n v="2400000"/>
    <n v="2400000"/>
    <x v="0"/>
    <x v="0"/>
    <s v="BR3-5, BR-7"/>
    <s v="62-304.520 (10), F.A.C."/>
    <n v="0.59"/>
    <n v="0.64"/>
    <s v="Brevard County"/>
    <n v="3.2064951718790001E-2"/>
    <n v="3690.5216183653702"/>
    <n v="10.298836202458199"/>
    <n v="1.8882205501441101"/>
    <n v="0.33023168559159"/>
    <n v="6.0545700774800003E-2"/>
    <n v="118.336397510051"/>
    <n v="1330"/>
    <s v="Residential, High density; Multiple Dwelling Units, Low Rise &lt;Two stories or less&gt;"/>
    <n v="1330"/>
    <s v="Brevard County"/>
    <s v="Brevard County"/>
    <m/>
    <m/>
    <m/>
    <n v="0"/>
    <n v="1"/>
    <n v="0.33023168559159"/>
    <n v="6.0545700774800003E-2"/>
    <n v="118.33639751005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6.203666944999704"/>
    <n v="129.76225579714699"/>
    <n v="9.5974369399999995E-2"/>
  </r>
  <r>
    <n v="830000"/>
    <n v="2400000"/>
    <n v="2400000"/>
    <x v="0"/>
    <x v="0"/>
    <s v="BR3-5, BR-7"/>
    <s v="62-304.520 (10), F.A.C."/>
    <n v="0.59"/>
    <n v="0.64"/>
    <s v="Brevard County"/>
    <n v="2.6203839401999998E-4"/>
    <n v="3690.5216183653702"/>
    <n v="10.298836202458199"/>
    <n v="1.8882205501441101"/>
    <n v="2.6986904988000001E-3"/>
    <n v="4.9478628052000001E-4"/>
    <n v="0.96705835798730999"/>
    <n v="1330"/>
    <s v="Residential, High density; Multiple Dwelling Units, Low Rise &lt;Two stories or less&gt;"/>
    <n v="1330"/>
    <s v="Brevard County"/>
    <s v="Brevard County"/>
    <m/>
    <m/>
    <m/>
    <n v="0"/>
    <n v="1"/>
    <n v="2.6986904988000001E-3"/>
    <n v="4.9478628052000001E-4"/>
    <n v="0.967058357985539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.1349806384384"/>
    <n v="1.06043175776947"/>
    <n v="7.8431330000000002E-4"/>
  </r>
  <r>
    <n v="830000"/>
    <n v="2400000"/>
    <n v="2400000"/>
    <x v="0"/>
    <x v="0"/>
    <s v="BR3-5, BR-7"/>
    <s v="62-304.520 (10), F.A.C."/>
    <n v="0.59"/>
    <n v="0.64"/>
    <s v="Brevard County"/>
    <n v="4.0146900939999997E-5"/>
    <n v="3690.5216183653702"/>
    <n v="10.298836202458199"/>
    <n v="1.8882205501441101"/>
    <n v="4.1346635687999997E-4"/>
    <n v="7.5806203390000004E-5"/>
    <n v="0.14816300585527001"/>
    <n v="1330"/>
    <s v="Residential, High density; Multiple Dwelling Units, Low Rise &lt;Two stories or less&gt;"/>
    <n v="1330"/>
    <s v="Brevard County"/>
    <s v="Brevard County"/>
    <m/>
    <m/>
    <m/>
    <n v="0"/>
    <n v="1"/>
    <n v="4.1346635687999997E-4"/>
    <n v="7.5806203390000004E-5"/>
    <n v="0.14816300585504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.86235596395864"/>
    <n v="0.16246874393658001"/>
    <n v="1.201646E-4"/>
  </r>
  <r>
    <n v="830000"/>
    <n v="2400000"/>
    <n v="2400000"/>
    <x v="0"/>
    <x v="0"/>
    <s v="BR3-5, BR-7"/>
    <s v="62-304.520 (10), F.A.C."/>
    <n v="0.59"/>
    <n v="0.64"/>
    <s v="City of Cocoa Beach"/>
    <n v="1.619207731725E-2"/>
    <n v="3664.1173325240802"/>
    <n v="9.1385963512820201"/>
    <n v="1.3442133882686"/>
    <n v="0.14797285869113"/>
    <n v="2.176560711373E-2"/>
    <n v="59.329671147720397"/>
    <n v="1200"/>
    <s v="Residential, Medium Density-Two-five dwellingunits per acre"/>
    <n v="1200"/>
    <s v="City of Cocoa Beach           Brevard County"/>
    <s v="City of Cocoa Beach"/>
    <m/>
    <m/>
    <m/>
    <n v="0"/>
    <n v="1"/>
    <n v="0.14797285869113"/>
    <n v="2.176560711373E-2"/>
    <n v="399.68584847866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2.451790673780096"/>
    <n v="65.527012083326298"/>
    <n v="0.32415721689999999"/>
  </r>
  <r>
    <n v="830000"/>
    <n v="2400000"/>
    <n v="2400000"/>
    <x v="0"/>
    <x v="0"/>
    <s v="BR3-5, BR-7"/>
    <s v="62-304.520 (10), F.A.C."/>
    <n v="0.59"/>
    <n v="0.64"/>
    <s v="City of Cocoa Beach"/>
    <n v="0.10292509543246001"/>
    <n v="3664.1173325240802"/>
    <n v="9.1385963512820201"/>
    <n v="1.3442133882686"/>
    <n v="0.94059090157444003"/>
    <n v="0.13835329126913001"/>
    <n v="377.12962612577502"/>
    <n v="1210"/>
    <s v="Fixed Single Family Units"/>
    <n v="1210"/>
    <s v="City of Cocoa Beach           Brevard County"/>
    <s v="City of Cocoa Beach"/>
    <m/>
    <m/>
    <m/>
    <n v="0"/>
    <n v="1"/>
    <n v="0.94059090157444003"/>
    <n v="0.13835329126913001"/>
    <n v="598.77546409358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0.096912737522501"/>
    <n v="416.52308347698698"/>
    <n v="0.4856248695"/>
  </r>
  <r>
    <n v="830000"/>
    <n v="2400000"/>
    <n v="2400000"/>
    <x v="0"/>
    <x v="0"/>
    <s v="BR3-5, BR-7"/>
    <s v="62-304.520 (10), F.A.C."/>
    <n v="0.59"/>
    <n v="0.64"/>
    <s v="City of Cocoa Beach"/>
    <n v="0.14148600981997"/>
    <n v="3664.1173325240802"/>
    <n v="9.1385963512820201"/>
    <n v="1.3442133882686"/>
    <n v="1.29298353309826"/>
    <n v="0.19018738865271001"/>
    <n v="518.42134089103899"/>
    <n v="1210"/>
    <s v="Fixed Single Family Units"/>
    <n v="1210"/>
    <s v="City of Cocoa Beach           Brevard County"/>
    <s v="City of Cocoa Beach"/>
    <m/>
    <m/>
    <m/>
    <n v="0"/>
    <n v="1"/>
    <n v="1.29298353309826"/>
    <n v="0.19018738865271001"/>
    <n v="858.054785622603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6.006459067303297"/>
    <n v="572.57356751971304"/>
    <n v="0.69590817969999996"/>
  </r>
  <r>
    <n v="830000"/>
    <n v="2400000"/>
    <n v="2400000"/>
    <x v="0"/>
    <x v="0"/>
    <s v="BR3-5, BR-7"/>
    <s v="62-304.520 (10), F.A.C."/>
    <n v="0.59"/>
    <n v="0.64"/>
    <s v="City of Cocoa Beach"/>
    <n v="3.9425298859619998E-2"/>
    <n v="3664.1173325240802"/>
    <n v="9.1385963512820201"/>
    <n v="1.3442133882686"/>
    <n v="0.36029189230679998"/>
    <n v="5.2996014563600001E-2"/>
    <n v="144.45892089150399"/>
    <n v="1210"/>
    <s v="Fixed Single Family Units"/>
    <n v="1210"/>
    <s v="City of Cocoa Beach           Brevard County"/>
    <s v="City of Cocoa Beach"/>
    <m/>
    <m/>
    <m/>
    <n v="0"/>
    <n v="1"/>
    <n v="0.36029189230679998"/>
    <n v="5.2996014563600001E-2"/>
    <n v="213.66307521665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8.519848141132897"/>
    <n v="159.54852389512399"/>
    <n v="0.17328716559999999"/>
  </r>
  <r>
    <n v="830000"/>
    <n v="2400000"/>
    <n v="2400000"/>
    <x v="0"/>
    <x v="0"/>
    <s v="BR3-5, BR-7"/>
    <s v="62-304.520 (10), F.A.C."/>
    <n v="0.59"/>
    <n v="0.64"/>
    <s v="City of Cocoa Beach"/>
    <n v="2.408842425455E-2"/>
    <n v="3664.1173325240802"/>
    <n v="9.1385963512820201"/>
    <n v="1.3442133882686"/>
    <n v="0.22013438600078"/>
    <n v="3.2379982385259999E-2"/>
    <n v="88.262812824297498"/>
    <n v="1210"/>
    <s v="Fixed Single Family Units"/>
    <n v="1210"/>
    <s v="City of Cocoa Beach           Brevard County"/>
    <s v="City of Cocoa Beach"/>
    <m/>
    <m/>
    <m/>
    <n v="0"/>
    <n v="1"/>
    <n v="0.22013438600078"/>
    <n v="3.2379982385259999E-2"/>
    <n v="88.2628128242964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3.693788958800702"/>
    <n v="97.482394400028298"/>
    <n v="7.1583789800000006E-2"/>
  </r>
  <r>
    <n v="830000"/>
    <n v="2400000"/>
    <n v="2400000"/>
    <x v="0"/>
    <x v="0"/>
    <s v="BR3-5, BR-7"/>
    <s v="62-304.520 (10), F.A.C."/>
    <n v="0.59"/>
    <n v="0.64"/>
    <s v="City of Cocoa Beach"/>
    <n v="2.4726957026259998E-2"/>
    <n v="3664.1173325240802"/>
    <n v="9.1385963512820201"/>
    <n v="1.3442133882686"/>
    <n v="0.22596967925854999"/>
    <n v="3.3238306685849997E-2"/>
    <n v="90.602471820522993"/>
    <n v="1210"/>
    <s v="Fixed Single Family Units"/>
    <n v="1210"/>
    <s v="City of Cocoa Beach           Brevard County"/>
    <s v="City of Cocoa Beach"/>
    <m/>
    <m/>
    <m/>
    <n v="0"/>
    <n v="1"/>
    <n v="0.22596967925854999"/>
    <n v="3.3238306685849997E-2"/>
    <n v="90.602471820521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9.626584444663898"/>
    <n v="100.066444848155"/>
    <n v="7.3481323500000001E-2"/>
  </r>
  <r>
    <n v="830000"/>
    <n v="2400000"/>
    <n v="2400000"/>
    <x v="0"/>
    <x v="0"/>
    <s v="BR3-5, BR-7"/>
    <s v="62-304.520 (10), F.A.C."/>
    <n v="0.59"/>
    <n v="0.64"/>
    <s v="City of Cocoa Beach"/>
    <n v="3.9609321602100001E-3"/>
    <n v="3664.1173325240802"/>
    <n v="9.1385963512820201"/>
    <n v="1.3442133882686"/>
    <n v="3.6197360186989998E-2"/>
    <n v="5.3243380397800001E-3"/>
    <n v="14.513320181188501"/>
    <n v="1210"/>
    <s v="Fixed Single Family Units"/>
    <n v="1210"/>
    <s v="City of Cocoa Beach           Brevard County"/>
    <s v="City of Cocoa Beach"/>
    <m/>
    <m/>
    <m/>
    <n v="0"/>
    <n v="1"/>
    <n v="3.6197360186989998E-2"/>
    <n v="5.3243380397800001E-3"/>
    <n v="14.5133201811870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1.042504561407501"/>
    <n v="16.029323751247201"/>
    <n v="1.17707382E-2"/>
  </r>
  <r>
    <n v="830000"/>
    <n v="2400000"/>
    <n v="2400000"/>
    <x v="0"/>
    <x v="0"/>
    <s v="BR3-5, BR-7"/>
    <s v="62-304.520 (10), F.A.C."/>
    <n v="0.59"/>
    <n v="0.64"/>
    <s v="City of Cocoa Beach"/>
    <n v="3.9018122012570003E-2"/>
    <n v="3739.8042892278199"/>
    <n v="11.189122511039701"/>
    <n v="1.6246803233911999"/>
    <n v="0.43657854734936002"/>
    <n v="6.3391975089499994E-2"/>
    <n v="145.92014006023101"/>
    <n v="1300"/>
    <s v="Residential, High Density"/>
    <n v="1300"/>
    <s v="City of Cocoa Beach           Brevard County"/>
    <s v="City of Cocoa Beach"/>
    <m/>
    <m/>
    <m/>
    <n v="0"/>
    <n v="1"/>
    <n v="0.43657854734936002"/>
    <n v="6.3391975089499994E-2"/>
    <n v="145.92014006023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2.606752669882098"/>
    <n v="157.900737656562"/>
    <n v="0.11834561239999999"/>
  </r>
  <r>
    <n v="830000"/>
    <n v="2400000"/>
    <n v="2400000"/>
    <x v="0"/>
    <x v="0"/>
    <s v="BR3-5, BR-7"/>
    <s v="62-304.520 (10), F.A.C."/>
    <n v="0.59"/>
    <n v="0.64"/>
    <s v="City of Cocoa Beach"/>
    <n v="0.12678377010541"/>
    <n v="3739.8042892278199"/>
    <n v="11.189122511039701"/>
    <n v="1.6246803233911999"/>
    <n v="1.41859913612098"/>
    <n v="0.20598309661562"/>
    <n v="474.14648724470197"/>
    <n v="1400"/>
    <s v="Commercial and Services"/>
    <n v="1400"/>
    <s v="City of Cocoa Beach           Brevard County"/>
    <s v="City of Cocoa Beach"/>
    <m/>
    <m/>
    <m/>
    <n v="0"/>
    <n v="1"/>
    <n v="1.41859913612098"/>
    <n v="0.20598309661562"/>
    <n v="474.146487244701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6.252277393339"/>
    <n v="513.07571430717906"/>
    <n v="0.38454702940000002"/>
  </r>
  <r>
    <n v="830000"/>
    <n v="2400000"/>
    <n v="2400000"/>
    <x v="0"/>
    <x v="0"/>
    <s v="BR3-5, BR-7"/>
    <s v="62-304.520 (10), F.A.C."/>
    <n v="0.59"/>
    <n v="0.64"/>
    <s v="City of Cocoa Beach"/>
    <n v="5.2758685389100004E-3"/>
    <n v="3739.8042892278199"/>
    <n v="11.189122511039701"/>
    <n v="1.6246803233911999"/>
    <n v="5.9032339433999999E-2"/>
    <n v="8.5715998039600002E-3"/>
    <n v="19.730715791217701"/>
    <n v="1450"/>
    <s v="Tourist Services"/>
    <n v="1450"/>
    <s v="City of Cocoa Beach           Brevard County"/>
    <s v="City of Cocoa Beach"/>
    <m/>
    <m/>
    <m/>
    <n v="0"/>
    <n v="1"/>
    <n v="5.9032339433999999E-2"/>
    <n v="8.5715998039600002E-3"/>
    <n v="19.730715791218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260575609677602"/>
    <n v="21.350682480427"/>
    <n v="1.6002202600000001E-2"/>
  </r>
  <r>
    <n v="830000"/>
    <n v="2400000"/>
    <n v="2400000"/>
    <x v="0"/>
    <x v="0"/>
    <s v="BR3-5, BR-7"/>
    <s v="62-304.520 (10), F.A.C."/>
    <n v="0.59"/>
    <n v="0.64"/>
    <s v="City of Cocoa Beach"/>
    <n v="2.2049988328200001E-3"/>
    <n v="3739.8042892278199"/>
    <n v="11.189122511039701"/>
    <n v="1.6246803233911999"/>
    <n v="2.4672002077199998E-2"/>
    <n v="3.58241821679E-3"/>
    <n v="8.2462640927487705"/>
    <n v="1450"/>
    <s v="Tourist Services"/>
    <n v="1450"/>
    <s v="City of Cocoa Beach           Brevard County"/>
    <s v="City of Cocoa Beach"/>
    <m/>
    <m/>
    <m/>
    <n v="0"/>
    <n v="1"/>
    <n v="2.4672002077199998E-2"/>
    <n v="3.58241821679E-3"/>
    <n v="8.24626409274963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.490395788775301"/>
    <n v="8.9233136880113904"/>
    <n v="6.6879675999999997E-3"/>
  </r>
  <r>
    <n v="830000"/>
    <n v="2400000"/>
    <n v="2400000"/>
    <x v="0"/>
    <x v="0"/>
    <s v="BR3-5, BR-7"/>
    <s v="62-304.520 (10), F.A.C."/>
    <n v="0.59"/>
    <n v="0.64"/>
    <s v="City of Cocoa Beach"/>
    <n v="0.21466039634448"/>
    <n v="3780.80935053555"/>
    <n v="10.7930226303142"/>
    <n v="1.83933316072393"/>
    <n v="2.3168345155782499"/>
    <n v="0.39483198529055002"/>
    <n v="811.59003368890103"/>
    <n v="1300"/>
    <s v="Residential, High Density"/>
    <n v="1300"/>
    <s v="City of Cocoa Beach           Brevard County"/>
    <s v="City of Cocoa Beach"/>
    <m/>
    <m/>
    <m/>
    <n v="0"/>
    <n v="1"/>
    <n v="2.3168345155782499"/>
    <n v="0.39483198529055002"/>
    <n v="811.590033688901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5.098838143752"/>
    <n v="868.69980358161104"/>
    <n v="0.65822387159999995"/>
  </r>
  <r>
    <n v="830000"/>
    <n v="2400000"/>
    <n v="2400000"/>
    <x v="0"/>
    <x v="0"/>
    <s v="BR3-5, BR-7"/>
    <s v="62-304.520 (10), F.A.C."/>
    <n v="0.59"/>
    <n v="0.64"/>
    <s v="City of Cocoa Beach"/>
    <n v="7.6159526086820001E-2"/>
    <n v="3780.80935053555"/>
    <n v="10.7930226303142"/>
    <n v="1.83933316072393"/>
    <n v="0.82199148856910997"/>
    <n v="0.14008274183651001"/>
    <n v="287.94464836142799"/>
    <n v="1400"/>
    <s v="Commercial and Services"/>
    <n v="1400"/>
    <s v="City of Cocoa Beach           Brevard County"/>
    <s v="City of Cocoa Beach"/>
    <m/>
    <m/>
    <m/>
    <n v="0"/>
    <n v="1"/>
    <n v="0.82199148856910997"/>
    <n v="0.14008274183651001"/>
    <n v="287.944648361429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1.40917609878801"/>
    <n v="308.20666727141401"/>
    <n v="0.2335317505"/>
  </r>
  <r>
    <n v="830000"/>
    <n v="2400000"/>
    <n v="2400000"/>
    <x v="0"/>
    <x v="0"/>
    <s v="BR3-5, BR-7"/>
    <s v="62-304.520 (10), F.A.C."/>
    <n v="0.59"/>
    <n v="0.64"/>
    <s v="City of Cocoa Beach"/>
    <n v="0.18967328123619001"/>
    <n v="3780.80935053555"/>
    <n v="10.7930226303142"/>
    <n v="1.83933316072393"/>
    <n v="2.0471480167481899"/>
    <n v="0.34887235588103999"/>
    <n v="717.11851524456199"/>
    <n v="1450"/>
    <s v="Tourist Services"/>
    <n v="1450"/>
    <s v="City of Cocoa Beach           Brevard County"/>
    <s v="City of Cocoa Beach"/>
    <m/>
    <m/>
    <m/>
    <n v="0"/>
    <n v="1"/>
    <n v="2.0471480167481899"/>
    <n v="0.34887235588103999"/>
    <n v="717.11851524456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0.20356132052001"/>
    <n v="767.58053632837198"/>
    <n v="0.58160463520000005"/>
  </r>
  <r>
    <n v="830000"/>
    <n v="2400000"/>
    <n v="2400000"/>
    <x v="0"/>
    <x v="0"/>
    <s v="BR3-5, BR-7"/>
    <s v="62-304.520 (10), F.A.C."/>
    <n v="0.59"/>
    <n v="0.64"/>
    <s v="City of Cocoa Beach"/>
    <n v="2.5968611432800001E-3"/>
    <n v="3843.75010167864"/>
    <n v="8.6112899080278495"/>
    <n v="1.17128444154928"/>
    <n v="2.236232415574E-2"/>
    <n v="3.04166305399E-3"/>
    <n v="9.9816852835585603"/>
    <n v="1300"/>
    <s v="Residential, High Density"/>
    <n v="1300"/>
    <s v="City of Cocoa Beach           Brevard County"/>
    <s v="City of Cocoa Beach"/>
    <m/>
    <m/>
    <m/>
    <n v="0"/>
    <n v="1"/>
    <n v="2.236232415574E-2"/>
    <n v="3.04166305399E-3"/>
    <n v="9.98168528355710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7.558107019203099"/>
    <n v="10.509124195794501"/>
    <n v="8.0954462999999997E-3"/>
  </r>
  <r>
    <n v="830000"/>
    <n v="2400000"/>
    <n v="2400000"/>
    <x v="0"/>
    <x v="0"/>
    <s v="BR3-5, BR-7"/>
    <s v="62-304.520 (10), F.A.C."/>
    <n v="0.59"/>
    <n v="0.64"/>
    <s v="City of Cocoa Beach"/>
    <n v="8.8106490798199998E-3"/>
    <n v="3843.75010167864"/>
    <n v="8.6112899080278495"/>
    <n v="1.17128444154928"/>
    <n v="7.5871053504229999E-2"/>
    <n v="1.0319776187140001E-2"/>
    <n v="33.865933296416699"/>
    <n v="1400"/>
    <s v="Commercial and Services"/>
    <n v="1400"/>
    <s v="City of Cocoa Beach           Brevard County"/>
    <s v="City of Cocoa Beach"/>
    <m/>
    <m/>
    <m/>
    <n v="0"/>
    <n v="1"/>
    <n v="7.5871053504229999E-2"/>
    <n v="1.0319776187140001E-2"/>
    <n v="33.8659332964171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8.342422225796"/>
    <n v="35.655431814186699"/>
    <n v="2.7466288200000001E-2"/>
  </r>
  <r>
    <n v="830000"/>
    <n v="2400000"/>
    <n v="2400000"/>
    <x v="0"/>
    <x v="0"/>
    <s v="BR3-5, BR-7"/>
    <s v="62-304.520 (10), F.A.C."/>
    <n v="0.59"/>
    <n v="0.64"/>
    <s v="City of Cocoa Beach"/>
    <n v="0.60635594326068998"/>
    <n v="3843.75010167864"/>
    <n v="8.6112899080278495"/>
    <n v="1.17128444154928"/>
    <n v="5.2215068148735497"/>
    <n v="0.71021528238219001"/>
    <n v="2330.6807185617499"/>
    <n v="1450"/>
    <s v="Tourist Services"/>
    <n v="1450"/>
    <s v="City of Cocoa Beach           Brevard County"/>
    <s v="City of Cocoa Beach"/>
    <m/>
    <m/>
    <m/>
    <n v="0"/>
    <n v="1"/>
    <n v="5.2215068148735497"/>
    <n v="0.71021528238219001"/>
    <n v="2330.6807185617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6.29704480293901"/>
    <n v="2453.8354432449601"/>
    <n v="1.8902520021"/>
  </r>
  <r>
    <n v="830000"/>
    <n v="2400000"/>
    <n v="2400000"/>
    <x v="0"/>
    <x v="0"/>
    <s v="BR3-5, BR-7"/>
    <s v="62-304.520 (10), F.A.C."/>
    <n v="0.59"/>
    <n v="0.64"/>
    <s v="City of Cocoa Beach"/>
    <n v="7.7185864716330002E-2"/>
    <n v="3698.3444635528199"/>
    <n v="10.047417725397599"/>
    <n v="1.7593688031632899"/>
    <n v="0.77551862530103"/>
    <n v="0.13579840242708999"/>
    <n v="285.45991543818701"/>
    <n v="1200"/>
    <s v="Residential, Medium Density-Two-five dwellingunits per acre"/>
    <n v="1200"/>
    <s v="City of Cocoa Beach           Brevard County"/>
    <s v="City of Cocoa Beach"/>
    <m/>
    <m/>
    <m/>
    <n v="0"/>
    <n v="1"/>
    <n v="0.77551862530103"/>
    <n v="0.13579840242708999"/>
    <n v="285.45991543818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2.83348902271899"/>
    <n v="312.360112345787"/>
    <n v="0.2315165575"/>
  </r>
  <r>
    <n v="830000"/>
    <n v="2400000"/>
    <n v="2400000"/>
    <x v="0"/>
    <x v="0"/>
    <s v="BR3-5, BR-7"/>
    <s v="62-304.520 (10), F.A.C."/>
    <n v="0.59"/>
    <n v="0.64"/>
    <s v="City of Cocoa Beach"/>
    <n v="0.10469701380117"/>
    <n v="3698.3444635528199"/>
    <n v="10.047417725397599"/>
    <n v="1.7593688031632899"/>
    <n v="1.0519346322621399"/>
    <n v="0.18420065986614001"/>
    <n v="387.20562134209302"/>
    <n v="1300"/>
    <s v="Residential, High Density"/>
    <n v="1300"/>
    <s v="City of Cocoa Beach           Brevard County"/>
    <s v="City of Cocoa Beach"/>
    <m/>
    <m/>
    <m/>
    <n v="0"/>
    <n v="1"/>
    <n v="1.0519346322621399"/>
    <n v="0.18420065986614001"/>
    <n v="387.205621342093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636394098661"/>
    <n v="423.693782707389"/>
    <n v="0.31403537819999999"/>
  </r>
  <r>
    <n v="830000"/>
    <n v="2400000"/>
    <n v="2400000"/>
    <x v="0"/>
    <x v="0"/>
    <s v="BR3-5, BR-7"/>
    <s v="62-304.520 (10), F.A.C."/>
    <n v="0.59"/>
    <n v="0.64"/>
    <s v="City of Cocoa Beach"/>
    <n v="3.7450270115070003E-2"/>
    <n v="3680.9217918587501"/>
    <n v="9.7191131614503199"/>
    <n v="1.61351510507424"/>
    <n v="0.36398341317533001"/>
    <n v="6.0426576519789998E-2"/>
    <n v="137.85151537759"/>
    <n v="1200"/>
    <s v="Residential, Medium Density-Two-five dwellingunits per acre"/>
    <n v="1200"/>
    <s v="City of Cocoa Beach           Brevard County"/>
    <s v="City of Cocoa Beach"/>
    <m/>
    <m/>
    <m/>
    <n v="0"/>
    <n v="1"/>
    <n v="0.36398341317533001"/>
    <n v="6.0426576519789998E-2"/>
    <n v="137.8515153775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0.609125332605402"/>
    <n v="151.55586613582199"/>
    <n v="0.1118017156"/>
  </r>
  <r>
    <n v="830000"/>
    <n v="2400000"/>
    <n v="2400000"/>
    <x v="0"/>
    <x v="0"/>
    <s v="BR3-5, BR-7"/>
    <s v="62-304.520 (10), F.A.C."/>
    <n v="0.59"/>
    <n v="0.64"/>
    <s v="City of Cocoa Beach"/>
    <n v="0.18123262764292999"/>
    <n v="3680.9217918587501"/>
    <n v="9.7191131614503199"/>
    <n v="1.61351510507424"/>
    <n v="1.7614204166087"/>
    <n v="0.29242158223416997"/>
    <n v="667.10312848671299"/>
    <n v="1300"/>
    <s v="Residential, High Density"/>
    <n v="1300"/>
    <s v="City of Cocoa Beach           Brevard County"/>
    <s v="City of Cocoa Beach"/>
    <m/>
    <m/>
    <m/>
    <n v="0"/>
    <n v="1"/>
    <n v="1.7614204166087"/>
    <n v="0.29242158223416997"/>
    <n v="667.10312848671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3.390741398302"/>
    <n v="733.422423125249"/>
    <n v="0.54104065570000004"/>
  </r>
  <r>
    <n v="830000"/>
    <n v="2400000"/>
    <n v="2400000"/>
    <x v="0"/>
    <x v="0"/>
    <s v="BR3-5, BR-7"/>
    <s v="62-304.520 (10), F.A.C."/>
    <n v="0.59"/>
    <n v="0.64"/>
    <s v="City of Cocoa Beach"/>
    <n v="0.12308705898256"/>
    <n v="3680.9217918587501"/>
    <n v="9.7191131614503199"/>
    <n v="1.61351510507424"/>
    <n v="1.19629705496169"/>
    <n v="0.19860282890753"/>
    <n v="453.073837704742"/>
    <n v="1210"/>
    <s v="Fixed Single Family Units"/>
    <n v="1210"/>
    <s v="City of Cocoa Beach           Brevard County"/>
    <s v="City of Cocoa Beach"/>
    <m/>
    <m/>
    <m/>
    <n v="0"/>
    <n v="1"/>
    <n v="1.19629705496169"/>
    <n v="0.19860282890753"/>
    <n v="453.07383770474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0.415066864516106"/>
    <n v="498.11565515793899"/>
    <n v="0.3674564783"/>
  </r>
  <r>
    <n v="830000"/>
    <n v="2400000"/>
    <n v="2400000"/>
    <x v="0"/>
    <x v="0"/>
    <s v="BR3-5, BR-7"/>
    <s v="62-304.520 (10), F.A.C."/>
    <n v="0.59"/>
    <n v="0.64"/>
    <s v="City of Cocoa Beach"/>
    <n v="1.8929225048430001E-2"/>
    <n v="3680.9217918587501"/>
    <n v="9.7191131614503199"/>
    <n v="1.61351510507424"/>
    <n v="0.18397528030431001"/>
    <n v="3.0542590543000001E-2"/>
    <n v="69.676996983790303"/>
    <n v="1210"/>
    <s v="Fixed Single Family Units"/>
    <n v="1210"/>
    <s v="City of Cocoa Beach           Brevard County"/>
    <s v="City of Cocoa Beach"/>
    <m/>
    <m/>
    <m/>
    <n v="0"/>
    <n v="1"/>
    <n v="0.18397528030431001"/>
    <n v="3.0542590543000001E-2"/>
    <n v="69.6769969837887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9.299997082764101"/>
    <n v="76.603855958320807"/>
    <n v="5.6510135400000001E-2"/>
  </r>
  <r>
    <n v="830000"/>
    <n v="2400000"/>
    <n v="2400000"/>
    <x v="0"/>
    <x v="0"/>
    <s v="BR3-5, BR-7"/>
    <s v="62-304.520 (10), F.A.C."/>
    <n v="0.59"/>
    <n v="0.64"/>
    <s v="City of Cocoa Beach"/>
    <n v="0.19851665710920999"/>
    <n v="3680.9217918587501"/>
    <n v="9.7191131614503199"/>
    <n v="1.61351510507424"/>
    <n v="1.9294058548773301"/>
    <n v="0.32030962485455999"/>
    <n v="730.72428920027596"/>
    <n v="1210"/>
    <s v="Fixed Single Family Units"/>
    <n v="1210"/>
    <s v="City of Cocoa Beach           Brevard County"/>
    <s v="City of Cocoa Beach"/>
    <m/>
    <m/>
    <m/>
    <n v="0"/>
    <n v="1"/>
    <n v="1.9294058548773301"/>
    <n v="0.32030962485455999"/>
    <n v="730.724289200275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02557887608"/>
    <n v="803.36840877581994"/>
    <n v="0.59263932620000004"/>
  </r>
  <r>
    <n v="830000"/>
    <n v="2400000"/>
    <n v="2400000"/>
    <x v="0"/>
    <x v="0"/>
    <s v="BR3-5, BR-7"/>
    <s v="62-304.520 (10), F.A.C."/>
    <n v="0.59"/>
    <n v="0.64"/>
    <s v="City of Cocoa Beach"/>
    <n v="4.7095229564949999E-2"/>
    <n v="3680.9217918587501"/>
    <n v="9.7191131614503199"/>
    <n v="1.61351510507424"/>
    <n v="0.45772386550623001"/>
    <n v="7.5988864279980001E-2"/>
    <n v="173.35385679821499"/>
    <n v="1300"/>
    <s v="Residential, High Density"/>
    <n v="1300"/>
    <s v="City of Cocoa Beach           Brevard County"/>
    <s v="City of Cocoa Beach"/>
    <m/>
    <m/>
    <m/>
    <n v="0"/>
    <n v="1"/>
    <n v="0.45772386550623001"/>
    <n v="7.5988864279980001E-2"/>
    <n v="173.35385679821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1.465055044688697"/>
    <n v="190.587632229321"/>
    <n v="0.14059517990000001"/>
  </r>
  <r>
    <n v="830000"/>
    <n v="2400000"/>
    <n v="2400000"/>
    <x v="0"/>
    <x v="0"/>
    <s v="BR3-5, BR-7"/>
    <s v="62-304.520 (10), F.A.C."/>
    <n v="0.59"/>
    <n v="0.64"/>
    <s v="City of Cocoa Beach"/>
    <n v="8.3796401389300001E-3"/>
    <n v="3779.6699366682501"/>
    <n v="10.6320362905861"/>
    <n v="1.9281669434622799"/>
    <n v="8.9092638059220006E-2"/>
    <n v="1.6157345114E-2"/>
    <n v="31.6722739132349"/>
    <n v="1300"/>
    <s v="Residential, High Density"/>
    <n v="1300"/>
    <s v="City of Cocoa Beach           Brevard County"/>
    <s v="City of Cocoa Beach"/>
    <m/>
    <m/>
    <m/>
    <n v="0"/>
    <n v="1"/>
    <n v="8.9092638059220006E-2"/>
    <n v="1.6157345114E-2"/>
    <n v="164.5527933155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3.381881939638099"/>
    <n v="33.911200513653597"/>
    <n v="0.13345725329999999"/>
  </r>
  <r>
    <n v="830000"/>
    <n v="2400000"/>
    <n v="2400000"/>
    <x v="0"/>
    <x v="0"/>
    <s v="BR3-5, BR-7"/>
    <s v="62-304.520 (10), F.A.C."/>
    <n v="0.59"/>
    <n v="0.64"/>
    <s v="City of Cocoa Beach"/>
    <n v="8.0790678227119994E-2"/>
    <n v="3779.6699366682501"/>
    <n v="10.6320362905861"/>
    <n v="1.9281669434622799"/>
    <n v="0.85896942285189004"/>
    <n v="0.15577791509743999"/>
    <n v="305.36209765811401"/>
    <n v="1300"/>
    <s v="Residential, High Density"/>
    <n v="1300"/>
    <s v="City of Cocoa Beach           Brevard County"/>
    <s v="City of Cocoa Beach"/>
    <m/>
    <m/>
    <m/>
    <n v="0"/>
    <n v="1"/>
    <n v="0.85896942285189004"/>
    <n v="0.15577791509743999"/>
    <n v="1269.0191781897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540858970196"/>
    <n v="326.94827505350298"/>
    <n v="1.0292126344000001"/>
  </r>
  <r>
    <n v="830000"/>
    <n v="2400000"/>
    <n v="2400000"/>
    <x v="0"/>
    <x v="0"/>
    <s v="BR3-5, BR-7"/>
    <s v="62-304.520 (10), F.A.C."/>
    <n v="0.59"/>
    <n v="0.64"/>
    <s v="City of Cocoa Beach"/>
    <n v="0.18676470794693001"/>
    <n v="3678.7829118453101"/>
    <n v="9.4375577489819698"/>
    <n v="1.47802769219029"/>
    <n v="1.7626027167209499"/>
    <n v="0.27604341026939999"/>
    <n v="687.066816130966"/>
    <n v="1200"/>
    <s v="Residential, Medium Density-Two-five dwellingunits per acre"/>
    <n v="1200"/>
    <s v="City of Cocoa Beach           Brevard County"/>
    <s v="City of Cocoa Beach"/>
    <m/>
    <m/>
    <m/>
    <n v="0"/>
    <n v="1"/>
    <n v="1.7626027167209499"/>
    <n v="0.27604341026939999"/>
    <n v="687.06681613096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9.37586404985899"/>
    <n v="755.80995783271396"/>
    <n v="0.55723180549999995"/>
  </r>
  <r>
    <n v="830000"/>
    <n v="2400000"/>
    <n v="2400000"/>
    <x v="0"/>
    <x v="0"/>
    <s v="BR3-5, BR-7"/>
    <s v="62-304.520 (10), F.A.C."/>
    <n v="0.59"/>
    <n v="0.64"/>
    <s v="City of Cocoa Beach"/>
    <n v="0.10772959775745999"/>
    <n v="3678.7829118453101"/>
    <n v="9.4375577489819698"/>
    <n v="1.47802769219029"/>
    <n v="1.0167043001107099"/>
    <n v="0.15922732875406001"/>
    <n v="396.31380333014602"/>
    <n v="1300"/>
    <s v="Residential, High Density"/>
    <n v="1300"/>
    <s v="City of Cocoa Beach           Brevard County"/>
    <s v="City of Cocoa Beach"/>
    <m/>
    <m/>
    <m/>
    <n v="0"/>
    <n v="1"/>
    <n v="1.0167043001107099"/>
    <n v="0.15922732875406001"/>
    <n v="396.313803330146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8.03160302336801"/>
    <n v="435.966214567382"/>
    <n v="0.32142238709999998"/>
  </r>
  <r>
    <n v="830000"/>
    <n v="2400000"/>
    <n v="2400000"/>
    <x v="0"/>
    <x v="0"/>
    <s v="BR3-5, BR-7"/>
    <s v="62-304.520 (10), F.A.C."/>
    <n v="0.59"/>
    <n v="0.64"/>
    <s v="City of Cocoa Beach"/>
    <n v="3.264432415547E-2"/>
    <n v="3678.7829118453101"/>
    <n v="9.4375577489819698"/>
    <n v="1.47802769219029"/>
    <n v="0.30808269439375002"/>
    <n v="4.8249215094619997E-2"/>
    <n v="120.091381871889"/>
    <n v="1210"/>
    <s v="Fixed Single Family Units"/>
    <n v="1210"/>
    <s v="City of Cocoa Beach           Brevard County"/>
    <s v="City of Cocoa Beach"/>
    <m/>
    <m/>
    <m/>
    <n v="0"/>
    <n v="1"/>
    <n v="0.30808269439375002"/>
    <n v="4.8249215094619997E-2"/>
    <n v="120.09138187188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1.952826371018098"/>
    <n v="132.10689286347801"/>
    <n v="9.7397714400000002E-2"/>
  </r>
  <r>
    <n v="830000"/>
    <n v="2400000"/>
    <n v="2400000"/>
    <x v="0"/>
    <x v="0"/>
    <s v="BR3-5, BR-7"/>
    <s v="62-304.520 (10), F.A.C."/>
    <n v="0.59"/>
    <n v="0.64"/>
    <s v="City of Cocoa Beach"/>
    <n v="4.0225362394000002E-4"/>
    <n v="3678.7829118453101"/>
    <n v="9.4375577489819698"/>
    <n v="1.47802769219029"/>
    <n v="3.7962918056700001E-3"/>
    <n v="5.9454199545999999E-4"/>
    <n v="1.4798037579783201"/>
    <n v="1210"/>
    <s v="Fixed Single Family Units"/>
    <n v="1210"/>
    <s v="City of Cocoa Beach           Brevard County"/>
    <s v="City of Cocoa Beach"/>
    <m/>
    <m/>
    <m/>
    <n v="0"/>
    <n v="1"/>
    <n v="3.7962918056700001E-3"/>
    <n v="5.9454199545999999E-4"/>
    <n v="1.4798037579767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.260397225518901"/>
    <n v="1.6278626614735401"/>
    <n v="1.2001653000000001E-3"/>
  </r>
  <r>
    <n v="830000"/>
    <n v="2400000"/>
    <n v="2400000"/>
    <x v="0"/>
    <x v="0"/>
    <s v="BR3-5, BR-7"/>
    <s v="62-304.520 (10), F.A.C."/>
    <n v="0.59"/>
    <n v="0.64"/>
    <s v="City of Cocoa Beach"/>
    <n v="0.23418022385970999"/>
    <n v="3678.7829118453101"/>
    <n v="9.4375577489819698"/>
    <n v="1.47802769219029"/>
    <n v="2.2100893863455502"/>
    <n v="0.34612485582796998"/>
    <n v="861.49820582721895"/>
    <n v="1210"/>
    <s v="Fixed Single Family Units"/>
    <n v="1210"/>
    <s v="City of Cocoa Beach           Brevard County"/>
    <s v="City of Cocoa Beach"/>
    <m/>
    <m/>
    <m/>
    <n v="0"/>
    <n v="1"/>
    <n v="2.2100893863455502"/>
    <n v="0.34612485582796998"/>
    <n v="861.498205827218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5.01646926787799"/>
    <n v="947.69374292574503"/>
    <n v="0.69870089690000003"/>
  </r>
  <r>
    <n v="830000"/>
    <n v="2400000"/>
    <n v="2400000"/>
    <x v="0"/>
    <x v="0"/>
    <s v="BR3-5, BR-7"/>
    <s v="62-304.520 (10), F.A.C."/>
    <n v="0.59"/>
    <n v="0.64"/>
    <s v="City of Cocoa Beach"/>
    <n v="2.4754407718140001E-2"/>
    <n v="3678.7829118453101"/>
    <n v="9.4375577489819698"/>
    <n v="1.47802769219029"/>
    <n v="0.23362115238181999"/>
    <n v="3.6587700111179997E-2"/>
    <n v="91.066092106356294"/>
    <n v="1210"/>
    <s v="Fixed Single Family Units"/>
    <n v="1210"/>
    <s v="City of Cocoa Beach           Brevard County"/>
    <s v="City of Cocoa Beach"/>
    <m/>
    <m/>
    <m/>
    <n v="0"/>
    <n v="1"/>
    <n v="0.23362115238181999"/>
    <n v="3.6587700111179997E-2"/>
    <n v="91.066092106357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9.016873343430206"/>
    <n v="100.177533856876"/>
    <n v="7.3857333400000003E-2"/>
  </r>
  <r>
    <n v="830000"/>
    <n v="2400000"/>
    <n v="2400000"/>
    <x v="0"/>
    <x v="0"/>
    <s v="BR3-5, BR-7"/>
    <s v="62-304.520 (10), F.A.C."/>
    <n v="0.59"/>
    <n v="0.64"/>
    <s v="City of Cocoa Beach"/>
    <n v="0.13191647758509001"/>
    <n v="3666.8022040303799"/>
    <n v="9.1449516373431603"/>
    <n v="1.3451366194457399"/>
    <n v="1.2063698076843401"/>
    <n v="0.17744568470800001"/>
    <n v="483.71163075694699"/>
    <n v="1200"/>
    <s v="Residential, Medium Density-Two-five dwellingunits per acre"/>
    <n v="1200"/>
    <s v="City of Cocoa Beach           Brevard County"/>
    <s v="City of Cocoa Beach"/>
    <m/>
    <m/>
    <m/>
    <n v="0"/>
    <n v="1"/>
    <n v="1.2063698076843401"/>
    <n v="0.17744568470800001"/>
    <n v="483.71163075694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0.54660797554601"/>
    <n v="533.84704453562301"/>
    <n v="0.39230464780000002"/>
  </r>
  <r>
    <n v="830000"/>
    <n v="2400000"/>
    <n v="2400000"/>
    <x v="0"/>
    <x v="0"/>
    <s v="BR3-5, BR-7"/>
    <s v="62-304.520 (10), F.A.C."/>
    <n v="0.59"/>
    <n v="0.64"/>
    <s v="City of Cocoa Beach"/>
    <n v="0.27262496080607002"/>
    <n v="3666.8022040303799"/>
    <n v="9.1449516373431603"/>
    <n v="1.3451366194457399"/>
    <n v="2.4931420817041201"/>
    <n v="0.36671781815520998"/>
    <n v="999.66180715740802"/>
    <n v="1210"/>
    <s v="Fixed Single Family Units"/>
    <n v="1210"/>
    <s v="City of Cocoa Beach           Brevard County"/>
    <s v="City of Cocoa Beach"/>
    <m/>
    <m/>
    <m/>
    <n v="0"/>
    <n v="1"/>
    <n v="2.4931420817041201"/>
    <n v="0.36671781815520998"/>
    <n v="999.661807157408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6.53253377879099"/>
    <n v="1103.2740735446"/>
    <n v="0.81075572360000003"/>
  </r>
  <r>
    <n v="830000"/>
    <n v="2400000"/>
    <n v="2400000"/>
    <x v="0"/>
    <x v="0"/>
    <s v="BR3-5, BR-7"/>
    <s v="62-304.520 (10), F.A.C."/>
    <n v="0.59"/>
    <n v="0.64"/>
    <s v="City of Cocoa Beach"/>
    <n v="0.20773839044060999"/>
    <n v="3666.8022040303799"/>
    <n v="9.1449516373431603"/>
    <n v="1.3451366194457399"/>
    <n v="1.8997575337989101"/>
    <n v="0.27943651624638"/>
    <n v="761.73558792936296"/>
    <n v="1210"/>
    <s v="Fixed Single Family Units"/>
    <n v="1210"/>
    <s v="City of Cocoa Beach           Brevard County"/>
    <s v="City of Cocoa Beach"/>
    <m/>
    <m/>
    <m/>
    <n v="0"/>
    <n v="1"/>
    <n v="1.8997575337989101"/>
    <n v="0.27943651624638"/>
    <n v="761.735587929362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2.963424629521"/>
    <n v="840.68743953363401"/>
    <n v="0.61779042009999996"/>
  </r>
  <r>
    <n v="830000"/>
    <n v="2400000"/>
    <n v="2400000"/>
    <x v="0"/>
    <x v="0"/>
    <s v="BR3-5, BR-7"/>
    <s v="62-304.520 (10), F.A.C."/>
    <n v="0.59"/>
    <n v="0.64"/>
    <s v="City of Cocoa Beach"/>
    <n v="5.4836247900999996E-3"/>
    <n v="3666.8022040303799"/>
    <n v="9.1449516373431603"/>
    <n v="1.3451366194457399"/>
    <n v="5.0147483502839998E-2"/>
    <n v="7.3762245124700003E-3"/>
    <n v="20.107367466432599"/>
    <n v="1210"/>
    <s v="Fixed Single Family Units"/>
    <n v="1210"/>
    <s v="City of Cocoa Beach           Brevard County"/>
    <s v="City of Cocoa Beach"/>
    <m/>
    <m/>
    <m/>
    <n v="0"/>
    <n v="1"/>
    <n v="5.0147483502839998E-2"/>
    <n v="7.3762245124700003E-3"/>
    <n v="20.1073674664323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1.396642110088003"/>
    <n v="22.1914421998679"/>
    <n v="1.6307678400000001E-2"/>
  </r>
  <r>
    <n v="830000"/>
    <n v="2400000"/>
    <n v="2400000"/>
    <x v="0"/>
    <x v="0"/>
    <s v="BR3-5, BR-7"/>
    <s v="62-304.520 (10), F.A.C."/>
    <n v="0.59"/>
    <n v="0.64"/>
    <s v="City of Cocoa Beach"/>
    <n v="4.0706348348999998E-4"/>
    <n v="3668.6363522549"/>
    <n v="9.1493131557923402"/>
    <n v="1.34577093044481"/>
    <n v="3.7243512847299999E-3"/>
    <n v="5.4781420292000001E-4"/>
    <n v="1.4933678932069201"/>
    <n v="1200"/>
    <s v="Residential, Medium Density-Two-five dwellingunits per acre"/>
    <n v="1200"/>
    <s v="City of Cocoa Beach           Brevard County"/>
    <s v="City of Cocoa Beach"/>
    <m/>
    <m/>
    <m/>
    <n v="0"/>
    <n v="1"/>
    <n v="3.7243512847299999E-3"/>
    <n v="5.4781420292000001E-4"/>
    <n v="10.465238184033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.284886427580799"/>
    <n v="1.64732747248671"/>
    <n v="8.4876221999999994E-3"/>
  </r>
  <r>
    <n v="830000"/>
    <n v="2400000"/>
    <n v="2400000"/>
    <x v="0"/>
    <x v="0"/>
    <s v="BR3-5, BR-7"/>
    <s v="62-304.520 (10), F.A.C."/>
    <n v="0.59"/>
    <n v="0.64"/>
    <s v="City of Cocoa Beach"/>
    <n v="4.5996546770500002E-3"/>
    <n v="3668.6363522549"/>
    <n v="9.1493131557923402"/>
    <n v="1.34577093044481"/>
    <n v="4.2083681048909999E-2"/>
    <n v="6.1900815544700004E-3"/>
    <n v="16.874460356077901"/>
    <n v="1210"/>
    <s v="Fixed Single Family Units"/>
    <n v="1210"/>
    <s v="City of Cocoa Beach           Brevard County"/>
    <s v="City of Cocoa Beach"/>
    <m/>
    <m/>
    <m/>
    <n v="0"/>
    <n v="1"/>
    <n v="4.2083681048909999E-2"/>
    <n v="6.1900815544700004E-3"/>
    <n v="16.874460356076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8.105951348844101"/>
    <n v="18.6141420706773"/>
    <n v="1.3685693699999999E-2"/>
  </r>
  <r>
    <n v="830000"/>
    <n v="2400000"/>
    <n v="2400000"/>
    <x v="0"/>
    <x v="0"/>
    <s v="BR3-5, BR-7"/>
    <s v="62-304.520 (10), F.A.C."/>
    <n v="0.59"/>
    <n v="0.64"/>
    <s v="City of Cocoa Beach"/>
    <n v="3.7610228845629999E-2"/>
    <n v="3668.6363522549"/>
    <n v="9.1493131557923402"/>
    <n v="1.34577093044481"/>
    <n v="0.34410776156974998"/>
    <n v="5.0614752667829999E-2"/>
    <n v="137.97825275973301"/>
    <n v="1210"/>
    <s v="Fixed Single Family Units"/>
    <n v="1210"/>
    <s v="City of Cocoa Beach           Brevard County"/>
    <s v="City of Cocoa Beach"/>
    <m/>
    <m/>
    <m/>
    <n v="0"/>
    <n v="1"/>
    <n v="0.34410776156974998"/>
    <n v="5.0614752667829999E-2"/>
    <n v="331.93605283950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9.549762691182899"/>
    <n v="152.20319615190201"/>
    <n v="0.26921009959999997"/>
  </r>
  <r>
    <n v="830000"/>
    <n v="2400000"/>
    <n v="2400000"/>
    <x v="0"/>
    <x v="0"/>
    <s v="BR3-5, BR-7"/>
    <s v="62-304.520 (10), F.A.C."/>
    <n v="0.59"/>
    <n v="0.64"/>
    <s v="City of Cocoa Beach"/>
    <n v="6.2007091675999996E-4"/>
    <n v="3668.6363522549"/>
    <n v="9.1493131557923402"/>
    <n v="1.34577093044481"/>
    <n v="5.6732229962799998E-3"/>
    <n v="8.3447341458999999E-4"/>
    <n v="2.2748147062200998"/>
    <n v="1210"/>
    <s v="Fixed Single Family Units"/>
    <n v="1210"/>
    <s v="City of Cocoa Beach           Brevard County"/>
    <s v="City of Cocoa Beach"/>
    <m/>
    <m/>
    <m/>
    <n v="0"/>
    <n v="1"/>
    <n v="5.6732229962799998E-3"/>
    <n v="8.3447341458999999E-4"/>
    <n v="2.2748147062187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.9806839668076"/>
    <n v="2.5093379718524398"/>
    <n v="1.8449429999999999E-3"/>
  </r>
  <r>
    <n v="830000"/>
    <n v="2400000"/>
    <n v="2400000"/>
    <x v="0"/>
    <x v="0"/>
    <s v="BR3-5, BR-7"/>
    <s v="62-304.520 (10), F.A.C."/>
    <n v="0.59"/>
    <n v="0.64"/>
    <s v="City of Cocoa Beach"/>
    <n v="9.7694687883779996E-2"/>
    <n v="3668.6363522549"/>
    <n v="9.1493131557923402"/>
    <n v="1.34577093044481"/>
    <n v="0.89383929310613996"/>
    <n v="0.13147467101287"/>
    <n v="358.40628339264998"/>
    <n v="1210"/>
    <s v="Fixed Single Family Units"/>
    <n v="1210"/>
    <s v="City of Cocoa Beach           Brevard County"/>
    <s v="City of Cocoa Beach"/>
    <m/>
    <m/>
    <m/>
    <n v="0"/>
    <n v="1"/>
    <n v="0.89383929310613996"/>
    <n v="0.13147467101287"/>
    <n v="796.399733332949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4.072170927213307"/>
    <n v="395.35637509685898"/>
    <n v="0.64590408219999995"/>
  </r>
  <r>
    <n v="830000"/>
    <n v="2400000"/>
    <n v="2400000"/>
    <x v="0"/>
    <x v="0"/>
    <s v="BR3-5, BR-7"/>
    <s v="62-304.520 (10), F.A.C."/>
    <n v="0.59"/>
    <n v="0.64"/>
    <s v="City of Cocoa Beach"/>
    <n v="9.8779552408999999E-4"/>
    <n v="3660.0898214396798"/>
    <n v="9.1290630246924707"/>
    <n v="1.3428284867987901"/>
    <n v="9.0176475949700005E-3"/>
    <n v="1.3264399688800001E-3"/>
    <n v="3.6154203434037799"/>
    <n v="1200"/>
    <s v="Residential, Medium Density-Two-five dwellingunits per acre"/>
    <n v="1200"/>
    <s v="City of Cocoa Beach           Brevard County"/>
    <s v="City of Cocoa Beach"/>
    <m/>
    <m/>
    <m/>
    <n v="0"/>
    <n v="1"/>
    <n v="9.0176475949700005E-3"/>
    <n v="1.3264399688800001E-3"/>
    <n v="3.6154203434055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.5695569974236"/>
    <n v="3.9974666607037901"/>
    <n v="2.9322144E-3"/>
  </r>
  <r>
    <n v="830000"/>
    <n v="2400000"/>
    <n v="2400000"/>
    <x v="0"/>
    <x v="0"/>
    <s v="BR3-5, BR-7"/>
    <s v="62-304.520 (10), F.A.C."/>
    <n v="0.59"/>
    <n v="0.64"/>
    <s v="City of Cocoa Beach"/>
    <n v="5.7877870771209997E-2"/>
    <n v="3660.0898214396798"/>
    <n v="9.1290630246924707"/>
    <n v="1.3428284867987901"/>
    <n v="0.52837073000542001"/>
    <n v="7.7720053626839994E-2"/>
    <n v="211.83820569632499"/>
    <n v="1210"/>
    <s v="Fixed Single Family Units"/>
    <n v="1210"/>
    <s v="City of Cocoa Beach           Brevard County"/>
    <s v="City of Cocoa Beach"/>
    <m/>
    <m/>
    <m/>
    <n v="0"/>
    <n v="1"/>
    <n v="0.52837073000542001"/>
    <n v="7.7720053626839994E-2"/>
    <n v="211.83820569632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9.379508142235906"/>
    <n v="234.22343304532899"/>
    <n v="0.1718071417"/>
  </r>
  <r>
    <n v="830000"/>
    <n v="2400000"/>
    <n v="2400000"/>
    <x v="0"/>
    <x v="0"/>
    <s v="BR3-5, BR-7"/>
    <s v="62-304.520 (10), F.A.C."/>
    <n v="0.59"/>
    <n v="0.64"/>
    <s v="City of Cocoa Beach"/>
    <n v="0.2196501230373"/>
    <n v="3660.0898214396798"/>
    <n v="9.1290630246924707"/>
    <n v="1.3428284867987901"/>
    <n v="2.0051998165890299"/>
    <n v="0.29495244234335"/>
    <n v="803.93917960682097"/>
    <n v="1210"/>
    <s v="Fixed Single Family Units"/>
    <n v="1210"/>
    <s v="City of Cocoa Beach           Brevard County"/>
    <s v="City of Cocoa Beach"/>
    <m/>
    <m/>
    <m/>
    <n v="0"/>
    <n v="1"/>
    <n v="2.0051998165890299"/>
    <n v="0.29495244234335"/>
    <n v="803.939179606820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0.64079936071499"/>
    <n v="888.89251109447798"/>
    <n v="0.65201879939999996"/>
  </r>
  <r>
    <n v="830000"/>
    <n v="2400000"/>
    <n v="2400000"/>
    <x v="0"/>
    <x v="0"/>
    <s v="BR3-5, BR-7"/>
    <s v="62-304.520 (10), F.A.C."/>
    <n v="0.59"/>
    <n v="0.64"/>
    <s v="City of Cocoa Beach"/>
    <n v="0.15325304644776"/>
    <n v="3660.0898214396798"/>
    <n v="9.1290630246924707"/>
    <n v="1.3428284867987901"/>
    <n v="1.3990567197477199"/>
    <n v="0.20579255645875"/>
    <n v="560.91991540806896"/>
    <n v="1210"/>
    <s v="Fixed Single Family Units"/>
    <n v="1210"/>
    <s v="City of Cocoa Beach           Brevard County"/>
    <s v="City of Cocoa Beach"/>
    <m/>
    <m/>
    <m/>
    <n v="0"/>
    <n v="1"/>
    <n v="1.3990567197477199"/>
    <n v="0.20579255645875"/>
    <n v="560.919915408068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6.809833891148"/>
    <n v="620.19307526948398"/>
    <n v="0.45492288349999999"/>
  </r>
  <r>
    <n v="830000"/>
    <n v="2400000"/>
    <n v="2400000"/>
    <x v="0"/>
    <x v="0"/>
    <s v="BR3-5, BR-7"/>
    <s v="62-304.520 (10), F.A.C."/>
    <n v="0.59"/>
    <n v="0.64"/>
    <s v="City of Cocoa Beach"/>
    <n v="1.898974646877E-2"/>
    <n v="3660.0898214396798"/>
    <n v="9.1290630246924707"/>
    <n v="1.3428284867987901"/>
    <n v="0.17335859233639"/>
    <n v="2.549997251536E-2"/>
    <n v="69.504177762090904"/>
    <n v="1210"/>
    <s v="Fixed Single Family Units"/>
    <n v="1210"/>
    <s v="City of Cocoa Beach           Brevard County"/>
    <s v="City of Cocoa Beach"/>
    <m/>
    <m/>
    <m/>
    <n v="0"/>
    <n v="1"/>
    <n v="0.17335859233639"/>
    <n v="2.549997251536E-2"/>
    <n v="69.5041777620893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4.142656501614397"/>
    <n v="76.848777456916196"/>
    <n v="5.6369973900000002E-2"/>
  </r>
  <r>
    <n v="830000"/>
    <n v="2400000"/>
    <n v="2400000"/>
    <x v="0"/>
    <x v="0"/>
    <s v="BR3-5, BR-7"/>
    <s v="62-304.520 (10), F.A.C."/>
    <n v="0.59"/>
    <n v="0.64"/>
    <s v="City of Cocoa Beach"/>
    <n v="0.10195137873394999"/>
    <n v="3660.0898214396798"/>
    <n v="9.1290630246924707"/>
    <n v="1.3428284867987901"/>
    <n v="0.93072056191659003"/>
    <n v="0.13690321563237001"/>
    <n v="373.15120358590201"/>
    <n v="1210"/>
    <s v="Fixed Single Family Units"/>
    <n v="1210"/>
    <s v="City of Cocoa Beach           Brevard County"/>
    <s v="City of Cocoa Beach"/>
    <m/>
    <m/>
    <m/>
    <n v="0"/>
    <n v="1"/>
    <n v="0.93072056191659003"/>
    <n v="0.13690321563237001"/>
    <n v="373.15120358590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3.7990894385335"/>
    <n v="412.58259180205198"/>
    <n v="0.3026368237"/>
  </r>
  <r>
    <n v="830000"/>
    <n v="2400000"/>
    <n v="2400000"/>
    <x v="0"/>
    <x v="0"/>
    <s v="BR3-5, BR-7"/>
    <s v="62-304.520 (10), F.A.C."/>
    <n v="0.59"/>
    <n v="0.64"/>
    <s v="City of Cocoa Beach"/>
    <n v="6.505349263877E-2"/>
    <n v="3660.0898214396798"/>
    <n v="9.1290630246924707"/>
    <n v="1.3428284867987901"/>
    <n v="0.59387743427572004"/>
    <n v="8.7355683081100005E-2"/>
    <n v="238.10162625627399"/>
    <n v="1210"/>
    <s v="Fixed Single Family Units"/>
    <n v="1210"/>
    <s v="City of Cocoa Beach           Brevard County"/>
    <s v="City of Cocoa Beach"/>
    <m/>
    <m/>
    <m/>
    <n v="0"/>
    <n v="1"/>
    <n v="0.59387743427572004"/>
    <n v="8.7355683081100005E-2"/>
    <n v="238.101626256275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330892424685004"/>
    <n v="263.26214448476998"/>
    <n v="0.1931075639"/>
  </r>
  <r>
    <n v="830000"/>
    <n v="2400000"/>
    <n v="2400000"/>
    <x v="0"/>
    <x v="0"/>
    <s v="BR3-5, BR-7"/>
    <s v="62-304.520 (10), F.A.C."/>
    <n v="0.59"/>
    <n v="0.64"/>
    <s v="City of Cocoa Beach"/>
    <n v="0.1067244398378"/>
    <n v="3660.0898214396798"/>
    <n v="9.12906302469246"/>
    <n v="1.3428284867987901"/>
    <n v="0.97429413755432004"/>
    <n v="0.14331261805184001"/>
    <n v="390.621035949202"/>
    <n v="1200"/>
    <s v="Residential, Medium Density-Two-five dwellingunits per acre"/>
    <n v="1200"/>
    <s v="City of Cocoa Beach           Brevard County"/>
    <s v="City of Cocoa Beach"/>
    <m/>
    <m/>
    <m/>
    <n v="0"/>
    <n v="1"/>
    <n v="0.97429413755432004"/>
    <n v="0.14331261805184001"/>
    <n v="521.526911947883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4.603908691820706"/>
    <n v="431.898484784662"/>
    <n v="0.4229739756"/>
  </r>
  <r>
    <n v="830000"/>
    <n v="2400000"/>
    <n v="2400000"/>
    <x v="0"/>
    <x v="0"/>
    <s v="BR3-5, BR-7"/>
    <s v="62-304.520 (10), F.A.C."/>
    <n v="0.59"/>
    <n v="0.64"/>
    <s v="City of Cocoa Beach"/>
    <n v="4.5978397906000002E-4"/>
    <n v="3660.0898214396798"/>
    <n v="9.12906302469246"/>
    <n v="1.3428284867987901"/>
    <n v="4.1973969226300001E-3"/>
    <n v="6.1741102486000002E-4"/>
    <n v="1.6828506618404999"/>
    <n v="1210"/>
    <s v="Fixed Single Family Units"/>
    <n v="1210"/>
    <s v="City of Cocoa Beach           Brevard County"/>
    <s v="City of Cocoa Beach"/>
    <m/>
    <m/>
    <m/>
    <n v="0"/>
    <n v="1"/>
    <n v="4.1973969226300001E-3"/>
    <n v="6.1741102486000002E-4"/>
    <n v="1.6828506618413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.987131632537199"/>
    <n v="1.86067974860082"/>
    <n v="1.3648423999999999E-3"/>
  </r>
  <r>
    <n v="830000"/>
    <n v="2400000"/>
    <n v="2400000"/>
    <x v="0"/>
    <x v="0"/>
    <s v="BR3-5, BR-7"/>
    <s v="62-304.520 (10), F.A.C."/>
    <n v="0.59"/>
    <n v="0.64"/>
    <s v="City of Cocoa Beach"/>
    <n v="9.9015392052300005E-3"/>
    <n v="3660.0898214396798"/>
    <n v="9.12906302469246"/>
    <n v="1.3428284867987901"/>
    <n v="9.0391775446029998E-2"/>
    <n v="1.329606890794E-2"/>
    <n v="36.240522861659201"/>
    <n v="1210"/>
    <s v="Fixed Single Family Units"/>
    <n v="1210"/>
    <s v="City of Cocoa Beach           Brevard County"/>
    <s v="City of Cocoa Beach"/>
    <m/>
    <m/>
    <m/>
    <n v="0"/>
    <n v="1"/>
    <n v="9.0391775446029998E-2"/>
    <n v="1.329606890794E-2"/>
    <n v="50.7229040526567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6.231172498927698"/>
    <n v="40.070107524341203"/>
    <n v="4.1137797300000001E-2"/>
  </r>
  <r>
    <n v="830000"/>
    <n v="2400000"/>
    <n v="2400000"/>
    <x v="0"/>
    <x v="0"/>
    <s v="BR3-5, BR-7"/>
    <s v="62-304.520 (10), F.A.C."/>
    <n v="0.59"/>
    <n v="0.64"/>
    <s v="City of Cocoa Beach"/>
    <n v="0.13553807289955999"/>
    <n v="3660.0898214396798"/>
    <n v="9.12906302469246"/>
    <n v="1.3428284867987901"/>
    <n v="1.23733560974547"/>
    <n v="0.18200438533534"/>
    <n v="496.08152103724001"/>
    <n v="1210"/>
    <s v="Fixed Single Family Units"/>
    <n v="1210"/>
    <s v="City of Cocoa Beach           Brevard County"/>
    <s v="City of Cocoa Beach"/>
    <m/>
    <m/>
    <m/>
    <n v="0"/>
    <n v="1"/>
    <n v="1.23733560974547"/>
    <n v="0.18200438533534"/>
    <n v="496.08152103724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477964796752"/>
    <n v="548.50312079331502"/>
    <n v="0.402337"/>
  </r>
  <r>
    <n v="830000"/>
    <n v="2400000"/>
    <n v="2400000"/>
    <x v="0"/>
    <x v="0"/>
    <s v="BR3-5, BR-7"/>
    <s v="62-304.520 (10), F.A.C."/>
    <n v="0.59"/>
    <n v="0.64"/>
    <s v="City of Cocoa Beach"/>
    <n v="0.19734292393569"/>
    <n v="3660.0898214396798"/>
    <n v="9.12906302469246"/>
    <n v="1.3428284867987901"/>
    <n v="1.8015559900860401"/>
    <n v="0.26499769992901001"/>
    <n v="722.292827230179"/>
    <n v="1210"/>
    <s v="Fixed Single Family Units"/>
    <n v="1210"/>
    <s v="City of Cocoa Beach           Brevard County"/>
    <s v="City of Cocoa Beach"/>
    <m/>
    <m/>
    <m/>
    <n v="0"/>
    <n v="1"/>
    <n v="1.8015559900860401"/>
    <n v="0.26499769992901001"/>
    <n v="857.100330382595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6.90116723397099"/>
    <n v="798.61847914435702"/>
    <n v="0.69513408789999998"/>
  </r>
  <r>
    <n v="830000"/>
    <n v="2400000"/>
    <n v="2400000"/>
    <x v="0"/>
    <x v="0"/>
    <s v="BR3-5, BR-7"/>
    <s v="62-304.520 (10), F.A.C."/>
    <n v="0.59"/>
    <n v="0.64"/>
    <s v="City of Cocoa Beach"/>
    <n v="8.9191348143719998E-2"/>
    <n v="3753.1364843710799"/>
    <n v="11.5356527605854"/>
    <n v="1.52295624301905"/>
    <n v="1.02888042143444"/>
    <n v="0.13583452047875999"/>
    <n v="334.74730280843801"/>
    <n v="1400"/>
    <s v="Commercial and Services"/>
    <n v="1400"/>
    <s v="City of Cocoa Beach           Brevard County"/>
    <s v="City of Cocoa Beach"/>
    <m/>
    <m/>
    <m/>
    <n v="0"/>
    <n v="1"/>
    <n v="1.02888042143444"/>
    <n v="0.13583452047875999"/>
    <n v="617.511091839469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9.55905030552699"/>
    <n v="360.944580057927"/>
    <n v="0.50082002579999996"/>
  </r>
  <r>
    <n v="830000"/>
    <n v="2400000"/>
    <n v="2400000"/>
    <x v="0"/>
    <x v="0"/>
    <s v="BR3-5, BR-7"/>
    <s v="62-304.520 (10), F.A.C."/>
    <n v="0.59"/>
    <n v="0.64"/>
    <s v="City of Cocoa Beach"/>
    <n v="0.17641984744280001"/>
    <n v="3753.1364843710799"/>
    <n v="11.5356527605854"/>
    <n v="1.52295624301905"/>
    <n v="2.0351181001756702"/>
    <n v="0.26867970805549002"/>
    <n v="662.12776600477503"/>
    <n v="1430"/>
    <s v="Professional Services"/>
    <n v="1430"/>
    <s v="City of Cocoa Beach           Brevard County"/>
    <s v="City of Cocoa Beach"/>
    <m/>
    <m/>
    <m/>
    <n v="0"/>
    <n v="1"/>
    <n v="2.0351181001756702"/>
    <n v="0.26867970805549002"/>
    <n v="1396.5120598065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2.54306668384601"/>
    <n v="713.94579266274695"/>
    <n v="1.1326131872"/>
  </r>
  <r>
    <n v="830000"/>
    <n v="2400000"/>
    <n v="2400000"/>
    <x v="0"/>
    <x v="0"/>
    <s v="BR3-5, BR-7"/>
    <s v="62-304.520 (10), F.A.C."/>
    <n v="0.59"/>
    <n v="0.64"/>
    <s v="City of Cocoa Beach"/>
    <n v="8.1139443498849995E-2"/>
    <n v="3753.1364843710799"/>
    <n v="11.5356527605854"/>
    <n v="1.52295624301905"/>
    <n v="0.93599644538987004"/>
    <n v="0.12357182203166001"/>
    <n v="304.52740571710001"/>
    <n v="1410"/>
    <s v="Retail Sales and Services"/>
    <n v="1410"/>
    <s v="City of Cocoa Beach           Brevard County"/>
    <s v="City of Cocoa Beach"/>
    <m/>
    <m/>
    <m/>
    <n v="0"/>
    <n v="1"/>
    <n v="0.93599644538987004"/>
    <n v="0.12357182203166001"/>
    <n v="304.52740571710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1.254296782412098"/>
    <n v="328.35967803328299"/>
    <n v="0.24698086429999999"/>
  </r>
  <r>
    <n v="830000"/>
    <n v="2400000"/>
    <n v="2400000"/>
    <x v="0"/>
    <x v="0"/>
    <s v="BR3-5, BR-7"/>
    <s v="62-304.520 (10), F.A.C."/>
    <n v="0.59"/>
    <n v="0.64"/>
    <s v="City of Cocoa Beach"/>
    <n v="3.2461960167049997E-2"/>
    <n v="3666.8022040303799"/>
    <n v="9.1449516373431603"/>
    <n v="1.3451366194457399"/>
    <n v="0.29686305578106997"/>
    <n v="4.3665771359689999E-2"/>
    <n v="119.031587087703"/>
    <n v="1200"/>
    <s v="Residential, Medium Density-Two-five dwellingunits per acre"/>
    <n v="1200"/>
    <s v="City of Cocoa Beach           Brevard County"/>
    <s v="City of Cocoa Beach"/>
    <m/>
    <m/>
    <m/>
    <n v="0"/>
    <n v="1"/>
    <n v="0.29686305578106997"/>
    <n v="4.3665771359689999E-2"/>
    <n v="703.386298756739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7.418859150582797"/>
    <n v="131.36889198573999"/>
    <n v="0.57046739560000004"/>
  </r>
  <r>
    <n v="830000"/>
    <n v="2400000"/>
    <n v="2400000"/>
    <x v="0"/>
    <x v="0"/>
    <s v="BR3-5, BR-7"/>
    <s v="62-304.520 (10), F.A.C."/>
    <n v="0.59"/>
    <n v="0.64"/>
    <s v="City of Cocoa Beach"/>
    <n v="2.2951064507000001E-4"/>
    <n v="3666.8022040303799"/>
    <n v="9.1449516373431603"/>
    <n v="1.3451366194457399"/>
    <n v="2.0988637494300001E-3"/>
    <n v="3.0872317323000001E-4"/>
    <n v="0.84157013919476997"/>
    <n v="1210"/>
    <s v="Fixed Single Family Units"/>
    <n v="1210"/>
    <s v="City of Cocoa Beach           Brevard County"/>
    <s v="City of Cocoa Beach"/>
    <m/>
    <m/>
    <m/>
    <n v="0"/>
    <n v="1"/>
    <n v="2.0988637494300001E-3"/>
    <n v="3.0872317323000001E-4"/>
    <n v="15.324506680503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.4729135576296404"/>
    <n v="0.92879662801528995"/>
    <n v="1.2428634799999999E-2"/>
  </r>
  <r>
    <n v="830000"/>
    <n v="2400000"/>
    <n v="2400000"/>
    <x v="0"/>
    <x v="0"/>
    <s v="BR3-5, BR-7"/>
    <s v="62-304.520 (10), F.A.C."/>
    <n v="0.59"/>
    <n v="0.64"/>
    <s v="City of Cocoa Beach"/>
    <n v="5.6785501633400001E-2"/>
    <n v="3666.8022040303799"/>
    <n v="9.1449516373431603"/>
    <n v="1.3451366194457399"/>
    <n v="0.51930066613971004"/>
    <n v="7.6384257700679997E-2"/>
    <n v="208.221202546321"/>
    <n v="1210"/>
    <s v="Fixed Single Family Units"/>
    <n v="1210"/>
    <s v="City of Cocoa Beach           Brevard County"/>
    <s v="City of Cocoa Beach"/>
    <m/>
    <m/>
    <m/>
    <n v="0"/>
    <n v="1"/>
    <n v="0.51930066613971004"/>
    <n v="7.6384257700679997E-2"/>
    <n v="575.12768984938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2.905407924755096"/>
    <n v="229.80277198432901"/>
    <n v="0.46644581499999999"/>
  </r>
  <r>
    <n v="830000"/>
    <n v="2400000"/>
    <n v="2400000"/>
    <x v="0"/>
    <x v="0"/>
    <s v="BR3-5, BR-7"/>
    <s v="62-304.520 (10), F.A.C."/>
    <n v="0.59"/>
    <n v="0.64"/>
    <s v="City of Cocoa Beach"/>
    <n v="1.25437712914E-3"/>
    <n v="3666.80220375718"/>
    <n v="9.1449516366617996"/>
    <n v="1.3451366193455201"/>
    <n v="1.147121818014E-2"/>
    <n v="1.68730861088E-3"/>
    <n v="4.5995528214841599"/>
    <n v="1200"/>
    <s v="Residential, Medium Density-Two-five dwellingunits per acre"/>
    <n v="1200"/>
    <s v="City of Cocoa Beach           Brevard County"/>
    <s v="City of Cocoa Beach"/>
    <m/>
    <m/>
    <m/>
    <n v="0"/>
    <n v="1"/>
    <n v="1.147121818014E-2"/>
    <n v="1.68730861088E-3"/>
    <n v="696.618737403367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3.040535367793201"/>
    <n v="5.07628414118542"/>
    <n v="0.56497870019999996"/>
  </r>
  <r>
    <n v="830000"/>
    <n v="2400000"/>
    <n v="2400000"/>
    <x v="0"/>
    <x v="0"/>
    <s v="BR3-5, BR-7"/>
    <s v="62-304.520 (10), F.A.C."/>
    <n v="0.59"/>
    <n v="0.64"/>
    <s v="City of Cocoa Beach"/>
    <n v="2.1452456749999999E-4"/>
    <n v="3666.80220375718"/>
    <n v="9.1449516366617996"/>
    <n v="1.3451366193455201"/>
    <n v="1.9618167947399998E-3"/>
    <n v="2.8856485150000001E-4"/>
    <n v="0.78661915690204998"/>
    <n v="1210"/>
    <s v="Fixed Single Family Units"/>
    <n v="1210"/>
    <s v="City of Cocoa Beach           Brevard County"/>
    <s v="City of Cocoa Beach"/>
    <m/>
    <m/>
    <m/>
    <n v="0"/>
    <n v="1"/>
    <n v="1.9618167947399998E-3"/>
    <n v="2.8856485150000001E-4"/>
    <n v="14.457164256674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.7331887136161601"/>
    <n v="0.86815012378739997"/>
    <n v="1.1725194E-2"/>
  </r>
  <r>
    <n v="830000"/>
    <n v="2400000"/>
    <n v="2400000"/>
    <x v="0"/>
    <x v="0"/>
    <s v="BR3-5, BR-7"/>
    <s v="62-304.520 (10), F.A.C."/>
    <n v="0.59"/>
    <n v="0.64"/>
    <s v="City of Cocoa Beach"/>
    <n v="0.21797408423754999"/>
    <n v="3670.9472340898901"/>
    <n v="9.4354928650335594"/>
    <n v="1.48337775952575"/>
    <n v="2.0566929165856802"/>
    <n v="0.32333790871098"/>
    <n v="800.17136163513305"/>
    <n v="1200"/>
    <s v="Residential, Medium Density-Two-five dwellingunits per acre"/>
    <n v="1200"/>
    <s v="City of Cocoa Beach           Brevard County"/>
    <s v="City of Cocoa Beach"/>
    <m/>
    <m/>
    <m/>
    <n v="0"/>
    <n v="1"/>
    <n v="2.0566929165856802"/>
    <n v="0.32333790871098"/>
    <n v="800.171361635133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1.63246117392401"/>
    <n v="882.10982271351202"/>
    <n v="0.64896298590000001"/>
  </r>
  <r>
    <n v="830000"/>
    <n v="2400000"/>
    <n v="2400000"/>
    <x v="0"/>
    <x v="0"/>
    <s v="BR3-5, BR-7"/>
    <s v="62-304.520 (10), F.A.C."/>
    <n v="0.59"/>
    <n v="0.64"/>
    <s v="City of Cocoa Beach"/>
    <n v="0.10633576825657"/>
    <n v="3670.9472340898901"/>
    <n v="9.4354928650335594"/>
    <n v="1.48337775952575"/>
    <n v="1.00333038268277"/>
    <n v="0.15773611367387999"/>
    <n v="390.35299436629799"/>
    <n v="1300"/>
    <s v="Residential, High Density"/>
    <n v="1300"/>
    <s v="City of Cocoa Beach           Brevard County"/>
    <s v="City of Cocoa Beach"/>
    <m/>
    <m/>
    <m/>
    <n v="0"/>
    <n v="1"/>
    <n v="1.00333038268277"/>
    <n v="0.15773611367387999"/>
    <n v="390.35299436629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78413427573901"/>
    <n v="430.32558669995802"/>
    <n v="0.3165879922"/>
  </r>
  <r>
    <n v="830000"/>
    <n v="2400000"/>
    <n v="2400000"/>
    <x v="0"/>
    <x v="0"/>
    <s v="BR3-5, BR-7"/>
    <s v="62-304.520 (10), F.A.C."/>
    <n v="0.59"/>
    <n v="0.64"/>
    <s v="City of Cocoa Beach"/>
    <n v="0.10245980116763"/>
    <n v="3670.9472340898901"/>
    <n v="9.4354928650335594"/>
    <n v="1.48337775952575"/>
    <n v="0.96675872286996001"/>
    <n v="0.15198659029749001"/>
    <n v="376.12452370172599"/>
    <n v="1210"/>
    <s v="Fixed Single Family Units"/>
    <n v="1210"/>
    <s v="City of Cocoa Beach           Brevard County"/>
    <s v="City of Cocoa Beach"/>
    <m/>
    <m/>
    <m/>
    <n v="0"/>
    <n v="1"/>
    <n v="0.96675872286996001"/>
    <n v="0.15198659029749001"/>
    <n v="376.12452370172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2.514580386445999"/>
    <n v="414.64010439306497"/>
    <n v="0.30504827550000002"/>
  </r>
  <r>
    <n v="830000"/>
    <n v="2400000"/>
    <n v="2400000"/>
    <x v="0"/>
    <x v="0"/>
    <s v="BR3-5, BR-7"/>
    <s v="62-304.520 (10), F.A.C."/>
    <n v="0.59"/>
    <n v="0.64"/>
    <s v="City of Cocoa Beach"/>
    <n v="0.11109298298718"/>
    <n v="3670.9472340898901"/>
    <n v="9.4354928650335594"/>
    <n v="1.48337775952575"/>
    <n v="1.0482170483308799"/>
    <n v="0.16479286020256001"/>
    <n v="407.81647862360597"/>
    <n v="1210"/>
    <s v="Fixed Single Family Units"/>
    <n v="1210"/>
    <s v="City of Cocoa Beach           Brevard County"/>
    <s v="City of Cocoa Beach"/>
    <m/>
    <m/>
    <m/>
    <n v="0"/>
    <n v="1"/>
    <n v="1.0482170483308799"/>
    <n v="0.16479286020256001"/>
    <n v="407.816478623605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6.660685314152005"/>
    <n v="449.577351685265"/>
    <n v="0.33075140200000003"/>
  </r>
  <r>
    <n v="830000"/>
    <n v="2400000"/>
    <n v="2400000"/>
    <x v="0"/>
    <x v="0"/>
    <s v="BR3-5, BR-7"/>
    <s v="62-304.520 (10), F.A.C."/>
    <n v="0.59"/>
    <n v="0.64"/>
    <s v="City of Cocoa Beach"/>
    <n v="5.9979978938800001E-3"/>
    <n v="3670.9472340898901"/>
    <n v="9.4354928650335594"/>
    <n v="1.48337775952575"/>
    <n v="5.6594066332270002E-2"/>
    <n v="8.8972966774699992E-3"/>
    <n v="22.018333778648799"/>
    <n v="1210"/>
    <s v="Fixed Single Family Units"/>
    <n v="1210"/>
    <s v="City of Cocoa Beach           Brevard County"/>
    <s v="City of Cocoa Beach"/>
    <m/>
    <m/>
    <m/>
    <n v="0"/>
    <n v="1"/>
    <n v="5.6594066332270002E-2"/>
    <n v="8.8972966774699992E-3"/>
    <n v="22.018333778648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4.660831019292502"/>
    <n v="24.2730362984259"/>
    <n v="1.7857529399999999E-2"/>
  </r>
  <r>
    <n v="830000"/>
    <n v="2400000"/>
    <n v="2400000"/>
    <x v="0"/>
    <x v="0"/>
    <s v="BR3-5, BR-7"/>
    <s v="62-304.520 (10), F.A.C."/>
    <n v="0.59"/>
    <n v="0.64"/>
    <s v="City of Cocoa Beach"/>
    <n v="0.13425562501026"/>
    <n v="3730.8236978958898"/>
    <n v="9.5410064548442399"/>
    <n v="1.6996010264158801"/>
    <n v="1.2809337848221201"/>
    <n v="0.22818099806955999"/>
    <n v="500.884067364136"/>
    <n v="1300"/>
    <s v="Residential, High Density"/>
    <n v="1300"/>
    <s v="City of Cocoa Beach           Brevard County"/>
    <s v="City of Cocoa Beach"/>
    <m/>
    <m/>
    <m/>
    <n v="0"/>
    <n v="1"/>
    <n v="1.2809337848221201"/>
    <n v="0.22818099806955999"/>
    <n v="500.88406736413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8.30435080781299"/>
    <n v="543.31323831613099"/>
    <n v="0.40623200920000002"/>
  </r>
  <r>
    <n v="830000"/>
    <n v="2400000"/>
    <n v="2400000"/>
    <x v="0"/>
    <x v="0"/>
    <s v="BR3-5, BR-7"/>
    <s v="62-304.520 (10), F.A.C."/>
    <n v="0.59"/>
    <n v="0.64"/>
    <s v="City of Cocoa Beach"/>
    <n v="0.20002244025454999"/>
    <n v="3730.8236978958898"/>
    <n v="9.5410064548442399"/>
    <n v="1.6996010264158801"/>
    <n v="1.90841539358239"/>
    <n v="0.33995834476284997"/>
    <n v="746.24846021265603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1.90841539358239"/>
    <n v="0.33995834476284997"/>
    <n v="746.248460212656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2.018274375812"/>
    <n v="809.46209696826304"/>
    <n v="0.60522989469999999"/>
  </r>
  <r>
    <n v="830000"/>
    <n v="2400000"/>
    <n v="2400000"/>
    <x v="0"/>
    <x v="0"/>
    <s v="BR3-5, BR-7"/>
    <s v="62-304.520 (10), F.A.C."/>
    <n v="0.59"/>
    <n v="0.64"/>
    <s v="City of Cocoa Beach"/>
    <n v="0.28348538833405001"/>
    <n v="3730.8236978958898"/>
    <n v="9.5410064548442399"/>
    <n v="1.6996010264158801"/>
    <n v="2.70473591994919"/>
    <n v="0.48181205698645002"/>
    <n v="1057.6340048038901"/>
    <n v="1300"/>
    <s v="Residential, High Density"/>
    <n v="1300"/>
    <s v="City of Cocoa Beach           Brevard County"/>
    <s v="City of Cocoa Beach"/>
    <m/>
    <m/>
    <m/>
    <n v="0"/>
    <n v="1"/>
    <n v="2.70473591994919"/>
    <n v="0.48181205698645002"/>
    <n v="1057.63400480389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5.870071964245"/>
    <n v="1147.2246644362001"/>
    <n v="0.85777291550000001"/>
  </r>
  <r>
    <n v="830000"/>
    <n v="2400000"/>
    <n v="2400000"/>
    <x v="0"/>
    <x v="0"/>
    <s v="BR3-5, BR-7"/>
    <s v="62-304.520 (10), F.A.C."/>
    <n v="0.59"/>
    <n v="0.64"/>
    <s v="City of Cocoa Beach"/>
    <n v="9.8469698301040007E-2"/>
    <n v="3710.45435828987"/>
    <n v="11.727572462558999"/>
    <n v="2.3820605535641599"/>
    <n v="1.1548105221918701"/>
    <n v="0.23456078404429001"/>
    <n v="365.36732122061198"/>
    <n v="1300"/>
    <s v="Residential, High Density"/>
    <n v="1300"/>
    <s v="City of Cocoa Beach           Brevard County"/>
    <s v="City of Cocoa Beach"/>
    <m/>
    <m/>
    <m/>
    <n v="0"/>
    <n v="1"/>
    <n v="1.1548105221918701"/>
    <n v="0.23456078404429001"/>
    <n v="1112.4874751571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5.99841413190401"/>
    <n v="398.49273098138798"/>
    <n v="0.90226072599999996"/>
  </r>
  <r>
    <n v="830000"/>
    <n v="2400000"/>
    <n v="2400000"/>
    <x v="0"/>
    <x v="0"/>
    <s v="BR3-5, BR-7"/>
    <s v="62-304.520 (10), F.A.C."/>
    <n v="0.59"/>
    <n v="0.64"/>
    <s v="City of Cocoa Beach"/>
    <n v="0.23417934261677001"/>
    <n v="3710.45435828987"/>
    <n v="11.727572462558999"/>
    <n v="2.3820605535641599"/>
    <n v="2.7463552097726498"/>
    <n v="0.55782937450699999"/>
    <n v="868.911762433863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7463552097726498"/>
    <n v="0.55782937450699999"/>
    <n v="868.911762433863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5.016922989042"/>
    <n v="947.69017666209902"/>
    <n v="0.70471351370000002"/>
  </r>
  <r>
    <n v="830000"/>
    <n v="2400000"/>
    <n v="2400000"/>
    <x v="0"/>
    <x v="0"/>
    <s v="BR3-5, BR-7"/>
    <s v="62-304.520 (10), F.A.C."/>
    <n v="0.59"/>
    <n v="0.64"/>
    <s v="City of Cocoa Beach"/>
    <n v="8.2767111887199998E-2"/>
    <n v="3710.45435828987"/>
    <n v="11.727572462558999"/>
    <n v="2.3820605535641599"/>
    <n v="0.97065730217395996"/>
    <n v="0.19715627235895"/>
    <n v="307.10359102495602"/>
    <n v="1300"/>
    <s v="Residential, High Density"/>
    <n v="1300"/>
    <s v="City of Cocoa Beach           Brevard County"/>
    <s v="City of Cocoa Beach"/>
    <m/>
    <m/>
    <m/>
    <n v="0"/>
    <n v="1"/>
    <n v="0.97065730217395996"/>
    <n v="0.19715627235895"/>
    <n v="307.10359102495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8.11043104328701"/>
    <n v="334.94661830424502"/>
    <n v="0.2490702279"/>
  </r>
  <r>
    <n v="830000"/>
    <n v="2400000"/>
    <n v="2400000"/>
    <x v="0"/>
    <x v="0"/>
    <s v="BR3-5, BR-7"/>
    <s v="62-304.520 (10), F.A.C."/>
    <n v="0.59"/>
    <n v="0.64"/>
    <s v="City of Cocoa Beach"/>
    <n v="6.2573827281109995E-2"/>
    <n v="3781.5900517142099"/>
    <n v="9.5217805310154606"/>
    <n v="1.31701882407087"/>
    <n v="0.59581425035647995"/>
    <n v="8.2410908423389995E-2"/>
    <n v="236.62856274396299"/>
    <n v="1200"/>
    <s v="Residential, Medium Density-Two-five dwellingunits per acre"/>
    <n v="1200"/>
    <s v="City of Cocoa Beach           Brevard County"/>
    <s v="City of Cocoa Beach"/>
    <m/>
    <m/>
    <m/>
    <n v="0"/>
    <n v="1"/>
    <n v="0.59581425035647995"/>
    <n v="8.2410908423389995E-2"/>
    <n v="516.84639863770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419565834588795"/>
    <n v="253.227294806743"/>
    <n v="0.41917793889999999"/>
  </r>
  <r>
    <n v="830000"/>
    <n v="2400000"/>
    <n v="2400000"/>
    <x v="0"/>
    <x v="0"/>
    <s v="BR3-5, BR-7"/>
    <s v="62-304.520 (10), F.A.C."/>
    <n v="0.59"/>
    <n v="0.64"/>
    <s v="City of Cocoa Beach"/>
    <n v="4.3772919102440001E-2"/>
    <n v="3781.5900517142099"/>
    <n v="9.5217805310154606"/>
    <n v="1.31701882407087"/>
    <n v="0.41679612889531997"/>
    <n v="5.7649758442439997E-2"/>
    <n v="165.53123541227799"/>
    <n v="1400"/>
    <s v="Commercial and Services"/>
    <n v="1400"/>
    <s v="City of Cocoa Beach           Brevard County"/>
    <s v="City of Cocoa Beach"/>
    <m/>
    <m/>
    <m/>
    <n v="0"/>
    <n v="1"/>
    <n v="0.41679612889531997"/>
    <n v="5.7649758442439997E-2"/>
    <n v="401.93352467837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8.246158344663797"/>
    <n v="177.142718796905"/>
    <n v="0.32598014980000001"/>
  </r>
  <r>
    <n v="830000"/>
    <n v="2400000"/>
    <n v="2400000"/>
    <x v="0"/>
    <x v="0"/>
    <s v="BR3-5, BR-7"/>
    <s v="62-304.520 (10), F.A.C."/>
    <n v="0.59"/>
    <n v="0.64"/>
    <s v="City of Cocoa Beach"/>
    <n v="0.13718777177902"/>
    <n v="3781.5900517142099"/>
    <n v="9.5217805310154606"/>
    <n v="1.31701882407087"/>
    <n v="1.30627185441893"/>
    <n v="0.18067887786531001"/>
    <n v="518.78791297640896"/>
    <n v="1450"/>
    <s v="Tourist Services"/>
    <n v="1450"/>
    <s v="City of Cocoa Beach           Brevard County"/>
    <s v="City of Cocoa Beach"/>
    <m/>
    <m/>
    <m/>
    <n v="0"/>
    <n v="1"/>
    <n v="1.30627185441893"/>
    <n v="0.18067887786531001"/>
    <n v="1319.5324967903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6.698883016034102"/>
    <n v="555.17921529870102"/>
    <n v="1.0701804516"/>
  </r>
  <r>
    <n v="830000"/>
    <n v="2400000"/>
    <n v="2400000"/>
    <x v="0"/>
    <x v="0"/>
    <s v="BR3-5, BR-7"/>
    <s v="62-304.520 (10), F.A.C."/>
    <n v="0.59"/>
    <n v="0.64"/>
    <s v="City of Cocoa Beach"/>
    <n v="9.881397278404E-2"/>
    <n v="3704.9911123790198"/>
    <n v="11.092548928530899"/>
    <n v="2.0802155147040402"/>
    <n v="1.09609882792956"/>
    <n v="0.20555435925491"/>
    <n v="366.10489094375299"/>
    <n v="1200"/>
    <s v="Residential, Medium Density-Two-five dwellingunits per acre"/>
    <n v="1200"/>
    <s v="City of Cocoa Beach           Brevard County"/>
    <s v="City of Cocoa Beach"/>
    <m/>
    <m/>
    <m/>
    <n v="0"/>
    <n v="1"/>
    <n v="1.09609882792956"/>
    <n v="0.20555435925491"/>
    <n v="366.10489094375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8.902990866924"/>
    <n v="399.88596038397401"/>
    <n v="0.29692205269999999"/>
  </r>
  <r>
    <n v="830000"/>
    <n v="2400000"/>
    <n v="2400000"/>
    <x v="0"/>
    <x v="0"/>
    <s v="BR3-5, BR-7"/>
    <s v="62-304.520 (10), F.A.C."/>
    <n v="0.59"/>
    <n v="0.64"/>
    <s v="City of Cocoa Beach"/>
    <n v="0.21772411664989"/>
    <n v="3704.9911123790198"/>
    <n v="11.092548928530899"/>
    <n v="2.0802155147040402"/>
    <n v="2.4151154168600999"/>
    <n v="0.45291308538032998"/>
    <n v="806.66591713842001"/>
    <n v="1300"/>
    <s v="Residential, High Density"/>
    <n v="1300"/>
    <s v="City of Cocoa Beach           Brevard County"/>
    <s v="City of Cocoa Beach"/>
    <m/>
    <m/>
    <m/>
    <n v="0"/>
    <n v="1"/>
    <n v="2.4151154168600999"/>
    <n v="0.45291308538032998"/>
    <n v="806.66591713842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5.57986429522299"/>
    <n v="881.09823977597603"/>
    <n v="0.65423026529999995"/>
  </r>
  <r>
    <n v="830000"/>
    <n v="2400000"/>
    <n v="2400000"/>
    <x v="0"/>
    <x v="0"/>
    <s v="BR3-5, BR-7"/>
    <s v="62-304.520 (10), F.A.C."/>
    <n v="0.59"/>
    <n v="0.64"/>
    <s v="City of Cocoa Beach"/>
    <n v="8.7843020195600002E-3"/>
    <n v="3704.9911123790198"/>
    <n v="11.092548928530899"/>
    <n v="2.0802155147040402"/>
    <n v="9.7440299955000004E-2"/>
    <n v="1.827324134694E-2"/>
    <n v="32.5457609109377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9.7440299955000004E-2"/>
    <n v="1.827324134694E-2"/>
    <n v="32.5457609109378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3.945694847066701"/>
    <n v="35.5488090441739"/>
    <n v="2.63955887E-2"/>
  </r>
  <r>
    <n v="830000"/>
    <n v="2400000"/>
    <n v="2400000"/>
    <x v="0"/>
    <x v="0"/>
    <s v="BR3-5, BR-7"/>
    <s v="62-304.520 (10), F.A.C."/>
    <n v="0.59"/>
    <n v="0.64"/>
    <s v="City of Cocoa Beach"/>
    <n v="1.795772222629E-2"/>
    <n v="3704.9911123790198"/>
    <n v="11.092548928530899"/>
    <n v="2.0802155147040402"/>
    <n v="0.19919691244014001"/>
    <n v="3.7355932383879999E-2"/>
    <n v="66.533201246994196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9919691244014001"/>
    <n v="3.7355932383879999E-2"/>
    <n v="66.533201246993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5.771400050631897"/>
    <n v="72.672323523156507"/>
    <n v="5.3960422700000003E-2"/>
  </r>
  <r>
    <n v="830000"/>
    <n v="2400000"/>
    <n v="2400000"/>
    <x v="0"/>
    <x v="0"/>
    <s v="BR3-5, BR-7"/>
    <s v="62-304.520 (10), F.A.C."/>
    <n v="0.59"/>
    <n v="0.64"/>
    <s v="City of Cocoa Beach"/>
    <n v="3.5907256779790002E-2"/>
    <n v="3704.9911123790198"/>
    <n v="11.092548928530899"/>
    <n v="2.0802155147040402"/>
    <n v="0.39830300271924002"/>
    <n v="7.4694832643800002E-2"/>
    <n v="133.036067239066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9830300271924002"/>
    <n v="7.4694832643800002E-2"/>
    <n v="133.03606723906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3.6473837464548"/>
    <n v="145.31151271009699"/>
    <n v="0.10789624270000001"/>
  </r>
  <r>
    <n v="830000"/>
    <n v="2400000"/>
    <n v="2400000"/>
    <x v="0"/>
    <x v="0"/>
    <s v="BR3-5, BR-7"/>
    <s v="62-304.520 (10), F.A.C."/>
    <n v="0.59"/>
    <n v="0.64"/>
    <s v="City of Cocoa Beach"/>
    <n v="0.20256361953081001"/>
    <n v="3714.64918604997"/>
    <n v="11.743402285905001"/>
    <n v="2.3855480996312202"/>
    <n v="2.3787860726393499"/>
    <n v="0.48322525762614998"/>
    <n v="752.45278441347295"/>
    <n v="1300"/>
    <s v="Residential, High Density"/>
    <n v="1300"/>
    <s v="City of Cocoa Beach           Brevard County"/>
    <s v="City of Cocoa Beach"/>
    <m/>
    <m/>
    <m/>
    <n v="0"/>
    <n v="1"/>
    <n v="2.3787860726393499"/>
    <n v="0.48322525762614998"/>
    <n v="752.452784413472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2.961991241226"/>
    <n v="819.74588464286296"/>
    <n v="0.61026178779999996"/>
  </r>
  <r>
    <n v="830000"/>
    <n v="2400000"/>
    <n v="2400000"/>
    <x v="0"/>
    <x v="0"/>
    <s v="BR3-5, BR-7"/>
    <s v="62-304.520 (10), F.A.C."/>
    <n v="0.59"/>
    <n v="0.64"/>
    <s v="City of Cocoa Beach"/>
    <n v="0.21560646514196"/>
    <n v="3679.0692442152799"/>
    <n v="9.3947031815527495"/>
    <n v="1.4291914092687401"/>
    <n v="2.0255587440325402"/>
    <n v="0.30814290776369002"/>
    <n v="793.23111475777102"/>
    <n v="1200"/>
    <s v="Residential, Medium Density-Two-five dwellingunits per acre"/>
    <n v="1200"/>
    <s v="City of Cocoa Beach           Brevard County"/>
    <s v="City of Cocoa Beach"/>
    <m/>
    <m/>
    <m/>
    <n v="0"/>
    <n v="1"/>
    <n v="2.0255587440325402"/>
    <n v="0.30814290776369002"/>
    <n v="1718.61725708560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0.593984721095"/>
    <n v="872.52840817071399"/>
    <n v="1.3938501679999999"/>
  </r>
  <r>
    <n v="830000"/>
    <n v="2400000"/>
    <n v="2400000"/>
    <x v="0"/>
    <x v="0"/>
    <s v="BR3-5, BR-7"/>
    <s v="62-304.520 (10), F.A.C."/>
    <n v="0.59"/>
    <n v="0.64"/>
    <s v="City of Cocoa Beach"/>
    <n v="1.202665698398E-2"/>
    <n v="3679.0692442152799"/>
    <n v="9.3947031815527495"/>
    <n v="1.4291914092687401"/>
    <n v="0.11298687263087"/>
    <n v="1.7188394843730002E-2"/>
    <n v="44.246903820502503"/>
    <n v="1400"/>
    <s v="Commercial and Services"/>
    <n v="1400"/>
    <s v="City of Cocoa Beach           Brevard County"/>
    <s v="City of Cocoa Beach"/>
    <m/>
    <m/>
    <m/>
    <n v="0"/>
    <n v="1"/>
    <n v="0.11298687263087"/>
    <n v="1.7188394843730002E-2"/>
    <n v="68.900795110855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5.6153189457658"/>
    <n v="48.670154055638399"/>
    <n v="5.5880612400000002E-2"/>
  </r>
  <r>
    <n v="830000"/>
    <n v="2400000"/>
    <n v="2400000"/>
    <x v="0"/>
    <x v="0"/>
    <s v="BR3-5, BR-7"/>
    <s v="62-304.520 (10), F.A.C."/>
    <n v="0.59"/>
    <n v="0.64"/>
    <s v="City of Cocoa Beach"/>
    <n v="4.5558474219780001E-2"/>
    <n v="3679.0692442152799"/>
    <n v="9.3947031815527495"/>
    <n v="1.4291914092687401"/>
    <n v="0.42800834269930998"/>
    <n v="6.5111779974310002E-2"/>
    <n v="167.61278131538899"/>
    <n v="1210"/>
    <s v="Fixed Single Family Units"/>
    <n v="1210"/>
    <s v="City of Cocoa Beach           Brevard County"/>
    <s v="City of Cocoa Beach"/>
    <m/>
    <m/>
    <m/>
    <n v="0"/>
    <n v="1"/>
    <n v="0.42800834269930998"/>
    <n v="6.5111779974310002E-2"/>
    <n v="167.61278131538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4.518378189427501"/>
    <n v="184.368603991084"/>
    <n v="0.13593899540000001"/>
  </r>
  <r>
    <n v="830000"/>
    <n v="2400000"/>
    <n v="2400000"/>
    <x v="0"/>
    <x v="0"/>
    <s v="BR3-5, BR-7"/>
    <s v="62-304.520 (10), F.A.C."/>
    <n v="0.59"/>
    <n v="0.64"/>
    <s v="City of Cocoa Beach"/>
    <n v="2.210430931521E-2"/>
    <n v="3679.0692442152799"/>
    <n v="9.3947031815527495"/>
    <n v="1.4291914092687401"/>
    <n v="0.20766342504963001"/>
    <n v="3.1591288981110001E-2"/>
    <n v="81.3232845662105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0766342504963001"/>
    <n v="3.1591288981110001E-2"/>
    <n v="244.39103156445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8.562567960319299"/>
    <n v="89.452966114972497"/>
    <n v="0.1982084603"/>
  </r>
  <r>
    <n v="830000"/>
    <n v="2400000"/>
    <n v="2400000"/>
    <x v="0"/>
    <x v="0"/>
    <s v="BR3-5, BR-7"/>
    <s v="62-304.520 (10), F.A.C."/>
    <n v="0.59"/>
    <n v="0.64"/>
    <s v="City of Cocoa Beach"/>
    <n v="9.056548001202E-2"/>
    <n v="3739.8375652242098"/>
    <n v="8.9203298963218405"/>
    <n v="1.5047971532959199"/>
    <n v="0.80787395892596003"/>
    <n v="0.13628267650896"/>
    <n v="338.70018426151898"/>
    <n v="1300"/>
    <s v="Residential, High Density"/>
    <n v="1300"/>
    <s v="City of Cocoa Beach           Brevard County"/>
    <s v="City of Cocoa Beach"/>
    <m/>
    <m/>
    <m/>
    <n v="0"/>
    <n v="1"/>
    <n v="0.80787395892596003"/>
    <n v="0.13628267650896"/>
    <n v="677.631426328758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680094787866"/>
    <n v="366.50549443438598"/>
    <n v="0.54957942120000003"/>
  </r>
  <r>
    <n v="830000"/>
    <n v="2400000"/>
    <n v="2400000"/>
    <x v="0"/>
    <x v="0"/>
    <s v="BR3-5, BR-7"/>
    <s v="62-304.520 (10), F.A.C."/>
    <n v="0.59"/>
    <n v="0.64"/>
    <s v="City of Cocoa Beach"/>
    <n v="0.35057055015181998"/>
    <n v="3739.8375652242098"/>
    <n v="8.9203298963218405"/>
    <n v="1.5047971532959199"/>
    <n v="3.1272049592892999"/>
    <n v="0.52753756589784995"/>
    <n v="1311.0769127190999"/>
    <n v="1300"/>
    <s v="Residential, High Density"/>
    <n v="1300"/>
    <s v="City of Cocoa Beach           Brevard County"/>
    <s v="City of Cocoa Beach"/>
    <m/>
    <m/>
    <m/>
    <n v="0"/>
    <n v="1"/>
    <n v="3.1272049592892999"/>
    <n v="0.52753756589784995"/>
    <n v="1311.0769127190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6.76676065273199"/>
    <n v="1418.7086823862001"/>
    <n v="1.0633227192000001"/>
  </r>
  <r>
    <n v="830000"/>
    <n v="2400000"/>
    <n v="2400000"/>
    <x v="0"/>
    <x v="0"/>
    <s v="BR3-5, BR-7"/>
    <s v="62-304.520 (10), F.A.C."/>
    <n v="0.59"/>
    <n v="0.64"/>
    <s v="City of Cocoa Beach"/>
    <n v="6.7350427100200004E-3"/>
    <n v="3746.8989417441499"/>
    <n v="11.312425714829301"/>
    <n v="1.5024997661957"/>
    <n v="7.6189670343339996E-2"/>
    <n v="1.011940009712E-2"/>
    <n v="25.235524402790599"/>
    <n v="1300"/>
    <s v="Residential, High Density"/>
    <n v="1300"/>
    <s v="City of Cocoa Beach           Brevard County"/>
    <s v="City of Cocoa Beach"/>
    <m/>
    <m/>
    <m/>
    <n v="0"/>
    <n v="1"/>
    <n v="7.6189670343339996E-2"/>
    <n v="1.011940009712E-2"/>
    <n v="25.235524402789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7.9439242085218"/>
    <n v="27.255750846197301"/>
    <n v="2.0466767600000001E-2"/>
  </r>
  <r>
    <n v="830000"/>
    <n v="2400000"/>
    <n v="2400000"/>
    <x v="0"/>
    <x v="0"/>
    <s v="BR3-5, BR-7"/>
    <s v="62-304.520 (10), F.A.C."/>
    <n v="0.59"/>
    <n v="0.64"/>
    <s v="City of Cocoa Beach"/>
    <n v="0.20205653479489"/>
    <n v="3746.8989417441499"/>
    <n v="11.312425714829301"/>
    <n v="1.5024997661957"/>
    <n v="2.2857495400630898"/>
    <n v="0.30358989628763999"/>
    <n v="757.08541639549105"/>
    <n v="1400"/>
    <s v="Commercial and Services"/>
    <n v="1400"/>
    <s v="City of Cocoa Beach           Brevard County"/>
    <s v="City of Cocoa Beach"/>
    <m/>
    <m/>
    <m/>
    <n v="0"/>
    <n v="1"/>
    <n v="2.2857495400630898"/>
    <n v="0.30358989628763999"/>
    <n v="757.085416395491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0.35125990071401"/>
    <n v="817.69378552261799"/>
    <n v="0.61401899140000005"/>
  </r>
  <r>
    <n v="830000"/>
    <n v="2400000"/>
    <n v="2400000"/>
    <x v="0"/>
    <x v="0"/>
    <s v="BR3-5, BR-7"/>
    <s v="62-304.520 (10), F.A.C."/>
    <n v="0.59"/>
    <n v="0.64"/>
    <s v="City of Cocoa Beach"/>
    <n v="1.7221669124080002E-2"/>
    <n v="3746.8989417441499"/>
    <n v="11.312425714829301"/>
    <n v="1.5024997661957"/>
    <n v="0.19481885265155"/>
    <n v="2.5875553832429999E-2"/>
    <n v="64.527853816094606"/>
    <n v="1410"/>
    <s v="Retail Sales and Services"/>
    <n v="1410"/>
    <s v="City of Cocoa Beach           Brevard County"/>
    <s v="City of Cocoa Beach"/>
    <m/>
    <m/>
    <m/>
    <n v="0"/>
    <n v="1"/>
    <n v="0.19481885265155"/>
    <n v="2.5875553832429999E-2"/>
    <n v="64.5278538160953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5.518277253516999"/>
    <n v="69.6936222992437"/>
    <n v="5.2334025800000003E-2"/>
  </r>
  <r>
    <n v="830000"/>
    <n v="2400000"/>
    <n v="2400000"/>
    <x v="0"/>
    <x v="0"/>
    <s v="BR3-5, BR-7"/>
    <s v="62-304.520 (10), F.A.C."/>
    <n v="0.59"/>
    <n v="0.64"/>
    <s v="City of Cocoa Beach"/>
    <n v="3.6810097846380001E-2"/>
    <n v="3746.8989417441499"/>
    <n v="11.312425714829301"/>
    <n v="1.5024997661957"/>
    <n v="0.41641149744286998"/>
    <n v="5.5307163407839997E-2"/>
    <n v="137.923716666133"/>
    <n v="1450"/>
    <s v="Tourist Services"/>
    <n v="1450"/>
    <s v="City of Cocoa Beach           Brevard County"/>
    <s v="City of Cocoa Beach"/>
    <m/>
    <m/>
    <m/>
    <n v="0"/>
    <n v="1"/>
    <n v="0.41641149744286998"/>
    <n v="5.5307163407839997E-2"/>
    <n v="137.92371666613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7.975080299502494"/>
    <n v="148.965180878832"/>
    <n v="0.111860273"/>
  </r>
  <r>
    <n v="830000"/>
    <n v="2400000"/>
    <n v="2400000"/>
    <x v="0"/>
    <x v="0"/>
    <s v="BR3-5, BR-7"/>
    <s v="62-304.520 (10), F.A.C."/>
    <n v="0.59"/>
    <n v="0.64"/>
    <s v="City of Cocoa Beach"/>
    <n v="0.35494010912348001"/>
    <n v="3746.8989417441499"/>
    <n v="11.312425714829301"/>
    <n v="1.5024997661957"/>
    <n v="4.0152336176727701"/>
    <n v="0.53329743097149995"/>
    <n v="1329.92471925732"/>
    <n v="1450"/>
    <s v="Tourist Services"/>
    <n v="1450"/>
    <s v="City of Cocoa Beach           Brevard County"/>
    <s v="City of Cocoa Beach"/>
    <m/>
    <m/>
    <m/>
    <n v="0"/>
    <n v="1"/>
    <n v="4.0152336176727701"/>
    <n v="0.53329743097149995"/>
    <n v="1329.9247192573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9.52587124361301"/>
    <n v="1436.3916601737101"/>
    <n v="1.0786088558"/>
  </r>
  <r>
    <n v="830000"/>
    <n v="2400000"/>
    <n v="2400000"/>
    <x v="0"/>
    <x v="0"/>
    <s v="BR3-5, BR-7"/>
    <s v="62-304.520 (10), F.A.C."/>
    <n v="0.59"/>
    <n v="0.64"/>
    <s v="City of Cocoa Beach"/>
    <n v="3.5569364888230003E-2"/>
    <n v="3672.8043873305"/>
    <n v="9.3149864605386092"/>
    <n v="1.42314231496216"/>
    <n v="0.33132815234382001"/>
    <n v="5.0620268288769997E-2"/>
    <n v="130.63931941605401"/>
    <n v="1300"/>
    <s v="Residential, High Density"/>
    <n v="1300"/>
    <s v="City of Cocoa Beach           Brevard County"/>
    <s v="City of Cocoa Beach"/>
    <m/>
    <m/>
    <m/>
    <n v="0"/>
    <n v="1"/>
    <n v="0.33132815234382001"/>
    <n v="5.0620268288769997E-2"/>
    <n v="130.63931941605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5.982415720413"/>
    <n v="143.94411273862499"/>
    <n v="0.10595240829999999"/>
  </r>
  <r>
    <n v="830000"/>
    <n v="2400000"/>
    <n v="2400000"/>
    <x v="0"/>
    <x v="0"/>
    <s v="BR3-5, BR-7"/>
    <s v="62-304.520 (10), F.A.C."/>
    <n v="0.59"/>
    <n v="0.64"/>
    <s v="City of Cocoa Beach"/>
    <n v="0.10525045696888"/>
    <n v="3713.4430424188099"/>
    <n v="11.7361874308409"/>
    <n v="2.3837223730023598"/>
    <n v="1.2352390901685"/>
    <n v="0.25088786904545002"/>
    <n v="390.84157714251"/>
    <n v="1300"/>
    <s v="Residential, High Density"/>
    <n v="1300"/>
    <s v="City of Cocoa Beach           Brevard County"/>
    <s v="City of Cocoa Beach"/>
    <m/>
    <m/>
    <m/>
    <n v="0"/>
    <n v="1"/>
    <n v="1.2352390901685"/>
    <n v="0.25088786904545002"/>
    <n v="390.8415771425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198361011847"/>
    <n v="425.93348774507098"/>
    <n v="0.31698424749999998"/>
  </r>
  <r>
    <n v="830000"/>
    <n v="2400000"/>
    <n v="2400000"/>
    <x v="0"/>
    <x v="0"/>
    <s v="BR3-5, BR-7"/>
    <s v="62-304.520 (10), F.A.C."/>
    <n v="0.59"/>
    <n v="0.64"/>
    <s v="City of Cocoa Beach"/>
    <n v="0.51251299676805995"/>
    <n v="3713.4430424188099"/>
    <n v="11.7361874308409"/>
    <n v="2.3837223730023598"/>
    <n v="6.0149485908120104"/>
    <n v="1.2216886968505301"/>
    <n v="1903.1878219975899"/>
    <n v="1300"/>
    <s v="Residential, High Density"/>
    <n v="1300"/>
    <s v="City of Cocoa Beach           Brevard County"/>
    <s v="City of Cocoa Beach"/>
    <m/>
    <m/>
    <m/>
    <n v="0"/>
    <n v="1"/>
    <n v="6.0149485908120104"/>
    <n v="1.2216886968505301"/>
    <n v="1903.1878219975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83.12368199850599"/>
    <n v="2074.0665125343198"/>
    <n v="1.5435424347"/>
  </r>
  <r>
    <n v="830000"/>
    <n v="2400000"/>
    <n v="2400000"/>
    <x v="0"/>
    <x v="0"/>
    <s v="BR3-5, BR-7"/>
    <s v="62-304.520 (10), F.A.C."/>
    <n v="0.59"/>
    <n v="0.64"/>
    <s v="City of Cocoa Beach"/>
    <n v="0.10309259748757001"/>
    <n v="3845.18546895692"/>
    <n v="8.5592586497737901"/>
    <n v="1.1622771140324799"/>
    <n v="0.88239620677314001"/>
    <n v="0.11982216668596"/>
    <n v="396.41015781623298"/>
    <n v="1450"/>
    <s v="Tourist Services"/>
    <n v="1450"/>
    <s v="City of Cocoa Beach           Brevard County"/>
    <s v="City of Cocoa Beach"/>
    <m/>
    <m/>
    <m/>
    <n v="0"/>
    <n v="1"/>
    <n v="0.88239620677314001"/>
    <n v="0.11982216668596"/>
    <n v="612.805107596311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1.074310752125"/>
    <n v="417.20094024447599"/>
    <n v="0.49700333140000003"/>
  </r>
  <r>
    <n v="830000"/>
    <n v="2400000"/>
    <n v="2400000"/>
    <x v="0"/>
    <x v="0"/>
    <s v="BR3-5, BR-7"/>
    <s v="62-304.520 (10), F.A.C."/>
    <n v="0.59"/>
    <n v="0.64"/>
    <s v="City of Cocoa Beach"/>
    <n v="0.29572608325243999"/>
    <n v="3845.18546895692"/>
    <n v="8.5592586497737901"/>
    <n v="1.1622771140324799"/>
    <n v="2.5311960360421799"/>
    <n v="0.34371565858677"/>
    <n v="1137.1216381138299"/>
    <n v="1410"/>
    <s v="Retail Sales and Services"/>
    <n v="1410"/>
    <s v="City of Cocoa Beach           Brevard County"/>
    <s v="City of Cocoa Beach"/>
    <m/>
    <m/>
    <m/>
    <n v="0"/>
    <n v="1"/>
    <n v="2.5311960360421799"/>
    <n v="0.34371565858677"/>
    <n v="1762.6099475231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9.41949122227899"/>
    <n v="1196.76099928134"/>
    <n v="1.42952956"/>
  </r>
  <r>
    <n v="830000"/>
    <n v="2400000"/>
    <n v="2400000"/>
    <x v="0"/>
    <x v="0"/>
    <s v="BR3-5, BR-7"/>
    <s v="62-304.520 (10), F.A.C."/>
    <n v="0.59"/>
    <n v="0.64"/>
    <s v="City of Cocoa Beach"/>
    <n v="0.10475165664658"/>
    <n v="3722.3415648369801"/>
    <n v="10.050769364816899"/>
    <n v="1.8599549431463001"/>
    <n v="1.0528347415372901"/>
    <n v="0.19483336158257"/>
    <n v="389.92144552110398"/>
    <n v="1300"/>
    <s v="Residential, High Density"/>
    <n v="1300"/>
    <s v="City of Cocoa Beach           Brevard County"/>
    <s v="City of Cocoa Beach"/>
    <m/>
    <m/>
    <m/>
    <n v="0"/>
    <n v="1"/>
    <n v="1.0528347415372901"/>
    <n v="0.19483336158257"/>
    <n v="389.921445521103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3.211186422599"/>
    <n v="423.91491445725802"/>
    <n v="0.3162379931"/>
  </r>
  <r>
    <n v="830000"/>
    <n v="2400000"/>
    <n v="2400000"/>
    <x v="0"/>
    <x v="0"/>
    <s v="BR3-5, BR-7"/>
    <s v="62-304.520 (10), F.A.C."/>
    <n v="0.59"/>
    <n v="0.64"/>
    <s v="City of Cocoa Beach"/>
    <n v="2.6633626318110001E-2"/>
    <n v="3722.3415648369801"/>
    <n v="10.050769364816899"/>
    <n v="1.8599549431463001"/>
    <n v="0.26768843547211002"/>
    <n v="4.9537344924290003E-2"/>
    <n v="99.139454266263201"/>
    <n v="1300"/>
    <s v="Residential, High Density"/>
    <n v="1300"/>
    <s v="City of Cocoa Beach           Brevard County"/>
    <s v="City of Cocoa Beach"/>
    <m/>
    <m/>
    <m/>
    <n v="0"/>
    <n v="1"/>
    <n v="0.26768843547211002"/>
    <n v="4.9537344924290003E-2"/>
    <n v="99.13945426626169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0.768962342487796"/>
    <n v="107.782461717271"/>
    <n v="8.0405072399999999E-2"/>
  </r>
  <r>
    <n v="830000"/>
    <n v="2400000"/>
    <n v="2400000"/>
    <x v="0"/>
    <x v="0"/>
    <s v="BR3-5, BR-7"/>
    <s v="62-304.520 (10), F.A.C."/>
    <n v="0.59"/>
    <n v="0.64"/>
    <s v="City of Cocoa Beach"/>
    <n v="9.1353013216699998E-3"/>
    <n v="3722.3415648369801"/>
    <n v="10.050769364816899"/>
    <n v="1.8599549431463001"/>
    <n v="9.1816806662220002E-2"/>
    <n v="1.6991248850370001E-2"/>
    <n v="34.0047118169662"/>
    <n v="1300"/>
    <s v="Residential, High Density"/>
    <n v="1300"/>
    <s v="City of Cocoa Beach           Brevard County"/>
    <s v="City of Cocoa Beach"/>
    <m/>
    <m/>
    <m/>
    <n v="0"/>
    <n v="1"/>
    <n v="9.1816806662220002E-2"/>
    <n v="1.6991248850370001E-2"/>
    <n v="34.0047118169657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6.273297262780499"/>
    <n v="36.969252824162901"/>
    <n v="2.7578841699999999E-2"/>
  </r>
  <r>
    <n v="830000"/>
    <n v="2400000"/>
    <n v="2400000"/>
    <x v="0"/>
    <x v="0"/>
    <s v="BR3-5, BR-7"/>
    <s v="62-304.520 (10), F.A.C."/>
    <n v="0.59"/>
    <n v="0.64"/>
    <s v="City of Cocoa Beach"/>
    <n v="6.5651722524859998E-2"/>
    <n v="3827.54117768074"/>
    <n v="9.7664854989016003"/>
    <n v="1.51618396463381"/>
    <n v="0.64118659601702999"/>
    <n v="9.9540088942789998E-2"/>
    <n v="251.28467134960201"/>
    <n v="1300"/>
    <s v="Residential, High Density"/>
    <n v="1300"/>
    <s v="City of Cocoa Beach           Brevard County"/>
    <s v="City of Cocoa Beach"/>
    <m/>
    <m/>
    <m/>
    <n v="0"/>
    <n v="1"/>
    <n v="0.64118659601702999"/>
    <n v="9.9540088942789998E-2"/>
    <n v="251.28467134960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5.596578911922293"/>
    <n v="265.68309494138299"/>
    <n v="0.20379940899999999"/>
  </r>
  <r>
    <n v="830000"/>
    <n v="2400000"/>
    <n v="2400000"/>
    <x v="0"/>
    <x v="0"/>
    <s v="BR3-5, BR-7"/>
    <s v="62-304.520 (10), F.A.C."/>
    <n v="0.59"/>
    <n v="0.64"/>
    <s v="City of Cocoa Beach"/>
    <n v="2.0439473599140001E-2"/>
    <n v="3827.54117768074"/>
    <n v="9.7664854989016003"/>
    <n v="1.51618396463381"/>
    <n v="0.19962182251124"/>
    <n v="3.0990002116580002E-2"/>
    <n v="78.232926850849694"/>
    <n v="1400"/>
    <s v="Commercial and Services"/>
    <n v="1400"/>
    <s v="City of Cocoa Beach           Brevard County"/>
    <s v="City of Cocoa Beach"/>
    <m/>
    <m/>
    <m/>
    <n v="0"/>
    <n v="1"/>
    <n v="0.19962182251124"/>
    <n v="3.0990002116580002E-2"/>
    <n v="78.2329268508492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1.218693941571402"/>
    <n v="82.715615005178904"/>
    <n v="6.3449251299999995E-2"/>
  </r>
  <r>
    <n v="830000"/>
    <n v="2400000"/>
    <n v="2400000"/>
    <x v="0"/>
    <x v="0"/>
    <s v="BR3-5, BR-7"/>
    <s v="62-304.520 (10), F.A.C."/>
    <n v="0.59"/>
    <n v="0.64"/>
    <s v="City of Cocoa Beach"/>
    <n v="0.20422582809032"/>
    <n v="3827.54117768074"/>
    <n v="9.7664854989016003"/>
    <n v="1.51618396463381"/>
    <n v="1.9945685885453299"/>
    <n v="0.30964392571461002"/>
    <n v="781.68276656166699"/>
    <n v="1450"/>
    <s v="Tourist Services"/>
    <n v="1450"/>
    <s v="City of Cocoa Beach           Brevard County"/>
    <s v="City of Cocoa Beach"/>
    <m/>
    <m/>
    <m/>
    <n v="0"/>
    <n v="1"/>
    <n v="1.9945685885453299"/>
    <n v="0.30964392571461002"/>
    <n v="781.68276656166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1.01258496607699"/>
    <n v="826.47260402729103"/>
    <n v="0.63396818050000003"/>
  </r>
  <r>
    <n v="830000"/>
    <n v="2400000"/>
    <n v="2400000"/>
    <x v="0"/>
    <x v="0"/>
    <s v="BR3-5, BR-7"/>
    <s v="62-304.520 (10), F.A.C."/>
    <n v="0.59"/>
    <n v="0.64"/>
    <s v="City of Cocoa Beach"/>
    <n v="0.12149718795741"/>
    <n v="3689.62023253801"/>
    <n v="9.7954920720454393"/>
    <n v="1.6436795223587599"/>
    <n v="1.1901247414126399"/>
    <n v="0.19970243986976999"/>
    <n v="448.278482884141"/>
    <n v="1200"/>
    <s v="Residential, Medium Density-Two-five dwellingunits per acre"/>
    <n v="1200"/>
    <s v="City of Cocoa Beach           Brevard County"/>
    <s v="City of Cocoa Beach"/>
    <m/>
    <m/>
    <m/>
    <n v="0"/>
    <n v="1"/>
    <n v="1.1901247414126399"/>
    <n v="0.19970243986976999"/>
    <n v="496.02607179839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9.39376035863999"/>
    <n v="491.68167538899303"/>
    <n v="0.402292029"/>
  </r>
  <r>
    <n v="830000"/>
    <n v="2400000"/>
    <n v="2400000"/>
    <x v="0"/>
    <x v="0"/>
    <s v="BR3-5, BR-7"/>
    <s v="62-304.520 (10), F.A.C."/>
    <n v="0.59"/>
    <n v="0.64"/>
    <s v="City of Cocoa Beach"/>
    <n v="8.455534009382E-2"/>
    <n v="3689.62023253801"/>
    <n v="9.7954920720454393"/>
    <n v="1.6436795223587599"/>
    <n v="0.82826116353817003"/>
    <n v="0.1389818810183"/>
    <n v="311.97709357931302"/>
    <n v="1300"/>
    <s v="Residential, High Density"/>
    <n v="1300"/>
    <s v="City of Cocoa Beach           Brevard County"/>
    <s v="City of Cocoa Beach"/>
    <m/>
    <m/>
    <m/>
    <n v="0"/>
    <n v="1"/>
    <n v="0.82826116353817003"/>
    <n v="0.1389818810183"/>
    <n v="390.38516934199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8.044350907479199"/>
    <n v="342.183321106915"/>
    <n v="0.3166140871"/>
  </r>
  <r>
    <n v="830000"/>
    <n v="2400000"/>
    <n v="2400000"/>
    <x v="0"/>
    <x v="0"/>
    <s v="BR3-5, BR-7"/>
    <s v="62-304.520 (10), F.A.C."/>
    <n v="0.59"/>
    <n v="0.64"/>
    <s v="City of Cocoa Beach"/>
    <n v="1.4815419188919999E-2"/>
    <n v="3689.62023253801"/>
    <n v="9.7954920720454393"/>
    <n v="1.6436795223587599"/>
    <n v="0.14512432120916999"/>
    <n v="2.4351801135999999E-2"/>
    <n v="54.663270393000602"/>
    <n v="1210"/>
    <s v="Fixed Single Family Units"/>
    <n v="1210"/>
    <s v="City of Cocoa Beach           Brevard County"/>
    <s v="City of Cocoa Beach"/>
    <m/>
    <m/>
    <m/>
    <n v="0"/>
    <n v="1"/>
    <n v="0.14512432120916999"/>
    <n v="2.4351801135999999E-2"/>
    <n v="54.6632703930017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337831550248296"/>
    <n v="59.955874295262703"/>
    <n v="4.4333552599999999E-2"/>
  </r>
  <r>
    <n v="830000"/>
    <n v="2400000"/>
    <n v="2400000"/>
    <x v="0"/>
    <x v="0"/>
    <s v="BR3-5, BR-7"/>
    <s v="62-304.520 (10), F.A.C."/>
    <n v="0.59"/>
    <n v="0.64"/>
    <s v="City of Cocoa Beach"/>
    <n v="0.2527780512401"/>
    <n v="3739.3597701071399"/>
    <n v="10.760536736673901"/>
    <n v="2.0735758341126398"/>
    <n v="2.7200275065939801"/>
    <n v="0.52415445844555997"/>
    <n v="945.22807557332305"/>
    <n v="1300"/>
    <s v="Residential, High Density"/>
    <n v="1300"/>
    <s v="City of Cocoa Beach           Brevard County"/>
    <s v="City of Cocoa Beach"/>
    <m/>
    <m/>
    <m/>
    <n v="0"/>
    <n v="1"/>
    <n v="2.7200275065939801"/>
    <n v="0.52415445844555997"/>
    <n v="945.228075573323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1.09306144401799"/>
    <n v="1022.95648010276"/>
    <n v="0.76660833380000004"/>
  </r>
  <r>
    <n v="830000"/>
    <n v="2400000"/>
    <n v="2400000"/>
    <x v="0"/>
    <x v="0"/>
    <s v="BR3-5, BR-7"/>
    <s v="62-304.520 (10), F.A.C."/>
    <n v="0.59"/>
    <n v="0.64"/>
    <s v="City of Cocoa Beach"/>
    <n v="0.24803013330081"/>
    <n v="3739.3597701071399"/>
    <n v="10.760536736673901"/>
    <n v="2.0735758341126398"/>
    <n v="2.6689373611855798"/>
    <n v="0.51430929054430996"/>
    <n v="927.47390223938703"/>
    <n v="1300"/>
    <s v="Residential, High Density"/>
    <n v="1300"/>
    <s v="City of Cocoa Beach           Brevard County"/>
    <s v="City of Cocoa Beach"/>
    <m/>
    <m/>
    <m/>
    <n v="0"/>
    <n v="1"/>
    <n v="2.6689373611855798"/>
    <n v="0.51430929054430996"/>
    <n v="1364.8117293101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0.49763477927999"/>
    <n v="1003.74233789714"/>
    <n v="1.1069032678999999"/>
  </r>
  <r>
    <n v="830000"/>
    <n v="2400000"/>
    <n v="2400000"/>
    <x v="0"/>
    <x v="0"/>
    <s v="BR3-5, BR-7"/>
    <s v="62-304.520 (10), F.A.C."/>
    <n v="0.59"/>
    <n v="0.64"/>
    <s v="Brevard County"/>
    <n v="0.30922548115770998"/>
    <n v="3700.7516301760102"/>
    <n v="10.6447919259736"/>
    <n v="2.0484843099927099"/>
    <n v="3.29164090513299"/>
    <n v="0.63344354640153"/>
    <n v="1144.36670348639"/>
    <n v="1300"/>
    <s v="Residential, High Density"/>
    <n v="1300"/>
    <s v="Brevard County"/>
    <s v="Brevard County"/>
    <m/>
    <m/>
    <m/>
    <n v="0"/>
    <n v="1"/>
    <n v="3.29164090513299"/>
    <n v="0.63344354640153"/>
    <n v="1144.3667034863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3.377604236579"/>
    <n v="1251.3911243928401"/>
    <n v="0.92811573680000004"/>
  </r>
  <r>
    <n v="830000"/>
    <n v="2400000"/>
    <n v="2400000"/>
    <x v="0"/>
    <x v="0"/>
    <s v="BR3-5, BR-7"/>
    <s v="62-304.520 (10), F.A.C."/>
    <n v="0.59"/>
    <n v="0.64"/>
    <s v="Brevard County"/>
    <n v="3.6292376647699999E-3"/>
    <n v="3700.7516301760102"/>
    <n v="10.6447919259736"/>
    <n v="2.0484843099927099"/>
    <n v="3.8632479791409997E-2"/>
    <n v="7.4344364135200004E-3"/>
    <n v="13.4309072042048"/>
    <n v="1210"/>
    <s v="Fixed Single Family Units"/>
    <n v="1210"/>
    <s v="Brevard County"/>
    <s v="Brevard County"/>
    <m/>
    <m/>
    <m/>
    <n v="0"/>
    <n v="1"/>
    <n v="3.8632479791409997E-2"/>
    <n v="7.4344364135200004E-3"/>
    <n v="13.430907204205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6.160200879831599"/>
    <n v="14.6870037521036"/>
    <n v="1.08928688E-2"/>
  </r>
  <r>
    <n v="830000"/>
    <n v="2400000"/>
    <n v="2400000"/>
    <x v="0"/>
    <x v="0"/>
    <s v="BR3-5, BR-7"/>
    <s v="62-304.520 (10), F.A.C."/>
    <n v="0.59"/>
    <n v="0.64"/>
    <s v="Brevard County"/>
    <n v="0.10708498554093"/>
    <n v="3700.7516301760102"/>
    <n v="10.6447919259736"/>
    <n v="2.0484843099927099"/>
    <n v="1.13989738947915"/>
    <n v="0.21936191271639999"/>
    <n v="396.29493480799403"/>
    <n v="1330"/>
    <s v="Residential, High density; Multiple Dwelling Units, Low Rise &lt;Two stories or less&gt;"/>
    <n v="1330"/>
    <s v="Brevard County"/>
    <s v="Brevard County"/>
    <m/>
    <m/>
    <m/>
    <n v="0"/>
    <n v="1"/>
    <n v="1.13989738947915"/>
    <n v="0.21936191271639999"/>
    <n v="396.294934807994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6.231148842805098"/>
    <n v="433.35756147894898"/>
    <n v="0.32140708420000003"/>
  </r>
  <r>
    <n v="830000"/>
    <n v="2400000"/>
    <n v="2400000"/>
    <x v="0"/>
    <x v="0"/>
    <s v="BR3-5, BR-7"/>
    <s v="62-304.520 (10), F.A.C."/>
    <n v="0.59"/>
    <n v="0.64"/>
    <s v="Brevard County"/>
    <n v="1.1072156584999999E-4"/>
    <n v="3700.7516301760102"/>
    <n v="10.6447919259736"/>
    <n v="2.0484843099927099"/>
    <n v="1.1786080302099999E-3"/>
    <n v="2.2681139042000001E-4"/>
    <n v="0.40975301532243003"/>
    <n v="1210"/>
    <s v="Fixed Single Family Units"/>
    <n v="1210"/>
    <s v="Brevard County"/>
    <s v="Brevard County"/>
    <m/>
    <m/>
    <m/>
    <n v="0"/>
    <n v="1"/>
    <n v="1.1786080302099999E-3"/>
    <n v="2.2681139042000001E-4"/>
    <n v="0.409753015321530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.6043160515579"/>
    <n v="0.44807427986537002"/>
    <n v="3.3232200000000002E-4"/>
  </r>
  <r>
    <n v="830000"/>
    <n v="2400000"/>
    <n v="2400000"/>
    <x v="0"/>
    <x v="0"/>
    <s v="BR3-5, BR-7"/>
    <s v="62-304.520 (10), F.A.C."/>
    <n v="0.59"/>
    <n v="0.64"/>
    <s v="City of Cocoa Beach"/>
    <n v="6.4348973595699993E-2"/>
    <n v="3705.8636862631402"/>
    <n v="11.437502910979999"/>
    <n v="2.1781783834805899"/>
    <n v="0.73599157281950001"/>
    <n v="0.14016354328533001"/>
    <n v="238.46852449664399"/>
    <n v="1200"/>
    <s v="Residential, Medium Density-Two-five dwellingunits per acre"/>
    <n v="1200"/>
    <s v="City of Cocoa Beach           Brevard County"/>
    <s v="City of Cocoa Beach"/>
    <m/>
    <m/>
    <m/>
    <n v="0"/>
    <n v="1"/>
    <n v="0.73599157281950001"/>
    <n v="0.14016354328533001"/>
    <n v="238.46852449664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1.36470111805301"/>
    <n v="260.41105707064202"/>
    <n v="0.19340512939999999"/>
  </r>
  <r>
    <n v="830000"/>
    <n v="2400000"/>
    <n v="2400000"/>
    <x v="0"/>
    <x v="0"/>
    <s v="BR3-5, BR-7"/>
    <s v="62-304.520 (10), F.A.C."/>
    <n v="0.59"/>
    <n v="0.64"/>
    <s v="City of Cocoa Beach"/>
    <n v="0.21907731256894"/>
    <n v="3705.8636862631402"/>
    <n v="11.437502910979999"/>
    <n v="2.1781783834805899"/>
    <n v="2.5056974002369898"/>
    <n v="0.47718946654868999"/>
    <n v="811.87065713337404"/>
    <n v="1300"/>
    <s v="Residential, High Density"/>
    <n v="1300"/>
    <s v="City of Cocoa Beach           Brevard County"/>
    <s v="City of Cocoa Beach"/>
    <m/>
    <m/>
    <m/>
    <n v="0"/>
    <n v="1"/>
    <n v="2.5056974002369898"/>
    <n v="0.47718946654868999"/>
    <n v="811.870657133374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5.96602894209201"/>
    <n v="886.57442937176495"/>
    <n v="0.65845146560000001"/>
  </r>
  <r>
    <n v="830000"/>
    <n v="2400000"/>
    <n v="2400000"/>
    <x v="0"/>
    <x v="0"/>
    <s v="BR3-5, BR-7"/>
    <s v="62-304.520 (10), F.A.C."/>
    <n v="0.59"/>
    <n v="0.64"/>
    <s v="City of Cocoa Beach"/>
    <n v="1.296760929024E-2"/>
    <n v="3705.8636862631402"/>
    <n v="11.437502910979999"/>
    <n v="2.1781783834805899"/>
    <n v="0.14831706900562"/>
    <n v="2.824576624143E-2"/>
    <n v="48.056192366367497"/>
    <n v="1400"/>
    <s v="Commercial and Services"/>
    <n v="1400"/>
    <s v="City of Cocoa Beach           Brevard County"/>
    <s v="City of Cocoa Beach"/>
    <m/>
    <m/>
    <m/>
    <n v="0"/>
    <n v="1"/>
    <n v="0.14831706900562"/>
    <n v="2.824576624143E-2"/>
    <n v="48.0561923663668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8.998045828964599"/>
    <n v="52.478052939401202"/>
    <n v="3.8975014099999997E-2"/>
  </r>
  <r>
    <n v="830000"/>
    <n v="2400000"/>
    <n v="2400000"/>
    <x v="0"/>
    <x v="0"/>
    <s v="BR3-5, BR-7"/>
    <s v="62-304.520 (10), F.A.C."/>
    <n v="0.59"/>
    <n v="0.64"/>
    <s v="City of Cocoa Beach"/>
    <n v="1.4404111137259999E-2"/>
    <n v="3705.8636862631402"/>
    <n v="11.437502910979999"/>
    <n v="2.1781783834805899"/>
    <n v="0.16474706306249001"/>
    <n v="3.1374723512430001E-2"/>
    <n v="53.3796723964702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6474706306249001"/>
    <n v="3.1374723512430001E-2"/>
    <n v="53.3796723964707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4.602467520677898"/>
    <n v="58.291369664784398"/>
    <n v="4.3292516099999998E-2"/>
  </r>
  <r>
    <n v="830000"/>
    <n v="2400000"/>
    <n v="2400000"/>
    <x v="0"/>
    <x v="0"/>
    <s v="BR3-5, BR-7"/>
    <s v="62-304.520 (10), F.A.C."/>
    <n v="0.59"/>
    <n v="0.64"/>
    <s v="City of Cocoa Beach"/>
    <n v="1.238900817863E-2"/>
    <n v="3705.8636862631402"/>
    <n v="11.437502910979999"/>
    <n v="2.1781783834805899"/>
    <n v="0.14169931710724001"/>
    <n v="2.6985469807450001E-2"/>
    <n v="45.91197551800569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4169931710724001"/>
    <n v="2.6985469807450001E-2"/>
    <n v="45.911975518007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1.888339172329399"/>
    <n v="50.136537314860398"/>
    <n v="3.7235989900000002E-2"/>
  </r>
  <r>
    <n v="830000"/>
    <n v="2400000"/>
    <n v="2400000"/>
    <x v="0"/>
    <x v="0"/>
    <s v="BR3-5, BR-7"/>
    <s v="62-304.520 (10), F.A.C."/>
    <n v="0.59"/>
    <n v="0.64"/>
    <s v="City of Cocoa Beach"/>
    <n v="6.3889880512700004E-3"/>
    <n v="3705.8636862631402"/>
    <n v="11.437502910979999"/>
    <n v="2.1781783834805899"/>
    <n v="7.3074069434619998E-2"/>
    <n v="1.391635566559E-2"/>
    <n v="23.676718811174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7.3074069434619998E-2"/>
    <n v="1.391635566559E-2"/>
    <n v="23.676718811173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.3578863680886"/>
    <n v="25.855317327922201"/>
    <n v="1.9202529400000001E-2"/>
  </r>
  <r>
    <n v="830000"/>
    <n v="2400000"/>
    <n v="2400000"/>
    <x v="0"/>
    <x v="0"/>
    <s v="BR3-5, BR-7"/>
    <s v="62-304.520 (10), F.A.C."/>
    <n v="0.59"/>
    <n v="0.64"/>
    <s v="City of Cocoa Beach"/>
    <n v="0.11076005149774"/>
    <n v="3753.8553054603399"/>
    <n v="11.5377905628033"/>
    <n v="1.5232391878345699"/>
    <n v="1.27792627690629"/>
    <n v="0.16871405088794"/>
    <n v="415.77720694787098"/>
    <n v="1400"/>
    <s v="Commercial and Services"/>
    <n v="1400"/>
    <s v="City of Cocoa Beach           Brevard County"/>
    <s v="City of Cocoa Beach"/>
    <m/>
    <m/>
    <m/>
    <n v="0"/>
    <n v="1"/>
    <n v="1.27792627690629"/>
    <n v="0.16871405088794"/>
    <n v="1002.3064134468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2.43884603097899"/>
    <n v="448.230025749003"/>
    <n v="0.81290057859999998"/>
  </r>
  <r>
    <n v="830000"/>
    <n v="2400000"/>
    <n v="2400000"/>
    <x v="0"/>
    <x v="0"/>
    <s v="BR3-5, BR-7"/>
    <s v="62-304.520 (10), F.A.C."/>
    <n v="0.59"/>
    <n v="0.64"/>
    <s v="City of Cocoa Beach"/>
    <n v="7.80803814768E-3"/>
    <n v="3753.8553054603399"/>
    <n v="11.5377905628033"/>
    <n v="1.5232391878345699"/>
    <n v="9.0087508854409998E-2"/>
    <n v="1.189350968666E-2"/>
    <n v="29.310245425939101"/>
    <n v="1410"/>
    <s v="Retail Sales and Services"/>
    <n v="1410"/>
    <s v="City of Cocoa Beach           Brevard County"/>
    <s v="City of Cocoa Beach"/>
    <m/>
    <m/>
    <m/>
    <n v="0"/>
    <n v="1"/>
    <n v="9.0087508854409998E-2"/>
    <n v="1.189350968666E-2"/>
    <n v="29.310245425939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9.620334216579302"/>
    <n v="31.598009324319801"/>
    <n v="2.3771488600000001E-2"/>
  </r>
  <r>
    <n v="830000"/>
    <n v="2400000"/>
    <n v="2400000"/>
    <x v="0"/>
    <x v="0"/>
    <s v="BR3-5, BR-7"/>
    <s v="62-304.520 (10), F.A.C."/>
    <n v="0.59"/>
    <n v="0.64"/>
    <s v="City of Cocoa Beach"/>
    <n v="1.07254903871E-2"/>
    <n v="3738.0824041444898"/>
    <n v="11.436496172292999"/>
    <n v="1.5573020153852499"/>
    <n v="0.12266202975807999"/>
    <n v="1.6702827795829999E-2"/>
    <n v="40.092766891854303"/>
    <n v="1300"/>
    <s v="Residential, High Density"/>
    <n v="1300"/>
    <s v="City of Cocoa Beach           Brevard County"/>
    <s v="City of Cocoa Beach"/>
    <m/>
    <m/>
    <m/>
    <n v="0"/>
    <n v="1"/>
    <n v="0.12266202975807999"/>
    <n v="1.6702827795829999E-2"/>
    <n v="40.092766891852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0.883346929992701"/>
    <n v="43.404519656439298"/>
    <n v="3.2516437099999997E-2"/>
  </r>
  <r>
    <n v="830000"/>
    <n v="2400000"/>
    <n v="2400000"/>
    <x v="0"/>
    <x v="0"/>
    <s v="BR3-5, BR-7"/>
    <s v="62-304.520 (10), F.A.C."/>
    <n v="0.59"/>
    <n v="0.64"/>
    <s v="City of Cocoa Beach"/>
    <n v="0.12251733321788"/>
    <n v="3738.0824041444898"/>
    <n v="11.436496172292999"/>
    <n v="1.5573020153852499"/>
    <n v="1.40116901238587"/>
    <n v="0.19079648993983001"/>
    <n v="457.97988750447502"/>
    <n v="1400"/>
    <s v="Commercial and Services"/>
    <n v="1400"/>
    <s v="City of Cocoa Beach           Brevard County"/>
    <s v="City of Cocoa Beach"/>
    <m/>
    <m/>
    <m/>
    <n v="0"/>
    <n v="1"/>
    <n v="1.40116901238587"/>
    <n v="0.19079648993983001"/>
    <n v="457.97988750447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338443040296"/>
    <n v="495.81005678810902"/>
    <n v="0.3714354319"/>
  </r>
  <r>
    <n v="830000"/>
    <n v="2400000"/>
    <n v="2400000"/>
    <x v="0"/>
    <x v="0"/>
    <s v="BR3-5, BR-7"/>
    <s v="62-304.520 (10), F.A.C."/>
    <n v="0.59"/>
    <n v="0.64"/>
    <s v="City of Cocoa Beach"/>
    <n v="5.003075475E-5"/>
    <n v="3738.0824041444898"/>
    <n v="11.436496172292999"/>
    <n v="1.5573020153852499"/>
    <n v="5.7217653523999998E-4"/>
    <n v="7.7912995210000004E-5"/>
    <n v="0.18701908401198999"/>
    <n v="1300"/>
    <s v="Residential, High Density"/>
    <n v="1300"/>
    <s v="City of Cocoa Beach           Brevard County"/>
    <s v="City of Cocoa Beach"/>
    <m/>
    <m/>
    <m/>
    <n v="0"/>
    <n v="1"/>
    <n v="5.7217653523999998E-4"/>
    <n v="7.7912995210000004E-5"/>
    <n v="0.18701908401310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.9642193129884298"/>
    <n v="0.20246728119495"/>
    <n v="1.5167809999999999E-4"/>
  </r>
  <r>
    <n v="830000"/>
    <n v="2400000"/>
    <n v="2400000"/>
    <x v="0"/>
    <x v="0"/>
    <s v="BR3-5, BR-7"/>
    <s v="62-304.520 (10), F.A.C."/>
    <n v="0.59"/>
    <n v="0.64"/>
    <s v="City of Cocoa Beach"/>
    <n v="1.358364780529E-2"/>
    <n v="3738.0824041444898"/>
    <n v="11.436496172292999"/>
    <n v="1.5573020153852499"/>
    <n v="0.15534933613096999"/>
    <n v="2.115384210346E-2"/>
    <n v="50.776794845050397"/>
    <n v="1450"/>
    <s v="Tourist Services"/>
    <n v="1450"/>
    <s v="City of Cocoa Beach           Brevard County"/>
    <s v="City of Cocoa Beach"/>
    <m/>
    <m/>
    <m/>
    <n v="0"/>
    <n v="1"/>
    <n v="0.15534933613096999"/>
    <n v="2.115384210346E-2"/>
    <n v="50.7767948450503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4.833386787359899"/>
    <n v="54.971072360457399"/>
    <n v="4.1181504299999998E-2"/>
  </r>
  <r>
    <n v="830000"/>
    <n v="2400000"/>
    <n v="2400000"/>
    <x v="0"/>
    <x v="0"/>
    <s v="BR3-5, BR-7"/>
    <s v="62-304.520 (10), F.A.C."/>
    <n v="0.59"/>
    <n v="0.64"/>
    <s v="City of Cocoa Beach"/>
    <n v="4.7566806847060002E-2"/>
    <n v="3669.8590941648499"/>
    <n v="9.15222078872997"/>
    <n v="1.34619379810725"/>
    <n v="0.43534191847922998"/>
    <n v="6.4034140373279994E-2"/>
    <n v="174.563478688092"/>
    <n v="1210"/>
    <s v="Fixed Single Family Units"/>
    <n v="1210"/>
    <s v="City of Cocoa Beach           Brevard County"/>
    <s v="City of Cocoa Beach"/>
    <m/>
    <m/>
    <m/>
    <n v="0"/>
    <n v="1"/>
    <n v="0.43534191847922998"/>
    <n v="6.4034140373279994E-2"/>
    <n v="174.56347868808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7.537385054709198"/>
    <n v="192.49603778211099"/>
    <n v="0.14157621949999999"/>
  </r>
  <r>
    <n v="830000"/>
    <n v="2400000"/>
    <n v="2400000"/>
    <x v="0"/>
    <x v="0"/>
    <s v="BR3-5, BR-7"/>
    <s v="62-304.520 (10), F.A.C."/>
    <n v="0.59"/>
    <n v="0.64"/>
    <s v="City of Cocoa Beach"/>
    <n v="0.12921143855938999"/>
    <n v="3669.8590941648499"/>
    <n v="9.15222078872997"/>
    <n v="1.34619379810725"/>
    <n v="1.182571614125"/>
    <n v="0.17394363723317"/>
    <n v="474.18777286731898"/>
    <n v="1210"/>
    <s v="Fixed Single Family Units"/>
    <n v="1210"/>
    <s v="City of Cocoa Beach           Brevard County"/>
    <s v="City of Cocoa Beach"/>
    <m/>
    <m/>
    <m/>
    <n v="0"/>
    <n v="1"/>
    <n v="1.182571614125"/>
    <n v="0.17394363723317"/>
    <n v="474.187772867318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2.331972094970993"/>
    <n v="522.90013998162794"/>
    <n v="0.38458051329999998"/>
  </r>
  <r>
    <n v="830000"/>
    <n v="2400000"/>
    <n v="2400000"/>
    <x v="0"/>
    <x v="0"/>
    <s v="BR3-5, BR-7"/>
    <s v="62-304.520 (10), F.A.C."/>
    <n v="0.59"/>
    <n v="0.64"/>
    <s v="City of Cocoa Beach"/>
    <n v="7.5159269942499995E-2"/>
    <n v="3669.8590941648499"/>
    <n v="9.15222078872997"/>
    <n v="1.34619379810725"/>
    <n v="0.68787423283358995"/>
    <n v="0.10117894306687"/>
    <n v="275.82393030930803"/>
    <n v="1210"/>
    <s v="Fixed Single Family Units"/>
    <n v="1210"/>
    <s v="City of Cocoa Beach           Brevard County"/>
    <s v="City of Cocoa Beach"/>
    <m/>
    <m/>
    <m/>
    <n v="0"/>
    <n v="1"/>
    <n v="0.68787423283358995"/>
    <n v="0.10117894306687"/>
    <n v="275.82393030930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2.142415599326199"/>
    <n v="304.15877426973702"/>
    <n v="0.22370148440000001"/>
  </r>
  <r>
    <n v="830000"/>
    <n v="2400000"/>
    <n v="2400000"/>
    <x v="0"/>
    <x v="0"/>
    <s v="BR3-5, BR-7"/>
    <s v="62-304.520 (10), F.A.C."/>
    <n v="0.59"/>
    <n v="0.64"/>
    <s v="City of Cocoa Beach"/>
    <n v="6.1470915240599999E-2"/>
    <n v="3669.8590941648499"/>
    <n v="9.15222078872997"/>
    <n v="1.34619379810725"/>
    <n v="0.56259538836731005"/>
    <n v="8.2751764860870006E-2"/>
    <n v="225.58959732236701"/>
    <n v="1210"/>
    <s v="Fixed Single Family Units"/>
    <n v="1210"/>
    <s v="City of Cocoa Beach           Brevard County"/>
    <s v="City of Cocoa Beach"/>
    <m/>
    <m/>
    <m/>
    <n v="0"/>
    <n v="1"/>
    <n v="0.56259538836731005"/>
    <n v="8.2751764860870006E-2"/>
    <n v="225.58959732236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9.708975767624906"/>
    <n v="248.76396813224301"/>
    <n v="0.18295993290000001"/>
  </r>
  <r>
    <n v="830000"/>
    <n v="2400000"/>
    <n v="2400000"/>
    <x v="0"/>
    <x v="0"/>
    <s v="BR3-5, BR-7"/>
    <s v="62-304.520 (10), F.A.C."/>
    <n v="0.59"/>
    <n v="0.64"/>
    <s v="City of Cocoa Beach"/>
    <n v="0.19239062730293999"/>
    <n v="3669.8590941648499"/>
    <n v="9.15222078872997"/>
    <n v="1.34619379810725"/>
    <n v="1.7608014987587599"/>
    <n v="0.25899506928917998"/>
    <n v="706.04649323977503"/>
    <n v="1210"/>
    <s v="Fixed Single Family Units"/>
    <n v="1210"/>
    <s v="City of Cocoa Beach           Brevard County"/>
    <s v="City of Cocoa Beach"/>
    <m/>
    <m/>
    <m/>
    <n v="0"/>
    <n v="1"/>
    <n v="1.7608014987587599"/>
    <n v="0.25899506928917998"/>
    <n v="706.046493239775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2.108070028887"/>
    <n v="778.57724571046697"/>
    <n v="0.57262489309999998"/>
  </r>
  <r>
    <n v="830000"/>
    <n v="2400000"/>
    <n v="2400000"/>
    <x v="0"/>
    <x v="0"/>
    <s v="BR3-5, BR-7"/>
    <s v="62-304.520 (10), F.A.C."/>
    <n v="0.59"/>
    <n v="0.64"/>
    <s v="City of Cocoa Beach"/>
    <n v="0.11196439598252"/>
    <n v="3669.8590941648499"/>
    <n v="9.15222078872997"/>
    <n v="1.34619379810725"/>
    <n v="1.02472287250882"/>
    <n v="0.15072577548048999"/>
    <n v="410.893556819129"/>
    <n v="1210"/>
    <s v="Fixed Single Family Units"/>
    <n v="1210"/>
    <s v="City of Cocoa Beach           Brevard County"/>
    <s v="City of Cocoa Beach"/>
    <m/>
    <m/>
    <m/>
    <n v="0"/>
    <n v="1"/>
    <n v="1.02472287250882"/>
    <n v="0.15072577548048999"/>
    <n v="410.89355681912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8.182384527739998"/>
    <n v="453.103834962002"/>
    <n v="0.33324700470000002"/>
  </r>
  <r>
    <n v="830000"/>
    <n v="2400000"/>
    <n v="2400000"/>
    <x v="0"/>
    <x v="0"/>
    <s v="BR3-5, BR-7"/>
    <s v="62-304.520 (10), F.A.C."/>
    <n v="0.59"/>
    <n v="0.64"/>
    <s v="City of Cocoa Beach"/>
    <n v="0.14241032832742001"/>
    <n v="3738.3085289572"/>
    <n v="11.492024991659701"/>
    <n v="1.51717715032534"/>
    <n v="1.63658305220919"/>
    <n v="0.21606169610869"/>
    <n v="532.37374499799705"/>
    <n v="1400"/>
    <s v="Commercial and Services"/>
    <n v="1400"/>
    <s v="City of Cocoa Beach           Brevard County"/>
    <s v="City of Cocoa Beach"/>
    <m/>
    <m/>
    <m/>
    <n v="0"/>
    <n v="1"/>
    <n v="1.63658305220919"/>
    <n v="0.21606169610869"/>
    <n v="560.755665250940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5.814494083029"/>
    <n v="576.31415180791805"/>
    <n v="0.45478967170000001"/>
  </r>
  <r>
    <n v="830000"/>
    <n v="2400000"/>
    <n v="2400000"/>
    <x v="0"/>
    <x v="0"/>
    <s v="BR3-5, BR-7"/>
    <s v="62-304.520 (10), F.A.C."/>
    <n v="0.59"/>
    <n v="0.64"/>
    <s v="City of Cocoa Beach"/>
    <n v="5.0406772508699996E-3"/>
    <n v="3738.3085289572"/>
    <n v="11.492024991659701"/>
    <n v="1.51717715032534"/>
    <n v="5.7927588941920002E-2"/>
    <n v="7.6476003471800001E-3"/>
    <n v="18.843606758659"/>
    <n v="1450"/>
    <s v="Tourist Services"/>
    <n v="1450"/>
    <s v="City of Cocoa Beach           Brevard County"/>
    <s v="City of Cocoa Beach"/>
    <m/>
    <m/>
    <m/>
    <n v="0"/>
    <n v="1"/>
    <n v="5.7927588941920002E-2"/>
    <n v="7.6476003471800001E-3"/>
    <n v="18.843606758658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8.873488613893102"/>
    <n v="20.3988971059402"/>
    <n v="1.5282730499999999E-2"/>
  </r>
  <r>
    <n v="830000"/>
    <n v="2400000"/>
    <n v="2400000"/>
    <x v="0"/>
    <x v="0"/>
    <s v="BR3-5, BR-7"/>
    <s v="62-304.520 (10), F.A.C."/>
    <n v="0.59"/>
    <n v="0.64"/>
    <s v="City of Cocoa Beach"/>
    <n v="0.16535775654908"/>
    <n v="3695.1423574092"/>
    <n v="9.8302641178760695"/>
    <n v="1.5843568761889899"/>
    <n v="1.6255104208169899"/>
    <n v="0.26198569861972998"/>
    <n v="611.02045035069796"/>
    <n v="1200"/>
    <s v="Residential, Medium Density-Two-five dwellingunits per acre"/>
    <n v="1200"/>
    <s v="City of Cocoa Beach           Brevard County"/>
    <s v="City of Cocoa Beach"/>
    <m/>
    <m/>
    <m/>
    <n v="0"/>
    <n v="1"/>
    <n v="1.6255104208169899"/>
    <n v="0.26198569861972998"/>
    <n v="659.819501337281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5.098554131425"/>
    <n v="669.17909908433796"/>
    <n v="0.53513341550000004"/>
  </r>
  <r>
    <n v="830000"/>
    <n v="2400000"/>
    <n v="2400000"/>
    <x v="0"/>
    <x v="0"/>
    <s v="BR3-5, BR-7"/>
    <s v="62-304.520 (10), F.A.C."/>
    <n v="0.59"/>
    <n v="0.64"/>
    <s v="City of Cocoa Beach"/>
    <n v="1.7559795040410001E-2"/>
    <n v="3695.1423574092"/>
    <n v="9.8302641178760695"/>
    <n v="1.5843568761889899"/>
    <n v="0.17261742310304001"/>
    <n v="2.7820982016739999E-2"/>
    <n v="64.885942441257896"/>
    <n v="1400"/>
    <s v="Commercial and Services"/>
    <n v="1400"/>
    <s v="City of Cocoa Beach           Brevard County"/>
    <s v="City of Cocoa Beach"/>
    <m/>
    <m/>
    <m/>
    <n v="0"/>
    <n v="1"/>
    <n v="0.17261742310304001"/>
    <n v="2.7820982016739999E-2"/>
    <n v="115.8618793537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3.332462874073002"/>
    <n v="71.061969335326594"/>
    <n v="9.3967461000000002E-2"/>
  </r>
  <r>
    <n v="830000"/>
    <n v="2400000"/>
    <n v="2400000"/>
    <x v="0"/>
    <x v="0"/>
    <s v="BR3-5, BR-7"/>
    <s v="62-304.520 (10), F.A.C."/>
    <n v="0.59"/>
    <n v="0.64"/>
    <s v="City of Cocoa Beach"/>
    <n v="1.132264846044E-2"/>
    <n v="3695.1423574092"/>
    <n v="9.8302641178760695"/>
    <n v="1.5843568761889899"/>
    <n v="0.11130462488005"/>
    <n v="1.7939115944979999E-2"/>
    <n v="41.8387979242518"/>
    <n v="1300"/>
    <s v="Residential, High Density"/>
    <n v="1300"/>
    <s v="City of Cocoa Beach           Brevard County"/>
    <s v="City of Cocoa Beach"/>
    <m/>
    <m/>
    <m/>
    <n v="0"/>
    <n v="1"/>
    <n v="0.11130462488005"/>
    <n v="1.7939115944979999E-2"/>
    <n v="458.85718536234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9.980097104460299"/>
    <n v="45.821132640735499"/>
    <n v="0.37214694679999999"/>
  </r>
  <r>
    <n v="830000"/>
    <n v="2400000"/>
    <n v="2400000"/>
    <x v="0"/>
    <x v="0"/>
    <s v="BR3-5, BR-7"/>
    <s v="62-304.520 (10), F.A.C."/>
    <n v="0.59"/>
    <n v="0.64"/>
    <s v="City of Cocoa Beach"/>
    <n v="6.538104868057E-2"/>
    <n v="3695.1423574092"/>
    <n v="9.8302641178760695"/>
    <n v="1.5843568761889899"/>
    <n v="0.64271297683371997"/>
    <n v="0.10358691404951"/>
    <n v="241.592282351411"/>
    <n v="1210"/>
    <s v="Fixed Single Family Units"/>
    <n v="1210"/>
    <s v="City of Cocoa Beach           Brevard County"/>
    <s v="City of Cocoa Beach"/>
    <m/>
    <m/>
    <m/>
    <n v="0"/>
    <n v="1"/>
    <n v="0.64271297683371997"/>
    <n v="0.10358691404951"/>
    <n v="241.592282351409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676677955752993"/>
    <n v="264.58771675621398"/>
    <n v="0.1959385907"/>
  </r>
  <r>
    <n v="830000"/>
    <n v="2400000"/>
    <n v="2400000"/>
    <x v="0"/>
    <x v="0"/>
    <s v="BR3-5, BR-7"/>
    <s v="62-304.520 (10), F.A.C."/>
    <n v="0.59"/>
    <n v="0.64"/>
    <s v="City of Cocoa Beach"/>
    <n v="0.11550706799076001"/>
    <n v="3797.17124047273"/>
    <n v="10.3430578904673"/>
    <n v="1.79787431667743"/>
    <n v="1.1946962909866301"/>
    <n v="0.20766719093531"/>
    <n v="438.60011664586199"/>
    <n v="1300"/>
    <s v="Residential, High Density"/>
    <n v="1300"/>
    <s v="City of Cocoa Beach           Brevard County"/>
    <s v="City of Cocoa Beach"/>
    <m/>
    <m/>
    <m/>
    <n v="0"/>
    <n v="1"/>
    <n v="1.1946962909866301"/>
    <n v="0.20766719093531"/>
    <n v="438.60011664586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7.512172458455396"/>
    <n v="467.44051993102198"/>
    <n v="0.35571785620000002"/>
  </r>
  <r>
    <n v="830000"/>
    <n v="2400000"/>
    <n v="2400000"/>
    <x v="0"/>
    <x v="0"/>
    <s v="BR3-5, BR-7"/>
    <s v="62-304.520 (10), F.A.C."/>
    <n v="0.59"/>
    <n v="0.64"/>
    <s v="City of Cocoa Beach"/>
    <n v="2.2130884896200001E-3"/>
    <n v="3797.17124047273"/>
    <n v="10.3430578904673"/>
    <n v="1.79787431667743"/>
    <n v="2.2890102364859999E-2"/>
    <n v="3.9788549560199997E-3"/>
    <n v="8.4034759654063098"/>
    <n v="1400"/>
    <s v="Commercial and Services"/>
    <n v="1400"/>
    <s v="City of Cocoa Beach           Brevard County"/>
    <s v="City of Cocoa Beach"/>
    <m/>
    <m/>
    <m/>
    <n v="0"/>
    <n v="1"/>
    <n v="2.2890102364859999E-2"/>
    <n v="3.9788549560199997E-3"/>
    <n v="8.403475965405059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.956028291087499"/>
    <n v="8.9560513675568796"/>
    <n v="6.8154712000000001E-3"/>
  </r>
  <r>
    <n v="830000"/>
    <n v="2400000"/>
    <n v="2400000"/>
    <x v="0"/>
    <x v="0"/>
    <s v="BR3-5, BR-7"/>
    <s v="62-304.520 (10), F.A.C."/>
    <n v="0.59"/>
    <n v="0.64"/>
    <s v="City of Cocoa Beach"/>
    <n v="0.13451163031383001"/>
    <n v="3797.17124047273"/>
    <n v="10.3430578904673"/>
    <n v="1.79787431667743"/>
    <n v="1.3912615792771199"/>
    <n v="0.24183500543565001"/>
    <n v="510.763694136791"/>
    <n v="1450"/>
    <s v="Tourist Services"/>
    <n v="1450"/>
    <s v="City of Cocoa Beach           Brevard County"/>
    <s v="City of Cocoa Beach"/>
    <m/>
    <m/>
    <m/>
    <n v="0"/>
    <n v="1"/>
    <n v="1.3912615792771199"/>
    <n v="0.24183500543565001"/>
    <n v="510.76369413679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3.699422570116596"/>
    <n v="544.34925502303395"/>
    <n v="0.414244683"/>
  </r>
  <r>
    <n v="830000"/>
    <n v="2400000"/>
    <n v="2400000"/>
    <x v="0"/>
    <x v="0"/>
    <s v="BR3-5, BR-7"/>
    <s v="62-304.520 (10), F.A.C."/>
    <n v="0.59"/>
    <n v="0.64"/>
    <s v="Brevard County"/>
    <n v="0.13789563761552001"/>
    <n v="3700.8756541463199"/>
    <n v="10.657728230025899"/>
    <n v="2.0546872410841801"/>
    <n v="1.46965422981243"/>
    <n v="0.28333240720979003"/>
    <n v="510.33460806429099"/>
    <n v="1300"/>
    <s v="Residential, High Density"/>
    <n v="1300"/>
    <s v="Brevard County"/>
    <s v="Brevard County"/>
    <m/>
    <m/>
    <m/>
    <n v="0"/>
    <n v="1"/>
    <n v="1.46965422981243"/>
    <n v="0.28333240720979003"/>
    <n v="599.537810802029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8.81925788621299"/>
    <n v="558.04384670534205"/>
    <n v="0.48624315559999998"/>
  </r>
  <r>
    <n v="830000"/>
    <n v="2400000"/>
    <n v="2400000"/>
    <x v="0"/>
    <x v="0"/>
    <s v="BR3-5, BR-7"/>
    <s v="62-304.520 (10), F.A.C."/>
    <n v="0.59"/>
    <n v="0.64"/>
    <s v="City of Cocoa Beach"/>
    <n v="8.1898682268460005E-2"/>
    <n v="3700.8756541463199"/>
    <n v="10.657728230025899"/>
    <n v="2.0546872410841801"/>
    <n v="0.87285389801455004"/>
    <n v="0.16827617751862001"/>
    <n v="303.096839314031"/>
    <n v="1300"/>
    <s v="Residential, High Density"/>
    <n v="1300"/>
    <s v="City of Cocoa Beach           Brevard County"/>
    <s v="City of Cocoa Beach"/>
    <m/>
    <m/>
    <m/>
    <n v="0"/>
    <n v="1"/>
    <n v="0.87285389801455004"/>
    <n v="0.16827617751862001"/>
    <n v="452.78258252148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5.1562976428702"/>
    <n v="331.43220832423901"/>
    <n v="0.36722026159999999"/>
  </r>
  <r>
    <n v="830000"/>
    <n v="2400000"/>
    <n v="2400000"/>
    <x v="0"/>
    <x v="0"/>
    <s v="BR3-5, BR-7"/>
    <s v="62-304.520 (10), F.A.C."/>
    <n v="0.59"/>
    <n v="0.64"/>
    <s v="City of Cocoa Beach"/>
    <n v="0.61776345378298003"/>
    <n v="3865.4002879466898"/>
    <n v="8.7500976540329507"/>
    <n v="1.1861977173164799"/>
    <n v="5.40549054769376"/>
    <n v="0.73278959871891003"/>
    <n v="2387.9030321356699"/>
    <n v="1450"/>
    <s v="Tourist Services"/>
    <n v="1450"/>
    <s v="City of Cocoa Beach           Brevard County"/>
    <s v="City of Cocoa Beach"/>
    <m/>
    <m/>
    <m/>
    <n v="0"/>
    <n v="1"/>
    <n v="5.40549054769376"/>
    <n v="0.73278959871891003"/>
    <n v="2387.9030321356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0.000000018626"/>
    <n v="2500.0000004656599"/>
    <n v="1.9366610154999999"/>
  </r>
  <r>
    <n v="830000"/>
    <n v="2400000"/>
    <n v="2400000"/>
    <x v="0"/>
    <x v="0"/>
    <s v="BR3-5, BR-7"/>
    <s v="62-304.520 (10), F.A.C."/>
    <n v="0.59"/>
    <n v="0.64"/>
    <s v="City of Cocoa Beach"/>
    <n v="5.5997573037330002E-2"/>
    <n v="3794.0452576786001"/>
    <n v="9.4037105086998594"/>
    <n v="1.56196917460546"/>
    <n v="0.52658496603283"/>
    <n v="8.7466482937020001E-2"/>
    <n v="212.45732642379599"/>
    <n v="1300"/>
    <s v="Residential, High Density"/>
    <n v="1300"/>
    <s v="City of Cocoa Beach           Brevard County"/>
    <s v="City of Cocoa Beach"/>
    <m/>
    <m/>
    <m/>
    <n v="0"/>
    <n v="1"/>
    <n v="0.52658496603283"/>
    <n v="8.7466482937020001E-2"/>
    <n v="673.07788909973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0.866357128643799"/>
    <n v="226.61413808493501"/>
    <n v="0.54588636589999995"/>
  </r>
  <r>
    <n v="830000"/>
    <n v="2400000"/>
    <n v="2400000"/>
    <x v="0"/>
    <x v="0"/>
    <s v="BR3-5, BR-7"/>
    <s v="62-304.520 (10), F.A.C."/>
    <n v="0.59"/>
    <n v="0.64"/>
    <s v="City of Cocoa Beach"/>
    <n v="9.7218670999450002E-2"/>
    <n v="3794.0452576786001"/>
    <n v="9.4037105086998594"/>
    <n v="1.56196917460546"/>
    <n v="0.91421623811943997"/>
    <n v="0.15185256729725999"/>
    <n v="368.85203766331301"/>
    <n v="1450"/>
    <s v="Tourist Services"/>
    <n v="1450"/>
    <s v="City of Cocoa Beach           Brevard County"/>
    <s v="City of Cocoa Beach"/>
    <m/>
    <m/>
    <m/>
    <n v="0"/>
    <n v="1"/>
    <n v="0.91421623811943997"/>
    <n v="0.15185256729725999"/>
    <n v="881.950609241839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9.430288643612499"/>
    <n v="393.43000311135302"/>
    <n v="0.71528840979999997"/>
  </r>
  <r>
    <n v="830000"/>
    <n v="2400000"/>
    <n v="2400000"/>
    <x v="0"/>
    <x v="0"/>
    <s v="BR3-5, BR-7"/>
    <s v="62-304.520 (10), F.A.C."/>
    <n v="0.59"/>
    <n v="0.64"/>
    <s v="City of Cocoa Beach"/>
    <n v="4.2470486936660001E-2"/>
    <n v="3738.3108026688601"/>
    <n v="11.492031981327701"/>
    <n v="1.51717807310137"/>
    <n v="0.48807219413870001"/>
    <n v="6.4435291534240005E-2"/>
    <n v="158.76788010993801"/>
    <n v="1400"/>
    <s v="Commercial and Services"/>
    <n v="1400"/>
    <s v="City of Cocoa Beach           Brevard County"/>
    <s v="City of Cocoa Beach"/>
    <m/>
    <m/>
    <m/>
    <n v="0"/>
    <n v="1"/>
    <n v="0.48807219413870001"/>
    <n v="6.4435291534240005E-2"/>
    <n v="182.44056322639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3.195286170890597"/>
    <n v="171.871962822092"/>
    <n v="0.14796477150000001"/>
  </r>
  <r>
    <n v="830000"/>
    <n v="2400000"/>
    <n v="2400000"/>
    <x v="0"/>
    <x v="0"/>
    <s v="BR3-5, BR-7"/>
    <s v="62-304.520 (10), F.A.C."/>
    <n v="0.59"/>
    <n v="0.64"/>
    <s v="City of Cocoa Beach"/>
    <n v="1.5284632147899999E-3"/>
    <n v="3738.3108026688601"/>
    <n v="11.492031981327701"/>
    <n v="1.51717807310137"/>
    <n v="1.7565148146729999E-2"/>
    <n v="2.31895087503E-3"/>
    <n v="5.7138705473576001"/>
    <n v="1410"/>
    <s v="Retail Sales and Services"/>
    <n v="1410"/>
    <s v="City of Cocoa Beach           Brevard County"/>
    <s v="City of Cocoa Beach"/>
    <m/>
    <m/>
    <m/>
    <n v="0"/>
    <n v="1"/>
    <n v="1.7565148146729999E-2"/>
    <n v="2.31895087503E-3"/>
    <n v="12.9525613596878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5.851433237209299"/>
    <n v="6.1854711772021096"/>
    <n v="1.05049159E-2"/>
  </r>
  <r>
    <n v="830000"/>
    <n v="2400000"/>
    <n v="2400000"/>
    <x v="0"/>
    <x v="0"/>
    <s v="BR3-5, BR-7"/>
    <s v="62-304.520 (10), F.A.C."/>
    <n v="0.59"/>
    <n v="0.64"/>
    <s v="City of Cocoa Beach"/>
    <n v="0.45772919721923999"/>
    <n v="3738.3108026688601"/>
    <n v="11.492031981327701"/>
    <n v="1.51717807310137"/>
    <n v="5.2602385732310797"/>
    <n v="0.69445670143933003"/>
    <n v="1711.1340026616499"/>
    <n v="1450"/>
    <s v="Tourist Services"/>
    <n v="1450"/>
    <s v="City of Cocoa Beach           Brevard County"/>
    <s v="City of Cocoa Beach"/>
    <m/>
    <m/>
    <m/>
    <n v="0"/>
    <n v="1"/>
    <n v="5.2602385732310797"/>
    <n v="0.69445670143933003"/>
    <n v="2113.9986677546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2.516210236196"/>
    <n v="1852.3643414866999"/>
    <n v="1.7145163566999999"/>
  </r>
  <r>
    <n v="830000"/>
    <n v="2400000"/>
    <n v="2400000"/>
    <x v="0"/>
    <x v="0"/>
    <s v="BR3-5, BR-7"/>
    <s v="62-304.520 (10), F.A.C."/>
    <n v="0.59"/>
    <n v="0.64"/>
    <s v="City of Cocoa Beach"/>
    <n v="5.9274091643600002E-3"/>
    <n v="3680.9217918587501"/>
    <n v="9.7191131614503199"/>
    <n v="1.61351510507424"/>
    <n v="5.76091604227E-2"/>
    <n v="9.5639642206600001E-3"/>
    <n v="21.818329562381699"/>
    <n v="1300"/>
    <s v="Residential, High Density"/>
    <n v="1300"/>
    <s v="City of Cocoa Beach           Brevard County"/>
    <s v="City of Cocoa Beach"/>
    <m/>
    <m/>
    <m/>
    <n v="0"/>
    <n v="1"/>
    <n v="5.76091604227E-2"/>
    <n v="9.5639642206600001E-3"/>
    <n v="21.818329562382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4.259191073796103"/>
    <n v="23.987373845012002"/>
    <n v="1.769532E-2"/>
  </r>
  <r>
    <n v="830000"/>
    <n v="2400000"/>
    <n v="2400000"/>
    <x v="0"/>
    <x v="0"/>
    <s v="BR3-5, BR-7"/>
    <s v="62-304.520 (10), F.A.C."/>
    <n v="0.59"/>
    <n v="0.64"/>
    <s v="Brevard County"/>
    <n v="7.6106217767770004E-2"/>
    <n v="3720.1476841803901"/>
    <n v="11.0268863787929"/>
    <n v="1.8207175844069501"/>
    <n v="0.83921461604489"/>
    <n v="0.13856792897247999"/>
    <n v="283.12636978050602"/>
    <n v="1300"/>
    <s v="Residential, High Density"/>
    <n v="1300"/>
    <s v="Brevard County"/>
    <s v="Brevard County"/>
    <m/>
    <m/>
    <m/>
    <n v="0"/>
    <n v="1"/>
    <n v="0.83921461604489"/>
    <n v="0.13856792897247999"/>
    <n v="313.456885371930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0.970513915020703"/>
    <n v="307.99093615808101"/>
    <n v="0.25422294029999998"/>
  </r>
  <r>
    <n v="830000"/>
    <n v="2400000"/>
    <n v="2400000"/>
    <x v="0"/>
    <x v="0"/>
    <s v="BR3-5, BR-7"/>
    <s v="62-304.520 (10), F.A.C."/>
    <n v="0.59"/>
    <n v="0.64"/>
    <s v="Brevard County"/>
    <n v="4.780251781079E-2"/>
    <n v="3720.1476841803901"/>
    <n v="11.0268863787929"/>
    <n v="1.8207175844069501"/>
    <n v="0.52711293251989999"/>
    <n v="8.7034884757040007E-2"/>
    <n v="177.83242593183601"/>
    <n v="1330"/>
    <s v="Residential, High density; Multiple Dwelling Units, Low Rise &lt;Two stories or less&gt;"/>
    <n v="1330"/>
    <s v="Brevard County"/>
    <s v="Brevard County"/>
    <m/>
    <m/>
    <m/>
    <n v="0"/>
    <n v="1"/>
    <n v="0.52711293251989999"/>
    <n v="8.7034884757040007E-2"/>
    <n v="177.83242593183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5.722609434047101"/>
    <n v="193.449926209522"/>
    <n v="0.1442274338"/>
  </r>
  <r>
    <n v="830000"/>
    <n v="2400000"/>
    <n v="2400000"/>
    <x v="0"/>
    <x v="0"/>
    <s v="BR3-5, BR-7"/>
    <s v="62-304.520 (10), F.A.C."/>
    <n v="0.59"/>
    <n v="0.64"/>
    <s v="Brevard County"/>
    <n v="2.1179977217509999E-2"/>
    <n v="3720.1476841803901"/>
    <n v="11.0268863787929"/>
    <n v="1.8207175844069501"/>
    <n v="0.23354920228289999"/>
    <n v="3.8562756957249998E-2"/>
    <n v="78.792643196713399"/>
    <n v="1410"/>
    <s v="Retail Sales and Services"/>
    <n v="1410"/>
    <s v="Brevard County"/>
    <s v="Brevard County"/>
    <m/>
    <m/>
    <m/>
    <n v="0"/>
    <n v="1"/>
    <n v="0.23354920228289999"/>
    <n v="3.8562756957249998E-2"/>
    <n v="135.08691154484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9.155691545059497"/>
    <n v="85.712326828966297"/>
    <n v="0.109559539"/>
  </r>
  <r>
    <n v="830000"/>
    <n v="2400000"/>
    <n v="2400000"/>
    <x v="0"/>
    <x v="0"/>
    <s v="BR3-5, BR-7"/>
    <s v="62-304.520 (10), F.A.C."/>
    <n v="0.59"/>
    <n v="0.64"/>
    <s v="Brevard County"/>
    <n v="9.6823781296999996E-4"/>
    <n v="3720.1476841803901"/>
    <n v="11.0268863787929"/>
    <n v="1.8207175844069501"/>
    <n v="1.06766483513E-2"/>
    <n v="1.7628876119599999E-3"/>
    <n v="3.6019876576673999"/>
    <n v="1330"/>
    <s v="Residential, High density; Multiple Dwelling Units, Low Rise &lt;Two stories or less&gt;"/>
    <n v="1330"/>
    <s v="Brevard County"/>
    <s v="Brevard County"/>
    <m/>
    <m/>
    <m/>
    <n v="0"/>
    <n v="1"/>
    <n v="1.06766483513E-2"/>
    <n v="1.7628876119599999E-3"/>
    <n v="3.6019876576684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2.069737389173898"/>
    <n v="3.9183194118414901"/>
    <n v="2.9213200999999999E-3"/>
  </r>
  <r>
    <n v="830000"/>
    <n v="2400000"/>
    <n v="2400000"/>
    <x v="0"/>
    <x v="0"/>
    <s v="BR3-5, BR-7"/>
    <s v="62-304.520 (10), F.A.C."/>
    <n v="0.59"/>
    <n v="0.64"/>
    <s v="Brevard County"/>
    <n v="1.30561276319E-3"/>
    <n v="3720.1476841803901"/>
    <n v="11.0268863787929"/>
    <n v="1.8207175844069501"/>
    <n v="1.439684359449E-2"/>
    <n v="2.3771521163799998E-3"/>
    <n v="4.85707229745113"/>
    <n v="1410"/>
    <s v="Retail Sales and Services"/>
    <n v="1410"/>
    <s v="Brevard County"/>
    <s v="Brevard County"/>
    <m/>
    <m/>
    <m/>
    <n v="0"/>
    <n v="1"/>
    <n v="1.439684359449E-2"/>
    <n v="2.3771521163799998E-3"/>
    <n v="6.909493176118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8.858549575754601"/>
    <n v="5.2836273959195204"/>
    <n v="5.6038062999999999E-3"/>
  </r>
  <r>
    <n v="830000"/>
    <n v="2400000"/>
    <n v="2400000"/>
    <x v="0"/>
    <x v="0"/>
    <s v="BR3-5, BR-7"/>
    <s v="62-304.520 (10), F.A.C."/>
    <n v="0.59"/>
    <n v="0.64"/>
    <s v="City of Cocoa Beach"/>
    <n v="2.7734419885420001E-2"/>
    <n v="3794.0452576786001"/>
    <n v="9.4037105086998594"/>
    <n v="1.56196917460546"/>
    <n v="0.26080645572925998"/>
    <n v="4.3320308936590002E-2"/>
    <n v="105.225644240763"/>
    <n v="1300"/>
    <s v="Residential, High Density"/>
    <n v="1300"/>
    <s v="City of Cocoa Beach           Brevard County"/>
    <s v="City of Cocoa Beach"/>
    <m/>
    <m/>
    <m/>
    <n v="0"/>
    <n v="1"/>
    <n v="0.26080645572925998"/>
    <n v="4.3320308936590002E-2"/>
    <n v="249.212961107239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3.736825615806602"/>
    <n v="112.237215234868"/>
    <n v="0.2021191899"/>
  </r>
  <r>
    <n v="830000"/>
    <n v="2400000"/>
    <n v="2400000"/>
    <x v="0"/>
    <x v="0"/>
    <s v="BR3-5, BR-7"/>
    <s v="62-304.520 (10), F.A.C."/>
    <n v="0.59"/>
    <n v="0.64"/>
    <s v="City of Cocoa Beach"/>
    <n v="0.14583562983817999"/>
    <n v="3733.7897184973399"/>
    <n v="10.7455024544817"/>
    <n v="2.0707943352648099"/>
    <n v="1.56707711837707"/>
    <n v="0.30199559614867999"/>
    <n v="544.51957528038804"/>
    <n v="1300"/>
    <s v="Residential, High Density"/>
    <n v="1300"/>
    <s v="City of Cocoa Beach           Brevard County"/>
    <s v="City of Cocoa Beach"/>
    <m/>
    <m/>
    <m/>
    <n v="0"/>
    <n v="1"/>
    <n v="1.56707711837707"/>
    <n v="0.30199559614867999"/>
    <n v="544.519575280388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3.64232226528"/>
    <n v="590.175855225394"/>
    <n v="0.44162171560000002"/>
  </r>
  <r>
    <n v="830000"/>
    <n v="2400000"/>
    <n v="2400000"/>
    <x v="0"/>
    <x v="0"/>
    <s v="BR3-5, BR-7"/>
    <s v="62-304.520 (10), F.A.C."/>
    <n v="0.59"/>
    <n v="0.64"/>
    <s v="City of Cocoa Beach"/>
    <n v="0.61724948819911996"/>
    <n v="3748.94196293717"/>
    <n v="8.1826313582309407"/>
    <n v="1.2738035181559"/>
    <n v="5.0507250179901302"/>
    <n v="0.78625456964797003"/>
    <n v="2314.0325079111699"/>
    <n v="1300"/>
    <s v="Residential, High Density"/>
    <n v="1300"/>
    <s v="City of Cocoa Beach           Brevard County"/>
    <s v="City of Cocoa Beach"/>
    <m/>
    <m/>
    <m/>
    <n v="0"/>
    <n v="1"/>
    <n v="5.0507250179901302"/>
    <n v="0.78625456964797003"/>
    <n v="2315.9593339344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8.807651089594"/>
    <n v="2497.9200555417201"/>
    <n v="1.8783125173999999"/>
  </r>
  <r>
    <n v="830000"/>
    <n v="2400000"/>
    <n v="2400000"/>
    <x v="0"/>
    <x v="0"/>
    <s v="BR3-5, BR-7"/>
    <s v="62-304.520 (10), F.A.C."/>
    <n v="0.59"/>
    <n v="0.64"/>
    <s v="City of Cocoa Beach"/>
    <n v="0.13250858345298"/>
    <n v="3753.14035942999"/>
    <n v="11.5356646709798"/>
    <n v="1.5229578154493"/>
    <n v="1.5285745847401999"/>
    <n v="0.20180498278383999"/>
    <n v="497.32331252830198"/>
    <n v="1400"/>
    <s v="Commercial and Services"/>
    <n v="1400"/>
    <s v="City of Cocoa Beach           Brevard County"/>
    <s v="City of Cocoa Beach"/>
    <m/>
    <m/>
    <m/>
    <n v="0"/>
    <n v="1"/>
    <n v="1.5285745847401999"/>
    <n v="0.20180498278383999"/>
    <n v="1076.7910467326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1.361734708753"/>
    <n v="536.24321196984795"/>
    <n v="0.87330985139999995"/>
  </r>
  <r>
    <n v="830000"/>
    <n v="2400000"/>
    <n v="2400000"/>
    <x v="0"/>
    <x v="0"/>
    <s v="BR3-5, BR-7"/>
    <s v="62-304.520 (10), F.A.C."/>
    <n v="0.59"/>
    <n v="0.64"/>
    <s v="City of Cocoa Beach"/>
    <n v="5.0242596854569999E-2"/>
    <n v="3753.14035942999"/>
    <n v="11.5356646709798"/>
    <n v="1.5229578154493"/>
    <n v="0.57958174951356001"/>
    <n v="7.6517355548129995E-2"/>
    <n v="188.56751801746401"/>
    <n v="1410"/>
    <s v="Retail Sales and Services"/>
    <n v="1410"/>
    <s v="City of Cocoa Beach           Brevard County"/>
    <s v="City of Cocoa Beach"/>
    <m/>
    <m/>
    <m/>
    <n v="0"/>
    <n v="1"/>
    <n v="0.57958174951356001"/>
    <n v="7.6517355548129995E-2"/>
    <n v="188.567518017465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4.8773826940768"/>
    <n v="203.32457575897899"/>
    <n v="0.15293391570000001"/>
  </r>
  <r>
    <n v="830000"/>
    <n v="2400000"/>
    <n v="2400000"/>
    <x v="0"/>
    <x v="0"/>
    <s v="BR3-5, BR-7"/>
    <s v="62-304.520 (10), F.A.C."/>
    <n v="0.59"/>
    <n v="0.64"/>
    <s v="City of Cocoa Beach"/>
    <n v="6.0900103441220002E-2"/>
    <n v="3754.4196599900602"/>
    <n v="11.5406116862837"/>
    <n v="1.5236008799999501"/>
    <n v="0.70282444546973"/>
    <n v="9.2787451195139994E-2"/>
    <n v="228.64454565517801"/>
    <n v="1400"/>
    <s v="Commercial and Services"/>
    <n v="1400"/>
    <s v="City of Cocoa Beach           Brevard County"/>
    <s v="City of Cocoa Beach"/>
    <m/>
    <m/>
    <m/>
    <n v="0"/>
    <n v="1"/>
    <n v="0.70282444546973"/>
    <n v="9.2787451195139994E-2"/>
    <n v="281.36707534409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3.501029807941805"/>
    <n v="246.453974735961"/>
    <n v="0.2281971414"/>
  </r>
  <r>
    <n v="830000"/>
    <n v="2400000"/>
    <n v="2400000"/>
    <x v="0"/>
    <x v="0"/>
    <s v="BR3-5, BR-7"/>
    <s v="62-304.520 (10), F.A.C."/>
    <n v="0.59"/>
    <n v="0.64"/>
    <s v="City of Cocoa Beach"/>
    <n v="0.22630818219241"/>
    <n v="3754.4196599900602"/>
    <n v="11.5406116862837"/>
    <n v="1.5236008799999501"/>
    <n v="2.6117348521113599"/>
    <n v="0.34480334553954001"/>
    <n v="849.65588843979697"/>
    <n v="1410"/>
    <s v="Retail Sales and Services"/>
    <n v="1410"/>
    <s v="City of Cocoa Beach           Brevard County"/>
    <s v="City of Cocoa Beach"/>
    <m/>
    <m/>
    <m/>
    <n v="0"/>
    <n v="1"/>
    <n v="2.6117348521113599"/>
    <n v="0.34480334553954001"/>
    <n v="1009.3991942076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7.526662832773"/>
    <n v="915.83672054702402"/>
    <n v="0.8186530367"/>
  </r>
  <r>
    <n v="830000"/>
    <n v="2400000"/>
    <n v="2400000"/>
    <x v="0"/>
    <x v="0"/>
    <s v="BR3-5, BR-7"/>
    <s v="62-304.520 (10), F.A.C."/>
    <n v="0.59"/>
    <n v="0.64"/>
    <s v="City of Cocoa Beach"/>
    <n v="0.11383548780015"/>
    <n v="3754.4196599900602"/>
    <n v="11.5406116862837"/>
    <n v="1.5236008799999501"/>
    <n v="1.3137311608202999"/>
    <n v="0.17343984938754001"/>
    <n v="427.38619340146801"/>
    <n v="1410"/>
    <s v="Retail Sales and Services"/>
    <n v="1410"/>
    <s v="City of Cocoa Beach           Brevard County"/>
    <s v="City of Cocoa Beach"/>
    <m/>
    <m/>
    <m/>
    <n v="0"/>
    <n v="1"/>
    <n v="1.3137311608202999"/>
    <n v="0.17343984938754001"/>
    <n v="652.868210980794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6.059929403681096"/>
    <n v="460.67587490110401"/>
    <n v="0.52949571039999999"/>
  </r>
  <r>
    <n v="830000"/>
    <n v="2400000"/>
    <n v="2400000"/>
    <x v="0"/>
    <x v="0"/>
    <s v="BR3-5, BR-7"/>
    <s v="62-304.520 (10), F.A.C."/>
    <n v="0.59"/>
    <n v="0.64"/>
    <s v="City of Cocoa Beach"/>
    <n v="0.10007106527975"/>
    <n v="3754.4196599900602"/>
    <n v="11.5406116862837"/>
    <n v="1.5236008799999501"/>
    <n v="1.15488130542634"/>
    <n v="0.15246836312275999"/>
    <n v="375.70877488244201"/>
    <n v="1410"/>
    <s v="Retail Sales and Services"/>
    <n v="1410"/>
    <s v="City of Cocoa Beach           Brevard County"/>
    <s v="City of Cocoa Beach"/>
    <m/>
    <m/>
    <m/>
    <n v="0"/>
    <n v="1"/>
    <n v="1.15488130542634"/>
    <n v="0.15246836312275999"/>
    <n v="375.70877488244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0.695384833999796"/>
    <n v="404.97323322376599"/>
    <n v="0.30471109070000002"/>
  </r>
  <r>
    <n v="830000"/>
    <n v="2400000"/>
    <n v="2400000"/>
    <x v="0"/>
    <x v="0"/>
    <s v="BR3-5, BR-7"/>
    <s v="62-304.520 (10), F.A.C."/>
    <n v="0.59"/>
    <n v="0.64"/>
    <s v="City of Cocoa Beach"/>
    <n v="1.290020577753E-2"/>
    <n v="3687.3266176525199"/>
    <n v="9.9023814690627994"/>
    <n v="1.6976339833318399"/>
    <n v="0.12774275863854001"/>
    <n v="2.189982771991E-2"/>
    <n v="47.5672721366923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2774275863854001"/>
    <n v="2.189982771991E-2"/>
    <n v="47.567272136694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7.745760963105603"/>
    <n v="52.205280601093001"/>
    <n v="3.8578485099999997E-2"/>
  </r>
  <r>
    <n v="830000"/>
    <n v="2400000"/>
    <n v="2400000"/>
    <x v="0"/>
    <x v="0"/>
    <s v="BR3-5, BR-7"/>
    <s v="62-304.520 (10), F.A.C."/>
    <n v="0.59"/>
    <n v="0.64"/>
    <s v="City of Cocoa Beach"/>
    <n v="0.12345208979435"/>
    <n v="3687.3266176525199"/>
    <n v="9.9023814690627994"/>
    <n v="1.6976339833318399"/>
    <n v="1.22246968629667"/>
    <n v="0.20957646294821999"/>
    <n v="455.20817670354802"/>
    <n v="1210"/>
    <s v="Fixed Single Family Units"/>
    <n v="1210"/>
    <s v="City of Cocoa Beach           Brevard County"/>
    <s v="City of Cocoa Beach"/>
    <m/>
    <m/>
    <m/>
    <n v="0"/>
    <n v="1"/>
    <n v="1.22246968629667"/>
    <n v="0.20957646294821999"/>
    <n v="455.208176703548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9.557526088850906"/>
    <n v="499.59288244297699"/>
    <n v="0.3691874912"/>
  </r>
  <r>
    <n v="830000"/>
    <n v="2400000"/>
    <n v="2400000"/>
    <x v="0"/>
    <x v="0"/>
    <s v="BR3-5, BR-7"/>
    <s v="62-304.520 (10), F.A.C."/>
    <n v="0.59"/>
    <n v="0.64"/>
    <s v="City of Cocoa Beach"/>
    <n v="0.16167699722059001"/>
    <n v="3687.3266176525199"/>
    <n v="9.9023814690627994"/>
    <n v="1.6976339833318399"/>
    <n v="1.6009873012509701"/>
    <n v="0.27446836480473003"/>
    <n v="596.15589531364799"/>
    <n v="1210"/>
    <s v="Fixed Single Family Units"/>
    <n v="1210"/>
    <s v="City of Cocoa Beach           Brevard County"/>
    <s v="City of Cocoa Beach"/>
    <m/>
    <m/>
    <m/>
    <n v="0"/>
    <n v="1"/>
    <n v="1.6009873012509701"/>
    <n v="0.27446836480473003"/>
    <n v="596.15589531364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494233447864"/>
    <n v="654.28359455652605"/>
    <n v="0.48350032059999998"/>
  </r>
  <r>
    <n v="830000"/>
    <n v="2400000"/>
    <n v="2400000"/>
    <x v="0"/>
    <x v="0"/>
    <s v="BR3-5, BR-7"/>
    <s v="62-304.520 (10), F.A.C."/>
    <n v="0.59"/>
    <n v="0.64"/>
    <s v="City of Cocoa Beach"/>
    <n v="2.7681183053470001E-2"/>
    <n v="3687.3266176525199"/>
    <n v="9.9023814690627994"/>
    <n v="1.6976339833318399"/>
    <n v="0.27410963411048"/>
    <n v="4.699251705041E-2"/>
    <n v="102.069563081197"/>
    <n v="1210"/>
    <s v="Fixed Single Family Units"/>
    <n v="1210"/>
    <s v="City of Cocoa Beach           Brevard County"/>
    <s v="City of Cocoa Beach"/>
    <m/>
    <m/>
    <m/>
    <n v="0"/>
    <n v="1"/>
    <n v="0.27410963411048"/>
    <n v="4.699251705041E-2"/>
    <n v="102.0695630811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6.151296748247802"/>
    <n v="112.021773419594"/>
    <n v="8.27814786E-2"/>
  </r>
  <r>
    <n v="830000"/>
    <n v="2400000"/>
    <n v="2400000"/>
    <x v="0"/>
    <x v="0"/>
    <s v="BR3-5, BR-7"/>
    <s v="62-304.520 (10), F.A.C."/>
    <n v="0.59"/>
    <n v="0.64"/>
    <s v="City of Cocoa Beach"/>
    <n v="0.29205297789099"/>
    <n v="3687.3266176525199"/>
    <n v="9.9023814690627994"/>
    <n v="1.6976339833318399"/>
    <n v="2.8920199962523601"/>
    <n v="0.49579906020101"/>
    <n v="1076.89471914214"/>
    <n v="1300"/>
    <s v="Residential, High Density"/>
    <n v="1300"/>
    <s v="City of Cocoa Beach           Brevard County"/>
    <s v="City of Cocoa Beach"/>
    <m/>
    <m/>
    <m/>
    <n v="0"/>
    <n v="1"/>
    <n v="2.8920199962523601"/>
    <n v="0.49579906020101"/>
    <n v="1076.8947191421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2.984945575778"/>
    <n v="1181.8964692592001"/>
    <n v="0.87339393279999999"/>
  </r>
  <r>
    <n v="830000"/>
    <n v="2400000"/>
    <n v="2400000"/>
    <x v="0"/>
    <x v="0"/>
    <s v="BR3-5, BR-7"/>
    <s v="62-304.520 (10), F.A.C."/>
    <n v="0.59"/>
    <n v="0.64"/>
    <s v="City of Cocoa Beach"/>
    <n v="0.16709502752305"/>
    <n v="3753.9352727463802"/>
    <n v="11.5380281711255"/>
    <n v="1.52327063826565"/>
    <n v="1.92794713481596"/>
    <n v="0.25453094922605002"/>
    <n v="627.26391771930901"/>
    <n v="1400"/>
    <s v="Commercial and Services"/>
    <n v="1400"/>
    <s v="City of Cocoa Beach           Brevard County"/>
    <s v="City of Cocoa Beach"/>
    <m/>
    <m/>
    <m/>
    <n v="0"/>
    <n v="1"/>
    <n v="1.92794713481596"/>
    <n v="0.25453094922605002"/>
    <n v="627.263917719309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52.03487696517601"/>
    <n v="676.20958528276503"/>
    <n v="0.5087298603"/>
  </r>
  <r>
    <n v="830000"/>
    <n v="2400000"/>
    <n v="2400000"/>
    <x v="0"/>
    <x v="0"/>
    <s v="BR3-5, BR-7"/>
    <s v="62-304.520 (10), F.A.C."/>
    <n v="0.59"/>
    <n v="0.64"/>
    <s v="City of Cocoa Beach"/>
    <n v="0.45066842628294002"/>
    <n v="3753.9352727463802"/>
    <n v="11.5380281711255"/>
    <n v="1.52327063826565"/>
    <n v="5.1998249982894196"/>
    <n v="0.68648998135019001"/>
    <n v="1691.7801017366401"/>
    <n v="1410"/>
    <s v="Retail Sales and Services"/>
    <n v="1410"/>
    <s v="City of Cocoa Beach           Brevard County"/>
    <s v="City of Cocoa Beach"/>
    <m/>
    <m/>
    <m/>
    <n v="0"/>
    <n v="1"/>
    <n v="5.1998249982894196"/>
    <n v="0.68648998135019001"/>
    <n v="1691.7801017366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2.044542998265"/>
    <n v="1823.79041527602"/>
    <n v="1.3720844296000001"/>
  </r>
  <r>
    <n v="830000"/>
    <n v="2400000"/>
    <n v="2400000"/>
    <x v="0"/>
    <x v="0"/>
    <s v="BR3-5, BR-7"/>
    <s v="62-304.520 (10), F.A.C."/>
    <n v="0.59"/>
    <n v="0.64"/>
    <s v="City of Cocoa Beach"/>
    <n v="7.4520355605730004E-2"/>
    <n v="3711.6344683201401"/>
    <n v="9.3419405300623204"/>
    <n v="1.2463148326812701"/>
    <n v="0.69616473034785997"/>
    <n v="9.2875824528100004E-2"/>
    <n v="276.59232045771603"/>
    <n v="1400"/>
    <s v="Commercial and Services"/>
    <n v="1400"/>
    <s v="City of Cocoa Beach           Brevard County"/>
    <s v="City of Cocoa Beach"/>
    <m/>
    <m/>
    <m/>
    <n v="0"/>
    <n v="1"/>
    <n v="0.69616473034785997"/>
    <n v="9.2875824528100004E-2"/>
    <n v="312.856010389604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23093331106899"/>
    <n v="301.57317968259599"/>
    <n v="0.25373561259999999"/>
  </r>
  <r>
    <n v="830000"/>
    <n v="2400000"/>
    <n v="2400000"/>
    <x v="0"/>
    <x v="0"/>
    <s v="BR3-5, BR-7"/>
    <s v="62-304.520 (10), F.A.C."/>
    <n v="0.59"/>
    <n v="0.64"/>
    <s v="City of Cocoa Beach"/>
    <n v="9.388644888738E-2"/>
    <n v="3711.6344683201401"/>
    <n v="9.3419405300623204"/>
    <n v="1.2463148326812701"/>
    <n v="0.87708162208465001"/>
    <n v="0.11701207383610999"/>
    <n v="348.47217979858101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87708162208465001"/>
    <n v="0.11701207383610999"/>
    <n v="388.085674863863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6.81939628910099"/>
    <n v="379.944978656226"/>
    <n v="0.31474912799999999"/>
  </r>
  <r>
    <n v="830000"/>
    <n v="2400000"/>
    <n v="2400000"/>
    <x v="0"/>
    <x v="0"/>
    <s v="BR3-5, BR-7"/>
    <s v="62-304.520 (10), F.A.C."/>
    <n v="0.59"/>
    <n v="0.64"/>
    <s v="City of Cocoa Beach"/>
    <n v="0.15815543101542001"/>
    <n v="3711.6344683201401"/>
    <n v="9.3419405300623204"/>
    <n v="1.2463148326812701"/>
    <n v="1.4774786310525101"/>
    <n v="0.19711145954362"/>
    <n v="587.015149108895"/>
    <n v="1410"/>
    <s v="Retail Sales and Services"/>
    <n v="1410"/>
    <s v="City of Cocoa Beach           Brevard County"/>
    <s v="City of Cocoa Beach"/>
    <m/>
    <m/>
    <m/>
    <n v="0"/>
    <n v="1"/>
    <n v="1.4774786310525101"/>
    <n v="0.19711145954362"/>
    <n v="684.25288724417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6.274734119808"/>
    <n v="640.03232174222899"/>
    <n v="0.55494962469999998"/>
  </r>
  <r>
    <n v="830000"/>
    <n v="2400000"/>
    <n v="2400000"/>
    <x v="0"/>
    <x v="0"/>
    <s v="BR3-5, BR-7"/>
    <s v="62-304.520 (10), F.A.C."/>
    <n v="0.59"/>
    <n v="0.64"/>
    <s v="City of Cocoa Beach"/>
    <n v="3.8717233020899998E-3"/>
    <n v="3736.76290362911"/>
    <n v="11.9252598337842"/>
    <n v="1.5700371911879001"/>
    <n v="4.6171306381960001E-2"/>
    <n v="6.0787495782700001E-3"/>
    <n v="14.4677120083738"/>
    <n v="1400"/>
    <s v="Commercial and Services"/>
    <n v="1400"/>
    <s v="City of Cocoa Beach           Brevard County"/>
    <s v="City of Cocoa Beach"/>
    <m/>
    <m/>
    <m/>
    <n v="0"/>
    <n v="1"/>
    <n v="4.6171306381960001E-2"/>
    <n v="6.0787495782700001E-3"/>
    <n v="627.2369174905960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6.632012861498403"/>
    <n v="15.6683083108262"/>
    <n v="0.50870796230000004"/>
  </r>
  <r>
    <n v="830000"/>
    <n v="2400000"/>
    <n v="2400000"/>
    <x v="0"/>
    <x v="0"/>
    <s v="BR3-5, BR-7"/>
    <s v="62-304.520 (10), F.A.C."/>
    <n v="0.59"/>
    <n v="0.64"/>
    <s v="City of Cocoa Beach"/>
    <n v="5.4385000909569998E-2"/>
    <n v="3740.2262049943702"/>
    <n v="11.845312331822999"/>
    <n v="1.5603793125162699"/>
    <n v="0.64420732194043995"/>
    <n v="8.486123033048E-2"/>
    <n v="203.41220556064999"/>
    <n v="1400"/>
    <s v="Commercial and Services"/>
    <n v="1400"/>
    <s v="City of Cocoa Beach           Brevard County"/>
    <s v="City of Cocoa Beach"/>
    <m/>
    <m/>
    <m/>
    <n v="0"/>
    <n v="1"/>
    <n v="0.64420732194043995"/>
    <n v="8.486123033048E-2"/>
    <n v="817.0903554315109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9.07266003797901"/>
    <n v="220.08829021315699"/>
    <n v="0.66268479759999999"/>
  </r>
  <r>
    <n v="830000"/>
    <n v="2400000"/>
    <n v="2400000"/>
    <x v="0"/>
    <x v="0"/>
    <s v="BR3-5, BR-7"/>
    <s v="62-304.520 (10), F.A.C."/>
    <n v="0.59"/>
    <n v="0.64"/>
    <s v="City of Cocoa Beach"/>
    <n v="2.4509282174259999E-2"/>
    <n v="3747.8008419646799"/>
    <n v="8.2825900619542505"/>
    <n v="1.3050723621861999"/>
    <n v="0.20300033696219999"/>
    <n v="3.1986386782649999E-2"/>
    <n v="91.855908368664203"/>
    <n v="1300"/>
    <s v="Residential, High Density"/>
    <n v="1300"/>
    <s v="City of Cocoa Beach           Brevard County"/>
    <s v="City of Cocoa Beach"/>
    <m/>
    <m/>
    <m/>
    <n v="0"/>
    <n v="1"/>
    <n v="0.20300033696219999"/>
    <n v="3.1986386782649999E-2"/>
    <n v="91.855908368664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3.985835438571"/>
    <n v="99.185545975342393"/>
    <n v="7.4497898100000001E-2"/>
  </r>
  <r>
    <n v="830000"/>
    <n v="2400000"/>
    <n v="2400000"/>
    <x v="0"/>
    <x v="0"/>
    <s v="BR3-5, BR-7"/>
    <s v="62-304.520 (10), F.A.C."/>
    <n v="0.59"/>
    <n v="0.64"/>
    <s v="City of Cocoa Beach"/>
    <n v="0.59325417144762005"/>
    <n v="3747.8008419646799"/>
    <n v="8.2825900619542505"/>
    <n v="1.3050723621861999"/>
    <n v="4.9136811046449598"/>
    <n v="0.77423962290796"/>
    <n v="2223.3984832504502"/>
    <n v="1300"/>
    <s v="Residential, High Density"/>
    <n v="1300"/>
    <s v="City of Cocoa Beach           Brevard County"/>
    <s v="City of Cocoa Beach"/>
    <m/>
    <m/>
    <m/>
    <n v="0"/>
    <n v="1"/>
    <n v="4.9136811046449598"/>
    <n v="0.77423962290796"/>
    <n v="2223.3984832504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6.050991753093"/>
    <n v="2400.8144538383899"/>
    <n v="1.8032428898999999"/>
  </r>
  <r>
    <n v="830000"/>
    <n v="2400000"/>
    <n v="2400000"/>
    <x v="0"/>
    <x v="0"/>
    <s v="BR3-5, BR-7"/>
    <s v="62-304.520 (10), F.A.C."/>
    <n v="0.59"/>
    <n v="0.64"/>
    <s v="City of Cocoa Beach"/>
    <n v="1.7071166289380001E-2"/>
    <n v="3780.5324169157402"/>
    <n v="10.828988383115901"/>
    <n v="1.83721797562087"/>
    <n v="0.18486346143394"/>
    <n v="3.1363453571659997E-2"/>
    <n v="64.538097551564107"/>
    <n v="1300"/>
    <s v="Residential, High Density"/>
    <n v="1300"/>
    <s v="City of Cocoa Beach           Brevard County"/>
    <s v="City of Cocoa Beach"/>
    <m/>
    <m/>
    <m/>
    <n v="0"/>
    <n v="1"/>
    <n v="0.18486346143394"/>
    <n v="3.1363453571659997E-2"/>
    <n v="220.57858101420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5.533614368898199"/>
    <n v="69.084558936039102"/>
    <n v="0.17889584829999999"/>
  </r>
  <r>
    <n v="830000"/>
    <n v="2400000"/>
    <n v="2400000"/>
    <x v="0"/>
    <x v="0"/>
    <s v="BR3-5, BR-7"/>
    <s v="62-304.520 (10), F.A.C."/>
    <n v="0.59"/>
    <n v="0.64"/>
    <s v="City of Cocoa Beach"/>
    <n v="2.97142602204E-2"/>
    <n v="3780.5324169157402"/>
    <n v="10.828988383115901"/>
    <n v="1.83721797562087"/>
    <n v="0.32177537873959999"/>
    <n v="5.459157300919E-2"/>
    <n v="112.335724007896"/>
    <n v="1400"/>
    <s v="Commercial and Services"/>
    <n v="1400"/>
    <s v="City of Cocoa Beach           Brevard County"/>
    <s v="City of Cocoa Beach"/>
    <m/>
    <m/>
    <m/>
    <n v="0"/>
    <n v="1"/>
    <n v="0.32177537873959999"/>
    <n v="5.459157300919E-2"/>
    <n v="443.931692578451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4.335624590842997"/>
    <n v="120.249344809793"/>
    <n v="0.36004192419999997"/>
  </r>
  <r>
    <n v="830000"/>
    <n v="2400000"/>
    <n v="2400000"/>
    <x v="0"/>
    <x v="0"/>
    <s v="BR3-5, BR-7"/>
    <s v="62-304.520 (10), F.A.C."/>
    <n v="0.59"/>
    <n v="0.64"/>
    <s v="City of Cocoa Beach"/>
    <n v="1.6863711587390001E-2"/>
    <n v="3780.5324169157402"/>
    <n v="10.828988383115901"/>
    <n v="1.83721797562087"/>
    <n v="0.18261693687607999"/>
    <n v="3.0982314064039999E-2"/>
    <n v="63.753808325653097"/>
    <n v="1450"/>
    <s v="Tourist Services"/>
    <n v="1450"/>
    <s v="City of Cocoa Beach           Brevard County"/>
    <s v="City of Cocoa Beach"/>
    <m/>
    <m/>
    <m/>
    <n v="0"/>
    <n v="1"/>
    <n v="0.18261693687607999"/>
    <n v="3.0982314064039999E-2"/>
    <n v="309.96999984633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6.8169760982993"/>
    <n v="68.245019542937797"/>
    <n v="0.25139497150000001"/>
  </r>
  <r>
    <n v="830000"/>
    <n v="2400000"/>
    <n v="2400000"/>
    <x v="0"/>
    <x v="0"/>
    <s v="BR3-5, BR-7"/>
    <s v="62-304.520 (10), F.A.C."/>
    <n v="0.59"/>
    <n v="0.64"/>
    <s v="City of Cocoa Beach"/>
    <n v="7.6975913503930002E-2"/>
    <n v="3780.5324169157402"/>
    <n v="10.828988383115901"/>
    <n v="1.83721797562087"/>
    <n v="0.83357127311379997"/>
    <n v="0.14142153197926"/>
    <n v="291.00993632331301"/>
    <n v="1300"/>
    <s v="Residential, High Density"/>
    <n v="1300"/>
    <s v="City of Cocoa Beach           Brevard County"/>
    <s v="City of Cocoa Beach"/>
    <m/>
    <m/>
    <m/>
    <n v="0"/>
    <n v="1"/>
    <n v="0.83357127311379997"/>
    <n v="0.14142153197926"/>
    <n v="894.51046976166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0.322371334760703"/>
    <n v="311.51046993348899"/>
    <n v="0.72547483349999997"/>
  </r>
  <r>
    <n v="830000"/>
    <n v="2400000"/>
    <n v="2400000"/>
    <x v="0"/>
    <x v="0"/>
    <s v="BR3-5, BR-7"/>
    <s v="62-304.520 (10), F.A.C."/>
    <n v="0.59"/>
    <n v="0.64"/>
    <s v="City of Cocoa Beach"/>
    <n v="1.3965418956900001E-3"/>
    <n v="3710.76717908623"/>
    <n v="10.1281259870592"/>
    <n v="1.66662567155485"/>
    <n v="1.414435226577E-2"/>
    <n v="2.3275125747599999E-3"/>
    <n v="5.1822418307527398"/>
    <n v="1210"/>
    <s v="Fixed Single Family Units"/>
    <n v="1210"/>
    <s v="City of Cocoa Beach           Brevard County"/>
    <s v="City of Cocoa Beach"/>
    <m/>
    <m/>
    <m/>
    <n v="0"/>
    <n v="1"/>
    <n v="1.414435226577E-2"/>
    <n v="2.3275125747599999E-3"/>
    <n v="694.718200094925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4.3092036162219"/>
    <n v="5.6516045397319399"/>
    <n v="0.56343730749999998"/>
  </r>
  <r>
    <n v="830000"/>
    <n v="2400000"/>
    <n v="2400000"/>
    <x v="0"/>
    <x v="0"/>
    <s v="BR3-5, BR-7"/>
    <s v="62-304.520 (10), F.A.C."/>
    <n v="0.59"/>
    <n v="0.64"/>
    <s v="City of Cocoa Beach"/>
    <n v="1.057108242788E-2"/>
    <n v="3779.2942416637702"/>
    <n v="10.560479002361401"/>
    <n v="1.82954066104674"/>
    <n v="0.11163569401185"/>
    <n v="1.9340225133080001E-2"/>
    <n v="39.951230947840003"/>
    <n v="1300"/>
    <s v="Residential, High Density"/>
    <n v="1300"/>
    <s v="City of Cocoa Beach           Brevard County"/>
    <s v="City of Cocoa Beach"/>
    <m/>
    <m/>
    <m/>
    <n v="0"/>
    <n v="1"/>
    <n v="0.11163569401185"/>
    <n v="1.9340225133080001E-2"/>
    <n v="276.09803649740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7.524098204911201"/>
    <n v="42.779652814986399"/>
    <n v="0.22392379279999999"/>
  </r>
  <r>
    <n v="830000"/>
    <n v="2400000"/>
    <n v="2400000"/>
    <x v="0"/>
    <x v="0"/>
    <s v="BR3-5, BR-7"/>
    <s v="62-304.520 (10), F.A.C."/>
    <n v="0.59"/>
    <n v="0.64"/>
    <s v="City of Cocoa Beach"/>
    <n v="3.6308471753000002E-3"/>
    <n v="3779.2942416637702"/>
    <n v="10.560479002361401"/>
    <n v="1.82954066104674"/>
    <n v="3.8343485355620002E-2"/>
    <n v="6.64278254127E-3"/>
    <n v="13.722039822002699"/>
    <n v="1210"/>
    <s v="Fixed Single Family Units"/>
    <n v="1210"/>
    <s v="City of Cocoa Beach           Brevard County"/>
    <s v="City of Cocoa Beach"/>
    <m/>
    <m/>
    <m/>
    <n v="0"/>
    <n v="1"/>
    <n v="3.8343485355620002E-2"/>
    <n v="6.64278254127E-3"/>
    <n v="13.722039822001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9.725575226284803"/>
    <n v="14.693517210146499"/>
    <n v="1.11289861E-2"/>
  </r>
  <r>
    <n v="830000"/>
    <n v="2400000"/>
    <n v="2400000"/>
    <x v="0"/>
    <x v="0"/>
    <s v="BR3-5, BR-7"/>
    <s v="62-304.520 (10), F.A.C."/>
    <n v="0.59"/>
    <n v="0.64"/>
    <s v="City of Cocoa Beach"/>
    <n v="2.227065983719E-2"/>
    <n v="3779.2942416637702"/>
    <n v="10.560479002361401"/>
    <n v="1.82954066104674"/>
    <n v="0.23518883557945999"/>
    <n v="4.0745077720489999E-2"/>
    <n v="84.167376480775104"/>
    <n v="1300"/>
    <s v="Residential, High Density"/>
    <n v="1300"/>
    <s v="City of Cocoa Beach           Brevard County"/>
    <s v="City of Cocoa Beach"/>
    <m/>
    <m/>
    <m/>
    <n v="0"/>
    <n v="1"/>
    <n v="0.23518883557945999"/>
    <n v="4.0745077720489999E-2"/>
    <n v="873.346716078119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7.539194067284797"/>
    <n v="90.126162793248994"/>
    <n v="0.70831039419999997"/>
  </r>
  <r>
    <n v="830000"/>
    <n v="2400000"/>
    <n v="2400000"/>
    <x v="0"/>
    <x v="0"/>
    <s v="BR3-5, BR-7"/>
    <s v="62-304.520 (10), F.A.C."/>
    <n v="0.59"/>
    <n v="0.64"/>
    <s v="City of Cocoa Beach"/>
    <n v="1.2429956961500001E-3"/>
    <n v="3779.2942416637702"/>
    <n v="10.560479002361401"/>
    <n v="1.82954066104674"/>
    <n v="1.312662994921E-2"/>
    <n v="2.2741111676100002E-3"/>
    <n v="4.6976464768725501"/>
    <n v="1210"/>
    <s v="Fixed Single Family Units"/>
    <n v="1210"/>
    <s v="City of Cocoa Beach           Brevard County"/>
    <s v="City of Cocoa Beach"/>
    <m/>
    <m/>
    <m/>
    <n v="0"/>
    <n v="1"/>
    <n v="1.312662994921E-2"/>
    <n v="2.2741111676100002E-3"/>
    <n v="78.04582213657890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.051309990900901"/>
    <n v="5.0302251159812297"/>
    <n v="6.3297503800000002E-2"/>
  </r>
  <r>
    <n v="830000"/>
    <n v="2400000"/>
    <n v="2400000"/>
    <x v="0"/>
    <x v="0"/>
    <s v="BR3-5, BR-7"/>
    <s v="62-304.520 (10), F.A.C."/>
    <n v="0.59"/>
    <n v="0.64"/>
    <s v="City of Cocoa Beach"/>
    <n v="9.8859243966500004E-2"/>
    <n v="3695.6535633538101"/>
    <n v="9.4867124968976295"/>
    <n v="1.25624546124614"/>
    <n v="0.93784922517088998"/>
    <n v="0.12419147653514"/>
    <n v="365.34951723527797"/>
    <n v="1400"/>
    <s v="Commercial and Services"/>
    <n v="1400"/>
    <s v="City of Cocoa Beach           Brevard County"/>
    <s v="City of Cocoa Beach"/>
    <m/>
    <m/>
    <m/>
    <n v="0"/>
    <n v="1"/>
    <n v="0.93784922517088998"/>
    <n v="0.12419147653514"/>
    <n v="439.603387092636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8.382144353434"/>
    <n v="400.06916635945998"/>
    <n v="0.35653153859999998"/>
  </r>
  <r>
    <n v="830000"/>
    <n v="2400000"/>
    <n v="2400000"/>
    <x v="0"/>
    <x v="0"/>
    <s v="BR3-5, BR-7"/>
    <s v="62-304.520 (10), F.A.C."/>
    <n v="0.59"/>
    <n v="0.64"/>
    <s v="City of Cocoa Beach"/>
    <n v="0.13301719733406001"/>
    <n v="3695.6535633538101"/>
    <n v="9.4867124968976295"/>
    <n v="1.25624546124614"/>
    <n v="1.2618959082513199"/>
    <n v="0.16710225041859"/>
    <n v="491.58547931495701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1.2618959082513199"/>
    <n v="0.16710225041859"/>
    <n v="690.740453353354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0.21649911142899"/>
    <n v="538.30149932098698"/>
    <n v="0.56021123549999996"/>
  </r>
  <r>
    <n v="830000"/>
    <n v="2400000"/>
    <n v="2400000"/>
    <x v="0"/>
    <x v="0"/>
    <s v="BR3-5, BR-7"/>
    <s v="62-304.520 (10), F.A.C."/>
    <n v="0.59"/>
    <n v="0.64"/>
    <s v="City of Cocoa Beach"/>
    <n v="0.12329063428282"/>
    <n v="3695.6535633538101"/>
    <n v="9.4867124968976295"/>
    <n v="1.25624546124614"/>
    <n v="1.1696228010012999"/>
    <n v="0.15488329973195"/>
    <n v="455.63947191547101"/>
    <n v="1410"/>
    <s v="Retail Sales and Services"/>
    <n v="1410"/>
    <s v="City of Cocoa Beach           Brevard County"/>
    <s v="City of Cocoa Beach"/>
    <m/>
    <m/>
    <m/>
    <n v="0"/>
    <n v="1"/>
    <n v="1.1696228010012999"/>
    <n v="0.15488329973195"/>
    <n v="455.63947191547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42026098866801"/>
    <n v="498.93949516921498"/>
    <n v="0.36953728460000002"/>
  </r>
  <r>
    <n v="830000"/>
    <n v="2400000"/>
    <n v="2400000"/>
    <x v="0"/>
    <x v="0"/>
    <s v="BR3-5, BR-7"/>
    <s v="62-304.520 (10), F.A.C."/>
    <n v="0.59"/>
    <n v="0.64"/>
    <s v="City of Cocoa Beach"/>
    <n v="6.0815591933360003E-2"/>
    <n v="3669.8590945749902"/>
    <n v="9.1522207897528105"/>
    <n v="1.3461937982576999"/>
    <n v="0.55659772483366998"/>
    <n v="8.186957269806E-2"/>
    <n v="223.18465314862399"/>
    <n v="1200"/>
    <s v="Residential, Medium Density-Two-five dwellingunits per acre"/>
    <n v="1200"/>
    <s v="City of Cocoa Beach           Brevard County"/>
    <s v="City of Cocoa Beach"/>
    <m/>
    <m/>
    <m/>
    <n v="0"/>
    <n v="1"/>
    <n v="0.55659772483366998"/>
    <n v="8.186957269806E-2"/>
    <n v="697.123434765088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2.886456253199803"/>
    <n v="246.11196879759899"/>
    <n v="0.56538802499999996"/>
  </r>
  <r>
    <n v="830000"/>
    <n v="2400000"/>
    <n v="2400000"/>
    <x v="0"/>
    <x v="0"/>
    <s v="BR3-5, BR-7"/>
    <s v="62-304.520 (10), F.A.C."/>
    <n v="0.59"/>
    <n v="0.64"/>
    <s v="City of Cocoa Beach"/>
    <n v="1.9331052009090001E-2"/>
    <n v="3669.8590945749902"/>
    <n v="9.1522207897528105"/>
    <n v="1.3461937982576999"/>
    <n v="0.17692205608545999"/>
    <n v="2.6023342328439999E-2"/>
    <n v="70.942237023294197"/>
    <n v="1210"/>
    <s v="Fixed Single Family Units"/>
    <n v="1210"/>
    <s v="City of Cocoa Beach           Brevard County"/>
    <s v="City of Cocoa Beach"/>
    <m/>
    <m/>
    <m/>
    <n v="0"/>
    <n v="1"/>
    <n v="0.17692205608545999"/>
    <n v="2.6023342328439999E-2"/>
    <n v="70.942237023293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6.0314557405299"/>
    <n v="78.229991974769803"/>
    <n v="5.7536283100000002E-2"/>
  </r>
  <r>
    <n v="830000"/>
    <n v="2400000"/>
    <n v="2400000"/>
    <x v="0"/>
    <x v="0"/>
    <s v="BR3-5, BR-7"/>
    <s v="62-304.520 (10), F.A.C."/>
    <n v="0.59"/>
    <n v="0.64"/>
    <s v="City of Cocoa Beach"/>
    <n v="2.8151649567680001E-2"/>
    <n v="3669.8590945749902"/>
    <n v="9.1522207897528105"/>
    <n v="1.3461937982576999"/>
    <n v="0.25765011243922997"/>
    <n v="3.7897576058740001E-2"/>
    <n v="103.312587193268"/>
    <n v="1210"/>
    <s v="Fixed Single Family Units"/>
    <n v="1210"/>
    <s v="City of Cocoa Beach           Brevard County"/>
    <s v="City of Cocoa Beach"/>
    <m/>
    <m/>
    <m/>
    <n v="0"/>
    <n v="1"/>
    <n v="0.25765011243922997"/>
    <n v="3.7897576058740001E-2"/>
    <n v="294.79486638587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2.901534986580998"/>
    <n v="113.925683854152"/>
    <n v="0.23908748290000001"/>
  </r>
  <r>
    <n v="830000"/>
    <n v="2400000"/>
    <n v="2400000"/>
    <x v="0"/>
    <x v="0"/>
    <s v="BR3-5, BR-7"/>
    <s v="62-304.520 (10), F.A.C."/>
    <n v="0.59"/>
    <n v="0.64"/>
    <s v="City of Cocoa Beach"/>
    <n v="2.1497636389020001E-2"/>
    <n v="3669.8590945749902"/>
    <n v="9.1522207897528105"/>
    <n v="1.3461937982576999"/>
    <n v="0.19675111469020001"/>
    <n v="2.8939984784099999E-2"/>
    <n v="78.893296414136998"/>
    <n v="1210"/>
    <s v="Fixed Single Family Units"/>
    <n v="1210"/>
    <s v="City of Cocoa Beach           Brevard County"/>
    <s v="City of Cocoa Beach"/>
    <m/>
    <m/>
    <m/>
    <n v="0"/>
    <n v="1"/>
    <n v="0.19675111469020001"/>
    <n v="2.8939984784099999E-2"/>
    <n v="78.8932964141360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5.628188645219403"/>
    <n v="86.997847887352506"/>
    <n v="6.3984830800000003E-2"/>
  </r>
  <r>
    <n v="830000"/>
    <n v="2400000"/>
    <n v="2400000"/>
    <x v="0"/>
    <x v="0"/>
    <s v="BR3-5, BR-7"/>
    <s v="62-304.520 (10), F.A.C."/>
    <n v="0.59"/>
    <n v="0.64"/>
    <s v="City of Cocoa Beach"/>
    <n v="6.2590509153380006E-2"/>
    <n v="3669.8590945749902"/>
    <n v="9.1522207897528105"/>
    <n v="1.3461937982576999"/>
    <n v="0.57284215911478997"/>
    <n v="8.425895525207E-2"/>
    <n v="229.69834925061801"/>
    <n v="1210"/>
    <s v="Fixed Single Family Units"/>
    <n v="1210"/>
    <s v="City of Cocoa Beach           Brevard County"/>
    <s v="City of Cocoa Beach"/>
    <m/>
    <m/>
    <m/>
    <n v="0"/>
    <n v="1"/>
    <n v="0.57284215911478997"/>
    <n v="8.425895525207E-2"/>
    <n v="527.35502359743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456381794268097"/>
    <n v="253.29480394864899"/>
    <n v="0.4277007491"/>
  </r>
  <r>
    <n v="830000"/>
    <n v="2400000"/>
    <n v="2400000"/>
    <x v="0"/>
    <x v="0"/>
    <s v="BR3-5, BR-7"/>
    <s v="62-304.520 (10), F.A.C."/>
    <n v="0.59"/>
    <n v="0.64"/>
    <s v="City of Cocoa Beach"/>
    <n v="0.10750313339009999"/>
    <n v="3682.0525930429599"/>
    <n v="9.6478322220914201"/>
    <n v="1.57785830965503"/>
    <n v="1.0371721942968699"/>
    <n v="0.16962471233352999"/>
    <n v="395.83219105928998"/>
    <n v="1200"/>
    <s v="Residential, Medium Density-Two-five dwellingunits per acre"/>
    <n v="1200"/>
    <s v="City of Cocoa Beach           Brevard County"/>
    <s v="City of Cocoa Beach"/>
    <m/>
    <m/>
    <m/>
    <n v="0"/>
    <n v="1"/>
    <n v="1.0371721942968699"/>
    <n v="0.16962471233352999"/>
    <n v="480.9836129544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7.387624838739"/>
    <n v="435.04974578788"/>
    <n v="0.39009214349999999"/>
  </r>
  <r>
    <n v="830000"/>
    <n v="2400000"/>
    <n v="2400000"/>
    <x v="0"/>
    <x v="0"/>
    <s v="BR3-5, BR-7"/>
    <s v="62-304.520 (10), F.A.C."/>
    <n v="0.59"/>
    <n v="0.64"/>
    <s v="City of Cocoa Beach"/>
    <n v="9.2944478161579996E-2"/>
    <n v="3682.0525930429599"/>
    <n v="9.6478322220914201"/>
    <n v="1.57785830965503"/>
    <n v="0.89671273127280005"/>
    <n v="0.14665321720380001"/>
    <n v="342.22645682388497"/>
    <n v="1300"/>
    <s v="Residential, High Density"/>
    <n v="1300"/>
    <s v="City of Cocoa Beach           Brevard County"/>
    <s v="City of Cocoa Beach"/>
    <m/>
    <m/>
    <m/>
    <n v="0"/>
    <n v="1"/>
    <n v="0.89671273127280005"/>
    <n v="0.14665321720380001"/>
    <n v="392.014533045687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5.28927792304"/>
    <n v="376.13295837482099"/>
    <n v="0.3179355499"/>
  </r>
  <r>
    <n v="830000"/>
    <n v="2400000"/>
    <n v="2400000"/>
    <x v="0"/>
    <x v="0"/>
    <s v="BR3-5, BR-7"/>
    <s v="62-304.520 (10), F.A.C."/>
    <n v="0.59"/>
    <n v="0.64"/>
    <s v="City of Cocoa Beach"/>
    <n v="6.4502311817199995E-2"/>
    <n v="3682.0525930429599"/>
    <n v="9.6478322220914201"/>
    <n v="1.57785830965503"/>
    <n v="0.62230748234938005"/>
    <n v="0.10177550869273"/>
    <n v="237.50090448379001"/>
    <n v="1210"/>
    <s v="Fixed Single Family Units"/>
    <n v="1210"/>
    <s v="City of Cocoa Beach           Brevard County"/>
    <s v="City of Cocoa Beach"/>
    <m/>
    <m/>
    <m/>
    <n v="0"/>
    <n v="1"/>
    <n v="0.62230748234938005"/>
    <n v="0.10177550869273"/>
    <n v="260.546769706203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3.124513385929006"/>
    <n v="261.03159483708799"/>
    <n v="0.21131124870000001"/>
  </r>
  <r>
    <n v="830000"/>
    <n v="2400000"/>
    <n v="2400000"/>
    <x v="0"/>
    <x v="0"/>
    <s v="BR3-5, BR-7"/>
    <s v="62-304.520 (10), F.A.C."/>
    <n v="0.59"/>
    <n v="0.64"/>
    <s v="City of Cocoa Beach"/>
    <n v="1.9930973532230001E-2"/>
    <n v="3682.0525930429599"/>
    <n v="9.6478322220914201"/>
    <n v="1.57785830965503"/>
    <n v="0.19229068866198001"/>
    <n v="3.1448252207350001E-2"/>
    <n v="73.386892776251301"/>
    <n v="1210"/>
    <s v="Fixed Single Family Units"/>
    <n v="1210"/>
    <s v="City of Cocoa Beach           Brevard County"/>
    <s v="City of Cocoa Beach"/>
    <m/>
    <m/>
    <m/>
    <n v="0"/>
    <n v="1"/>
    <n v="0.19229068866198001"/>
    <n v="3.1448252207350001E-2"/>
    <n v="73.3868927762523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6.354167589229199"/>
    <n v="80.657788243627095"/>
    <n v="5.9518972199999999E-2"/>
  </r>
  <r>
    <n v="830000"/>
    <n v="2400000"/>
    <n v="2400000"/>
    <x v="0"/>
    <x v="0"/>
    <s v="BR3-5, BR-7"/>
    <s v="62-304.520 (10), F.A.C."/>
    <n v="0.59"/>
    <n v="0.64"/>
    <s v="City of Cocoa Beach"/>
    <n v="0.12072263180804001"/>
    <n v="3672.62840960728"/>
    <n v="9.4831871606972307"/>
    <n v="1.50525963939739"/>
    <n v="1.14483531196767"/>
    <n v="0.18171890522247999"/>
    <n v="443.3693672608"/>
    <n v="1200"/>
    <s v="Residential, Medium Density-Two-five dwellingunits per acre"/>
    <n v="1200"/>
    <s v="City of Cocoa Beach           Brevard County"/>
    <s v="City of Cocoa Beach"/>
    <m/>
    <m/>
    <m/>
    <n v="0"/>
    <n v="1"/>
    <n v="1.14483531196767"/>
    <n v="0.18171890522247999"/>
    <n v="443.369367260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0.21429823073299"/>
    <n v="488.54715786143203"/>
    <n v="0.35958586149999999"/>
  </r>
  <r>
    <n v="830000"/>
    <n v="2400000"/>
    <n v="2400000"/>
    <x v="0"/>
    <x v="0"/>
    <s v="BR3-5, BR-7"/>
    <s v="62-304.520 (10), F.A.C."/>
    <n v="0.59"/>
    <n v="0.64"/>
    <s v="City of Cocoa Beach"/>
    <n v="0.10668809535425"/>
    <n v="3672.62840960728"/>
    <n v="9.4831871606972307"/>
    <n v="1.50525963939739"/>
    <n v="1.01174317606273"/>
    <n v="0.16059328394094"/>
    <n v="391.82572996493502"/>
    <n v="1300"/>
    <s v="Residential, High Density"/>
    <n v="1300"/>
    <s v="City of Cocoa Beach           Brevard County"/>
    <s v="City of Cocoa Beach"/>
    <m/>
    <m/>
    <m/>
    <n v="0"/>
    <n v="1"/>
    <n v="1.01174317606273"/>
    <n v="0.16059328394094"/>
    <n v="391.82572996493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949254959906"/>
    <n v="431.75140387799598"/>
    <n v="0.31778242499999998"/>
  </r>
  <r>
    <n v="830000"/>
    <n v="2400000"/>
    <n v="2400000"/>
    <x v="0"/>
    <x v="0"/>
    <s v="BR3-5, BR-7"/>
    <s v="62-304.520 (10), F.A.C."/>
    <n v="0.59"/>
    <n v="0.64"/>
    <s v="City of Cocoa Beach"/>
    <n v="0.14247971422514"/>
    <n v="3672.62840960728"/>
    <n v="9.4831871606972307"/>
    <n v="1.50525963939739"/>
    <n v="1.35116179659972"/>
    <n v="0.21446896325598"/>
    <n v="523.27504625600102"/>
    <n v="1210"/>
    <s v="Fixed Single Family Units"/>
    <n v="1210"/>
    <s v="City of Cocoa Beach           Brevard County"/>
    <s v="City of Cocoa Beach"/>
    <m/>
    <m/>
    <m/>
    <n v="0"/>
    <n v="1"/>
    <n v="1.35116179659972"/>
    <n v="0.21446896325598"/>
    <n v="523.275046256001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9.275117192206594"/>
    <n v="576.59494657375205"/>
    <n v="0.42439176499999998"/>
  </r>
  <r>
    <n v="830000"/>
    <n v="2400000"/>
    <n v="2400000"/>
    <x v="0"/>
    <x v="0"/>
    <s v="BR3-5, BR-7"/>
    <s v="62-304.520 (10), F.A.C."/>
    <n v="0.59"/>
    <n v="0.64"/>
    <s v="City of Cocoa Beach"/>
    <n v="0.10225471994062001"/>
    <n v="3672.62840960728"/>
    <n v="9.4831871606972307"/>
    <n v="1.50525963939739"/>
    <n v="0.96970064726157001"/>
    <n v="0.15391990286449"/>
    <n v="375.54358947035701"/>
    <n v="1210"/>
    <s v="Fixed Single Family Units"/>
    <n v="1210"/>
    <s v="City of Cocoa Beach           Brevard County"/>
    <s v="City of Cocoa Beach"/>
    <m/>
    <m/>
    <m/>
    <n v="0"/>
    <n v="1"/>
    <n v="0.96970064726157001"/>
    <n v="0.15391990286449"/>
    <n v="375.54358947035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1.642779321837395"/>
    <n v="413.81017011240999"/>
    <n v="0.30457712040000001"/>
  </r>
  <r>
    <n v="830000"/>
    <n v="2400000"/>
    <n v="2400000"/>
    <x v="0"/>
    <x v="0"/>
    <s v="BR3-5, BR-7"/>
    <s v="62-304.520 (10), F.A.C."/>
    <n v="0.59"/>
    <n v="0.64"/>
    <s v="City of Cocoa Beach"/>
    <n v="0.12505611370027001"/>
    <n v="3738.3108026688601"/>
    <n v="11.492031981327701"/>
    <n v="1.51717807310137"/>
    <n v="1.4371488581041501"/>
    <n v="0.18973239361333"/>
    <n v="467.49862078553502"/>
    <n v="1400"/>
    <s v="Commercial and Services"/>
    <n v="1400"/>
    <s v="City of Cocoa Beach           Brevard County"/>
    <s v="City of Cocoa Beach"/>
    <m/>
    <m/>
    <m/>
    <n v="0"/>
    <n v="1"/>
    <n v="1.4371488581041501"/>
    <n v="0.18973239361333"/>
    <n v="467.49862078553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3.366865654259"/>
    <n v="506.08413688835299"/>
    <n v="0.37915541019999999"/>
  </r>
  <r>
    <n v="830000"/>
    <n v="2400000"/>
    <n v="2400000"/>
    <x v="0"/>
    <x v="0"/>
    <s v="BR3-5, BR-7"/>
    <s v="62-304.520 (10), F.A.C."/>
    <n v="0.59"/>
    <n v="0.64"/>
    <s v="City of Cocoa Beach"/>
    <n v="2.3731580181600002E-3"/>
    <n v="3738.3108026688601"/>
    <n v="11.492031981327701"/>
    <n v="1.51717807310137"/>
    <n v="2.7272407841539999E-2"/>
    <n v="3.6005033091700001E-3"/>
    <n v="8.8716022557614007"/>
    <n v="1410"/>
    <s v="Retail Sales and Services"/>
    <n v="1410"/>
    <s v="City of Cocoa Beach           Brevard County"/>
    <s v="City of Cocoa Beach"/>
    <m/>
    <m/>
    <m/>
    <n v="0"/>
    <n v="1"/>
    <n v="2.7272407841539999E-2"/>
    <n v="3.6005033091700001E-3"/>
    <n v="8.87160225576234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8.619295200470901"/>
    <n v="9.6038297671982598"/>
    <n v="7.1951356000000003E-3"/>
  </r>
  <r>
    <n v="830000"/>
    <n v="2400000"/>
    <n v="2400000"/>
    <x v="0"/>
    <x v="0"/>
    <s v="BR3-5, BR-7"/>
    <s v="62-304.520 (10), F.A.C."/>
    <n v="0.59"/>
    <n v="0.64"/>
    <s v="City of Cocoa Beach"/>
    <n v="0.49033418176534999"/>
    <n v="3738.3108026688601"/>
    <n v="11.492031981327701"/>
    <n v="1.51717807310137"/>
    <n v="5.6349360983857002"/>
    <n v="0.7439242690665"/>
    <n v="1833.0215686112399"/>
    <n v="1450"/>
    <s v="Tourist Services"/>
    <n v="1450"/>
    <s v="City of Cocoa Beach           Brevard County"/>
    <s v="City of Cocoa Beach"/>
    <m/>
    <m/>
    <m/>
    <n v="0"/>
    <n v="1"/>
    <n v="5.6349360983857002"/>
    <n v="0.7439242690665"/>
    <n v="1833.0215686112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9.89349599454101"/>
    <n v="1984.31203259939"/>
    <n v="1.4866354977"/>
  </r>
  <r>
    <n v="830000"/>
    <n v="2400000"/>
    <n v="2400000"/>
    <x v="0"/>
    <x v="0"/>
    <s v="BR3-5, BR-7"/>
    <s v="62-304.520 (10), F.A.C."/>
    <n v="0.59"/>
    <n v="0.64"/>
    <s v="City of Cocoa Beach"/>
    <n v="0.14079147181151"/>
    <n v="3748.94196293717"/>
    <n v="8.1826313582309407"/>
    <n v="1.2738035181559"/>
    <n v="1.1520447122164199"/>
    <n v="0.17934067211985999"/>
    <n v="527.81905669788898"/>
    <n v="1300"/>
    <s v="Residential, High Density"/>
    <n v="1300"/>
    <s v="City of Cocoa Beach           Brevard County"/>
    <s v="City of Cocoa Beach"/>
    <m/>
    <m/>
    <m/>
    <n v="0"/>
    <n v="1"/>
    <n v="1.1520447122164199"/>
    <n v="0.17934067211985999"/>
    <n v="2315.9593344520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12778967823699"/>
    <n v="569.762871919595"/>
    <n v="1.8783125178"/>
  </r>
  <r>
    <n v="830000"/>
    <n v="2400000"/>
    <n v="2400000"/>
    <x v="0"/>
    <x v="0"/>
    <s v="BR3-5, BR-7"/>
    <s v="62-304.520 (10), F.A.C."/>
    <n v="0.59"/>
    <n v="0.64"/>
    <s v="Brevard County"/>
    <n v="9.0265318758420005E-2"/>
    <n v="3763.3379781251601"/>
    <n v="9.4385640481978506"/>
    <n v="1.4985123078923399"/>
    <n v="0.85197499243240005"/>
    <n v="0.13526369113532"/>
    <n v="339.69890219116098"/>
    <n v="1300"/>
    <s v="Residential, High Density"/>
    <n v="1300"/>
    <s v="Brevard County"/>
    <s v="Brevard County"/>
    <m/>
    <m/>
    <m/>
    <n v="0"/>
    <n v="1"/>
    <n v="0.85197499243240005"/>
    <n v="0.13526369113532"/>
    <n v="339.698902191160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64098639292401"/>
    <n v="365.29078493752297"/>
    <n v="0.27550600339999998"/>
  </r>
  <r>
    <n v="830000"/>
    <n v="2400000"/>
    <n v="2400000"/>
    <x v="0"/>
    <x v="0"/>
    <s v="BR3-5, BR-7"/>
    <s v="62-304.520 (10), F.A.C."/>
    <n v="0.59"/>
    <n v="0.64"/>
    <s v="City of Cocoa Beach"/>
    <n v="6.9292516395070003E-2"/>
    <n v="3763.3379781251601"/>
    <n v="9.4385640481978506"/>
    <n v="1.4985123078923399"/>
    <n v="0.65402185405569002"/>
    <n v="0.10383568866284"/>
    <n v="260.77115854943798"/>
    <n v="1300"/>
    <s v="Residential, High Density"/>
    <n v="1300"/>
    <s v="City of Cocoa Beach           Brevard County"/>
    <s v="City of Cocoa Beach"/>
    <m/>
    <m/>
    <m/>
    <n v="0"/>
    <n v="1"/>
    <n v="0.65402185405569002"/>
    <n v="0.10383568866284"/>
    <n v="260.771158549437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1.23391047420699"/>
    <n v="280.41686499765802"/>
    <n v="0.21149323480000001"/>
  </r>
  <r>
    <n v="830000"/>
    <n v="2400000"/>
    <n v="2400000"/>
    <x v="0"/>
    <x v="0"/>
    <s v="BR3-5, BR-7"/>
    <s v="62-304.520 (10), F.A.C."/>
    <n v="0.59"/>
    <n v="0.64"/>
    <s v="City of Cocoa Beach"/>
    <n v="1.8032743667809999E-2"/>
    <n v="3763.3379781251601"/>
    <n v="9.4385640481978506"/>
    <n v="1.4985123078923399"/>
    <n v="0.17020320607337999"/>
    <n v="2.7022288331279998E-2"/>
    <n v="67.863309094876598"/>
    <n v="1400"/>
    <s v="Commercial and Services"/>
    <n v="1400"/>
    <s v="City of Cocoa Beach           Brevard County"/>
    <s v="City of Cocoa Beach"/>
    <m/>
    <m/>
    <m/>
    <n v="0"/>
    <n v="1"/>
    <n v="0.17020320607337999"/>
    <n v="2.7022288331279998E-2"/>
    <n v="67.86330909487510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974268600841"/>
    <n v="72.975924525580496"/>
    <n v="5.5039180100000001E-2"/>
  </r>
  <r>
    <n v="830000"/>
    <n v="2400000"/>
    <n v="2400000"/>
    <x v="0"/>
    <x v="0"/>
    <s v="BR3-5, BR-7"/>
    <s v="62-304.520 (10), F.A.C."/>
    <n v="0.59"/>
    <n v="0.64"/>
    <s v="Brevard County"/>
    <n v="4.327995649435E-2"/>
    <n v="3763.3379781251601"/>
    <n v="9.4385640481978506"/>
    <n v="1.4985123078923399"/>
    <n v="0.40850064137512998"/>
    <n v="6.4855547491820001E-2"/>
    <n v="162.87710396679199"/>
    <n v="1330"/>
    <s v="Residential, High density; Multiple Dwelling Units, Low Rise &lt;Two stories or less&gt;"/>
    <n v="1330"/>
    <s v="Brevard County"/>
    <s v="Brevard County"/>
    <m/>
    <m/>
    <m/>
    <n v="0"/>
    <n v="1"/>
    <n v="0.40850064137512998"/>
    <n v="6.4855547491820001E-2"/>
    <n v="162.87710396679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3.190366171749602"/>
    <n v="175.14776990035301"/>
    <n v="0.13209821899999999"/>
  </r>
  <r>
    <n v="830000"/>
    <n v="2400000"/>
    <n v="2400000"/>
    <x v="0"/>
    <x v="0"/>
    <s v="BR3-5, BR-7"/>
    <s v="62-304.520 (10), F.A.C."/>
    <n v="0.59"/>
    <n v="0.64"/>
    <s v="Brevard County"/>
    <n v="7.504455251995E-2"/>
    <n v="3763.3379781251601"/>
    <n v="9.4385640481978506"/>
    <n v="1.4985123078923399"/>
    <n v="0.70831281542795999"/>
    <n v="0.11245518559142"/>
    <n v="282.41801454976201"/>
    <n v="1210"/>
    <s v="Fixed Single Family Units"/>
    <n v="1210"/>
    <s v="Brevard County"/>
    <s v="Brevard County"/>
    <m/>
    <m/>
    <m/>
    <n v="0"/>
    <n v="1"/>
    <n v="0.70831281542795999"/>
    <n v="0.11245518559142"/>
    <n v="282.418014549762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3.634353387427097"/>
    <n v="303.69452933152297"/>
    <n v="0.22904948459999999"/>
  </r>
  <r>
    <n v="830000"/>
    <n v="2400000"/>
    <n v="2400000"/>
    <x v="0"/>
    <x v="0"/>
    <s v="BR3-5, BR-7"/>
    <s v="62-304.520 (10), F.A.C."/>
    <n v="0.59"/>
    <n v="0.64"/>
    <s v="Brevard County"/>
    <n v="3.5354480005400001E-2"/>
    <n v="3763.3379781251601"/>
    <n v="9.4385640481978506"/>
    <n v="1.4985123078923399"/>
    <n v="0.33369552392172003"/>
    <n v="5.2979123427229997E-2"/>
    <n v="133.05085730119899"/>
    <n v="1210"/>
    <s v="Fixed Single Family Units"/>
    <n v="1210"/>
    <s v="Brevard County"/>
    <s v="Brevard County"/>
    <m/>
    <m/>
    <m/>
    <n v="0"/>
    <n v="1"/>
    <n v="0.33369552392172003"/>
    <n v="5.2979123427229997E-2"/>
    <n v="133.05085730119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7.987102088902702"/>
    <n v="143.074504470476"/>
    <n v="0.1079082379"/>
  </r>
  <r>
    <n v="830000"/>
    <n v="2400000"/>
    <n v="2400000"/>
    <x v="0"/>
    <x v="0"/>
    <s v="BR3-5, BR-7"/>
    <s v="62-304.520 (10), F.A.C."/>
    <n v="0.59"/>
    <n v="0.64"/>
    <s v="City of Cocoa Beach"/>
    <n v="0.28649388575785001"/>
    <n v="3763.3379781251601"/>
    <n v="9.4385640481978506"/>
    <n v="1.4985123078923399"/>
    <n v="2.70409089014254"/>
    <n v="0.42931461394404002"/>
    <n v="1078.17332077316"/>
    <n v="1450"/>
    <s v="Tourist Services"/>
    <n v="1450"/>
    <s v="City of Cocoa Beach           Brevard County"/>
    <s v="City of Cocoa Beach"/>
    <m/>
    <m/>
    <m/>
    <n v="0"/>
    <n v="1"/>
    <n v="2.70409089014254"/>
    <n v="0.42931461394404002"/>
    <n v="1078.1733207731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6.34941839840599"/>
    <n v="1159.39962155748"/>
    <n v="0.87443091709999998"/>
  </r>
  <r>
    <n v="830000"/>
    <n v="2400000"/>
    <n v="2400000"/>
    <x v="0"/>
    <x v="0"/>
    <s v="BR3-5, BR-7"/>
    <s v="62-304.520 (10), F.A.C."/>
    <n v="0.59"/>
    <n v="0.64"/>
    <s v="City of Cocoa Beach"/>
    <n v="0.30333822188546999"/>
    <n v="3717.34449952262"/>
    <n v="11.762141000462"/>
    <n v="2.3002866672798801"/>
    <n v="3.5679069366464198"/>
    <n v="0.69776486747954003"/>
    <n v="1127.61267062094"/>
    <n v="1300"/>
    <s v="Residential, High Density"/>
    <n v="1300"/>
    <s v="City of Cocoa Beach           Brevard County"/>
    <s v="City of Cocoa Beach"/>
    <m/>
    <m/>
    <m/>
    <n v="0"/>
    <n v="1"/>
    <n v="3.5679069366464198"/>
    <n v="0.69776486747954003"/>
    <n v="1127.6126706209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83.87081849570001"/>
    <n v="1227.56623139663"/>
    <n v="0.91452771340000005"/>
  </r>
  <r>
    <n v="830000"/>
    <n v="2400000"/>
    <n v="2400000"/>
    <x v="0"/>
    <x v="0"/>
    <s v="BR3-5, BR-7"/>
    <s v="62-304.520 (10), F.A.C."/>
    <n v="0.59"/>
    <n v="0.64"/>
    <s v="City of Cocoa Beach"/>
    <n v="5.4449218270109997E-2"/>
    <n v="3717.34449952262"/>
    <n v="11.762141000462"/>
    <n v="2.3002866672798801"/>
    <n v="0.64043938265800004"/>
    <n v="0.12524881083055001"/>
    <n v="202.406502039711"/>
    <n v="1400"/>
    <s v="Commercial and Services"/>
    <n v="1400"/>
    <s v="City of Cocoa Beach           Brevard County"/>
    <s v="City of Cocoa Beach"/>
    <m/>
    <m/>
    <m/>
    <n v="0"/>
    <n v="1"/>
    <n v="0.64043938265800004"/>
    <n v="0.12524881083055001"/>
    <n v="202.40650203971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049037044549706"/>
    <n v="220.348168651066"/>
    <n v="0.16415774699999999"/>
  </r>
  <r>
    <n v="830000"/>
    <n v="2400000"/>
    <n v="2400000"/>
    <x v="0"/>
    <x v="0"/>
    <s v="BR3-5, BR-7"/>
    <s v="62-304.520 (10), F.A.C."/>
    <n v="0.59"/>
    <n v="0.64"/>
    <s v="City of Cocoa Beach"/>
    <n v="5.7630580663999996E-4"/>
    <n v="3717.34449952262"/>
    <n v="11.762141000462"/>
    <n v="2.3002866672798801"/>
    <n v="6.7785901571700002E-3"/>
    <n v="1.3256685633000001E-3"/>
    <n v="2.1423272203858899"/>
    <n v="1450"/>
    <s v="Tourist Services"/>
    <n v="1450"/>
    <s v="City of Cocoa Beach           Brevard County"/>
    <s v="City of Cocoa Beach"/>
    <m/>
    <m/>
    <m/>
    <n v="0"/>
    <n v="1"/>
    <n v="6.7785901571700002E-3"/>
    <n v="1.3256685633000001E-3"/>
    <n v="2.14232722038540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.877761761433"/>
    <n v="2.3322268548993499"/>
    <n v="1.7374917000000001E-3"/>
  </r>
  <r>
    <n v="830000"/>
    <n v="2400000"/>
    <n v="2400000"/>
    <x v="0"/>
    <x v="0"/>
    <s v="BR3-5, BR-7"/>
    <s v="62-304.520 (10), F.A.C."/>
    <n v="0.59"/>
    <n v="0.64"/>
    <s v="City of Cocoa Beach"/>
    <n v="0.17301815678533999"/>
    <n v="3717.34449952262"/>
    <n v="11.762141000462"/>
    <n v="2.3002866672798801"/>
    <n v="2.0350639557493202"/>
    <n v="0.39799135925066997"/>
    <n v="643.16809344355602"/>
    <n v="1300"/>
    <s v="Residential, High Density"/>
    <n v="1300"/>
    <s v="City of Cocoa Beach           Brevard County"/>
    <s v="City of Cocoa Beach"/>
    <m/>
    <m/>
    <m/>
    <n v="0"/>
    <n v="1"/>
    <n v="2.0350639557493202"/>
    <n v="0.39799135925066997"/>
    <n v="643.168093443556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9.967705956074"/>
    <n v="700.17963897859499"/>
    <n v="0.52162862399999999"/>
  </r>
  <r>
    <n v="830000"/>
    <n v="2400000"/>
    <n v="2400000"/>
    <x v="0"/>
    <x v="0"/>
    <s v="BR3-5, BR-7"/>
    <s v="62-304.520 (10), F.A.C."/>
    <n v="0.59"/>
    <n v="0.64"/>
    <s v="City of Cocoa Beach"/>
    <n v="7.7543184106099996E-3"/>
    <n v="3748.5838514515699"/>
    <n v="8.2142603199950095"/>
    <n v="1.28369662340613"/>
    <n v="6.3695990028909993E-2"/>
    <n v="9.9541923605199999E-3"/>
    <n v="29.067712773041301"/>
    <n v="1300"/>
    <s v="Residential, High Density"/>
    <n v="1300"/>
    <s v="City of Cocoa Beach           Brevard County"/>
    <s v="City of Cocoa Beach"/>
    <m/>
    <m/>
    <m/>
    <n v="0"/>
    <n v="1"/>
    <n v="6.3695990028909993E-2"/>
    <n v="9.9541923605199999E-3"/>
    <n v="29.067712773040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7.496512054103704"/>
    <n v="31.380613261327401"/>
    <n v="2.35747873E-2"/>
  </r>
  <r>
    <n v="830000"/>
    <n v="2400000"/>
    <n v="2400000"/>
    <x v="0"/>
    <x v="0"/>
    <s v="BR3-5, BR-7"/>
    <s v="62-304.520 (10), F.A.C."/>
    <n v="0.59"/>
    <n v="0.64"/>
    <s v="City of Cocoa Beach"/>
    <n v="0.61000913507318999"/>
    <n v="3748.5838514515699"/>
    <n v="8.2142603199950095"/>
    <n v="1.28369662340613"/>
    <n v="5.0107738330662004"/>
    <n v="0.78306666694034999"/>
    <n v="2286.6703929733098"/>
    <n v="1300"/>
    <s v="Residential, High Density"/>
    <n v="1300"/>
    <s v="City of Cocoa Beach           Brevard County"/>
    <s v="City of Cocoa Beach"/>
    <m/>
    <m/>
    <m/>
    <n v="0"/>
    <n v="1"/>
    <n v="5.0107738330662004"/>
    <n v="0.78306666694034999"/>
    <n v="2286.67039297330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8.71254413818099"/>
    <n v="2468.6193859936102"/>
    <n v="1.8545583074000001"/>
  </r>
  <r>
    <n v="830000"/>
    <n v="2400000"/>
    <n v="2400000"/>
    <x v="0"/>
    <x v="0"/>
    <s v="BR3-5, BR-7"/>
    <s v="62-304.520 (10), F.A.C."/>
    <n v="0.59"/>
    <n v="0.64"/>
    <s v="City of Cocoa Beach"/>
    <n v="0.12869745962751"/>
    <n v="3695.6699290080601"/>
    <n v="9.7723182797811994"/>
    <n v="1.5073356700353799"/>
    <n v="1.25767253727934"/>
    <n v="0.19399027153948001"/>
    <n v="475.62333148512602"/>
    <n v="1200"/>
    <s v="Residential, Medium Density-Two-five dwellingunits per acre"/>
    <n v="1200"/>
    <s v="City of Cocoa Beach           Brevard County"/>
    <s v="City of Cocoa Beach"/>
    <m/>
    <m/>
    <m/>
    <n v="0"/>
    <n v="1"/>
    <n v="1.25767253727934"/>
    <n v="0.19399027153948001"/>
    <n v="475.623331485126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0.986044615265"/>
    <n v="520.820141040159"/>
    <n v="0.38574479439999998"/>
  </r>
  <r>
    <n v="830000"/>
    <n v="2400000"/>
    <n v="2400000"/>
    <x v="0"/>
    <x v="0"/>
    <s v="BR3-5, BR-7"/>
    <s v="62-304.520 (10), F.A.C."/>
    <n v="0.59"/>
    <n v="0.64"/>
    <s v="City of Cocoa Beach"/>
    <n v="8.27062987213E-3"/>
    <n v="3695.6699290080601"/>
    <n v="9.7723182797811994"/>
    <n v="1.5073356700353799"/>
    <n v="8.0823227484750002E-2"/>
    <n v="1.246661541992E-2"/>
    <n v="30.5655181123977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8.0823227484750002E-2"/>
    <n v="1.246661541992E-2"/>
    <n v="30.5655181123981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8.781304621772598"/>
    <n v="33.470051615335201"/>
    <n v="2.4789552400000001E-2"/>
  </r>
  <r>
    <n v="830000"/>
    <n v="2400000"/>
    <n v="2400000"/>
    <x v="0"/>
    <x v="0"/>
    <s v="BR3-5, BR-7"/>
    <s v="62-304.520 (10), F.A.C."/>
    <n v="0.59"/>
    <n v="0.64"/>
    <s v="City of Cocoa Beach"/>
    <n v="1.4020198962449999E-2"/>
    <n v="3695.6699290080601"/>
    <n v="9.7723182797811994"/>
    <n v="1.5073356700353799"/>
    <n v="0.13700984660692"/>
    <n v="2.113314599709E-2"/>
    <n v="51.8140277042402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3700984660692"/>
    <n v="2.113314599709E-2"/>
    <n v="51.8140277042391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6.744388977120799"/>
    <n v="56.737732214519298"/>
    <n v="4.2022731299999998E-2"/>
  </r>
  <r>
    <n v="830000"/>
    <n v="2400000"/>
    <n v="2400000"/>
    <x v="0"/>
    <x v="0"/>
    <s v="BR3-5, BR-7"/>
    <s v="62-304.520 (10), F.A.C."/>
    <n v="0.59"/>
    <n v="0.64"/>
    <s v="City of Cocoa Beach"/>
    <n v="4.0500108130900004E-3"/>
    <n v="3695.6699290080601"/>
    <n v="9.7723182797811994"/>
    <n v="1.5073356700353799"/>
    <n v="3.9577994702129998E-2"/>
    <n v="6.1047257625999997E-3"/>
    <n v="14.9675031741164"/>
    <n v="1410"/>
    <s v="Retail Sales and Services"/>
    <n v="1410"/>
    <s v="City of Cocoa Beach           Brevard County"/>
    <s v="City of Cocoa Beach"/>
    <m/>
    <m/>
    <m/>
    <n v="0"/>
    <n v="1"/>
    <n v="3.9577994702129998E-2"/>
    <n v="6.1047257625999997E-3"/>
    <n v="14.967503174117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.356289222986501"/>
    <n v="16.3898122697681"/>
    <n v="1.2139094200000001E-2"/>
  </r>
  <r>
    <n v="830000"/>
    <n v="2400000"/>
    <n v="2400000"/>
    <x v="0"/>
    <x v="0"/>
    <s v="BR3-5, BR-7"/>
    <s v="62-304.520 (10), F.A.C."/>
    <n v="0.59"/>
    <n v="0.64"/>
    <s v="City of Cocoa Beach"/>
    <n v="3.7633904979179997E-2"/>
    <n v="3695.6699290080601"/>
    <n v="9.7723182797811994"/>
    <n v="1.5073356700353799"/>
    <n v="0.3677704975676"/>
    <n v="5.6726927377839999E-2"/>
    <n v="139.08249094270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677704975676"/>
    <n v="5.6726927377839999E-2"/>
    <n v="139.0824909427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5.749493273726699"/>
    <n v="152.29901006499401"/>
    <n v="0.1128000738"/>
  </r>
  <r>
    <n v="830000"/>
    <n v="2400000"/>
    <n v="2400000"/>
    <x v="0"/>
    <x v="0"/>
    <s v="BR3-5, BR-7"/>
    <s v="62-304.520 (10), F.A.C."/>
    <n v="0.59"/>
    <n v="0.64"/>
    <s v="City of Cocoa Beach"/>
    <n v="5.619857458257E-2"/>
    <n v="3695.6699290080601"/>
    <n v="9.7723182797811994"/>
    <n v="1.5073356700353799"/>
    <n v="0.54919035769095004"/>
    <n v="8.4710116073460004E-2"/>
    <n v="207.691382137943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4919035769095004"/>
    <n v="8.4710116073460004E-2"/>
    <n v="207.69138213794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2.438484425431099"/>
    <n v="227.427562479221"/>
    <n v="0.16844394330000001"/>
  </r>
  <r>
    <n v="830000"/>
    <n v="2400000"/>
    <n v="2400000"/>
    <x v="0"/>
    <x v="0"/>
    <s v="BR3-5, BR-7"/>
    <s v="62-304.520 (10), F.A.C."/>
    <n v="0.59"/>
    <n v="0.64"/>
    <s v="City of Cocoa Beach"/>
    <n v="8.7036611053730006E-2"/>
    <n v="3695.6699290080601"/>
    <n v="9.7723182797811994"/>
    <n v="1.5073356700353799"/>
    <n v="0.85054946521065"/>
    <n v="0.13119338844028999"/>
    <n v="321.658586194069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85054946521065"/>
    <n v="0.13119338844028999"/>
    <n v="321.65858619407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5.153283528802206"/>
    <n v="352.22466842675101"/>
    <n v="0.26087476580000002"/>
  </r>
  <r>
    <n v="830000"/>
    <n v="2400000"/>
    <n v="2400000"/>
    <x v="0"/>
    <x v="0"/>
    <s v="BR3-5, BR-7"/>
    <s v="62-304.520 (10), F.A.C."/>
    <n v="0.59"/>
    <n v="0.64"/>
    <s v="City of Cocoa Beach"/>
    <n v="0.23417842907856001"/>
    <n v="3695.6699290080601"/>
    <n v="9.7723182797811994"/>
    <n v="1.5073356700353799"/>
    <n v="2.2884661432148699"/>
    <n v="0.35298549930296003"/>
    <n v="865.44617836799"/>
    <n v="1210"/>
    <s v="Fixed Single Family Units"/>
    <n v="1210"/>
    <s v="City of Cocoa Beach           Brevard County"/>
    <s v="City of Cocoa Beach"/>
    <m/>
    <m/>
    <m/>
    <n v="0"/>
    <n v="1"/>
    <n v="2.2884661432148699"/>
    <n v="0.35298549930296003"/>
    <n v="865.44617836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5.01770709985399"/>
    <n v="947.68647970411905"/>
    <n v="0.70190282110000002"/>
  </r>
  <r>
    <n v="830000"/>
    <n v="2400000"/>
    <n v="2400000"/>
    <x v="0"/>
    <x v="0"/>
    <s v="BR3-5, BR-7"/>
    <s v="62-304.520 (10), F.A.C."/>
    <n v="0.59"/>
    <n v="0.64"/>
    <s v="City of Cocoa Beach"/>
    <n v="4.7677634813729997E-2"/>
    <n v="3695.6699290080601"/>
    <n v="9.7723182797811994"/>
    <n v="1.5073356700353799"/>
    <n v="0.46592102222694998"/>
    <n v="7.1866199617650006E-2"/>
    <n v="176.20080126733299"/>
    <n v="1210"/>
    <s v="Fixed Single Family Units"/>
    <n v="1210"/>
    <s v="City of Cocoa Beach           Brevard County"/>
    <s v="City of Cocoa Beach"/>
    <m/>
    <m/>
    <m/>
    <n v="0"/>
    <n v="1"/>
    <n v="0.46592102222694998"/>
    <n v="7.1866199617650006E-2"/>
    <n v="176.200801267335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3.945430810806002"/>
    <n v="192.94454265079099"/>
    <n v="0.14290413730000001"/>
  </r>
  <r>
    <n v="830000"/>
    <n v="2400000"/>
    <n v="2400000"/>
    <x v="0"/>
    <x v="0"/>
    <s v="BR3-5, BR-7"/>
    <s v="62-304.520 (10), F.A.C."/>
    <n v="0.59"/>
    <n v="0.64"/>
    <s v="City of Cocoa Beach"/>
    <n v="0.16807112792577"/>
    <n v="3675.1739427611501"/>
    <n v="9.5554118041985401"/>
    <n v="1.53839546650935"/>
    <n v="1.60598883972693"/>
    <n v="0.25855986125211999"/>
    <n v="617.690629883291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60598883972693"/>
    <n v="0.25855986125211999"/>
    <n v="617.69062988329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4.871201861198"/>
    <n v="680.15972346644196"/>
    <n v="0.50096563660000004"/>
  </r>
  <r>
    <n v="830000"/>
    <n v="2400000"/>
    <n v="2400000"/>
    <x v="0"/>
    <x v="0"/>
    <s v="BR3-5, BR-7"/>
    <s v="62-304.520 (10), F.A.C."/>
    <n v="0.59"/>
    <n v="0.64"/>
    <s v="City of Cocoa Beach"/>
    <n v="6.25418152766E-3"/>
    <n v="3675.1739427611501"/>
    <n v="9.5554118041985401"/>
    <n v="1.53839546650935"/>
    <n v="5.9761279995069999E-2"/>
    <n v="9.6214045088899997E-3"/>
    <n v="22.9852049837835"/>
    <n v="1210"/>
    <s v="Fixed Single Family Units"/>
    <n v="1210"/>
    <s v="City of Cocoa Beach           Brevard County"/>
    <s v="City of Cocoa Beach"/>
    <m/>
    <m/>
    <m/>
    <n v="0"/>
    <n v="1"/>
    <n v="5.9761279995069999E-2"/>
    <n v="9.6214045088899997E-3"/>
    <n v="725.110372153215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1.422972494710301"/>
    <n v="25.3097746820977"/>
    <n v="0.58808627099999999"/>
  </r>
  <r>
    <n v="830000"/>
    <n v="2400000"/>
    <n v="2400000"/>
    <x v="0"/>
    <x v="0"/>
    <s v="BR3-5, BR-7"/>
    <s v="62-304.520 (10), F.A.C."/>
    <n v="0.59"/>
    <n v="0.64"/>
    <s v="City of Cocoa Beach"/>
    <n v="0.11295077621481001"/>
    <n v="3675.1739427611501"/>
    <n v="9.5554118041985401"/>
    <n v="1.53839546650935"/>
    <n v="1.07929118033643"/>
    <n v="0.17376296206757999"/>
    <n v="415.113749559334"/>
    <n v="1210"/>
    <s v="Fixed Single Family Units"/>
    <n v="1210"/>
    <s v="City of Cocoa Beach           Brevard County"/>
    <s v="City of Cocoa Beach"/>
    <m/>
    <m/>
    <m/>
    <n v="0"/>
    <n v="1"/>
    <n v="1.07929118033643"/>
    <n v="0.17376296206757999"/>
    <n v="415.11374955933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5.672187391303893"/>
    <n v="457.09557413998903"/>
    <n v="0.33666970769999999"/>
  </r>
  <r>
    <n v="830000"/>
    <n v="2400000"/>
    <n v="2400000"/>
    <x v="0"/>
    <x v="0"/>
    <s v="BR3-5, BR-7"/>
    <s v="62-304.520 (10), F.A.C."/>
    <n v="0.59"/>
    <n v="0.64"/>
    <s v="City of Cocoa Beach"/>
    <n v="8.3264743224799997E-3"/>
    <n v="3675.1739427611501"/>
    <n v="9.5554118041985401"/>
    <n v="1.53839546650935"/>
    <n v="7.9562891028439997E-2"/>
    <n v="1.280941034972E-2"/>
    <n v="30.601241465074001"/>
    <n v="1210"/>
    <s v="Fixed Single Family Units"/>
    <n v="1210"/>
    <s v="City of Cocoa Beach           Brevard County"/>
    <s v="City of Cocoa Beach"/>
    <m/>
    <m/>
    <m/>
    <n v="0"/>
    <n v="1"/>
    <n v="7.9562891028439997E-2"/>
    <n v="1.280941034972E-2"/>
    <n v="445.93856703508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4.096254626193698"/>
    <n v="33.696046087906403"/>
    <n v="0.36166955960000002"/>
  </r>
  <r>
    <n v="830000"/>
    <n v="2400000"/>
    <n v="2400000"/>
    <x v="0"/>
    <x v="0"/>
    <s v="BR3-5, BR-7"/>
    <s v="62-304.520 (10), F.A.C."/>
    <n v="0.59"/>
    <n v="0.64"/>
    <s v="City of Cocoa Beach"/>
    <n v="0.17522953030201999"/>
    <n v="3743.3017312451998"/>
    <n v="10.200709034723699"/>
    <n v="1.8333075727469199"/>
    <n v="1.78746545290223"/>
    <n v="0.32124962487157999"/>
    <n v="655.93700414484294"/>
    <n v="1300"/>
    <s v="Residential, High Density"/>
    <n v="1300"/>
    <s v="City of Cocoa Beach           Brevard County"/>
    <s v="City of Cocoa Beach"/>
    <m/>
    <m/>
    <m/>
    <n v="0"/>
    <n v="1"/>
    <n v="1.78746545290223"/>
    <n v="0.32124962487157999"/>
    <n v="655.9370041448429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7.82984564074501"/>
    <n v="709.12875009687195"/>
    <n v="0.53198459379999996"/>
  </r>
  <r>
    <n v="830000"/>
    <n v="2400000"/>
    <n v="2400000"/>
    <x v="0"/>
    <x v="0"/>
    <s v="BR3-5, BR-7"/>
    <s v="62-304.520 (10), F.A.C."/>
    <n v="0.59"/>
    <n v="0.64"/>
    <s v="City of Cocoa Beach"/>
    <n v="5.9688173123899997E-3"/>
    <n v="3743.3017312451998"/>
    <n v="10.200709034723699"/>
    <n v="1.8333075727469199"/>
    <n v="6.0886168685170002E-2"/>
    <n v="1.094267797915E-2"/>
    <n v="22.343084178978302"/>
    <n v="1400"/>
    <s v="Commercial and Services"/>
    <n v="1400"/>
    <s v="City of Cocoa Beach           Brevard County"/>
    <s v="City of Cocoa Beach"/>
    <m/>
    <m/>
    <m/>
    <n v="0"/>
    <n v="1"/>
    <n v="6.0886168685170002E-2"/>
    <n v="1.094267797915E-2"/>
    <n v="22.343084178977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5.438889570174595"/>
    <n v="24.154946674801199"/>
    <n v="1.8120911699999999E-2"/>
  </r>
  <r>
    <n v="830000"/>
    <n v="2400000"/>
    <n v="2400000"/>
    <x v="0"/>
    <x v="0"/>
    <s v="BR3-5, BR-7"/>
    <s v="62-304.520 (10), F.A.C."/>
    <n v="0.59"/>
    <n v="0.64"/>
    <s v="City of Cocoa Beach"/>
    <n v="3.967872580871E-2"/>
    <n v="3743.3017312451998"/>
    <n v="10.200709034723699"/>
    <n v="1.8333075727469199"/>
    <n v="0.40475113684329"/>
    <n v="7.2743308502059997E-2"/>
    <n v="148.52944301337001"/>
    <n v="1450"/>
    <s v="Tourist Services"/>
    <n v="1450"/>
    <s v="City of Cocoa Beach           Brevard County"/>
    <s v="City of Cocoa Beach"/>
    <m/>
    <m/>
    <m/>
    <n v="0"/>
    <n v="1"/>
    <n v="0.40475113684329"/>
    <n v="7.2743308502059997E-2"/>
    <n v="148.52944301337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7.735155798721"/>
    <n v="160.57410637165199"/>
    <n v="0.12046183539999999"/>
  </r>
  <r>
    <n v="830000"/>
    <n v="2400000"/>
    <n v="2400000"/>
    <x v="0"/>
    <x v="0"/>
    <s v="BR3-5, BR-7"/>
    <s v="62-304.520 (10), F.A.C."/>
    <n v="0.59"/>
    <n v="0.64"/>
    <s v="City of Cocoa Beach"/>
    <n v="1.64409450839E-2"/>
    <n v="3743.3017312451998"/>
    <n v="10.200709034723699"/>
    <n v="1.8333075727469199"/>
    <n v="0.16770929705675999"/>
    <n v="3.0141309125430001E-2"/>
    <n v="61.543418195881401"/>
    <n v="1450"/>
    <s v="Tourist Services"/>
    <n v="1450"/>
    <s v="City of Cocoa Beach           Brevard County"/>
    <s v="City of Cocoa Beach"/>
    <m/>
    <m/>
    <m/>
    <n v="0"/>
    <n v="1"/>
    <n v="0.16770929705675999"/>
    <n v="3.0141309125430001E-2"/>
    <n v="61.5434181958810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9.867091035455402"/>
    <n v="66.534144203118004"/>
    <n v="4.9913559000000003E-2"/>
  </r>
  <r>
    <n v="830000"/>
    <n v="2400000"/>
    <n v="2400000"/>
    <x v="0"/>
    <x v="0"/>
    <s v="BR3-5, BR-7"/>
    <s v="62-304.520 (10), F.A.C."/>
    <n v="0.59"/>
    <n v="0.64"/>
    <s v="City of Cocoa Beach"/>
    <n v="0.29135454953022"/>
    <n v="3709.8271751018401"/>
    <n v="10.5996015031127"/>
    <n v="2.0191215433123699"/>
    <n v="3.0882421211392401"/>
    <n v="0.58828024769854004"/>
    <n v="1080.8750254367601"/>
    <n v="1300"/>
    <s v="Residential, High Density"/>
    <n v="1300"/>
    <s v="City of Cocoa Beach           Brevard County"/>
    <s v="City of Cocoa Beach"/>
    <m/>
    <m/>
    <m/>
    <n v="0"/>
    <n v="1"/>
    <n v="3.0882421211392401"/>
    <n v="0.58828024769854004"/>
    <n v="1080.8750254367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7.798325363777"/>
    <n v="1179.07002996182"/>
    <n v="0.87662208060000002"/>
  </r>
  <r>
    <n v="830000"/>
    <n v="2400000"/>
    <n v="2400000"/>
    <x v="0"/>
    <x v="0"/>
    <s v="BR3-5, BR-7"/>
    <s v="62-304.520 (10), F.A.C."/>
    <n v="0.59"/>
    <n v="0.64"/>
    <s v="City of Cocoa Beach"/>
    <n v="3.5663183267479998E-2"/>
    <n v="3709.8271751018401"/>
    <n v="10.5996015031127"/>
    <n v="2.0191215433123699"/>
    <n v="0.37801553096776003"/>
    <n v="7.2008301638460004E-2"/>
    <n v="132.30424643633401"/>
    <n v="1210"/>
    <s v="Fixed Single Family Units"/>
    <n v="1210"/>
    <s v="City of Cocoa Beach           Brevard County"/>
    <s v="City of Cocoa Beach"/>
    <m/>
    <m/>
    <m/>
    <n v="0"/>
    <n v="1"/>
    <n v="0.37801553096776003"/>
    <n v="7.2008301638460004E-2"/>
    <n v="132.304246436335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3.050004719485599"/>
    <n v="144.32378224922999"/>
    <n v="0.1073027141"/>
  </r>
  <r>
    <n v="830000"/>
    <n v="2400000"/>
    <n v="2400000"/>
    <x v="0"/>
    <x v="0"/>
    <s v="BR3-5, BR-7"/>
    <s v="62-304.520 (10), F.A.C."/>
    <n v="0.59"/>
    <n v="0.64"/>
    <s v="City of Cocoa Beach"/>
    <n v="0.2745197913106"/>
    <n v="3709.8271751018401"/>
    <n v="10.5996015031127"/>
    <n v="2.0191215433123699"/>
    <n v="2.9098003926100402"/>
    <n v="0.55428882470084995"/>
    <n v="1018.42098190735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2.9098003926100402"/>
    <n v="0.55428882470084995"/>
    <n v="1018.4209819073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4.97121288828501"/>
    <n v="1110.9421805412101"/>
    <n v="0.82596997719999998"/>
  </r>
  <r>
    <n v="830000"/>
    <n v="2400000"/>
    <n v="2400000"/>
    <x v="0"/>
    <x v="0"/>
    <s v="BR3-5, BR-7"/>
    <s v="62-304.520 (10), F.A.C."/>
    <n v="0.59"/>
    <n v="0.64"/>
    <s v="City of Cocoa Beach"/>
    <n v="1.6225929375499999E-2"/>
    <n v="3709.8271751018401"/>
    <n v="10.5996015031127"/>
    <n v="2.0191215433123699"/>
    <n v="0.17198838539799"/>
    <n v="3.2762123562339998E-2"/>
    <n v="60.195393738528097"/>
    <n v="1300"/>
    <s v="Residential, High Density"/>
    <n v="1300"/>
    <s v="City of Cocoa Beach           Brevard County"/>
    <s v="City of Cocoa Beach"/>
    <m/>
    <m/>
    <m/>
    <n v="0"/>
    <n v="1"/>
    <n v="0.17198838539799"/>
    <n v="3.2762123562339998E-2"/>
    <n v="60.1953937385273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2.5392734687562"/>
    <n v="65.664006502666396"/>
    <n v="4.8820270700000001E-2"/>
  </r>
  <r>
    <n v="830000"/>
    <n v="2400000"/>
    <n v="2400000"/>
    <x v="0"/>
    <x v="0"/>
    <s v="BR3-5, BR-7"/>
    <s v="62-304.520 (10), F.A.C."/>
    <n v="0.59"/>
    <n v="0.64"/>
    <s v="City of Cocoa Beach"/>
    <n v="0.14186594905066"/>
    <n v="3707.3650357942502"/>
    <n v="10.4028201625148"/>
    <n v="1.66525076849492"/>
    <n v="1.4758059551585501"/>
    <n v="0.23624238067987999"/>
    <n v="525.94885928020506"/>
    <n v="1300"/>
    <s v="Residential, High Density"/>
    <n v="1300"/>
    <s v="City of Cocoa Beach           Brevard County"/>
    <s v="City of Cocoa Beach"/>
    <m/>
    <m/>
    <m/>
    <n v="0"/>
    <n v="1"/>
    <n v="1.4758059551585501"/>
    <n v="0.23624238067987999"/>
    <n v="828.295568766833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8.794881793588"/>
    <n v="574.11112703555295"/>
    <n v="0.67177256190000001"/>
  </r>
  <r>
    <n v="830000"/>
    <n v="2400000"/>
    <n v="2400000"/>
    <x v="0"/>
    <x v="0"/>
    <s v="BR3-5, BR-7"/>
    <s v="62-304.520 (10), F.A.C."/>
    <n v="0.59"/>
    <n v="0.64"/>
    <s v="City of Cocoa Beach"/>
    <n v="1.282906066307E-2"/>
    <n v="3707.3650357942502"/>
    <n v="10.4028201625148"/>
    <n v="1.66525076849492"/>
    <n v="0.13345841093197"/>
    <n v="2.1363603128249999E-2"/>
    <n v="47.562010944371401"/>
    <n v="1400"/>
    <s v="Commercial and Services"/>
    <n v="1400"/>
    <s v="City of Cocoa Beach           Brevard County"/>
    <s v="City of Cocoa Beach"/>
    <m/>
    <m/>
    <m/>
    <n v="0"/>
    <n v="1"/>
    <n v="0.13345841093197"/>
    <n v="2.1363603128249999E-2"/>
    <n v="652.240503374093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0.9219765492698"/>
    <n v="51.917366537727297"/>
    <n v="0.52898662070000002"/>
  </r>
  <r>
    <n v="830000"/>
    <n v="2400000"/>
    <n v="2400000"/>
    <x v="0"/>
    <x v="0"/>
    <s v="BR3-5, BR-7"/>
    <s v="62-304.520 (10), F.A.C."/>
    <n v="0.59"/>
    <n v="0.64"/>
    <s v="City of Cocoa Beach"/>
    <n v="7.0354242649509999E-2"/>
    <n v="3707.3650357942502"/>
    <n v="10.4028201625148"/>
    <n v="1.66525076849492"/>
    <n v="0.73188253395280001"/>
    <n v="0.11715745663897"/>
    <n v="260.82885931858601"/>
    <n v="1210"/>
    <s v="Fixed Single Family Units"/>
    <n v="1210"/>
    <s v="City of Cocoa Beach           Brevard County"/>
    <s v="City of Cocoa Beach"/>
    <m/>
    <m/>
    <m/>
    <n v="0"/>
    <n v="1"/>
    <n v="0.73188253395280001"/>
    <n v="0.11715745663897"/>
    <n v="260.82885931858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065262352598296"/>
    <n v="284.71351870926401"/>
    <n v="0.21154003190000001"/>
  </r>
  <r>
    <n v="830000"/>
    <n v="2400000"/>
    <n v="2400000"/>
    <x v="0"/>
    <x v="0"/>
    <s v="BR3-5, BR-7"/>
    <s v="62-304.520 (10), F.A.C."/>
    <n v="0.59"/>
    <n v="0.64"/>
    <s v="City of Cocoa Beach"/>
    <n v="9.0048897320299994E-3"/>
    <n v="3707.3650357942502"/>
    <n v="10.4028201625148"/>
    <n v="1.66525076849492"/>
    <n v="9.3676248465620005E-2"/>
    <n v="1.499539954648E-2"/>
    <n v="33.384413343725498"/>
    <n v="1210"/>
    <s v="Fixed Single Family Units"/>
    <n v="1210"/>
    <s v="City of Cocoa Beach           Brevard County"/>
    <s v="City of Cocoa Beach"/>
    <m/>
    <m/>
    <m/>
    <n v="0"/>
    <n v="1"/>
    <n v="9.3676248465620005E-2"/>
    <n v="1.499539954648E-2"/>
    <n v="418.32785119862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7.0300579208551"/>
    <n v="36.441495845083999"/>
    <n v="0.33927644060000001"/>
  </r>
  <r>
    <n v="830000"/>
    <n v="2400000"/>
    <n v="2400000"/>
    <x v="0"/>
    <x v="0"/>
    <s v="BR3-5, BR-7"/>
    <s v="62-304.520 (10), F.A.C."/>
    <n v="0.59"/>
    <n v="0.64"/>
    <s v="City of Cocoa Beach"/>
    <n v="1.0093684546100001E-2"/>
    <n v="3707.3650357942502"/>
    <n v="10.4028201625148"/>
    <n v="1.66525076849492"/>
    <n v="0.10500278511024"/>
    <n v="1.6808515947340001E-2"/>
    <n v="37.420973168551598"/>
    <n v="1300"/>
    <s v="Residential, High Density"/>
    <n v="1300"/>
    <s v="City of Cocoa Beach           Brevard County"/>
    <s v="City of Cocoa Beach"/>
    <m/>
    <m/>
    <m/>
    <n v="0"/>
    <n v="1"/>
    <n v="0.10500278511024"/>
    <n v="1.6808515947340001E-2"/>
    <n v="37.4209731685527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5.946094646925403"/>
    <n v="40.8476921310696"/>
    <n v="3.0349532200000001E-2"/>
  </r>
  <r>
    <n v="830000"/>
    <n v="2400000"/>
    <n v="2400000"/>
    <x v="0"/>
    <x v="0"/>
    <s v="BR3-5, BR-7"/>
    <s v="62-304.520 (10), F.A.C."/>
    <n v="0.59"/>
    <n v="0.64"/>
    <s v="City of Cocoa Beach"/>
    <n v="7.3720726549099998E-3"/>
    <n v="3739.7483514464102"/>
    <n v="10.933043748172899"/>
    <n v="1.5148136045526499"/>
    <n v="8.0599192850900003E-2"/>
    <n v="1.116731595141E-2"/>
    <n v="27.569696557965301"/>
    <n v="1300"/>
    <s v="Residential, High Density"/>
    <n v="1300"/>
    <s v="City of Cocoa Beach           Brevard County"/>
    <s v="City of Cocoa Beach"/>
    <m/>
    <m/>
    <m/>
    <n v="0"/>
    <n v="1"/>
    <n v="8.0599192850900003E-2"/>
    <n v="1.116731595141E-2"/>
    <n v="214.28564910060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4.247766573527898"/>
    <n v="29.833719569945099"/>
    <n v="0.17379209170000001"/>
  </r>
  <r>
    <n v="830000"/>
    <n v="2400000"/>
    <n v="2400000"/>
    <x v="0"/>
    <x v="0"/>
    <s v="BR3-5, BR-7"/>
    <s v="62-304.520 (10), F.A.C."/>
    <n v="0.59"/>
    <n v="0.64"/>
    <s v="City of Cocoa Beach"/>
    <n v="3.095682092608E-2"/>
    <n v="3739.7483514464102"/>
    <n v="10.933043748172899"/>
    <n v="1.5148136045526499"/>
    <n v="0.33845227748927997"/>
    <n v="4.6893813492540001E-2"/>
    <n v="115.770720024363"/>
    <n v="1300"/>
    <s v="Residential, High Density"/>
    <n v="1300"/>
    <s v="City of Cocoa Beach           Brevard County"/>
    <s v="City of Cocoa Beach"/>
    <m/>
    <m/>
    <m/>
    <n v="0"/>
    <n v="1"/>
    <n v="0.33845227748927997"/>
    <n v="4.6893813492540001E-2"/>
    <n v="148.163126528068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8.735594459471102"/>
    <n v="125.277809581829"/>
    <n v="0.12016474169999999"/>
  </r>
  <r>
    <n v="830000"/>
    <n v="2400000"/>
    <n v="2400000"/>
    <x v="0"/>
    <x v="0"/>
    <s v="BR3-5, BR-7"/>
    <s v="62-304.520 (10), F.A.C."/>
    <n v="0.59"/>
    <n v="0.64"/>
    <s v="City of Cocoa Beach"/>
    <n v="1.305961033707E-2"/>
    <n v="3666.8022040303799"/>
    <n v="9.1449516373431603"/>
    <n v="1.3451366194457399"/>
    <n v="0.11942950493505999"/>
    <n v="1.7566960100079999E-2"/>
    <n v="47.887007967749803"/>
    <n v="1200"/>
    <s v="Residential, Medium Density-Two-five dwellingunits per acre"/>
    <n v="1200"/>
    <s v="City of Cocoa Beach           Brevard County"/>
    <s v="City of Cocoa Beach"/>
    <m/>
    <m/>
    <m/>
    <n v="0"/>
    <n v="1"/>
    <n v="0.11942950493505999"/>
    <n v="1.7566960100079999E-2"/>
    <n v="47.8870079677505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3.885023287821902"/>
    <n v="52.850367966618002"/>
    <n v="3.8837800499999998E-2"/>
  </r>
  <r>
    <n v="830000"/>
    <n v="2400000"/>
    <n v="2400000"/>
    <x v="0"/>
    <x v="0"/>
    <s v="BR3-5, BR-7"/>
    <s v="62-304.520 (10), F.A.C."/>
    <n v="0.59"/>
    <n v="0.64"/>
    <s v="City of Cocoa Beach"/>
    <n v="2.48540201413E-3"/>
    <n v="3666.8022040303799"/>
    <n v="9.1449516373431603"/>
    <n v="1.3451366194457399"/>
    <n v="2.272888121862E-2"/>
    <n v="3.3432052632500001E-3"/>
    <n v="9.1134775833354293"/>
    <n v="1210"/>
    <s v="Fixed Single Family Units"/>
    <n v="1210"/>
    <s v="City of Cocoa Beach           Brevard County"/>
    <s v="City of Cocoa Beach"/>
    <m/>
    <m/>
    <m/>
    <n v="0"/>
    <n v="1"/>
    <n v="2.272888121862E-2"/>
    <n v="3.3432052632500001E-3"/>
    <n v="9.1134775833367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.8063389086971"/>
    <n v="10.0580651031536"/>
    <n v="7.3913038000000004E-3"/>
  </r>
  <r>
    <n v="830000"/>
    <n v="2400000"/>
    <n v="2400000"/>
    <x v="0"/>
    <x v="0"/>
    <s v="BR3-5, BR-7"/>
    <s v="62-304.520 (10), F.A.C."/>
    <n v="0.59"/>
    <n v="0.64"/>
    <s v="City of Cocoa Beach"/>
    <n v="3.3687270265679997E-2"/>
    <n v="3666.8022040303799"/>
    <n v="9.1449516373431603"/>
    <n v="1.3451366194457399"/>
    <n v="0.30806845737379002"/>
    <n v="4.531398084353E-2"/>
    <n v="123.52455685798"/>
    <n v="1210"/>
    <s v="Fixed Single Family Units"/>
    <n v="1210"/>
    <s v="City of Cocoa Beach           Brevard County"/>
    <s v="City of Cocoa Beach"/>
    <m/>
    <m/>
    <m/>
    <n v="0"/>
    <n v="1"/>
    <n v="0.30806845737379002"/>
    <n v="4.531398084353E-2"/>
    <n v="123.52455685797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2.4315369600628"/>
    <n v="136.32754602781"/>
    <n v="0.1001821224"/>
  </r>
  <r>
    <n v="830000"/>
    <n v="2400000"/>
    <n v="2400000"/>
    <x v="0"/>
    <x v="0"/>
    <s v="BR3-5, BR-7"/>
    <s v="62-304.520 (10), F.A.C."/>
    <n v="0.59"/>
    <n v="0.64"/>
    <s v="City of Cocoa Beach"/>
    <n v="3.4432289417369998E-2"/>
    <n v="3666.8022040303799"/>
    <n v="9.1449516373431603"/>
    <n v="1.3451366194457399"/>
    <n v="0.31488162148486998"/>
    <n v="4.6316133386659998E-2"/>
    <n v="126.256394725435"/>
    <n v="1210"/>
    <s v="Fixed Single Family Units"/>
    <n v="1210"/>
    <s v="City of Cocoa Beach           Brevard County"/>
    <s v="City of Cocoa Beach"/>
    <m/>
    <m/>
    <m/>
    <n v="0"/>
    <n v="1"/>
    <n v="0.31488162148486998"/>
    <n v="4.6316133386659998E-2"/>
    <n v="155.32835768613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1.378108434519604"/>
    <n v="139.34253156662999"/>
    <n v="0.12597595919999999"/>
  </r>
  <r>
    <n v="830000"/>
    <n v="2400000"/>
    <n v="2400000"/>
    <x v="0"/>
    <x v="0"/>
    <s v="BR3-5, BR-7"/>
    <s v="62-304.520 (10), F.A.C."/>
    <n v="0.59"/>
    <n v="0.64"/>
    <s v="City of Cocoa Beach"/>
    <n v="7.2006650604799997E-3"/>
    <n v="3666.8022040303799"/>
    <n v="9.1449516373431603"/>
    <n v="1.3451366194457399"/>
    <n v="6.584973373486E-2"/>
    <n v="9.6858782572200007E-3"/>
    <n v="26.4034145142782"/>
    <n v="1210"/>
    <s v="Fixed Single Family Units"/>
    <n v="1210"/>
    <s v="City of Cocoa Beach           Brevard County"/>
    <s v="City of Cocoa Beach"/>
    <m/>
    <m/>
    <m/>
    <n v="0"/>
    <n v="1"/>
    <n v="6.584973373486E-2"/>
    <n v="9.6858782572200007E-3"/>
    <n v="26.403414514277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7.642059768065998"/>
    <n v="29.140057645582299"/>
    <n v="2.1413961499999998E-2"/>
  </r>
  <r>
    <n v="830000"/>
    <n v="2400000"/>
    <n v="2400000"/>
    <x v="0"/>
    <x v="0"/>
    <s v="BR3-5, BR-7"/>
    <s v="62-304.520 (10), F.A.C."/>
    <n v="0.59"/>
    <n v="0.64"/>
    <s v="City of Cocoa Beach"/>
    <n v="0.26731300538922997"/>
    <n v="3666.8022040303799"/>
    <n v="9.1449516373431603"/>
    <n v="1.3451366194457399"/>
    <n v="2.4445645063173602"/>
    <n v="0.35957251240315002"/>
    <n v="980.18391732721295"/>
    <n v="1210"/>
    <s v="Fixed Single Family Units"/>
    <n v="1210"/>
    <s v="City of Cocoa Beach           Brevard County"/>
    <s v="City of Cocoa Beach"/>
    <m/>
    <m/>
    <m/>
    <n v="0"/>
    <n v="1"/>
    <n v="2.4445645063173602"/>
    <n v="0.35957251240315002"/>
    <n v="980.183917327212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5.02180863530401"/>
    <n v="1081.77735265045"/>
    <n v="0.79495857039999995"/>
  </r>
  <r>
    <n v="830000"/>
    <n v="2400000"/>
    <n v="2400000"/>
    <x v="0"/>
    <x v="0"/>
    <s v="BR3-5, BR-7"/>
    <s v="62-304.520 (10), F.A.C."/>
    <n v="0.59"/>
    <n v="0.64"/>
    <s v="City of Cocoa Beach"/>
    <n v="0.19469798386032"/>
    <n v="3666.8022040303799"/>
    <n v="9.1449516373431603"/>
    <n v="1.3451366194457399"/>
    <n v="1.7805036462908499"/>
    <n v="0.26189538782277"/>
    <n v="713.91899633929597"/>
    <n v="1210"/>
    <s v="Fixed Single Family Units"/>
    <n v="1210"/>
    <s v="City of Cocoa Beach           Brevard County"/>
    <s v="City of Cocoa Beach"/>
    <m/>
    <m/>
    <m/>
    <n v="0"/>
    <n v="1"/>
    <n v="1.7805036462908499"/>
    <n v="0.26189538782277"/>
    <n v="920.788223531523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1.40005002038301"/>
    <n v="787.91478641347203"/>
    <n v="0.74678688039999996"/>
  </r>
  <r>
    <n v="830000"/>
    <n v="2400000"/>
    <n v="2400000"/>
    <x v="0"/>
    <x v="0"/>
    <s v="BR3-5, BR-7"/>
    <s v="62-304.520 (10), F.A.C."/>
    <n v="0.59"/>
    <n v="0.64"/>
    <s v="City of Cocoa Beach"/>
    <n v="0.10827728990002"/>
    <n v="3834.71425967615"/>
    <n v="9.6353595647854"/>
    <n v="1.2933729952753401"/>
    <n v="1.0432906208872701"/>
    <n v="0.14004292275829"/>
    <n v="415.21246757872501"/>
    <n v="1400"/>
    <s v="Commercial and Services"/>
    <n v="1400"/>
    <s v="City of Cocoa Beach           Brevard County"/>
    <s v="City of Cocoa Beach"/>
    <m/>
    <m/>
    <m/>
    <n v="0"/>
    <n v="1"/>
    <n v="1.0432906208872701"/>
    <n v="0.14004292275829"/>
    <n v="630.955940066133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5.03754455218001"/>
    <n v="438.18264603199498"/>
    <n v="0.51172420119999995"/>
  </r>
  <r>
    <n v="830000"/>
    <n v="2400000"/>
    <n v="2400000"/>
    <x v="0"/>
    <x v="0"/>
    <s v="BR3-5, BR-7"/>
    <s v="62-304.520 (10), F.A.C."/>
    <n v="0.59"/>
    <n v="0.64"/>
    <s v="City of Cocoa Beach"/>
    <n v="0.24038834054536001"/>
    <n v="3834.71425967615"/>
    <n v="9.6353595647854"/>
    <n v="1.2933729952753401"/>
    <n v="2.3162280963367001"/>
    <n v="0.31091178804043001"/>
    <n v="921.82059734920904"/>
    <n v="1410"/>
    <s v="Retail Sales and Services"/>
    <n v="1410"/>
    <s v="City of Cocoa Beach           Brevard County"/>
    <s v="City of Cocoa Beach"/>
    <m/>
    <m/>
    <m/>
    <n v="0"/>
    <n v="1"/>
    <n v="2.3162280963367001"/>
    <n v="0.31091178804043001"/>
    <n v="1548.0196305502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6.668349197871"/>
    <n v="972.81709980610106"/>
    <n v="1.2554903735"/>
  </r>
  <r>
    <n v="830000"/>
    <n v="2400000"/>
    <n v="2400000"/>
    <x v="0"/>
    <x v="0"/>
    <s v="BR3-5, BR-7"/>
    <s v="62-304.520 (10), F.A.C."/>
    <n v="0.59"/>
    <n v="0.64"/>
    <s v="City of Cocoa Beach"/>
    <n v="4.9539741838089998E-2"/>
    <n v="3834.71425967615"/>
    <n v="9.6353595647854"/>
    <n v="1.2933729952753401"/>
    <n v="0.47733322535669997"/>
    <n v="6.4073364286300005E-2"/>
    <n v="189.970754447225"/>
    <n v="1410"/>
    <s v="Retail Sales and Services"/>
    <n v="1410"/>
    <s v="City of Cocoa Beach           Brevard County"/>
    <s v="City of Cocoa Beach"/>
    <m/>
    <m/>
    <m/>
    <n v="0"/>
    <n v="1"/>
    <n v="0.47733322535669997"/>
    <n v="6.4073364286300005E-2"/>
    <n v="189.97075444722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4.275691140053695"/>
    <n v="200.480222421538"/>
    <n v="0.15407198250000001"/>
  </r>
  <r>
    <n v="830000"/>
    <n v="2400000"/>
    <n v="2400000"/>
    <x v="0"/>
    <x v="0"/>
    <s v="BR3-5, BR-7"/>
    <s v="62-304.520 (10), F.A.C."/>
    <n v="0.59"/>
    <n v="0.64"/>
    <s v="City of Cocoa Beach"/>
    <n v="2.5878265237230001E-2"/>
    <n v="3738.72128163659"/>
    <n v="11.4620414758429"/>
    <n v="1.54040877852201"/>
    <n v="0.29661774947198999"/>
    <n v="3.9863106944350003E-2"/>
    <n v="96.751620974268207"/>
    <n v="1300"/>
    <s v="Residential, High Density"/>
    <n v="1300"/>
    <s v="City of Cocoa Beach           Brevard County"/>
    <s v="City of Cocoa Beach"/>
    <m/>
    <m/>
    <m/>
    <n v="0"/>
    <n v="1"/>
    <n v="0.29661774947198999"/>
    <n v="3.9863106944350003E-2"/>
    <n v="96.751620974269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4.236442803812"/>
    <n v="104.725623875856"/>
    <n v="7.8468467900000005E-2"/>
  </r>
  <r>
    <n v="830000"/>
    <n v="2400000"/>
    <n v="2400000"/>
    <x v="0"/>
    <x v="0"/>
    <s v="BR3-5, BR-7"/>
    <s v="62-304.520 (10), F.A.C."/>
    <n v="0.59"/>
    <n v="0.64"/>
    <s v="City of Cocoa Beach"/>
    <n v="0.12595263928889999"/>
    <n v="3738.72128163659"/>
    <n v="11.4620414758429"/>
    <n v="1.54040877852201"/>
    <n v="1.44367437552128"/>
    <n v="0.19401855123864001"/>
    <n v="470.90181298771398"/>
    <n v="1400"/>
    <s v="Commercial and Services"/>
    <n v="1400"/>
    <s v="City of Cocoa Beach           Brevard County"/>
    <s v="City of Cocoa Beach"/>
    <m/>
    <m/>
    <m/>
    <n v="0"/>
    <n v="1"/>
    <n v="1.44367437552128"/>
    <n v="0.19401855123864001"/>
    <n v="470.901812987713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0.450445488131"/>
    <n v="509.71224722452399"/>
    <n v="0.38191550120000001"/>
  </r>
  <r>
    <n v="830000"/>
    <n v="2400000"/>
    <n v="2400000"/>
    <x v="0"/>
    <x v="0"/>
    <s v="BR3-5, BR-7"/>
    <s v="62-304.520 (10), F.A.C."/>
    <n v="0.59"/>
    <n v="0.64"/>
    <s v="City of Cocoa Beach"/>
    <n v="0.45125266223881"/>
    <n v="3738.72128163659"/>
    <n v="11.4620414758429"/>
    <n v="1.54040877852201"/>
    <n v="5.1722767306658097"/>
    <n v="0.69511356224409004"/>
    <n v="1687.10793170741"/>
    <n v="1410"/>
    <s v="Retail Sales and Services"/>
    <n v="1410"/>
    <s v="City of Cocoa Beach           Brevard County"/>
    <s v="City of Cocoa Beach"/>
    <m/>
    <m/>
    <m/>
    <n v="0"/>
    <n v="1"/>
    <n v="5.1722767306658097"/>
    <n v="0.69511356224409004"/>
    <n v="1741.7066655023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72.38105184781199"/>
    <n v="1826.15473430622"/>
    <n v="1.4125763710000001"/>
  </r>
  <r>
    <n v="830000"/>
    <n v="2400000"/>
    <n v="2400000"/>
    <x v="0"/>
    <x v="0"/>
    <s v="BR3-5, BR-7"/>
    <s v="62-304.520 (10), F.A.C."/>
    <n v="0.59"/>
    <n v="0.64"/>
    <s v="City of Cocoa Beach"/>
    <n v="1.0958070269999999E-5"/>
    <n v="3738.72128163659"/>
    <n v="11.4620414758429"/>
    <n v="1.54040877852201"/>
    <n v="1.2560185596999999E-4"/>
    <n v="1.6879907639999999E-5"/>
    <n v="4.0969170539070003E-2"/>
    <n v="1410"/>
    <s v="Retail Sales and Services"/>
    <n v="1410"/>
    <s v="City of Cocoa Beach           Brevard County"/>
    <s v="City of Cocoa Beach"/>
    <m/>
    <m/>
    <m/>
    <n v="0"/>
    <n v="1"/>
    <n v="1.2560185596999999E-4"/>
    <n v="1.6879907639999999E-5"/>
    <n v="0.28527203931396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.88250847586353"/>
    <n v="4.4345737064860002E-2"/>
    <n v="2.313642E-4"/>
  </r>
  <r>
    <n v="830000"/>
    <n v="2400000"/>
    <n v="2400000"/>
    <x v="0"/>
    <x v="0"/>
    <s v="BR3-5, BR-7"/>
    <s v="62-304.520 (10), F.A.C."/>
    <n v="0.59"/>
    <n v="0.64"/>
    <s v="City of Cocoa Beach"/>
    <n v="0.16393563730020999"/>
    <n v="3744.6331390922501"/>
    <n v="11.747704000972"/>
    <n v="1.5485933910671199"/>
    <n v="1.9258673422136601"/>
    <n v="0.25386964448348998"/>
    <n v="613.87882011260501"/>
    <n v="1400"/>
    <s v="Commercial and Services"/>
    <n v="1400"/>
    <s v="City of Cocoa Beach           Brevard County"/>
    <s v="City of Cocoa Beach"/>
    <m/>
    <m/>
    <m/>
    <n v="0"/>
    <n v="1"/>
    <n v="1.9258673422136601"/>
    <n v="0.25386964448348998"/>
    <n v="665.06723816995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7.378942595941"/>
    <n v="663.42398666862505"/>
    <n v="0.53938948760000005"/>
  </r>
  <r>
    <n v="830000"/>
    <n v="2400000"/>
    <n v="2400000"/>
    <x v="0"/>
    <x v="0"/>
    <s v="BR3-5, BR-7"/>
    <s v="62-304.520 (10), F.A.C."/>
    <n v="0.59"/>
    <n v="0.64"/>
    <s v="City of Cocoa Beach"/>
    <n v="0.23056246601943001"/>
    <n v="3744.6331390922501"/>
    <n v="11.747704000972"/>
    <n v="1.5485933910671199"/>
    <n v="2.70857960453043"/>
    <n v="0.35704751110582"/>
    <n v="863.37185088719002"/>
    <n v="1410"/>
    <s v="Retail Sales and Services"/>
    <n v="1410"/>
    <s v="City of Cocoa Beach           Brevard County"/>
    <s v="City of Cocoa Beach"/>
    <m/>
    <m/>
    <m/>
    <n v="0"/>
    <n v="1"/>
    <n v="2.70857960453043"/>
    <n v="0.35704751110582"/>
    <n v="863.371850887190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6.43115986234"/>
    <n v="933.05319637511195"/>
    <n v="0.70022047919999997"/>
  </r>
  <r>
    <n v="830000"/>
    <n v="2400000"/>
    <n v="2400000"/>
    <x v="0"/>
    <x v="0"/>
    <s v="BR3-5, BR-7"/>
    <s v="62-304.520 (10), F.A.C."/>
    <n v="0.59"/>
    <n v="0.64"/>
    <s v="City of Cocoa Beach"/>
    <n v="5.9981402628109998E-2"/>
    <n v="3744.6331390922501"/>
    <n v="11.747704000972"/>
    <n v="1.5485933910671199"/>
    <n v="0.70464376363820003"/>
    <n v="9.288680369683E-2"/>
    <n v="224.60834801047099"/>
    <n v="1410"/>
    <s v="Retail Sales and Services"/>
    <n v="1410"/>
    <s v="City of Cocoa Beach           Brevard County"/>
    <s v="City of Cocoa Beach"/>
    <m/>
    <m/>
    <m/>
    <n v="0"/>
    <n v="1"/>
    <n v="0.70464376363820003"/>
    <n v="9.288680369683E-2"/>
    <n v="224.6083480104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5.044749780465196"/>
    <n v="242.736124450142"/>
    <n v="0.18216411029999999"/>
  </r>
  <r>
    <n v="830000"/>
    <n v="2400000"/>
    <n v="2400000"/>
    <x v="0"/>
    <x v="0"/>
    <s v="BR3-5, BR-7"/>
    <s v="62-304.520 (10), F.A.C."/>
    <n v="0.59"/>
    <n v="0.64"/>
    <s v="City of Cocoa Beach"/>
    <n v="0.14961413920492"/>
    <n v="3744.6331390922501"/>
    <n v="11.747704000972"/>
    <n v="1.5485933910671199"/>
    <n v="1.75762262173967"/>
    <n v="0.23169146718294001"/>
    <n v="560.25006374351995"/>
    <n v="1410"/>
    <s v="Retail Sales and Services"/>
    <n v="1410"/>
    <s v="City of Cocoa Beach           Brevard County"/>
    <s v="City of Cocoa Beach"/>
    <m/>
    <m/>
    <m/>
    <n v="0"/>
    <n v="1"/>
    <n v="1.75762262173967"/>
    <n v="0.23169146718294001"/>
    <n v="560.250063743519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0.61539421717301"/>
    <n v="605.46694012329306"/>
    <n v="0.45437961370000002"/>
  </r>
  <r>
    <n v="830000"/>
    <n v="2400000"/>
    <n v="2400000"/>
    <x v="0"/>
    <x v="0"/>
    <s v="BR3-5, BR-7"/>
    <s v="62-304.520 (10), F.A.C."/>
    <n v="0.59"/>
    <n v="0.64"/>
    <s v="City of Cocoa Beach"/>
    <n v="0.16654795453648"/>
    <n v="3812.2415391179502"/>
    <n v="9.6130347832793799"/>
    <n v="1.5888493779011399"/>
    <n v="1.60103128004322"/>
    <n v="0.26461961395598999"/>
    <n v="634.92103053910103"/>
    <n v="1300"/>
    <s v="Residential, High Density"/>
    <n v="1300"/>
    <s v="City of Cocoa Beach           Brevard County"/>
    <s v="City of Cocoa Beach"/>
    <m/>
    <m/>
    <m/>
    <n v="0"/>
    <n v="1"/>
    <n v="1.60103128004322"/>
    <n v="0.26461961395598999"/>
    <n v="725.01112046475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8.57446457905699"/>
    <n v="673.99565945353902"/>
    <n v="0.58800577490000006"/>
  </r>
  <r>
    <n v="830000"/>
    <n v="2400000"/>
    <n v="2400000"/>
    <x v="0"/>
    <x v="0"/>
    <s v="BR3-5, BR-7"/>
    <s v="62-304.520 (10), F.A.C."/>
    <n v="0.59"/>
    <n v="0.64"/>
    <s v="City of Cocoa Beach"/>
    <n v="4.9884267565349999E-2"/>
    <n v="3812.2415391179502"/>
    <n v="9.6130347832793799"/>
    <n v="1.5888493779011399"/>
    <n v="0.47953919924413002"/>
    <n v="7.9258587488259993E-2"/>
    <n v="190.17087696110499"/>
    <n v="1300"/>
    <s v="Residential, High Density"/>
    <n v="1300"/>
    <s v="City of Cocoa Beach           Brevard County"/>
    <s v="City of Cocoa Beach"/>
    <m/>
    <m/>
    <m/>
    <n v="0"/>
    <n v="1"/>
    <n v="0.47953919924413002"/>
    <n v="7.9258587488259993E-2"/>
    <n v="190.17087696110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3.4813262527964"/>
    <n v="201.87446857356201"/>
    <n v="0.15423428789999999"/>
  </r>
  <r>
    <n v="830000"/>
    <n v="2400000"/>
    <n v="2400000"/>
    <x v="0"/>
    <x v="0"/>
    <s v="BR3-5, BR-7"/>
    <s v="62-304.520 (10), F.A.C."/>
    <n v="0.59"/>
    <n v="0.64"/>
    <s v="City of Cocoa Beach"/>
    <n v="3.5293251827190002E-2"/>
    <n v="3812.2415391179502"/>
    <n v="9.6130347832793799"/>
    <n v="1.5888493779011399"/>
    <n v="0.33927525742983"/>
    <n v="5.6075661209740002E-2"/>
    <n v="134.546400666171"/>
    <n v="1300"/>
    <s v="Residential, High Density"/>
    <n v="1300"/>
    <s v="City of Cocoa Beach           Brevard County"/>
    <s v="City of Cocoa Beach"/>
    <m/>
    <m/>
    <m/>
    <n v="0"/>
    <n v="1"/>
    <n v="0.33927525742983"/>
    <n v="5.6075661209740002E-2"/>
    <n v="175.31886100983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4.344625769811699"/>
    <n v="142.82672282425401"/>
    <n v="0.1421888573"/>
  </r>
  <r>
    <n v="830000"/>
    <n v="2400000"/>
    <n v="2400000"/>
    <x v="0"/>
    <x v="0"/>
    <s v="BR3-5, BR-7"/>
    <s v="62-304.520 (10), F.A.C."/>
    <n v="0.59"/>
    <n v="0.64"/>
    <s v="City of Cocoa Beach"/>
    <n v="0.30053744387217002"/>
    <n v="3812.2415391179502"/>
    <n v="9.6130347832793799"/>
    <n v="1.5888493779011399"/>
    <n v="2.88907690162109"/>
    <n v="0.47750873073229999"/>
    <n v="1145.72132758983"/>
    <n v="1450"/>
    <s v="Tourist Services"/>
    <n v="1450"/>
    <s v="City of Cocoa Beach           Brevard County"/>
    <s v="City of Cocoa Beach"/>
    <m/>
    <m/>
    <m/>
    <n v="0"/>
    <n v="1"/>
    <n v="2.88907690162109"/>
    <n v="0.47750873073229999"/>
    <n v="1264.5626394946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4.68847050873799"/>
    <n v="1216.2318849057899"/>
    <n v="1.0255982478000001"/>
  </r>
  <r>
    <n v="830000"/>
    <n v="2400000"/>
    <n v="2400000"/>
    <x v="0"/>
    <x v="0"/>
    <s v="BR3-5, BR-7"/>
    <s v="62-304.520 (10), F.A.C."/>
    <n v="0.59"/>
    <n v="0.64"/>
    <s v="City of Cocoa Beach"/>
    <n v="2.6259450470779998E-2"/>
    <n v="3666.8022038937802"/>
    <n v="9.1449516370024799"/>
    <n v="1.34513661939563"/>
    <n v="0.24014140456958"/>
    <n v="3.532254843345E-2"/>
    <n v="96.288210859310396"/>
    <n v="1200"/>
    <s v="Residential, Medium Density-Two-five dwellingunits per acre"/>
    <n v="1200"/>
    <s v="City of Cocoa Beach           Brevard County"/>
    <s v="City of Cocoa Beach"/>
    <m/>
    <m/>
    <m/>
    <n v="0"/>
    <n v="1"/>
    <n v="0.24014140456958"/>
    <n v="3.532254843345E-2"/>
    <n v="96.2882108593115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0.637956129645204"/>
    <n v="106.268225786388"/>
    <n v="7.8092628400000003E-2"/>
  </r>
  <r>
    <n v="830000"/>
    <n v="2400000"/>
    <n v="2400000"/>
    <x v="0"/>
    <x v="0"/>
    <s v="BR3-5, BR-7"/>
    <s v="62-304.520 (10), F.A.C."/>
    <n v="0.59"/>
    <n v="0.64"/>
    <s v="City of Cocoa Beach"/>
    <n v="1.0006904249119999E-2"/>
    <n v="3666.8022038937802"/>
    <n v="9.1449516370024799"/>
    <n v="1.34513661939563"/>
    <n v="9.1512655394340003E-2"/>
    <n v="1.346065335228E-2"/>
    <n v="36.693338554838199"/>
    <n v="1210"/>
    <s v="Fixed Single Family Units"/>
    <n v="1210"/>
    <s v="City of Cocoa Beach           Brevard County"/>
    <s v="City of Cocoa Beach"/>
    <m/>
    <m/>
    <m/>
    <n v="0"/>
    <n v="1"/>
    <n v="9.1512655394340003E-2"/>
    <n v="1.346065335228E-2"/>
    <n v="36.6933385548379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4.529523856526197"/>
    <n v="40.496504728904704"/>
    <n v="2.9759398699999998E-2"/>
  </r>
  <r>
    <n v="830000"/>
    <n v="2400000"/>
    <n v="2400000"/>
    <x v="0"/>
    <x v="0"/>
    <s v="BR3-5, BR-7"/>
    <s v="62-304.520 (10), F.A.C."/>
    <n v="0.59"/>
    <n v="0.64"/>
    <s v="City of Cocoa Beach"/>
    <n v="3.2963927760449999E-2"/>
    <n v="3666.8022038937802"/>
    <n v="9.1449516370024799"/>
    <n v="1.34513661939563"/>
    <n v="0.30145352513502"/>
    <n v="4.4340986349699997E-2"/>
    <n v="120.87220296103899"/>
    <n v="1210"/>
    <s v="Fixed Single Family Units"/>
    <n v="1210"/>
    <s v="City of Cocoa Beach           Brevard County"/>
    <s v="City of Cocoa Beach"/>
    <m/>
    <m/>
    <m/>
    <n v="0"/>
    <n v="1"/>
    <n v="0.30145352513502"/>
    <n v="4.4340986349699997E-2"/>
    <n v="120.87220296103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2.205041215360403"/>
    <n v="133.400282764933"/>
    <n v="9.8030983700000004E-2"/>
  </r>
  <r>
    <n v="830000"/>
    <n v="2400000"/>
    <n v="2400000"/>
    <x v="0"/>
    <x v="0"/>
    <s v="BR3-5, BR-7"/>
    <s v="62-304.520 (10), F.A.C."/>
    <n v="0.59"/>
    <n v="0.64"/>
    <s v="City of Cocoa Beach"/>
    <n v="1.7413342076829999E-2"/>
    <n v="3666.8022038937802"/>
    <n v="9.1449516370024799"/>
    <n v="1.34513661939563"/>
    <n v="0.15924417113122999"/>
    <n v="2.3423324093610001E-2"/>
    <n v="63.851281104494902"/>
    <n v="1210"/>
    <s v="Fixed Single Family Units"/>
    <n v="1210"/>
    <s v="City of Cocoa Beach           Brevard County"/>
    <s v="City of Cocoa Beach"/>
    <m/>
    <m/>
    <m/>
    <n v="0"/>
    <n v="1"/>
    <n v="0.15924417113122999"/>
    <n v="2.3423324093610001E-2"/>
    <n v="63.851281104495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4.015517985073899"/>
    <n v="70.469295219087996"/>
    <n v="5.1785304999999997E-2"/>
  </r>
  <r>
    <n v="830000"/>
    <n v="2400000"/>
    <n v="2400000"/>
    <x v="0"/>
    <x v="0"/>
    <s v="BR3-5, BR-7"/>
    <s v="62-304.520 (10), F.A.C."/>
    <n v="0.59"/>
    <n v="0.64"/>
    <s v="City of Cocoa Beach"/>
    <n v="0.12488136141198"/>
    <n v="3666.8022038937802"/>
    <n v="9.1449516370024799"/>
    <n v="1.34513661939563"/>
    <n v="1.1420340104756399"/>
    <n v="0.16798249231524001"/>
    <n v="457.915251250729"/>
    <n v="1210"/>
    <s v="Fixed Single Family Units"/>
    <n v="1210"/>
    <s v="City of Cocoa Beach           Brevard County"/>
    <s v="City of Cocoa Beach"/>
    <m/>
    <m/>
    <m/>
    <n v="0"/>
    <n v="1"/>
    <n v="1.1420340104756399"/>
    <n v="0.16798249231524001"/>
    <n v="457.91525125072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9.44728045994501"/>
    <n v="505.37693946815398"/>
    <n v="0.37138300990000001"/>
  </r>
  <r>
    <n v="830000"/>
    <n v="2400000"/>
    <n v="2400000"/>
    <x v="0"/>
    <x v="0"/>
    <s v="BR3-5, BR-7"/>
    <s v="62-304.520 (10), F.A.C."/>
    <n v="0.59"/>
    <n v="0.64"/>
    <s v="City of Cocoa Beach"/>
    <n v="0.27321174838369"/>
    <n v="3666.8022038937802"/>
    <n v="9.1449516370024799"/>
    <n v="1.34513661939563"/>
    <n v="2.4985082256297599"/>
    <n v="0.36750712760000998"/>
    <n v="1001.8134411029901"/>
    <n v="1210"/>
    <s v="Fixed Single Family Units"/>
    <n v="1210"/>
    <s v="City of Cocoa Beach           Brevard County"/>
    <s v="City of Cocoa Beach"/>
    <m/>
    <m/>
    <m/>
    <n v="0"/>
    <n v="1"/>
    <n v="2.4985082256297599"/>
    <n v="0.36750712760000998"/>
    <n v="1001.81344110299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7.23405073396"/>
    <n v="1105.64871862168"/>
    <n v="0.81250076329999998"/>
  </r>
  <r>
    <n v="830000"/>
    <n v="2400000"/>
    <n v="2400000"/>
    <x v="0"/>
    <x v="0"/>
    <s v="BR3-5, BR-7"/>
    <s v="62-304.520 (10), F.A.C."/>
    <n v="0.59"/>
    <n v="0.64"/>
    <s v="City of Cocoa Beach"/>
    <n v="0.13302671952215001"/>
    <n v="3666.8022038937802"/>
    <n v="9.1449516370024799"/>
    <n v="1.34513661939563"/>
    <n v="1.21652291645921"/>
    <n v="0.17893911178732"/>
    <n v="487.78266832060098"/>
    <n v="1210"/>
    <s v="Fixed Single Family Units"/>
    <n v="1210"/>
    <s v="City of Cocoa Beach           Brevard County"/>
    <s v="City of Cocoa Beach"/>
    <m/>
    <m/>
    <m/>
    <n v="0"/>
    <n v="1"/>
    <n v="1.21652291645921"/>
    <n v="0.17893911178732"/>
    <n v="487.782668320600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0.232550393491"/>
    <n v="538.34003424904097"/>
    <n v="0.39560638139999998"/>
  </r>
  <r>
    <n v="830000"/>
    <n v="2400000"/>
    <n v="2400000"/>
    <x v="0"/>
    <x v="0"/>
    <s v="BR3-5, BR-7"/>
    <s v="62-304.520 (10), F.A.C."/>
    <n v="0.59"/>
    <n v="0.64"/>
    <s v="Brevard County"/>
    <n v="8.8704408599900003E-2"/>
    <n v="3730.3272970311"/>
    <n v="10.3218188523109"/>
    <n v="1.8942524655046999"/>
    <n v="0.91559083696957"/>
    <n v="0.1680285446915"/>
    <n v="330.89647676721802"/>
    <n v="1300"/>
    <s v="Residential, High Density"/>
    <n v="1300"/>
    <s v="Brevard County"/>
    <s v="Brevard County"/>
    <m/>
    <m/>
    <m/>
    <n v="0"/>
    <n v="1"/>
    <n v="0.91559083696957"/>
    <n v="0.1680285446915"/>
    <n v="330.896476767218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2.953424891584703"/>
    <n v="358.97400563770998"/>
    <n v="0.2683669722"/>
  </r>
  <r>
    <n v="830000"/>
    <n v="2400000"/>
    <n v="2400000"/>
    <x v="0"/>
    <x v="0"/>
    <s v="BR3-5, BR-7"/>
    <s v="62-304.520 (10), F.A.C."/>
    <n v="0.59"/>
    <n v="0.64"/>
    <s v="City of Cocoa Beach"/>
    <n v="0.14008533930364001"/>
    <n v="3730.3272970311"/>
    <n v="10.3218188523109"/>
    <n v="1.8942524655046999"/>
    <n v="1.4459354961567099"/>
    <n v="0.26535699935697998"/>
    <n v="522.56416511824"/>
    <n v="1300"/>
    <s v="Residential, High Density"/>
    <n v="1300"/>
    <s v="City of Cocoa Beach           Brevard County"/>
    <s v="City of Cocoa Beach"/>
    <m/>
    <m/>
    <m/>
    <n v="0"/>
    <n v="1"/>
    <n v="1.4459354961567099"/>
    <n v="0.26535699935697998"/>
    <n v="522.5641651182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9.048971382532"/>
    <n v="566.90525504502602"/>
    <n v="0.42381521909999997"/>
  </r>
  <r>
    <n v="830000"/>
    <n v="2400000"/>
    <n v="2400000"/>
    <x v="0"/>
    <x v="0"/>
    <s v="BR3-5, BR-7"/>
    <s v="62-304.520 (10), F.A.C."/>
    <n v="0.59"/>
    <n v="0.64"/>
    <s v="City of Cocoa Beach"/>
    <n v="5.2420228226300004E-3"/>
    <n v="3730.3272970311"/>
    <n v="10.3218188523109"/>
    <n v="1.8942524655046999"/>
    <n v="5.410720999496E-2"/>
    <n v="9.9297146560100007E-3"/>
    <n v="19.554460826950301"/>
    <n v="1400"/>
    <s v="Commercial and Services"/>
    <n v="1400"/>
    <s v="City of Cocoa Beach           Brevard County"/>
    <s v="City of Cocoa Beach"/>
    <m/>
    <m/>
    <m/>
    <n v="0"/>
    <n v="1"/>
    <n v="5.410720999496E-2"/>
    <n v="9.9297146560100007E-3"/>
    <n v="19.554460826948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0.247571580408305"/>
    <n v="21.213713726161998"/>
    <n v="1.5859254499999999E-2"/>
  </r>
  <r>
    <n v="830000"/>
    <n v="2400000"/>
    <n v="2400000"/>
    <x v="0"/>
    <x v="0"/>
    <s v="BR3-5, BR-7"/>
    <s v="62-304.520 (10), F.A.C."/>
    <n v="0.59"/>
    <n v="0.64"/>
    <s v="Brevard County"/>
    <n v="2.97424661286E-3"/>
    <n v="3730.3272970311"/>
    <n v="10.3218188523109"/>
    <n v="1.8942524655046999"/>
    <n v="3.0699634760090001E-2"/>
    <n v="5.6339739794300002E-3"/>
    <n v="11.0949133280726"/>
    <n v="1210"/>
    <s v="Fixed Single Family Units"/>
    <n v="1210"/>
    <s v="Brevard County"/>
    <s v="Brevard County"/>
    <m/>
    <m/>
    <m/>
    <n v="0"/>
    <n v="1"/>
    <n v="3.0699634760090001E-2"/>
    <n v="5.6339739794300002E-3"/>
    <n v="11.094913328072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4.773595128936901"/>
    <n v="12.0363490070742"/>
    <n v="8.9983075999999999E-3"/>
  </r>
  <r>
    <n v="830000"/>
    <n v="2400000"/>
    <n v="2400000"/>
    <x v="0"/>
    <x v="0"/>
    <s v="BR3-5, BR-7"/>
    <s v="62-304.520 (10), F.A.C."/>
    <n v="0.59"/>
    <n v="0.64"/>
    <s v="Brevard County"/>
    <n v="3.7322799424719999E-2"/>
    <n v="3730.3272970311"/>
    <n v="10.3218188523109"/>
    <n v="1.8942524655046999"/>
    <n v="0.38523917472314001"/>
    <n v="7.0698804829819994E-2"/>
    <n v="139.22625749566799"/>
    <n v="1330"/>
    <s v="Residential, High density; Multiple Dwelling Units, Low Rise &lt;Two stories or less&gt;"/>
    <n v="1330"/>
    <s v="Brevard County"/>
    <s v="Brevard County"/>
    <m/>
    <m/>
    <m/>
    <n v="0"/>
    <n v="1"/>
    <n v="0.38523917472314001"/>
    <n v="7.0698804829819994E-2"/>
    <n v="139.22625749566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9.428285520882199"/>
    <n v="151.04001055389401"/>
    <n v="0.1129166727"/>
  </r>
  <r>
    <n v="830000"/>
    <n v="2400000"/>
    <n v="2400000"/>
    <x v="0"/>
    <x v="0"/>
    <s v="BR3-5, BR-7"/>
    <s v="62-304.520 (10), F.A.C."/>
    <n v="0.59"/>
    <n v="0.64"/>
    <s v="City of Cocoa Beach"/>
    <n v="1.307523631757E-2"/>
    <n v="3730.3272970311"/>
    <n v="10.3218188523109"/>
    <n v="1.8942524655046999"/>
    <n v="0.13496022072117"/>
    <n v="2.476779863162E-2"/>
    <n v="48.774910950586197"/>
    <n v="1450"/>
    <s v="Tourist Services"/>
    <n v="1450"/>
    <s v="City of Cocoa Beach           Brevard County"/>
    <s v="City of Cocoa Beach"/>
    <m/>
    <m/>
    <m/>
    <n v="0"/>
    <n v="1"/>
    <n v="0.13496022072117"/>
    <n v="2.476779863162E-2"/>
    <n v="48.7749109505866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3.826042143654902"/>
    <n v="52.913604066180703"/>
    <n v="3.9557916399999997E-2"/>
  </r>
  <r>
    <n v="830000"/>
    <n v="2400000"/>
    <n v="2400000"/>
    <x v="0"/>
    <x v="0"/>
    <s v="BR3-5, BR-7"/>
    <s v="62-304.520 (10), F.A.C."/>
    <n v="0.59"/>
    <n v="0.64"/>
    <s v="City of Cocoa Beach"/>
    <n v="4.1279770258189998E-2"/>
    <n v="3730.3272970311"/>
    <n v="10.3218188523109"/>
    <n v="1.8942524655046999"/>
    <n v="0.42608231087012999"/>
    <n v="7.8194306587049997E-2"/>
    <n v="153.98705380932799"/>
    <n v="1450"/>
    <s v="Tourist Services"/>
    <n v="1450"/>
    <s v="City of Cocoa Beach           Brevard County"/>
    <s v="City of Cocoa Beach"/>
    <m/>
    <m/>
    <m/>
    <n v="0"/>
    <n v="1"/>
    <n v="0.42608231087012999"/>
    <n v="7.8194306587049997E-2"/>
    <n v="153.98705380933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2.083675949988802"/>
    <n v="167.053303384586"/>
    <n v="0.1248881215"/>
  </r>
  <r>
    <n v="830000"/>
    <n v="2400000"/>
    <n v="2400000"/>
    <x v="0"/>
    <x v="0"/>
    <s v="BR3-5, BR-7"/>
    <s v="62-304.520 (10), F.A.C."/>
    <n v="0.59"/>
    <n v="0.64"/>
    <s v="City of Cocoa Beach"/>
    <n v="0.16342695818212"/>
    <n v="3738.3300647813699"/>
    <n v="11.4920911954561"/>
    <n v="1.5171858905506399"/>
    <n v="1.8781175072249801"/>
    <n v="0.24794907508953001"/>
    <n v="610.943911168005"/>
    <n v="1400"/>
    <s v="Commercial and Services"/>
    <n v="1400"/>
    <s v="City of Cocoa Beach           Brevard County"/>
    <s v="City of Cocoa Beach"/>
    <m/>
    <m/>
    <m/>
    <n v="0"/>
    <n v="1"/>
    <n v="1.8781175072249801"/>
    <n v="0.24794907508953001"/>
    <n v="610.9439111680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6.45922636714501"/>
    <n v="661.36543531262998"/>
    <n v="0.4954938452"/>
  </r>
  <r>
    <n v="830000"/>
    <n v="2400000"/>
    <n v="2400000"/>
    <x v="0"/>
    <x v="0"/>
    <s v="BR3-5, BR-7"/>
    <s v="62-304.520 (10), F.A.C."/>
    <n v="0.59"/>
    <n v="0.64"/>
    <s v="City of Cocoa Beach"/>
    <n v="0.10903992848834999"/>
    <n v="3813.0885459989099"/>
    <n v="9.6462723099190395"/>
    <n v="1.3275614122708299"/>
    <n v="1.05182884285281"/>
    <n v="0.14475720145790999"/>
    <n v="415.77890237550201"/>
    <n v="1200"/>
    <s v="Residential, Medium Density-Two-five dwellingunits per acre"/>
    <n v="1200"/>
    <s v="City of Cocoa Beach           Brevard County"/>
    <s v="City of Cocoa Beach"/>
    <m/>
    <m/>
    <m/>
    <n v="0"/>
    <n v="1"/>
    <n v="1.05182884285281"/>
    <n v="0.14475720145790999"/>
    <n v="415.77890237550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83791104140499"/>
    <n v="441.26893490115299"/>
    <n v="0.3372091666"/>
  </r>
  <r>
    <n v="830000"/>
    <n v="2400000"/>
    <n v="2400000"/>
    <x v="0"/>
    <x v="0"/>
    <s v="BR3-5, BR-7"/>
    <s v="62-304.520 (10), F.A.C."/>
    <n v="0.59"/>
    <n v="0.64"/>
    <s v="City of Cocoa Beach"/>
    <n v="0.11016858296701"/>
    <n v="3813.0885459989099"/>
    <n v="9.6462723099190395"/>
    <n v="1.3275614122708299"/>
    <n v="1.0627161512977501"/>
    <n v="0.14625555959156999"/>
    <n v="420.08256184046297"/>
    <n v="1400"/>
    <s v="Commercial and Services"/>
    <n v="1400"/>
    <s v="City of Cocoa Beach           Brevard County"/>
    <s v="City of Cocoa Beach"/>
    <m/>
    <m/>
    <m/>
    <n v="0"/>
    <n v="1"/>
    <n v="1.0627161512977501"/>
    <n v="0.14625555959156999"/>
    <n v="420.082561840462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8.181636298586"/>
    <n v="445.83643752678"/>
    <n v="0.34069956350000002"/>
  </r>
  <r>
    <n v="830000"/>
    <n v="2400000"/>
    <n v="2400000"/>
    <x v="0"/>
    <x v="0"/>
    <s v="BR3-5, BR-7"/>
    <s v="62-304.520 (10), F.A.C."/>
    <n v="0.59"/>
    <n v="0.64"/>
    <s v="City of Cocoa Beach"/>
    <n v="0.39855494221253002"/>
    <n v="3813.0885459989099"/>
    <n v="9.6462723099190395"/>
    <n v="1.3275614122708299"/>
    <n v="3.8445695030461802"/>
    <n v="0.52910616195118998"/>
    <n v="1519.72528510188"/>
    <n v="1450"/>
    <s v="Tourist Services"/>
    <n v="1450"/>
    <s v="City of Cocoa Beach           Brevard County"/>
    <s v="City of Cocoa Beach"/>
    <m/>
    <m/>
    <m/>
    <n v="0"/>
    <n v="1"/>
    <n v="3.8445695030461802"/>
    <n v="0.52910616195118998"/>
    <n v="1519.7252851018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4.67681025769599"/>
    <n v="1612.89462757206"/>
    <n v="1.2325428103"/>
  </r>
  <r>
    <n v="830000"/>
    <n v="2400000"/>
    <n v="2400000"/>
    <x v="0"/>
    <x v="0"/>
    <s v="BR3-5, BR-7"/>
    <s v="62-304.520 (10), F.A.C."/>
    <n v="0.59"/>
    <n v="0.64"/>
    <s v="City of Cocoa Beach"/>
    <n v="0.32832670825801002"/>
    <n v="3713.4391479556798"/>
    <n v="11.736175122556901"/>
    <n v="2.3837198730832498"/>
    <n v="3.8532997455287199"/>
    <n v="0.78263889933862996"/>
    <n v="1219.2212517647299"/>
    <n v="1300"/>
    <s v="Residential, High Density"/>
    <n v="1300"/>
    <s v="City of Cocoa Beach           Brevard County"/>
    <s v="City of Cocoa Beach"/>
    <m/>
    <m/>
    <m/>
    <n v="0"/>
    <n v="1"/>
    <n v="3.8532997455287199"/>
    <n v="0.78263889933862996"/>
    <n v="1347.3350334660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4.02685580775301"/>
    <n v="1328.6910479593901"/>
    <n v="1.0927291430999999"/>
  </r>
  <r>
    <n v="830000"/>
    <n v="2400000"/>
    <n v="2400000"/>
    <x v="0"/>
    <x v="0"/>
    <s v="BR3-5, BR-7"/>
    <s v="62-304.520 (10), F.A.C."/>
    <n v="0.59"/>
    <n v="0.64"/>
    <s v="City of Cocoa Beach"/>
    <n v="0.21944381763533999"/>
    <n v="3713.4391479556798"/>
    <n v="11.736175122556901"/>
    <n v="2.3837198730832498"/>
    <n v="2.5754310733308499"/>
    <n v="0.52309258912262002"/>
    <n v="814.89126318393403"/>
    <n v="1300"/>
    <s v="Residential, High Density"/>
    <n v="1300"/>
    <s v="City of Cocoa Beach           Brevard County"/>
    <s v="City of Cocoa Beach"/>
    <m/>
    <m/>
    <m/>
    <n v="0"/>
    <n v="1"/>
    <n v="2.5754310733308499"/>
    <n v="0.52309258912262002"/>
    <n v="814.891263183934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3.246557556955"/>
    <n v="888.05762275356597"/>
    <n v="0.66090126780000003"/>
  </r>
  <r>
    <n v="830000"/>
    <n v="2400000"/>
    <n v="2400000"/>
    <x v="0"/>
    <x v="0"/>
    <s v="BR3-5, BR-7"/>
    <s v="62-304.520 (10), F.A.C."/>
    <n v="0.59"/>
    <n v="0.64"/>
    <s v="City of Cocoa Beach"/>
    <n v="0.10492724011676"/>
    <n v="3722.8297313449002"/>
    <n v="10.0229665241979"/>
    <n v="1.85120057494112"/>
    <n v="1.0516822151667999"/>
    <n v="0.19424136723113"/>
    <n v="390.62624913465402"/>
    <n v="1300"/>
    <s v="Residential, High Density"/>
    <n v="1300"/>
    <s v="City of Cocoa Beach           Brevard County"/>
    <s v="City of Cocoa Beach"/>
    <m/>
    <m/>
    <m/>
    <n v="0"/>
    <n v="1"/>
    <n v="1.0516822151667999"/>
    <n v="0.19424136723113"/>
    <n v="390.626249134654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00356943641501"/>
    <n v="424.625475551232"/>
    <n v="0.31680961000000002"/>
  </r>
  <r>
    <n v="830000"/>
    <n v="2400000"/>
    <n v="2400000"/>
    <x v="0"/>
    <x v="0"/>
    <s v="BR3-5, BR-7"/>
    <s v="62-304.520 (10), F.A.C."/>
    <n v="0.59"/>
    <n v="0.64"/>
    <s v="City of Cocoa Beach"/>
    <n v="3.7968009286020003E-2"/>
    <n v="3722.8297313449002"/>
    <n v="10.0229665241979"/>
    <n v="1.85120057494112"/>
    <n v="0.38055208606420998"/>
    <n v="7.0286400619649997E-2"/>
    <n v="141.34843380997401"/>
    <n v="1300"/>
    <s v="Residential, High Density"/>
    <n v="1300"/>
    <s v="City of Cocoa Beach           Brevard County"/>
    <s v="City of Cocoa Beach"/>
    <m/>
    <m/>
    <m/>
    <n v="0"/>
    <n v="1"/>
    <n v="0.38055208606420998"/>
    <n v="7.0286400619649997E-2"/>
    <n v="141.34843380997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6.164223719631"/>
    <n v="153.651082224871"/>
    <n v="0.11463782140000001"/>
  </r>
  <r>
    <n v="830000"/>
    <n v="2400000"/>
    <n v="2400000"/>
    <x v="0"/>
    <x v="0"/>
    <s v="BR3-5, BR-7"/>
    <s v="62-304.520 (10), F.A.C."/>
    <n v="0.59"/>
    <n v="0.64"/>
    <s v="City of Cocoa Beach"/>
    <n v="0.17965125257709"/>
    <n v="3672.8043873305"/>
    <n v="9.3149864605386092"/>
    <n v="1.42314231496216"/>
    <n v="1.6734489853744501"/>
    <n v="0.25566929947841999"/>
    <n v="659.82390865457705"/>
    <n v="1200"/>
    <s v="Residential, Medium Density-Two-five dwellingunits per acre"/>
    <n v="1200"/>
    <s v="City of Cocoa Beach           Brevard County"/>
    <s v="City of Cocoa Beach"/>
    <m/>
    <m/>
    <m/>
    <n v="0"/>
    <n v="1"/>
    <n v="1.6734489853744501"/>
    <n v="0.25566929947841999"/>
    <n v="659.823908654577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88.59605027067599"/>
    <n v="727.02282528382398"/>
    <n v="0.53513699000000003"/>
  </r>
  <r>
    <n v="830000"/>
    <n v="2400000"/>
    <n v="2400000"/>
    <x v="0"/>
    <x v="0"/>
    <s v="BR3-5, BR-7"/>
    <s v="62-304.520 (10), F.A.C."/>
    <n v="0.59"/>
    <n v="0.64"/>
    <s v="City of Cocoa Beach"/>
    <n v="6.6949742203349996E-2"/>
    <n v="3672.8043873305"/>
    <n v="9.3149864605386092"/>
    <n v="1.42314231496216"/>
    <n v="0.62363594216082996"/>
    <n v="9.5279011105400005E-2"/>
    <n v="245.89330689513901"/>
    <n v="1300"/>
    <s v="Residential, High Density"/>
    <n v="1300"/>
    <s v="City of Cocoa Beach           Brevard County"/>
    <s v="City of Cocoa Beach"/>
    <m/>
    <m/>
    <m/>
    <n v="0"/>
    <n v="1"/>
    <n v="0.62363594216082996"/>
    <n v="9.5279011105400005E-2"/>
    <n v="245.89330689514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1.16718670392601"/>
    <n v="270.93599421368498"/>
    <n v="0.19942685069999999"/>
  </r>
  <r>
    <n v="830000"/>
    <n v="2400000"/>
    <n v="2400000"/>
    <x v="0"/>
    <x v="0"/>
    <s v="BR3-5, BR-7"/>
    <s v="62-304.520 (10), F.A.C."/>
    <n v="0.59"/>
    <n v="0.64"/>
    <s v="City of Cocoa Beach"/>
    <n v="0.27277967487117999"/>
    <n v="3672.8043873305"/>
    <n v="9.3149864605386092"/>
    <n v="1.42314231496216"/>
    <n v="2.5409389781352201"/>
    <n v="0.38820429797080003"/>
    <n v="1001.8663866414699"/>
    <n v="1210"/>
    <s v="Fixed Single Family Units"/>
    <n v="1210"/>
    <s v="City of Cocoa Beach           Brevard County"/>
    <s v="City of Cocoa Beach"/>
    <m/>
    <m/>
    <m/>
    <n v="0"/>
    <n v="1"/>
    <n v="2.5409389781352201"/>
    <n v="0.38820429797080003"/>
    <n v="1001.8663866414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6.63351045512599"/>
    <n v="1103.90017915264"/>
    <n v="0.81254370369999995"/>
  </r>
  <r>
    <n v="830000"/>
    <n v="2400000"/>
    <n v="2400000"/>
    <x v="0"/>
    <x v="0"/>
    <s v="BR3-5, BR-7"/>
    <s v="62-304.520 (10), F.A.C."/>
    <n v="0.59"/>
    <n v="0.64"/>
    <s v="City of Cocoa Beach"/>
    <n v="9.2380902195459996E-2"/>
    <n v="3672.8043873305"/>
    <n v="9.3149864605386092"/>
    <n v="1.42314231496216"/>
    <n v="0.86052685316306998"/>
    <n v="0.13147117100874001"/>
    <n v="339.296982889042"/>
    <n v="1210"/>
    <s v="Fixed Single Family Units"/>
    <n v="1210"/>
    <s v="City of Cocoa Beach           Brevard County"/>
    <s v="City of Cocoa Beach"/>
    <m/>
    <m/>
    <m/>
    <n v="0"/>
    <n v="1"/>
    <n v="0.86052685316306998"/>
    <n v="0.13147117100874001"/>
    <n v="339.29698288904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1.23509480971801"/>
    <n v="373.852247356813"/>
    <n v="0.27518003479999997"/>
  </r>
  <r>
    <n v="830000"/>
    <n v="2400000"/>
    <n v="2400000"/>
    <x v="0"/>
    <x v="0"/>
    <s v="BR3-5, BR-7"/>
    <s v="62-304.520 (10), F.A.C."/>
    <n v="0.59"/>
    <n v="0.64"/>
    <s v="City of Cocoa Beach"/>
    <n v="6.0018879736800004E-3"/>
    <n v="3672.8043873305"/>
    <n v="9.3149864605386092"/>
    <n v="1.42314231496216"/>
    <n v="5.5907505212490001E-2"/>
    <n v="8.5415407449999994E-3"/>
    <n v="22.043760481998"/>
    <n v="1210"/>
    <s v="Fixed Single Family Units"/>
    <n v="1210"/>
    <s v="City of Cocoa Beach           Brevard County"/>
    <s v="City of Cocoa Beach"/>
    <m/>
    <m/>
    <m/>
    <n v="0"/>
    <n v="1"/>
    <n v="5.5907505212490001E-2"/>
    <n v="8.5415407449999994E-3"/>
    <n v="22.043760481997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3.332476172711502"/>
    <n v="24.288778892811401"/>
    <n v="1.7878151200000001E-2"/>
  </r>
  <r>
    <n v="830000"/>
    <n v="2400000"/>
    <n v="2400000"/>
    <x v="0"/>
    <x v="0"/>
    <s v="BR3-5, BR-7"/>
    <s v="62-304.520 (10), F.A.C."/>
    <n v="0.59"/>
    <n v="0.64"/>
    <s v="Brevard County"/>
    <n v="9.1639879912399996E-2"/>
    <n v="3670.7252798372301"/>
    <n v="9.7347006186457303"/>
    <n v="1.6293874320677999"/>
    <n v="0.89208679567590998"/>
    <n v="0.14931686860547"/>
    <n v="336.38482383571301"/>
    <n v="1300"/>
    <s v="Residential, High Density"/>
    <n v="1300"/>
    <s v="Brevard County"/>
    <s v="Brevard County"/>
    <m/>
    <m/>
    <m/>
    <n v="0"/>
    <n v="1"/>
    <n v="0.89208679567590998"/>
    <n v="0.14931686860547"/>
    <n v="336.384823835713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8.790093805482698"/>
    <n v="370.85343657148201"/>
    <n v="0.2728181864"/>
  </r>
  <r>
    <n v="830000"/>
    <n v="2400000"/>
    <n v="2400000"/>
    <x v="0"/>
    <x v="0"/>
    <s v="BR3-5, BR-7"/>
    <s v="62-304.520 (10), F.A.C."/>
    <n v="0.59"/>
    <n v="0.64"/>
    <s v="Brevard County"/>
    <n v="9.6970670718769997E-2"/>
    <n v="3670.7252798372301"/>
    <n v="9.7347006186457303"/>
    <n v="1.6293874320677999"/>
    <n v="0.94398044823653005"/>
    <n v="0.15800279214835"/>
    <n v="355.95269241017201"/>
    <n v="1330"/>
    <s v="Residential, High density; Multiple Dwelling Units, Low Rise &lt;Two stories or less&gt;"/>
    <n v="1330"/>
    <s v="Brevard County"/>
    <s v="Brevard County"/>
    <m/>
    <m/>
    <m/>
    <n v="0"/>
    <n v="1"/>
    <n v="0.94398044823653005"/>
    <n v="0.15800279214835"/>
    <n v="355.95269241017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2.339308518958006"/>
    <n v="392.42638158270302"/>
    <n v="0.28868831499999997"/>
  </r>
  <r>
    <n v="830000"/>
    <n v="2400000"/>
    <n v="2400000"/>
    <x v="0"/>
    <x v="0"/>
    <s v="BR3-5, BR-7"/>
    <s v="62-304.520 (10), F.A.C."/>
    <n v="0.59"/>
    <n v="0.64"/>
    <s v="Brevard County"/>
    <n v="0.15454188730585999"/>
    <n v="3670.7252798372301"/>
    <n v="9.7347006186457303"/>
    <n v="1.6293874320677999"/>
    <n v="1.5044190059631199"/>
    <n v="0.25180860890422002"/>
    <n v="567.28081252741094"/>
    <n v="1210"/>
    <s v="Fixed Single Family Units"/>
    <n v="1210"/>
    <s v="Brevard County"/>
    <s v="Brevard County"/>
    <m/>
    <m/>
    <m/>
    <n v="0"/>
    <n v="1"/>
    <n v="1.5044190059631199"/>
    <n v="0.25180860890422002"/>
    <n v="567.2808125274109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0.075742154016"/>
    <n v="625.40882917357305"/>
    <n v="0.46008176200000001"/>
  </r>
  <r>
    <n v="830000"/>
    <n v="2400000"/>
    <n v="2400000"/>
    <x v="0"/>
    <x v="0"/>
    <s v="BR3-5, BR-7"/>
    <s v="62-304.520 (10), F.A.C."/>
    <n v="0.59"/>
    <n v="0.64"/>
    <s v="Brevard County"/>
    <n v="6.6682257909160006E-2"/>
    <n v="3670.7252798372301"/>
    <n v="9.7347006186457303"/>
    <n v="1.6293874320677999"/>
    <n v="0.64913181732105996"/>
    <n v="0.1086512329791"/>
    <n v="244.77224982380599"/>
    <n v="1210"/>
    <s v="Fixed Single Family Units"/>
    <n v="1210"/>
    <s v="Brevard County"/>
    <s v="Brevard County"/>
    <m/>
    <m/>
    <m/>
    <n v="0"/>
    <n v="1"/>
    <n v="0.64913181732105996"/>
    <n v="0.1086512329791"/>
    <n v="244.7722498238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1.9109640461391"/>
    <n v="269.85352367984399"/>
    <n v="0.19851763980000001"/>
  </r>
  <r>
    <n v="830000"/>
    <n v="2400000"/>
    <n v="2400000"/>
    <x v="0"/>
    <x v="0"/>
    <s v="BR3-5, BR-7"/>
    <s v="62-304.520 (10), F.A.C."/>
    <n v="0.59"/>
    <n v="0.64"/>
    <s v="Brevard County"/>
    <n v="0.14619080982416"/>
    <n v="3670.7252798372301"/>
    <n v="9.7347006186457303"/>
    <n v="1.6293874320677999"/>
    <n v="1.4231237668355901"/>
    <n v="0.2382014682113"/>
    <n v="536.62630130142895"/>
    <n v="1210"/>
    <s v="Fixed Single Family Units"/>
    <n v="1210"/>
    <s v="Brevard County"/>
    <s v="Brevard County"/>
    <m/>
    <m/>
    <m/>
    <n v="0"/>
    <n v="1"/>
    <n v="1.4231237668355901"/>
    <n v="0.2382014682113"/>
    <n v="536.626301301428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7.299568033445894"/>
    <n v="591.61321763276601"/>
    <n v="0.43522003349999999"/>
  </r>
  <r>
    <n v="830000"/>
    <n v="2400000"/>
    <n v="2400000"/>
    <x v="0"/>
    <x v="0"/>
    <s v="BR3-5, BR-7"/>
    <s v="62-304.520 (10), F.A.C."/>
    <n v="0.59"/>
    <n v="0.64"/>
    <s v="Brevard County"/>
    <n v="6.1737947744380003E-2"/>
    <n v="3670.7252798372301"/>
    <n v="9.7347006186457303"/>
    <n v="1.6293874320677999"/>
    <n v="0.60100043810121995"/>
    <n v="0.10059503613636001"/>
    <n v="226.62304551059901"/>
    <n v="1330"/>
    <s v="Residential, High density; Multiple Dwelling Units, Low Rise &lt;Two stories or less&gt;"/>
    <n v="1330"/>
    <s v="Brevard County"/>
    <s v="Brevard County"/>
    <m/>
    <m/>
    <m/>
    <n v="0"/>
    <n v="1"/>
    <n v="0.60100043810121995"/>
    <n v="0.10059503613636001"/>
    <n v="226.6230455105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9.665676262929594"/>
    <n v="249.844610335174"/>
    <n v="0.1837980904"/>
  </r>
  <r>
    <n v="830000"/>
    <n v="2400000"/>
    <n v="2400000"/>
    <x v="0"/>
    <x v="0"/>
    <s v="BR3-5, BR-7"/>
    <s v="62-304.520 (10), F.A.C."/>
    <n v="0.59"/>
    <n v="0.64"/>
    <s v="City of Cocoa Beach"/>
    <n v="2.2746509668550002E-2"/>
    <n v="3752.6231907726501"/>
    <n v="11.2355518108663"/>
    <n v="1.95741109013884"/>
    <n v="0.25556958789741002"/>
    <n v="4.4524270287170001E-2"/>
    <n v="85.359079691350104"/>
    <n v="1200"/>
    <s v="Residential, Medium Density-Two-five dwellingunits per acre"/>
    <n v="1200"/>
    <s v="City of Cocoa Beach           Brevard County"/>
    <s v="City of Cocoa Beach"/>
    <m/>
    <m/>
    <m/>
    <n v="0"/>
    <n v="1"/>
    <n v="0.25556958789741002"/>
    <n v="4.4524270287170001E-2"/>
    <n v="85.359079691350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2.754759156095297"/>
    <n v="92.051858739371895"/>
    <n v="6.9228775100000001E-2"/>
  </r>
  <r>
    <n v="830000"/>
    <n v="2400000"/>
    <n v="2400000"/>
    <x v="0"/>
    <x v="0"/>
    <s v="BR3-5, BR-7"/>
    <s v="62-304.520 (10), F.A.C."/>
    <n v="0.59"/>
    <n v="0.64"/>
    <s v="City of Cocoa Beach"/>
    <n v="0.21647692604509999"/>
    <n v="3752.6231907726501"/>
    <n v="11.2355518108663"/>
    <n v="1.95741109013884"/>
    <n v="2.43223771843688"/>
    <n v="0.42373433579984998"/>
    <n v="812.35633294404499"/>
    <n v="1300"/>
    <s v="Residential, High Density"/>
    <n v="1300"/>
    <s v="City of Cocoa Beach           Brevard County"/>
    <s v="City of Cocoa Beach"/>
    <m/>
    <m/>
    <m/>
    <n v="0"/>
    <n v="1"/>
    <n v="2.43223771843688"/>
    <n v="0.42373433579984998"/>
    <n v="812.35633294404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5.387920758332"/>
    <n v="876.05103846705003"/>
    <n v="0.65884536329999999"/>
  </r>
  <r>
    <n v="830000"/>
    <n v="2400000"/>
    <n v="2400000"/>
    <x v="0"/>
    <x v="0"/>
    <s v="BR3-5, BR-7"/>
    <s v="62-304.520 (10), F.A.C."/>
    <n v="0.59"/>
    <n v="0.64"/>
    <s v="City of Cocoa Beach"/>
    <n v="8.7862277362330002E-2"/>
    <n v="3752.6231907726501"/>
    <n v="11.2355518108663"/>
    <n v="1.95741109013884"/>
    <n v="0.98718116952516999"/>
    <n v="0.17198259611388"/>
    <n v="329.714019623978"/>
    <n v="1400"/>
    <s v="Commercial and Services"/>
    <n v="1400"/>
    <s v="City of Cocoa Beach           Brevard County"/>
    <s v="City of Cocoa Beach"/>
    <m/>
    <m/>
    <m/>
    <n v="0"/>
    <n v="1"/>
    <n v="0.98718116952516999"/>
    <n v="0.17198259611388"/>
    <n v="329.714019623976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1.326894238685"/>
    <n v="355.56602143043301"/>
    <n v="0.267407964"/>
  </r>
  <r>
    <n v="830000"/>
    <n v="2400000"/>
    <n v="2400000"/>
    <x v="0"/>
    <x v="0"/>
    <s v="BR3-5, BR-7"/>
    <s v="62-304.520 (10), F.A.C."/>
    <n v="0.59"/>
    <n v="0.64"/>
    <s v="City of Cocoa Beach"/>
    <n v="0.10254964709432"/>
    <n v="3752.6231907726501"/>
    <n v="11.2355518108663"/>
    <n v="1.95741109013884"/>
    <n v="1.1522018731143799"/>
    <n v="0.20073181651225999"/>
    <n v="384.83018389172702"/>
    <n v="1450"/>
    <s v="Tourist Services"/>
    <n v="1450"/>
    <s v="City of Cocoa Beach           Brevard County"/>
    <s v="City of Cocoa Beach"/>
    <m/>
    <m/>
    <m/>
    <n v="0"/>
    <n v="1"/>
    <n v="1.1522018731143799"/>
    <n v="0.20073181651225999"/>
    <n v="384.830183891727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3.420032783772498"/>
    <n v="415.00369795853402"/>
    <n v="0.31210882719999999"/>
  </r>
  <r>
    <n v="830000"/>
    <n v="2400000"/>
    <n v="2400000"/>
    <x v="0"/>
    <x v="0"/>
    <s v="BR3-5, BR-7"/>
    <s v="62-304.520 (10), F.A.C."/>
    <n v="0.59"/>
    <n v="0.64"/>
    <s v="City of Cocoa Beach"/>
    <n v="9.6129057552400005E-3"/>
    <n v="3666.8022036205798"/>
    <n v="9.1449516363211298"/>
    <n v="1.34513661929541"/>
    <n v="8.7909558216209993E-2"/>
    <n v="1.293067154921E-2"/>
    <n v="35.248624006525702"/>
    <n v="1210"/>
    <s v="Fixed Single Family Units"/>
    <n v="1210"/>
    <s v="City of Cocoa Beach           Brevard County"/>
    <s v="City of Cocoa Beach"/>
    <m/>
    <m/>
    <m/>
    <n v="0"/>
    <n v="1"/>
    <n v="8.7909558216209993E-2"/>
    <n v="1.293067154921E-2"/>
    <n v="127.67492383747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5.812941687910399"/>
    <n v="38.902049393534703"/>
    <n v="0.1035481945"/>
  </r>
  <r>
    <n v="830000"/>
    <n v="2400000"/>
    <n v="2400000"/>
    <x v="0"/>
    <x v="0"/>
    <s v="BR3-5, BR-7"/>
    <s v="62-304.520 (10), F.A.C."/>
    <n v="0.59"/>
    <n v="0.64"/>
    <s v="City of Cocoa Beach"/>
    <n v="2.8409333398429999E-2"/>
    <n v="3666.8022036205798"/>
    <n v="9.1449516363211298"/>
    <n v="1.34513661929541"/>
    <n v="0.2598019799488"/>
    <n v="3.8214434684000001E-2"/>
    <n v="104.17140630876899"/>
    <n v="1210"/>
    <s v="Fixed Single Family Units"/>
    <n v="1210"/>
    <s v="City of Cocoa Beach           Brevard County"/>
    <s v="City of Cocoa Beach"/>
    <m/>
    <m/>
    <m/>
    <n v="0"/>
    <n v="1"/>
    <n v="0.2598019799488"/>
    <n v="3.8214434684000001E-2"/>
    <n v="496.749749886201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9.508294013799002"/>
    <n v="114.968493319554"/>
    <n v="0.40287895369999999"/>
  </r>
  <r>
    <n v="830000"/>
    <n v="2400000"/>
    <n v="2400000"/>
    <x v="0"/>
    <x v="0"/>
    <s v="BR3-5, BR-7"/>
    <s v="62-304.520 (10), F.A.C."/>
    <n v="0.59"/>
    <n v="0.64"/>
    <s v="City of Cocoa Beach"/>
    <n v="6.1124149145840002E-2"/>
    <n v="3801.05162863335"/>
    <n v="10.1075764617926"/>
    <n v="1.6394969356650799"/>
    <n v="0.61781701115361998"/>
    <n v="0.10021285521973999"/>
    <n v="232.33604665963401"/>
    <n v="1300"/>
    <s v="Residential, High Density"/>
    <n v="1300"/>
    <s v="City of Cocoa Beach           Brevard County"/>
    <s v="City of Cocoa Beach"/>
    <m/>
    <m/>
    <m/>
    <n v="0"/>
    <n v="1"/>
    <n v="0.61781701115361998"/>
    <n v="0.10021285521973999"/>
    <n v="312.197299897447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7.205648224084996"/>
    <n v="247.36065553458999"/>
    <n v="0.25320137869999998"/>
  </r>
  <r>
    <n v="830000"/>
    <n v="2400000"/>
    <n v="2400000"/>
    <x v="0"/>
    <x v="0"/>
    <s v="BR3-5, BR-7"/>
    <s v="62-304.520 (10), F.A.C."/>
    <n v="0.59"/>
    <n v="0.64"/>
    <s v="City of Cocoa Beach"/>
    <n v="7.7108053129769996E-2"/>
    <n v="3801.05162863335"/>
    <n v="10.1075764617926"/>
    <n v="1.6394969356650799"/>
    <n v="0.77937554282916"/>
    <n v="0.12641841682136001"/>
    <n v="293.09169092967801"/>
    <n v="1400"/>
    <s v="Commercial and Services"/>
    <n v="1400"/>
    <s v="City of Cocoa Beach           Brevard County"/>
    <s v="City of Cocoa Beach"/>
    <m/>
    <m/>
    <m/>
    <n v="0"/>
    <n v="1"/>
    <n v="0.77937554282916"/>
    <n v="0.12641841682136001"/>
    <n v="409.06727586324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9.739468470264896"/>
    <n v="312.04522002699201"/>
    <n v="0.33176583609999999"/>
  </r>
  <r>
    <n v="830000"/>
    <n v="2400000"/>
    <n v="2400000"/>
    <x v="0"/>
    <x v="0"/>
    <s v="BR3-5, BR-7"/>
    <s v="62-304.520 (10), F.A.C."/>
    <n v="0.59"/>
    <n v="0.64"/>
    <s v="City of Cocoa Beach"/>
    <n v="6.3551484525829996E-2"/>
    <n v="3801.05162863335"/>
    <n v="10.1075764617926"/>
    <n v="1.6394969356650799"/>
    <n v="0.64235148910532003"/>
    <n v="0.10419246413707001"/>
    <n v="241.562473759"/>
    <n v="1300"/>
    <s v="Residential, High Density"/>
    <n v="1300"/>
    <s v="City of Cocoa Beach           Brevard County"/>
    <s v="City of Cocoa Beach"/>
    <m/>
    <m/>
    <m/>
    <n v="0"/>
    <n v="1"/>
    <n v="0.64235148910532003"/>
    <n v="0.10419246413707001"/>
    <n v="241.562473758998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4.529678630657202"/>
    <n v="257.18373330643601"/>
    <n v="0.19591441509999999"/>
  </r>
  <r>
    <n v="830000"/>
    <n v="2400000"/>
    <n v="2400000"/>
    <x v="0"/>
    <x v="0"/>
    <s v="BR3-5, BR-7"/>
    <s v="62-304.520 (10), F.A.C."/>
    <n v="0.59"/>
    <n v="0.64"/>
    <s v="City of Cocoa Beach"/>
    <n v="7.9080950027679994E-2"/>
    <n v="3801.05162863335"/>
    <n v="10.1075764617926"/>
    <n v="1.6394969356650799"/>
    <n v="0.79931674907596995"/>
    <n v="0.12965297523986"/>
    <n v="300.59077389658597"/>
    <n v="1300"/>
    <s v="Residential, High Density"/>
    <n v="1300"/>
    <s v="City of Cocoa Beach           Brevard County"/>
    <s v="City of Cocoa Beach"/>
    <m/>
    <m/>
    <m/>
    <n v="0"/>
    <n v="1"/>
    <n v="0.79931674907596995"/>
    <n v="0.12965297523986"/>
    <n v="498.96904447697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2.080186591154202"/>
    <n v="320.02925050901001"/>
    <n v="0.40467886819999999"/>
  </r>
  <r>
    <n v="830000"/>
    <n v="2400000"/>
    <n v="2400000"/>
    <x v="0"/>
    <x v="0"/>
    <s v="BR3-5, BR-7"/>
    <s v="62-304.520 (10), F.A.C."/>
    <n v="0.59"/>
    <n v="0.64"/>
    <s v="City of Cocoa Beach"/>
    <n v="0.16848881457959999"/>
    <n v="3801.05162863335"/>
    <n v="10.1075764617926"/>
    <n v="1.6394969356650799"/>
    <n v="1.7030135763201399"/>
    <n v="0.27623689519709999"/>
    <n v="640.43468306430702"/>
    <n v="1450"/>
    <s v="Tourist Services"/>
    <n v="1450"/>
    <s v="City of Cocoa Beach           Brevard County"/>
    <s v="City of Cocoa Beach"/>
    <m/>
    <m/>
    <m/>
    <n v="0"/>
    <n v="1"/>
    <n v="1.7030135763201399"/>
    <n v="0.27623689519709999"/>
    <n v="886.35468689064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9.108548286969"/>
    <n v="681.85004138403303"/>
    <n v="0.7188602489"/>
  </r>
  <r>
    <n v="830000"/>
    <n v="2400000"/>
    <n v="2400000"/>
    <x v="0"/>
    <x v="0"/>
    <s v="BR3-5, BR-7"/>
    <s v="62-304.520 (10), F.A.C."/>
    <n v="0.59"/>
    <n v="0.64"/>
    <s v="City of Cocoa Beach"/>
    <n v="0.18032421440204"/>
    <n v="3674.8611068390201"/>
    <n v="9.5466294984259292"/>
    <n v="1.5343691106234201"/>
    <n v="1.72148846449101"/>
    <n v="0.27668390447593"/>
    <n v="662.66644212736503"/>
    <n v="1200"/>
    <s v="Residential, Medium Density-Two-five dwellingunits per acre"/>
    <n v="1200"/>
    <s v="City of Cocoa Beach           Brevard County"/>
    <s v="City of Cocoa Beach"/>
    <m/>
    <m/>
    <m/>
    <n v="0"/>
    <n v="1"/>
    <n v="1.72148846449101"/>
    <n v="0.27668390447593"/>
    <n v="662.666442127365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0.973660613856"/>
    <n v="729.74620516713901"/>
    <n v="0.53744236990000005"/>
  </r>
  <r>
    <n v="830000"/>
    <n v="2400000"/>
    <n v="2400000"/>
    <x v="0"/>
    <x v="0"/>
    <s v="BR3-5, BR-7"/>
    <s v="62-304.520 (10), F.A.C."/>
    <n v="0.59"/>
    <n v="0.64"/>
    <s v="City of Cocoa Beach"/>
    <n v="0.10657774714357"/>
    <n v="3674.8611068390201"/>
    <n v="9.5466294984259292"/>
    <n v="1.5343691106234201"/>
    <n v="1.0174582647566299"/>
    <n v="0.16352960309692999"/>
    <n v="391.65841783244701"/>
    <n v="1300"/>
    <s v="Residential, High Density"/>
    <n v="1300"/>
    <s v="City of Cocoa Beach           Brevard County"/>
    <s v="City of Cocoa Beach"/>
    <m/>
    <m/>
    <m/>
    <n v="0"/>
    <n v="1"/>
    <n v="1.0174582647566299"/>
    <n v="0.16352960309692999"/>
    <n v="391.65841783244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931392426607"/>
    <n v="431.30484051290102"/>
    <n v="0.31764672980000003"/>
  </r>
  <r>
    <n v="830000"/>
    <n v="2400000"/>
    <n v="2400000"/>
    <x v="0"/>
    <x v="0"/>
    <s v="BR3-5, BR-7"/>
    <s v="62-304.520 (10), F.A.C."/>
    <n v="0.59"/>
    <n v="0.64"/>
    <s v="City of Cocoa Beach"/>
    <n v="8.922491280823E-2"/>
    <n v="3674.8611068390201"/>
    <n v="9.5466294984259292"/>
    <n v="1.5343691106234201"/>
    <n v="0.85179718460957998"/>
    <n v="0.13690395011102"/>
    <n v="327.889161840089"/>
    <n v="1210"/>
    <s v="Fixed Single Family Units"/>
    <n v="1210"/>
    <s v="City of Cocoa Beach           Brevard County"/>
    <s v="City of Cocoa Beach"/>
    <m/>
    <m/>
    <m/>
    <n v="0"/>
    <n v="1"/>
    <n v="0.85179718460957998"/>
    <n v="0.13690395011102"/>
    <n v="327.889161840087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2.963516426898494"/>
    <n v="361.08041143608801"/>
    <n v="0.26592794959999999"/>
  </r>
  <r>
    <n v="830000"/>
    <n v="2400000"/>
    <n v="2400000"/>
    <x v="0"/>
    <x v="0"/>
    <s v="BR3-5, BR-7"/>
    <s v="62-304.520 (10), F.A.C."/>
    <n v="0.59"/>
    <n v="0.64"/>
    <s v="City of Cocoa Beach"/>
    <n v="2.3840138483679999E-2"/>
    <n v="3674.8611068390201"/>
    <n v="9.5466294984259292"/>
    <n v="1.5343691106234201"/>
    <n v="0.22759296929492001"/>
    <n v="3.657957208235E-2"/>
    <n v="87.609197695357494"/>
    <n v="1210"/>
    <s v="Fixed Single Family Units"/>
    <n v="1210"/>
    <s v="City of Cocoa Beach           Brevard County"/>
    <s v="City of Cocoa Beach"/>
    <m/>
    <m/>
    <m/>
    <n v="0"/>
    <n v="1"/>
    <n v="0.22759296929492001"/>
    <n v="3.657957208235E-2"/>
    <n v="87.6091976953571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4.8379336322947"/>
    <n v="96.477617533613795"/>
    <n v="7.1053688300000001E-2"/>
  </r>
  <r>
    <n v="830000"/>
    <n v="2400000"/>
    <n v="2400000"/>
    <x v="0"/>
    <x v="0"/>
    <s v="BR3-5, BR-7"/>
    <s v="62-304.520 (10), F.A.C."/>
    <n v="0.59"/>
    <n v="0.64"/>
    <s v="City of Cocoa Beach"/>
    <n v="0.20322641136686001"/>
    <n v="3682.2158959221001"/>
    <n v="9.5039214208394291"/>
    <n v="1.5075840882663301"/>
    <n v="1.93144784426984"/>
    <n v="0.30638090409214003"/>
    <n v="748.32352240626301"/>
    <n v="1200"/>
    <s v="Residential, Medium Density-Two-five dwellingunits per acre"/>
    <n v="1200"/>
    <s v="City of Cocoa Beach           Brevard County"/>
    <s v="City of Cocoa Beach"/>
    <m/>
    <m/>
    <m/>
    <n v="0"/>
    <n v="1"/>
    <n v="1.93144784426984"/>
    <n v="0.30638090409214003"/>
    <n v="748.323522406263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3.329103752355"/>
    <n v="822.42810804129101"/>
    <n v="0.60691283240000005"/>
  </r>
  <r>
    <n v="830000"/>
    <n v="2400000"/>
    <n v="2400000"/>
    <x v="0"/>
    <x v="0"/>
    <s v="BR3-5, BR-7"/>
    <s v="62-304.520 (10), F.A.C."/>
    <n v="0.59"/>
    <n v="0.64"/>
    <s v="City of Cocoa Beach"/>
    <n v="0.11746510028279999"/>
    <n v="3682.2158959221001"/>
    <n v="9.5039214208394291"/>
    <n v="1.5075840882663301"/>
    <n v="1.1163790827787901"/>
    <n v="0.17708851611296"/>
    <n v="432.53185947742401"/>
    <n v="1300"/>
    <s v="Residential, High Density"/>
    <n v="1300"/>
    <s v="City of Cocoa Beach           Brevard County"/>
    <s v="City of Cocoa Beach"/>
    <m/>
    <m/>
    <m/>
    <n v="0"/>
    <n v="1"/>
    <n v="1.1163790827787901"/>
    <n v="0.17708851611296"/>
    <n v="432.53185947742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9.60753026089201"/>
    <n v="475.36439548732602"/>
    <n v="0.35079631750000001"/>
  </r>
  <r>
    <n v="830000"/>
    <n v="2400000"/>
    <n v="2400000"/>
    <x v="0"/>
    <x v="0"/>
    <s v="BR3-5, BR-7"/>
    <s v="62-304.520 (10), F.A.C."/>
    <n v="0.59"/>
    <n v="0.64"/>
    <s v="City of Cocoa Beach"/>
    <n v="1.5958434915350001E-2"/>
    <n v="3682.2158959221001"/>
    <n v="9.5039214208394291"/>
    <n v="1.5075840882663301"/>
    <n v="0.15166771143506999"/>
    <n v="2.4058682552010002E-2"/>
    <n v="58.762402719343697"/>
    <n v="1210"/>
    <s v="Fixed Single Family Units"/>
    <n v="1210"/>
    <s v="City of Cocoa Beach           Brevard County"/>
    <s v="City of Cocoa Beach"/>
    <m/>
    <m/>
    <m/>
    <n v="0"/>
    <n v="1"/>
    <n v="0.15166771143506999"/>
    <n v="2.4058682552010002E-2"/>
    <n v="58.762402719345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6.951358638725402"/>
    <n v="64.581494828642505"/>
    <n v="4.7658072000000003E-2"/>
  </r>
  <r>
    <n v="830000"/>
    <n v="2400000"/>
    <n v="2400000"/>
    <x v="0"/>
    <x v="0"/>
    <s v="BR3-5, BR-7"/>
    <s v="62-304.520 (10), F.A.C."/>
    <n v="0.59"/>
    <n v="0.64"/>
    <s v="City of Cocoa Beach"/>
    <n v="0.1874932705914"/>
    <n v="3682.2158959221001"/>
    <n v="9.5039214208394291"/>
    <n v="1.5075840882663301"/>
    <n v="1.7819213106368601"/>
    <n v="0.28266187140061"/>
    <n v="690.39070135008001"/>
    <n v="1210"/>
    <s v="Fixed Single Family Units"/>
    <n v="1210"/>
    <s v="City of Cocoa Beach           Brevard County"/>
    <s v="City of Cocoa Beach"/>
    <m/>
    <m/>
    <m/>
    <n v="0"/>
    <n v="1"/>
    <n v="1.7819213106368601"/>
    <n v="0.28266187140061"/>
    <n v="690.39070135008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1.407100223228"/>
    <n v="758.758346249591"/>
    <n v="0.55992757609999999"/>
  </r>
  <r>
    <n v="830000"/>
    <n v="2400000"/>
    <n v="2400000"/>
    <x v="0"/>
    <x v="0"/>
    <s v="BR3-5, BR-7"/>
    <s v="62-304.520 (10), F.A.C."/>
    <n v="0.59"/>
    <n v="0.64"/>
    <s v="City of Cocoa Beach"/>
    <n v="0.37650171705462998"/>
    <n v="3676.3920478272498"/>
    <n v="9.2990608663647798"/>
    <n v="1.3572707127053401"/>
    <n v="3.50111238318188"/>
    <n v="0.51101475384151995"/>
    <n v="1384.1679185729499"/>
    <n v="1200"/>
    <s v="Residential, Medium Density-Two-five dwellingunits per acre"/>
    <n v="1200"/>
    <s v="City of Cocoa Beach           Brevard County"/>
    <s v="City of Cocoa Beach"/>
    <m/>
    <m/>
    <m/>
    <n v="0"/>
    <n v="1"/>
    <n v="3.50111238318188"/>
    <n v="0.51101475384151995"/>
    <n v="1384.1679185729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1.307601309516"/>
    <n v="1523.64839170716"/>
    <n v="1.1226017182000001"/>
  </r>
  <r>
    <n v="830000"/>
    <n v="2400000"/>
    <n v="2400000"/>
    <x v="0"/>
    <x v="0"/>
    <s v="BR3-5, BR-7"/>
    <s v="62-304.520 (10), F.A.C."/>
    <n v="0.59"/>
    <n v="0.64"/>
    <s v="City of Cocoa Beach"/>
    <n v="3.7296307790239999E-2"/>
    <n v="3676.3920478272498"/>
    <n v="9.2990608663647798"/>
    <n v="1.3572707127053401"/>
    <n v="0.34682063623213999"/>
    <n v="5.0621186255739997E-2"/>
    <n v="137.11584937336599"/>
    <n v="1400"/>
    <s v="Commercial and Services"/>
    <n v="1400"/>
    <s v="City of Cocoa Beach           Brevard County"/>
    <s v="City of Cocoa Beach"/>
    <m/>
    <m/>
    <m/>
    <n v="0"/>
    <n v="1"/>
    <n v="0.34682063623213999"/>
    <n v="5.0621186255739997E-2"/>
    <n v="137.115849373368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6.059893615715"/>
    <n v="150.93280271275299"/>
    <n v="0.1112050684"/>
  </r>
  <r>
    <n v="830000"/>
    <n v="2400000"/>
    <n v="2400000"/>
    <x v="0"/>
    <x v="0"/>
    <s v="BR3-5, BR-7"/>
    <s v="62-304.520 (10), F.A.C."/>
    <n v="0.59"/>
    <n v="0.64"/>
    <s v="City of Cocoa Beach"/>
    <n v="5.8857933520460003E-2"/>
    <n v="3676.3920478272498"/>
    <n v="9.2990608663647798"/>
    <n v="1.3572707127053401"/>
    <n v="0.54732350627520998"/>
    <n v="7.9886149377680002E-2"/>
    <n v="216.38483874616699"/>
    <n v="1210"/>
    <s v="Fixed Single Family Units"/>
    <n v="1210"/>
    <s v="City of Cocoa Beach           Brevard County"/>
    <s v="City of Cocoa Beach"/>
    <m/>
    <m/>
    <m/>
    <n v="0"/>
    <n v="1"/>
    <n v="0.54732350627520998"/>
    <n v="7.9886149377680002E-2"/>
    <n v="216.384838746169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2.948220964539097"/>
    <n v="238.18960627647101"/>
    <n v="0.17549459749999999"/>
  </r>
  <r>
    <n v="830000"/>
    <n v="2400000"/>
    <n v="2400000"/>
    <x v="0"/>
    <x v="0"/>
    <s v="BR3-5, BR-7"/>
    <s v="62-304.520 (10), F.A.C."/>
    <n v="0.59"/>
    <n v="0.64"/>
    <s v="City of Cocoa Beach"/>
    <n v="0.10496784206691"/>
    <n v="3676.3920478272498"/>
    <n v="9.2990608663647798"/>
    <n v="1.3572707127053401"/>
    <n v="0.97610235239119003"/>
    <n v="0.1424697778133"/>
    <n v="385.90293985238901"/>
    <n v="1210"/>
    <s v="Fixed Single Family Units"/>
    <n v="1210"/>
    <s v="City of Cocoa Beach           Brevard County"/>
    <s v="City of Cocoa Beach"/>
    <m/>
    <m/>
    <m/>
    <n v="0"/>
    <n v="1"/>
    <n v="0.97610235239119003"/>
    <n v="0.1424697778133"/>
    <n v="385.902939852389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4.743326029917398"/>
    <n v="424.78978581395899"/>
    <n v="0.3129788644"/>
  </r>
  <r>
    <n v="830000"/>
    <n v="2400000"/>
    <n v="2400000"/>
    <x v="0"/>
    <x v="0"/>
    <s v="BR3-5, BR-7"/>
    <s v="62-304.520 (10), F.A.C."/>
    <n v="0.59"/>
    <n v="0.64"/>
    <s v="City of Cocoa Beach"/>
    <n v="4.0139653258669999E-2"/>
    <n v="3676.3920478272498"/>
    <n v="9.2990608663647798"/>
    <n v="1.3572707127053401"/>
    <n v="0.3732610788072"/>
    <n v="5.4480375786139998E-2"/>
    <n v="147.56910204273899"/>
    <n v="1210"/>
    <s v="Fixed Single Family Units"/>
    <n v="1210"/>
    <s v="City of Cocoa Beach           Brevard County"/>
    <s v="City of Cocoa Beach"/>
    <m/>
    <m/>
    <m/>
    <n v="0"/>
    <n v="1"/>
    <n v="0.3732610788072"/>
    <n v="5.4480375786139998E-2"/>
    <n v="147.56910204273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1.377535644326301"/>
    <n v="162.43941358277999"/>
    <n v="0.11968297"/>
  </r>
  <r>
    <n v="830000"/>
    <n v="2400000"/>
    <n v="2400000"/>
    <x v="0"/>
    <x v="0"/>
    <s v="BR3-5, BR-7"/>
    <s v="62-304.520 (10), F.A.C."/>
    <n v="0.59"/>
    <n v="0.64"/>
    <s v="Brevard County"/>
    <n v="4.9639680983300002E-2"/>
    <n v="3766.3117338586399"/>
    <n v="9.5704521041222694"/>
    <n v="1.42945307100133"/>
    <n v="0.47507418931459"/>
    <n v="7.0957594425099996E-2"/>
    <n v="186.95851295240601"/>
    <n v="1300"/>
    <s v="Residential, High Density"/>
    <n v="1300"/>
    <s v="Brevard County"/>
    <s v="Brevard County"/>
    <m/>
    <m/>
    <m/>
    <n v="0"/>
    <n v="1"/>
    <n v="0.47507418931459"/>
    <n v="7.0957594425099996E-2"/>
    <n v="264.91294602311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9.634107419838898"/>
    <n v="200.88466179316001"/>
    <n v="0.21485234880000001"/>
  </r>
  <r>
    <n v="830000"/>
    <n v="2400000"/>
    <n v="2400000"/>
    <x v="0"/>
    <x v="0"/>
    <s v="BR3-5, BR-7"/>
    <s v="62-304.520 (10), F.A.C."/>
    <n v="0.59"/>
    <n v="0.64"/>
    <s v="City of Cocoa Beach"/>
    <n v="3.4983984061160003E-2"/>
    <n v="3766.3117338586399"/>
    <n v="9.5704521041222694"/>
    <n v="1.42945307100133"/>
    <n v="0.33481254386872"/>
    <n v="5.000796345209E-2"/>
    <n v="131.76058966667799"/>
    <n v="1300"/>
    <s v="Residential, High Density"/>
    <n v="1300"/>
    <s v="City of Cocoa Beach           Brevard County"/>
    <s v="City of Cocoa Beach"/>
    <m/>
    <m/>
    <m/>
    <n v="0"/>
    <n v="1"/>
    <n v="0.33481254386872"/>
    <n v="5.000796345209E-2"/>
    <n v="179.49306419014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123337501519103"/>
    <n v="141.57516057905201"/>
    <n v="0.14557426130000001"/>
  </r>
  <r>
    <n v="830000"/>
    <n v="2400000"/>
    <n v="2400000"/>
    <x v="0"/>
    <x v="0"/>
    <s v="BR3-5, BR-7"/>
    <s v="62-304.520 (10), F.A.C."/>
    <n v="0.59"/>
    <n v="0.64"/>
    <s v="City of Cocoa Beach"/>
    <n v="1.392692649441E-2"/>
    <n v="3766.3117338586399"/>
    <n v="9.5704521041222694"/>
    <n v="1.42945307100133"/>
    <n v="0.13328698297239999"/>
    <n v="1.990788784704E-2"/>
    <n v="52.453146672490703"/>
    <n v="1400"/>
    <s v="Commercial and Services"/>
    <n v="1400"/>
    <s v="City of Cocoa Beach           Brevard County"/>
    <s v="City of Cocoa Beach"/>
    <m/>
    <m/>
    <m/>
    <n v="0"/>
    <n v="1"/>
    <n v="0.13328698297239999"/>
    <n v="1.990788784704E-2"/>
    <n v="157.62976811027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0.566909286392999"/>
    <n v="56.360271928202202"/>
    <n v="0.12784247209999999"/>
  </r>
  <r>
    <n v="830000"/>
    <n v="2400000"/>
    <n v="2400000"/>
    <x v="0"/>
    <x v="0"/>
    <s v="BR3-5, BR-7"/>
    <s v="62-304.520 (10), F.A.C."/>
    <n v="0.59"/>
    <n v="0.64"/>
    <s v="Brevard County"/>
    <n v="4.32184327269E-2"/>
    <n v="3766.3117338586399"/>
    <n v="9.5704521041222694"/>
    <n v="1.42945307100133"/>
    <n v="0.41361994042811001"/>
    <n v="6.1778721385339998E-2"/>
    <n v="162.774090298337"/>
    <n v="1210"/>
    <s v="Fixed Single Family Units"/>
    <n v="1210"/>
    <s v="Brevard County"/>
    <s v="Brevard County"/>
    <m/>
    <m/>
    <m/>
    <n v="0"/>
    <n v="1"/>
    <n v="0.41361994042811001"/>
    <n v="6.1778721385339998E-2"/>
    <n v="162.77409029833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2.903276106048999"/>
    <n v="174.89879204695299"/>
    <n v="0.13201467180000001"/>
  </r>
  <r>
    <n v="830000"/>
    <n v="2400000"/>
    <n v="2400000"/>
    <x v="0"/>
    <x v="0"/>
    <s v="BR3-5, BR-7"/>
    <s v="62-304.520 (10), F.A.C."/>
    <n v="0.59"/>
    <n v="0.64"/>
    <s v="Brevard County"/>
    <n v="4.461873161952E-2"/>
    <n v="3766.3117338586399"/>
    <n v="9.5704521041222694"/>
    <n v="1.42945307100133"/>
    <n v="0.42702143391135999"/>
    <n v="6.3780382937710003E-2"/>
    <n v="168.04805244850999"/>
    <n v="1210"/>
    <s v="Fixed Single Family Units"/>
    <n v="1210"/>
    <s v="Brevard County"/>
    <s v="Brevard County"/>
    <m/>
    <m/>
    <m/>
    <n v="0"/>
    <n v="1"/>
    <n v="0.42702143391135999"/>
    <n v="6.3780382937710003E-2"/>
    <n v="309.22051104555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3.816374936692597"/>
    <n v="180.565600613821"/>
    <n v="0.2507871136"/>
  </r>
  <r>
    <n v="830000"/>
    <n v="2400000"/>
    <n v="2400000"/>
    <x v="0"/>
    <x v="0"/>
    <s v="BR3-5, BR-7"/>
    <s v="62-304.520 (10), F.A.C."/>
    <n v="0.59"/>
    <n v="0.64"/>
    <s v="City of Cocoa Beach"/>
    <n v="0.16097619166002999"/>
    <n v="3766.3117338586399"/>
    <n v="9.5704521041222694"/>
    <n v="1.42945307100133"/>
    <n v="1.54061493218639"/>
    <n v="0.23010791152654"/>
    <n v="606.28651952107498"/>
    <n v="1450"/>
    <s v="Tourist Services"/>
    <n v="1450"/>
    <s v="City of Cocoa Beach           Brevard County"/>
    <s v="City of Cocoa Beach"/>
    <m/>
    <m/>
    <m/>
    <n v="0"/>
    <n v="1"/>
    <n v="1.54061493218639"/>
    <n v="0.23010791152654"/>
    <n v="1023.5315342392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3.165313071395"/>
    <n v="651.447535072915"/>
    <n v="0.83011478849999998"/>
  </r>
  <r>
    <n v="830000"/>
    <n v="2400000"/>
    <n v="2400000"/>
    <x v="0"/>
    <x v="0"/>
    <s v="BR3-5, BR-7"/>
    <s v="62-304.520 (10), F.A.C."/>
    <n v="0.59"/>
    <n v="0.64"/>
    <s v="City of Cocoa Beach"/>
    <n v="0.18950938513713"/>
    <n v="3660.0898214396798"/>
    <n v="9.12906302469246"/>
    <n v="1.3428284867987901"/>
    <n v="1.7300431206876099"/>
    <n v="0.25447860087786001"/>
    <n v="693.62137160771704"/>
    <n v="1200"/>
    <s v="Residential, Medium Density-Two-five dwellingunits per acre"/>
    <n v="1200"/>
    <s v="City of Cocoa Beach           Brevard County"/>
    <s v="City of Cocoa Beach"/>
    <m/>
    <m/>
    <m/>
    <n v="0"/>
    <n v="1"/>
    <n v="1.7300431206876099"/>
    <n v="0.25447860087786001"/>
    <n v="693.621371607717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0.493706219861"/>
    <n v="766.91727234728501"/>
    <n v="0.56254774659999995"/>
  </r>
  <r>
    <n v="830000"/>
    <n v="2400000"/>
    <n v="2400000"/>
    <x v="0"/>
    <x v="0"/>
    <s v="BR3-5, BR-7"/>
    <s v="62-304.520 (10), F.A.C."/>
    <n v="0.59"/>
    <n v="0.64"/>
    <s v="City of Cocoa Beach"/>
    <n v="0.10093424368690999"/>
    <n v="3660.0898214396798"/>
    <n v="9.12906302469246"/>
    <n v="1.3428284867987901"/>
    <n v="0.92143507196755003"/>
    <n v="0.13553737771627999"/>
    <n v="369.42839795320498"/>
    <n v="1210"/>
    <s v="Fixed Single Family Units"/>
    <n v="1210"/>
    <s v="City of Cocoa Beach           Brevard County"/>
    <s v="City of Cocoa Beach"/>
    <m/>
    <m/>
    <m/>
    <n v="0"/>
    <n v="1"/>
    <n v="0.92143507196755003"/>
    <n v="0.13553737771627999"/>
    <n v="369.42839795320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7.863266346628706"/>
    <n v="408.46639230449301"/>
    <n v="0.29961751660000002"/>
  </r>
  <r>
    <n v="830000"/>
    <n v="2400000"/>
    <n v="2400000"/>
    <x v="0"/>
    <x v="0"/>
    <s v="BR3-5, BR-7"/>
    <s v="62-304.520 (10), F.A.C."/>
    <n v="0.59"/>
    <n v="0.64"/>
    <s v="City of Cocoa Beach"/>
    <n v="0.20945096192422999"/>
    <n v="3660.0898214396798"/>
    <n v="9.12906302469246"/>
    <n v="1.3428284867987901"/>
    <n v="1.9120910319887601"/>
    <n v="0.28125671825926002"/>
    <n v="766.60933382962799"/>
    <n v="1210"/>
    <s v="Fixed Single Family Units"/>
    <n v="1210"/>
    <s v="City of Cocoa Beach           Brevard County"/>
    <s v="City of Cocoa Beach"/>
    <m/>
    <m/>
    <m/>
    <n v="0"/>
    <n v="1"/>
    <n v="1.9120910319887601"/>
    <n v="0.28125671825926002"/>
    <n v="766.60933382962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448186622363"/>
    <n v="847.61797044093396"/>
    <n v="0.62174317420000003"/>
  </r>
  <r>
    <n v="830000"/>
    <n v="2400000"/>
    <n v="2400000"/>
    <x v="0"/>
    <x v="0"/>
    <s v="BR3-5, BR-7"/>
    <s v="62-304.520 (10), F.A.C."/>
    <n v="0.59"/>
    <n v="0.64"/>
    <s v="City of Cocoa Beach"/>
    <n v="9.2744543326190004E-2"/>
    <n v="3660.0898214396798"/>
    <n v="9.12906302469246"/>
    <n v="1.3428284867987901"/>
    <n v="0.84667078122114003"/>
    <n v="0.12454001477355001"/>
    <n v="339.45335902227401"/>
    <n v="1210"/>
    <s v="Fixed Single Family Units"/>
    <n v="1210"/>
    <s v="City of Cocoa Beach           Brevard County"/>
    <s v="City of Cocoa Beach"/>
    <m/>
    <m/>
    <m/>
    <n v="0"/>
    <n v="1"/>
    <n v="0.84667078122114003"/>
    <n v="0.12454001477355001"/>
    <n v="339.45335902227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1.407373271677699"/>
    <n v="375.32385080216397"/>
    <n v="0.27530686049999997"/>
  </r>
  <r>
    <n v="830000"/>
    <n v="2400000"/>
    <n v="2400000"/>
    <x v="0"/>
    <x v="0"/>
    <s v="BR3-5, BR-7"/>
    <s v="62-304.520 (10), F.A.C."/>
    <n v="0.59"/>
    <n v="0.64"/>
    <s v="City of Cocoa Beach"/>
    <n v="9.98028730426E-3"/>
    <n v="3660.0898214396798"/>
    <n v="9.12906302469246"/>
    <n v="1.3428284867987901"/>
    <n v="9.1110671805199994E-2"/>
    <n v="1.3401814098599999E-2"/>
    <n v="36.528747977395"/>
    <n v="1210"/>
    <s v="Fixed Single Family Units"/>
    <n v="1210"/>
    <s v="City of Cocoa Beach           Brevard County"/>
    <s v="City of Cocoa Beach"/>
    <m/>
    <m/>
    <m/>
    <n v="0"/>
    <n v="1"/>
    <n v="9.1110671805199994E-2"/>
    <n v="1.3401814098599999E-2"/>
    <n v="36.528747977396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7.382059922357101"/>
    <n v="40.388789774675402"/>
    <n v="2.9625910799999999E-2"/>
  </r>
  <r>
    <n v="830000"/>
    <n v="2400000"/>
    <n v="2400000"/>
    <x v="0"/>
    <x v="0"/>
    <s v="BR3-5, BR-7"/>
    <s v="62-304.520 (10), F.A.C."/>
    <n v="0.59"/>
    <n v="0.64"/>
    <s v="City of Cocoa Beach"/>
    <n v="1.452681041381E-2"/>
    <n v="3660.0898214396798"/>
    <n v="9.12906302469246"/>
    <n v="1.3428284867987901"/>
    <n v="0.13261616781544"/>
    <n v="1.950701484599E-2"/>
    <n v="53.169430933573601"/>
    <n v="1210"/>
    <s v="Fixed Single Family Units"/>
    <n v="1210"/>
    <s v="City of Cocoa Beach           Brevard County"/>
    <s v="City of Cocoa Beach"/>
    <m/>
    <m/>
    <m/>
    <n v="0"/>
    <n v="1"/>
    <n v="0.13261616781544"/>
    <n v="1.950701484599E-2"/>
    <n v="53.1694309335747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6.433992292256001"/>
    <n v="58.787916020119503"/>
    <n v="4.3122003999999999E-2"/>
  </r>
  <r>
    <n v="830000"/>
    <n v="2400000"/>
    <n v="2400000"/>
    <x v="0"/>
    <x v="0"/>
    <s v="BR3-5, BR-7"/>
    <s v="62-304.520 (10), F.A.C."/>
    <n v="0.59"/>
    <n v="0.64"/>
    <s v="City of Cocoa Beach"/>
    <n v="6.1722182931999998E-4"/>
    <n v="3660.0898214396798"/>
    <n v="9.12906302469246"/>
    <n v="1.3428284867987901"/>
    <n v="5.6346569801600001E-3"/>
    <n v="8.2882305508999996E-4"/>
    <n v="2.2590873350974499"/>
    <n v="1210"/>
    <s v="Fixed Single Family Units"/>
    <n v="1210"/>
    <s v="City of Cocoa Beach           Brevard County"/>
    <s v="City of Cocoa Beach"/>
    <m/>
    <m/>
    <m/>
    <n v="0"/>
    <n v="1"/>
    <n v="5.6346569801600001E-3"/>
    <n v="8.2882305508999996E-4"/>
    <n v="2.2590873350964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.888210411970199"/>
    <n v="2.4978081240644201"/>
    <n v="1.8321876000000001E-3"/>
  </r>
  <r>
    <n v="830000"/>
    <n v="2400000"/>
    <n v="2400000"/>
    <x v="0"/>
    <x v="0"/>
    <s v="BR3-5, BR-7"/>
    <s v="62-304.520 (10), F.A.C."/>
    <n v="0.59"/>
    <n v="0.64"/>
    <s v="City of Cocoa Beach"/>
    <n v="0.1169883457825"/>
    <n v="3713.30098809008"/>
    <n v="10.5351309658285"/>
    <n v="2.0126468128750701"/>
    <n v="1.2324875442943"/>
    <n v="0.23545622128268001"/>
    <n v="434.41293998919201"/>
    <n v="1300"/>
    <s v="Residential, High Density"/>
    <n v="1300"/>
    <s v="City of Cocoa Beach           Brevard County"/>
    <s v="City of Cocoa Beach"/>
    <m/>
    <m/>
    <m/>
    <n v="0"/>
    <n v="1"/>
    <n v="1.2324875442943"/>
    <n v="0.23545622128268001"/>
    <n v="434.41293998919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6.463494224293"/>
    <n v="473.43503847587402"/>
    <n v="0.35232193020000002"/>
  </r>
  <r>
    <n v="830000"/>
    <n v="2400000"/>
    <n v="2400000"/>
    <x v="0"/>
    <x v="0"/>
    <s v="BR3-5, BR-7"/>
    <s v="62-304.520 (10), F.A.C."/>
    <n v="0.59"/>
    <n v="0.64"/>
    <s v="City of Cocoa Beach"/>
    <n v="7.4203013365799998E-3"/>
    <n v="3713.30098809008"/>
    <n v="10.5351309658285"/>
    <n v="2.0126468128750701"/>
    <n v="7.8173846386859994E-2"/>
    <n v="1.493444583565E-2"/>
    <n v="27.553812285078401"/>
    <n v="1300"/>
    <s v="Residential, High Density"/>
    <n v="1300"/>
    <s v="City of Cocoa Beach           Brevard County"/>
    <s v="City of Cocoa Beach"/>
    <m/>
    <m/>
    <m/>
    <n v="0"/>
    <n v="1"/>
    <n v="7.8173846386859994E-2"/>
    <n v="1.493444583565E-2"/>
    <n v="27.553812285079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6.696566678437897"/>
    <n v="30.028894120115201"/>
    <n v="2.2346968599999999E-2"/>
  </r>
  <r>
    <n v="830000"/>
    <n v="2400000"/>
    <n v="2400000"/>
    <x v="0"/>
    <x v="0"/>
    <s v="BR3-5, BR-7"/>
    <s v="62-304.520 (10), F.A.C."/>
    <n v="0.59"/>
    <n v="0.64"/>
    <s v="City of Cocoa Beach"/>
    <n v="2.4960158523049999E-2"/>
    <n v="3660.0898214396798"/>
    <n v="9.1290630246924707"/>
    <n v="1.3428284867987901"/>
    <n v="0.22786286026326"/>
    <n v="3.3517211899760001E-2"/>
    <n v="91.356422151747196"/>
    <n v="1200"/>
    <s v="Residential, Medium Density-Two-five dwellingunits per acre"/>
    <n v="1200"/>
    <s v="City of Cocoa Beach           Brevard County"/>
    <s v="City of Cocoa Beach"/>
    <m/>
    <m/>
    <m/>
    <n v="0"/>
    <n v="1"/>
    <n v="0.22786286026326"/>
    <n v="3.3517211899760001E-2"/>
    <n v="175.73824247927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4.405588394994297"/>
    <n v="101.01017782313799"/>
    <n v="0.14252898820000001"/>
  </r>
  <r>
    <n v="830000"/>
    <n v="2400000"/>
    <n v="2400000"/>
    <x v="0"/>
    <x v="0"/>
    <s v="BR3-5, BR-7"/>
    <s v="62-304.520 (10), F.A.C."/>
    <n v="0.59"/>
    <n v="0.64"/>
    <s v="City of Cocoa Beach"/>
    <n v="8.0306369650710002E-2"/>
    <n v="3660.0898214396798"/>
    <n v="9.1290630246924707"/>
    <n v="1.3428284867987901"/>
    <n v="0.73312190982560999"/>
    <n v="0.10783768083837"/>
    <n v="293.92852615535099"/>
    <n v="1210"/>
    <s v="Fixed Single Family Units"/>
    <n v="1210"/>
    <s v="City of Cocoa Beach           Brevard County"/>
    <s v="City of Cocoa Beach"/>
    <m/>
    <m/>
    <m/>
    <n v="0"/>
    <n v="1"/>
    <n v="0.73312190982560999"/>
    <n v="0.10783768083837"/>
    <n v="293.92852615535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1.284251792256299"/>
    <n v="324.98834778062201"/>
    <n v="0.23838485500000001"/>
  </r>
  <r>
    <n v="830000"/>
    <n v="2400000"/>
    <n v="2400000"/>
    <x v="0"/>
    <x v="0"/>
    <s v="BR3-5, BR-7"/>
    <s v="62-304.520 (10), F.A.C."/>
    <n v="0.59"/>
    <n v="0.64"/>
    <s v="City of Cocoa Beach"/>
    <n v="0.21515689000117999"/>
    <n v="3660.0898214396798"/>
    <n v="9.1290630246924707"/>
    <n v="1.3428284867987901"/>
    <n v="1.96418080901763"/>
    <n v="0.28891880102461998"/>
    <n v="787.49354310595095"/>
    <n v="1210"/>
    <s v="Fixed Single Family Units"/>
    <n v="1210"/>
    <s v="City of Cocoa Beach           Brevard County"/>
    <s v="City of Cocoa Beach"/>
    <m/>
    <m/>
    <m/>
    <n v="0"/>
    <n v="1"/>
    <n v="1.96418080901763"/>
    <n v="0.28891880102461998"/>
    <n v="857.101643583401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0.83516267618501"/>
    <n v="870.709042124902"/>
    <n v="0.69513515290000005"/>
  </r>
  <r>
    <n v="830000"/>
    <n v="2400000"/>
    <n v="2400000"/>
    <x v="0"/>
    <x v="0"/>
    <s v="BR3-5, BR-7"/>
    <s v="62-304.520 (10), F.A.C."/>
    <n v="0.59"/>
    <n v="0.64"/>
    <s v="City of Cocoa Beach"/>
    <n v="1.7605935395519998E-2"/>
    <n v="3660.0898214396798"/>
    <n v="9.1290630246924707"/>
    <n v="1.3428284867987901"/>
    <n v="0.16072569383439"/>
    <n v="2.3641751585840001E-2"/>
    <n v="64.439304938078394"/>
    <n v="1210"/>
    <s v="Fixed Single Family Units"/>
    <n v="1210"/>
    <s v="City of Cocoa Beach           Brevard County"/>
    <s v="City of Cocoa Beach"/>
    <m/>
    <m/>
    <m/>
    <n v="0"/>
    <n v="1"/>
    <n v="0.16072569383439"/>
    <n v="2.3641751585840001E-2"/>
    <n v="64.4393049380795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5.698001257940597"/>
    <n v="71.248692727732703"/>
    <n v="5.2262210000000003E-2"/>
  </r>
  <r>
    <n v="830000"/>
    <n v="2400000"/>
    <n v="2400000"/>
    <x v="0"/>
    <x v="0"/>
    <s v="BR3-5, BR-7"/>
    <s v="62-304.520 (10), F.A.C."/>
    <n v="0.59"/>
    <n v="0.64"/>
    <s v="City of Cocoa Beach"/>
    <n v="6.0482672987600003E-2"/>
    <n v="3660.0898214396798"/>
    <n v="9.1290630246924707"/>
    <n v="1.3428284867987901"/>
    <n v="0.55215013360571996"/>
    <n v="8.1217856245489994E-2"/>
    <n v="221.372015775405"/>
    <n v="1210"/>
    <s v="Fixed Single Family Units"/>
    <n v="1210"/>
    <s v="City of Cocoa Beach           Brevard County"/>
    <s v="City of Cocoa Beach"/>
    <m/>
    <m/>
    <m/>
    <n v="0"/>
    <n v="1"/>
    <n v="0.55215013360571996"/>
    <n v="8.1217856245489994E-2"/>
    <n v="231.92819634276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9.112020357435995"/>
    <n v="244.764693623814"/>
    <n v="0.188100727"/>
  </r>
  <r>
    <n v="830000"/>
    <n v="2400000"/>
    <n v="2400000"/>
    <x v="0"/>
    <x v="0"/>
    <s v="BR3-5, BR-7"/>
    <s v="62-304.520 (10), F.A.C."/>
    <n v="0.59"/>
    <n v="0.64"/>
    <s v="City of Cocoa Beach"/>
    <n v="0.44203586761015001"/>
    <n v="3751.57029631244"/>
    <n v="11.600022620177601"/>
    <n v="1.5307694948656501"/>
    <n v="5.1276260632076802"/>
    <n v="0.67665502177409997"/>
    <n v="1658.32863083096"/>
    <n v="1400"/>
    <s v="Commercial and Services"/>
    <n v="1400"/>
    <s v="City of Cocoa Beach           Brevard County"/>
    <s v="City of Cocoa Beach"/>
    <m/>
    <m/>
    <m/>
    <n v="0"/>
    <n v="1"/>
    <n v="5.1276260632076802"/>
    <n v="0.67665502177409997"/>
    <n v="1658.328630830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3.29779082146399"/>
    <n v="1788.85568976932"/>
    <n v="1.3449542829000001"/>
  </r>
  <r>
    <n v="830000"/>
    <n v="2400000"/>
    <n v="2400000"/>
    <x v="0"/>
    <x v="0"/>
    <s v="BR3-5, BR-7"/>
    <s v="62-304.520 (10), F.A.C."/>
    <n v="0.59"/>
    <n v="0.64"/>
    <s v="City of Cocoa Beach"/>
    <n v="4.2394039634289997E-2"/>
    <n v="3751.57029631244"/>
    <n v="11.600022620177601"/>
    <n v="1.5307694948656501"/>
    <n v="0.49177181871849002"/>
    <n v="6.4895502636300006E-2"/>
    <n v="159.044219832702"/>
    <n v="1410"/>
    <s v="Retail Sales and Services"/>
    <n v="1410"/>
    <s v="City of Cocoa Beach           Brevard County"/>
    <s v="City of Cocoa Beach"/>
    <m/>
    <m/>
    <m/>
    <n v="0"/>
    <n v="1"/>
    <n v="0.49177181871849002"/>
    <n v="6.4895502636300006E-2"/>
    <n v="159.0442198327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3.301574308533098"/>
    <n v="171.56259156551499"/>
    <n v="0.12898963490000001"/>
  </r>
  <r>
    <n v="830000"/>
    <n v="2400000"/>
    <n v="2400000"/>
    <x v="0"/>
    <x v="0"/>
    <s v="BR3-5, BR-7"/>
    <s v="62-304.520 (10), F.A.C."/>
    <n v="0.59"/>
    <n v="0.64"/>
    <s v="City of Cocoa Beach"/>
    <n v="0.13333354651550999"/>
    <n v="3751.57029631244"/>
    <n v="11.600022620177601"/>
    <n v="1.5307694948656501"/>
    <n v="1.5466721556085199"/>
    <n v="0.20410292564820001"/>
    <n v="500.21017260961003"/>
    <n v="1410"/>
    <s v="Retail Sales and Services"/>
    <n v="1410"/>
    <s v="City of Cocoa Beach           Brevard County"/>
    <s v="City of Cocoa Beach"/>
    <m/>
    <m/>
    <m/>
    <n v="0"/>
    <n v="1"/>
    <n v="1.5466721556085199"/>
    <n v="0.20410292564820001"/>
    <n v="500.210172609610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8.231886210672499"/>
    <n v="539.58171903769096"/>
    <n v="0.40568546030000002"/>
  </r>
  <r>
    <n v="830000"/>
    <n v="2400000"/>
    <n v="2400000"/>
    <x v="0"/>
    <x v="0"/>
    <s v="BR3-5, BR-7"/>
    <s v="62-304.520 (10), F.A.C."/>
    <n v="0.59"/>
    <n v="0.64"/>
    <s v="City of Cocoa Beach"/>
    <n v="7.6917142139450001E-2"/>
    <n v="3763.0874708188999"/>
    <n v="9.4599337823138594"/>
    <n v="1.44292040026144"/>
    <n v="0.72763107136409999"/>
    <n v="0.11098531352283"/>
    <n v="289.44593387619398"/>
    <n v="1200"/>
    <s v="Residential, Medium Density-Two-five dwellingunits per acre"/>
    <n v="1200"/>
    <s v="City of Cocoa Beach           Brevard County"/>
    <s v="City of Cocoa Beach"/>
    <m/>
    <m/>
    <m/>
    <n v="0"/>
    <n v="1"/>
    <n v="0.72763107136409999"/>
    <n v="0.11098531352283"/>
    <n v="289.4459338761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3.53363261685899"/>
    <n v="311.27263065972397"/>
    <n v="0.23474933810000001"/>
  </r>
  <r>
    <n v="830000"/>
    <n v="2400000"/>
    <n v="2400000"/>
    <x v="0"/>
    <x v="0"/>
    <s v="BR3-5, BR-7"/>
    <s v="62-304.520 (10), F.A.C."/>
    <n v="0.59"/>
    <n v="0.64"/>
    <s v="City of Cocoa Beach"/>
    <n v="0.10999015421569"/>
    <n v="3763.0874708188999"/>
    <n v="9.4599337823138594"/>
    <n v="1.44292040026144"/>
    <n v="1.0404995755869499"/>
    <n v="0.15870703734572"/>
    <n v="413.90257124251701"/>
    <n v="1400"/>
    <s v="Commercial and Services"/>
    <n v="1400"/>
    <s v="City of Cocoa Beach           Brevard County"/>
    <s v="City of Cocoa Beach"/>
    <m/>
    <m/>
    <m/>
    <n v="0"/>
    <n v="1"/>
    <n v="1.0404995755869499"/>
    <n v="0.15870703734572"/>
    <n v="413.90257124251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969425884765"/>
    <n v="445.11436198854699"/>
    <n v="0.3356874057"/>
  </r>
  <r>
    <n v="830000"/>
    <n v="2400000"/>
    <n v="2400000"/>
    <x v="0"/>
    <x v="0"/>
    <s v="BR3-5, BR-7"/>
    <s v="62-304.520 (10), F.A.C."/>
    <n v="0.59"/>
    <n v="0.64"/>
    <s v="City of Cocoa Beach"/>
    <n v="0.10853906974508"/>
    <n v="3763.0874708188999"/>
    <n v="9.4599337823138594"/>
    <n v="1.44292040026144"/>
    <n v="1.02677241258248"/>
    <n v="0.15661323796057999"/>
    <n v="408.442013452083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02677241258248"/>
    <n v="0.15661323796057999"/>
    <n v="408.442013452083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4.197649911593601"/>
    <n v="439.242031479236"/>
    <n v="0.33125872950000002"/>
  </r>
  <r>
    <n v="830000"/>
    <n v="2400000"/>
    <n v="2400000"/>
    <x v="0"/>
    <x v="0"/>
    <s v="BR3-5, BR-7"/>
    <s v="62-304.520 (10), F.A.C."/>
    <n v="0.59"/>
    <n v="0.64"/>
    <s v="City of Cocoa Beach"/>
    <n v="6.1768282046540002E-2"/>
    <n v="3763.0874708188999"/>
    <n v="9.4599337823138594"/>
    <n v="1.44292040026144"/>
    <n v="0.58432385800758002"/>
    <n v="8.9126714254049999E-2"/>
    <n v="232.439448263354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8432385800758002"/>
    <n v="8.9126714254049999E-2"/>
    <n v="232.43944826335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322240904619093"/>
    <n v="249.96736890066799"/>
    <n v="0.18851536760000001"/>
  </r>
  <r>
    <n v="830000"/>
    <n v="2400000"/>
    <n v="2400000"/>
    <x v="0"/>
    <x v="0"/>
    <s v="BR3-5, BR-7"/>
    <s v="62-304.520 (10), F.A.C."/>
    <n v="0.59"/>
    <n v="0.64"/>
    <s v="City of Cocoa Beach"/>
    <n v="9.5401915517739994E-2"/>
    <n v="3763.0874708188999"/>
    <n v="9.4599337823138594"/>
    <n v="1.44292040026144"/>
    <n v="0.90249580350376002"/>
    <n v="0.13765737012456999"/>
    <n v="359.00575297694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90249580350376002"/>
    <n v="0.13765737012456999"/>
    <n v="359.005752976950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0.3905161695385"/>
    <n v="386.07785452224903"/>
    <n v="0.29116443869999997"/>
  </r>
  <r>
    <n v="830000"/>
    <n v="2400000"/>
    <n v="2400000"/>
    <x v="0"/>
    <x v="0"/>
    <s v="BR3-5, BR-7"/>
    <s v="62-304.520 (10), F.A.C."/>
    <n v="0.59"/>
    <n v="0.64"/>
    <s v="City of Cocoa Beach"/>
    <n v="0.11648593131708999"/>
    <n v="3763.0874708188999"/>
    <n v="9.4599337823138594"/>
    <n v="1.44292040026144"/>
    <n v="1.1019491968308599"/>
    <n v="0.16807992664088001"/>
    <n v="438.346748666023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1019491968308599"/>
    <n v="0.16807992664088001"/>
    <n v="438.346748666023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4.299275479402496"/>
    <n v="471.40183926982297"/>
    <n v="0.3555123671"/>
  </r>
  <r>
    <n v="830000"/>
    <n v="2400000"/>
    <n v="2400000"/>
    <x v="0"/>
    <x v="0"/>
    <s v="BR3-5, BR-7"/>
    <s v="62-304.520 (10), F.A.C."/>
    <n v="0.59"/>
    <n v="0.64"/>
    <s v="City of Cocoa Beach"/>
    <n v="1.5859379248640001E-2"/>
    <n v="3763.0874708188999"/>
    <n v="9.4599337823138594"/>
    <n v="1.44292040026144"/>
    <n v="0.15002867752081001"/>
    <n v="2.288382185335E-2"/>
    <n v="59.6802313455525"/>
    <n v="1410"/>
    <s v="Retail Sales and Services"/>
    <n v="1410"/>
    <s v="City of Cocoa Beach           Brevard County"/>
    <s v="City of Cocoa Beach"/>
    <m/>
    <m/>
    <m/>
    <n v="0"/>
    <n v="1"/>
    <n v="0.15002867752081001"/>
    <n v="2.288382185335E-2"/>
    <n v="59.6802313455507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145935655853293"/>
    <n v="64.1806307676665"/>
    <n v="4.8402458500000002E-2"/>
  </r>
  <r>
    <n v="830000"/>
    <n v="2400000"/>
    <n v="2400000"/>
    <x v="0"/>
    <x v="0"/>
    <s v="BR3-5, BR-7"/>
    <s v="62-304.520 (10), F.A.C."/>
    <n v="0.59"/>
    <n v="0.64"/>
    <s v="City of Cocoa Beach"/>
    <n v="2.1349010602580001E-2"/>
    <n v="3763.0874708188999"/>
    <n v="9.4599337823138594"/>
    <n v="1.44292040026144"/>
    <n v="0.20196022661832"/>
    <n v="3.0804922923860001E-2"/>
    <n v="80.3381943129487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0196022661832"/>
    <n v="3.0804922923860001E-2"/>
    <n v="80.33819431294749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0.049388922010898"/>
    <n v="86.396380668935294"/>
    <n v="6.5156686399999997E-2"/>
  </r>
  <r>
    <n v="830000"/>
    <n v="2400000"/>
    <n v="2400000"/>
    <x v="0"/>
    <x v="0"/>
    <s v="BR3-5, BR-7"/>
    <s v="62-304.520 (10), F.A.C."/>
    <n v="0.59"/>
    <n v="0.64"/>
    <s v="City of Cocoa Beach"/>
    <n v="1.1452568766020001E-2"/>
    <n v="3763.0874708188999"/>
    <n v="9.4599337823138594"/>
    <n v="1.44292040026144"/>
    <n v="0.10834054216395"/>
    <n v="1.6525145107880002E-2"/>
    <n v="43.097018032105503"/>
    <n v="1450"/>
    <s v="Tourist Services"/>
    <n v="1450"/>
    <s v="City of Cocoa Beach           Brevard County"/>
    <s v="City of Cocoa Beach"/>
    <m/>
    <m/>
    <m/>
    <n v="0"/>
    <n v="1"/>
    <n v="0.10834054216395"/>
    <n v="1.6525145107880002E-2"/>
    <n v="43.097018032107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1.584439475141593"/>
    <n v="46.346901463751699"/>
    <n v="3.4952974900000003E-2"/>
  </r>
  <r>
    <n v="830000"/>
    <n v="2400000"/>
    <n v="2400000"/>
    <x v="0"/>
    <x v="0"/>
    <s v="BR3-5, BR-7"/>
    <s v="62-304.520 (10), F.A.C."/>
    <n v="0.59"/>
    <n v="0.64"/>
    <s v="City of Cocoa Beach"/>
    <n v="0.18979058916457001"/>
    <n v="3660.1208243814099"/>
    <n v="9.1299346287899308"/>
    <n v="1.3432281815759799"/>
    <n v="1.7327756722320999"/>
    <n v="0.25493206796376"/>
    <n v="694.65648767288098"/>
    <n v="1200"/>
    <s v="Residential, Medium Density-Two-five dwellingunits per acre"/>
    <n v="1200"/>
    <s v="City of Cocoa Beach           Brevard County"/>
    <s v="City of Cocoa Beach"/>
    <m/>
    <m/>
    <m/>
    <n v="0"/>
    <n v="1"/>
    <n v="1.7327756722320999"/>
    <n v="0.25493206796376"/>
    <n v="694.656487672880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0.97701702011301"/>
    <n v="768.05526467174502"/>
    <n v="0.56338725680000001"/>
  </r>
  <r>
    <n v="830000"/>
    <n v="2400000"/>
    <n v="2400000"/>
    <x v="0"/>
    <x v="0"/>
    <s v="BR3-5, BR-7"/>
    <s v="62-304.520 (10), F.A.C."/>
    <n v="0.59"/>
    <n v="0.64"/>
    <s v="City of Cocoa Beach"/>
    <n v="1.7829966238000001E-4"/>
    <n v="3660.1208243814099"/>
    <n v="9.1299346287899308"/>
    <n v="1.3432281815759799"/>
    <n v="1.62786426188E-3"/>
    <n v="2.3949713127E-4"/>
    <n v="0.65259830726453005"/>
    <n v="1300"/>
    <s v="Residential, High Density"/>
    <n v="1300"/>
    <s v="City of Cocoa Beach           Brevard County"/>
    <s v="City of Cocoa Beach"/>
    <m/>
    <m/>
    <m/>
    <n v="0"/>
    <n v="1"/>
    <n v="1.62786426188E-3"/>
    <n v="2.3949713127E-4"/>
    <n v="0.652598307262880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.1470006606416696"/>
    <n v="0.72155313382052999"/>
    <n v="5.2927680000000002E-4"/>
  </r>
  <r>
    <n v="830000"/>
    <n v="2400000"/>
    <n v="2400000"/>
    <x v="0"/>
    <x v="0"/>
    <s v="BR3-5, BR-7"/>
    <s v="62-304.520 (10), F.A.C."/>
    <n v="0.59"/>
    <n v="0.64"/>
    <s v="City of Cocoa Beach"/>
    <n v="1.6522737880999999E-4"/>
    <n v="3660.1208243814099"/>
    <n v="9.1299346287899308"/>
    <n v="1.3432281815759799"/>
    <n v="1.50851516743E-3"/>
    <n v="2.2193807158000001E-4"/>
    <n v="0.604752169944089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50851516743E-3"/>
    <n v="2.2193807158000001E-4"/>
    <n v="0.604752169945560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.21690469436263"/>
    <n v="0.66865147909922995"/>
    <n v="4.904722E-4"/>
  </r>
  <r>
    <n v="830000"/>
    <n v="2400000"/>
    <n v="2400000"/>
    <x v="0"/>
    <x v="0"/>
    <s v="BR3-5, BR-7"/>
    <s v="62-304.520 (10), F.A.C."/>
    <n v="0.59"/>
    <n v="0.64"/>
    <s v="City of Cocoa Beach"/>
    <n v="1.047428676724E-2"/>
    <n v="3660.1208243814099"/>
    <n v="9.1299346287899308"/>
    <n v="1.3432281815759799"/>
    <n v="9.5629553468110001E-2"/>
    <n v="1.406935716766E-2"/>
    <n v="38.337155117324997"/>
    <n v="1210"/>
    <s v="Fixed Single Family Units"/>
    <n v="1210"/>
    <s v="City of Cocoa Beach           Brevard County"/>
    <s v="City of Cocoa Beach"/>
    <m/>
    <m/>
    <m/>
    <n v="0"/>
    <n v="1"/>
    <n v="9.5629553468110001E-2"/>
    <n v="1.406935716766E-2"/>
    <n v="38.337155117325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2.574635075761499"/>
    <n v="42.3879346740733"/>
    <n v="3.1092583199999999E-2"/>
  </r>
  <r>
    <n v="830000"/>
    <n v="2400000"/>
    <n v="2400000"/>
    <x v="0"/>
    <x v="0"/>
    <s v="BR3-5, BR-7"/>
    <s v="62-304.520 (10), F.A.C."/>
    <n v="0.59"/>
    <n v="0.64"/>
    <s v="City of Cocoa Beach"/>
    <n v="0.13222590564334"/>
    <n v="3660.1208243814099"/>
    <n v="9.1299346287899308"/>
    <n v="1.3432281815759799"/>
    <n v="1.20721387475626"/>
    <n v="0.17760956279453999"/>
    <n v="483.96279076789102"/>
    <n v="1210"/>
    <s v="Fixed Single Family Units"/>
    <n v="1210"/>
    <s v="City of Cocoa Beach           Brevard County"/>
    <s v="City of Cocoa Beach"/>
    <m/>
    <m/>
    <m/>
    <n v="0"/>
    <n v="1"/>
    <n v="1.20721387475626"/>
    <n v="0.17760956279453999"/>
    <n v="483.962790767891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3.275593925297002"/>
    <n v="535.09925546041995"/>
    <n v="0.39250834610000002"/>
  </r>
  <r>
    <n v="830000"/>
    <n v="2400000"/>
    <n v="2400000"/>
    <x v="0"/>
    <x v="0"/>
    <s v="BR3-5, BR-7"/>
    <s v="62-304.520 (10), F.A.C."/>
    <n v="0.59"/>
    <n v="0.64"/>
    <s v="City of Cocoa Beach"/>
    <n v="0.12720929913875001"/>
    <n v="3660.1208243814099"/>
    <n v="9.1299346287899308"/>
    <n v="1.3432281815759799"/>
    <n v="1.16141258531103"/>
    <n v="0.17087111556170001"/>
    <n v="465.60140483272801"/>
    <n v="1210"/>
    <s v="Fixed Single Family Units"/>
    <n v="1210"/>
    <s v="City of Cocoa Beach           Brevard County"/>
    <s v="City of Cocoa Beach"/>
    <m/>
    <m/>
    <m/>
    <n v="0"/>
    <n v="1"/>
    <n v="1.16141258531103"/>
    <n v="0.17087111556170001"/>
    <n v="465.601404832728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0.958208105468799"/>
    <n v="514.79776920868096"/>
    <n v="0.3776167111"/>
  </r>
  <r>
    <n v="830000"/>
    <n v="2400000"/>
    <n v="2400000"/>
    <x v="0"/>
    <x v="0"/>
    <s v="BR3-5, BR-7"/>
    <s v="62-304.520 (10), F.A.C."/>
    <n v="0.59"/>
    <n v="0.64"/>
    <s v="City of Cocoa Beach"/>
    <n v="8.5801531759260002E-2"/>
    <n v="3660.1208243814099"/>
    <n v="9.1299346287899308"/>
    <n v="1.3432281815759799"/>
    <n v="0.78336237601209002"/>
    <n v="0.11525103548142"/>
    <n v="314.04397315589398"/>
    <n v="1210"/>
    <s v="Fixed Single Family Units"/>
    <n v="1210"/>
    <s v="City of Cocoa Beach           Brevard County"/>
    <s v="City of Cocoa Beach"/>
    <m/>
    <m/>
    <m/>
    <n v="0"/>
    <n v="1"/>
    <n v="0.78336237601209002"/>
    <n v="0.11525103548142"/>
    <n v="314.043973155893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7.357787283978595"/>
    <n v="347.22647985172301"/>
    <n v="0.25469908610000003"/>
  </r>
  <r>
    <n v="830000"/>
    <n v="2400000"/>
    <n v="2400000"/>
    <x v="0"/>
    <x v="0"/>
    <s v="BR3-5, BR-7"/>
    <s v="62-304.520 (10), F.A.C."/>
    <n v="0.59"/>
    <n v="0.64"/>
    <s v="City of Cocoa Beach"/>
    <n v="7.1918314153539997E-2"/>
    <n v="3660.1208243814099"/>
    <n v="9.1299346287899308"/>
    <n v="1.3432281815759799"/>
    <n v="0.65660950683458996"/>
    <n v="9.6602706342469993E-2"/>
    <n v="263.22971928777599"/>
    <n v="1210"/>
    <s v="Fixed Single Family Units"/>
    <n v="1210"/>
    <s v="City of Cocoa Beach           Brevard County"/>
    <s v="City of Cocoa Beach"/>
    <m/>
    <m/>
    <m/>
    <n v="0"/>
    <n v="1"/>
    <n v="0.65660950683458996"/>
    <n v="9.6602706342469993E-2"/>
    <n v="263.229719287777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3.884124485434"/>
    <n v="291.04309152043498"/>
    <n v="0.21348720139999999"/>
  </r>
  <r>
    <n v="830000"/>
    <n v="2400000"/>
    <n v="2400000"/>
    <x v="0"/>
    <x v="0"/>
    <s v="BR3-5, BR-7"/>
    <s v="62-304.520 (10), F.A.C."/>
    <n v="0.59"/>
    <n v="0.64"/>
    <s v="City of Cocoa Beach"/>
    <n v="0.17467191638308999"/>
    <n v="3739.83763285445"/>
    <n v="8.9203248769158208"/>
    <n v="1.5047955796805801"/>
    <n v="1.5581302410106399"/>
    <n v="0.26284552766760999"/>
    <n v="653.24460629228895"/>
    <n v="1300"/>
    <s v="Residential, High Density"/>
    <n v="1300"/>
    <s v="City of Cocoa Beach           Brevard County"/>
    <s v="City of Cocoa Beach"/>
    <m/>
    <m/>
    <m/>
    <n v="0"/>
    <n v="1"/>
    <n v="1.5581302410106399"/>
    <n v="0.26284552766760999"/>
    <n v="677.631563873596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8.81379123790299"/>
    <n v="706.87216662782703"/>
    <n v="0.54957953270000004"/>
  </r>
  <r>
    <n v="830000"/>
    <n v="2400000"/>
    <n v="2400000"/>
    <x v="0"/>
    <x v="0"/>
    <s v="BR3-5, BR-7"/>
    <s v="62-304.520 (10), F.A.C."/>
    <n v="0.59"/>
    <n v="0.64"/>
    <s v="City of Cocoa Beach"/>
    <n v="0.33380342209545"/>
    <n v="3739.83763285445"/>
    <n v="8.9203248769158208"/>
    <n v="1.5047955796805801"/>
    <n v="2.9776349701176801"/>
    <n v="0.50230591405147995"/>
    <n v="1248.3705999281599"/>
    <n v="1300"/>
    <s v="Residential, High Density"/>
    <n v="1300"/>
    <s v="City of Cocoa Beach           Brevard County"/>
    <s v="City of Cocoa Beach"/>
    <m/>
    <m/>
    <m/>
    <n v="0"/>
    <n v="1"/>
    <n v="2.9776349701176801"/>
    <n v="0.50230591405147995"/>
    <n v="1248.37059992815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4.05259424820801"/>
    <n v="1350.85452252607"/>
    <n v="1.0124660178"/>
  </r>
  <r>
    <n v="830000"/>
    <n v="2400000"/>
    <n v="2400000"/>
    <x v="0"/>
    <x v="0"/>
    <s v="BR3-5, BR-7"/>
    <s v="62-304.520 (10), F.A.C."/>
    <n v="0.59"/>
    <n v="0.64"/>
    <s v="City of Cocoa Beach"/>
    <n v="9.5361081042039997E-2"/>
    <n v="3739.83763285445"/>
    <n v="8.9203248769158208"/>
    <n v="1.5047955796805801"/>
    <n v="0.85065182350889001"/>
    <n v="0.14349893322561999"/>
    <n v="356.634959590704"/>
    <n v="1300"/>
    <s v="Residential, High Density"/>
    <n v="1300"/>
    <s v="City of Cocoa Beach           Brevard County"/>
    <s v="City of Cocoa Beach"/>
    <m/>
    <m/>
    <m/>
    <n v="0"/>
    <n v="1"/>
    <n v="0.85065182350889001"/>
    <n v="0.14349893322561999"/>
    <n v="384.33284791123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1.69835153457301"/>
    <n v="385.91260326198699"/>
    <n v="0.31170547279999999"/>
  </r>
  <r>
    <n v="830000"/>
    <n v="2400000"/>
    <n v="2400000"/>
    <x v="0"/>
    <x v="0"/>
    <s v="BR3-5, BR-7"/>
    <s v="62-304.520 (10), F.A.C."/>
    <n v="0.59"/>
    <n v="0.64"/>
    <s v="Brevard County"/>
    <n v="8.432998629131E-2"/>
    <n v="3702.9317095713"/>
    <n v="10.4813251394477"/>
    <n v="1.52758386548646"/>
    <n v="0.88389000532441997"/>
    <n v="0.1288211264353"/>
    <n v="312.26818030581597"/>
    <n v="1210"/>
    <s v="Fixed Single Family Units"/>
    <n v="1210"/>
    <s v="Brevard County"/>
    <s v="Brevard County"/>
    <m/>
    <m/>
    <m/>
    <n v="0"/>
    <n v="1"/>
    <n v="0.88389000532441997"/>
    <n v="0.1288211264353"/>
    <n v="312.26818030581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7.292342947863901"/>
    <n v="341.27134662390603"/>
    <n v="0.25325886479999998"/>
  </r>
  <r>
    <n v="830000"/>
    <n v="2400000"/>
    <n v="2400000"/>
    <x v="0"/>
    <x v="0"/>
    <s v="BR3-5, BR-7"/>
    <s v="62-304.520 (10), F.A.C."/>
    <n v="0.59"/>
    <n v="0.64"/>
    <s v="Brevard County"/>
    <n v="6.9237643119350004E-2"/>
    <n v="3702.9317095713"/>
    <n v="10.4813251394477"/>
    <n v="1.52758386548646"/>
    <n v="0.72570224942299999"/>
    <n v="0.10576630651343"/>
    <n v="256.38226420263999"/>
    <n v="1210"/>
    <s v="Fixed Single Family Units"/>
    <n v="1210"/>
    <s v="Brevard County"/>
    <s v="Brevard County"/>
    <m/>
    <m/>
    <m/>
    <n v="0"/>
    <n v="1"/>
    <n v="0.72570224942299999"/>
    <n v="0.10576630651343"/>
    <n v="546.12127365828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2.182093271673494"/>
    <n v="280.19480072940001"/>
    <n v="0.44292074100000001"/>
  </r>
  <r>
    <n v="830000"/>
    <n v="2400000"/>
    <n v="2400000"/>
    <x v="0"/>
    <x v="0"/>
    <s v="BR3-5, BR-7"/>
    <s v="62-304.520 (10), F.A.C."/>
    <n v="0.59"/>
    <n v="0.64"/>
    <s v="Brevard County"/>
    <n v="8.7981884383039999E-2"/>
    <n v="3702.9317095713"/>
    <n v="10.4813251394477"/>
    <n v="1.52758386548646"/>
    <n v="0.92216673659996995"/>
    <n v="0.13439970703863"/>
    <n v="325.79090954980597"/>
    <n v="1330"/>
    <s v="Residential, High density; Multiple Dwelling Units, Low Rise &lt;Two stories or less&gt;"/>
    <n v="1330"/>
    <s v="Brevard County"/>
    <s v="Brevard County"/>
    <m/>
    <m/>
    <m/>
    <n v="0"/>
    <n v="1"/>
    <n v="0.92216673659996995"/>
    <n v="0.13439970703863"/>
    <n v="325.790909549805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8.506126740283705"/>
    <n v="356.05005387037198"/>
    <n v="0.26422620400000002"/>
  </r>
  <r>
    <n v="830000"/>
    <n v="2400000"/>
    <n v="2400000"/>
    <x v="0"/>
    <x v="0"/>
    <s v="BR3-5, BR-7"/>
    <s v="62-304.520 (10), F.A.C."/>
    <n v="0.59"/>
    <n v="0.64"/>
    <s v="Brevard County"/>
    <n v="5.4359700409659997E-2"/>
    <n v="3702.9317095713"/>
    <n v="10.4813251394477"/>
    <n v="1.52758386548646"/>
    <n v="0.56976169447667002"/>
    <n v="8.3039001278480004E-2"/>
    <n v="201.29025836974401"/>
    <n v="1410"/>
    <s v="Retail Sales and Services"/>
    <n v="1410"/>
    <s v="Brevard County"/>
    <s v="Brevard County"/>
    <m/>
    <m/>
    <m/>
    <n v="0"/>
    <n v="1"/>
    <n v="0.56976169447667002"/>
    <n v="8.3039001278480004E-2"/>
    <n v="567.47244572917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1041975062397"/>
    <n v="219.98590272259099"/>
    <n v="0.46023718229999999"/>
  </r>
  <r>
    <n v="830000"/>
    <n v="2400000"/>
    <n v="2400000"/>
    <x v="0"/>
    <x v="0"/>
    <s v="BR3-5, BR-7"/>
    <s v="62-304.520 (10), F.A.C."/>
    <n v="0.59"/>
    <n v="0.64"/>
    <s v="City of Cocoa Beach"/>
    <n v="7.3322943828210002E-2"/>
    <n v="3684.8125254332999"/>
    <n v="9.5783281568712297"/>
    <n v="1.5417406931478701"/>
    <n v="0.70231121741447"/>
    <n v="0.11304496624135001"/>
    <n v="270.18130181984498"/>
    <n v="1210"/>
    <s v="Fixed Single Family Units"/>
    <n v="1210"/>
    <s v="City of Cocoa Beach           Brevard County"/>
    <s v="City of Cocoa Beach"/>
    <m/>
    <m/>
    <m/>
    <n v="0"/>
    <n v="1"/>
    <n v="0.70231121741447"/>
    <n v="0.11304496624135001"/>
    <n v="270.18130181984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2.836296982083198"/>
    <n v="296.72742614048201"/>
    <n v="0.2191251434"/>
  </r>
  <r>
    <n v="830000"/>
    <n v="2400000"/>
    <n v="2400000"/>
    <x v="0"/>
    <x v="0"/>
    <s v="BR3-5, BR-7"/>
    <s v="62-304.520 (10), F.A.C."/>
    <n v="0.59"/>
    <n v="0.64"/>
    <s v="City of Cocoa Beach"/>
    <n v="5.2384279501199997E-2"/>
    <n v="3684.8125254332999"/>
    <n v="9.5783281568712297"/>
    <n v="1.5417406931478701"/>
    <n v="0.50175381932379004"/>
    <n v="8.0762975388230004E-2"/>
    <n v="193.026249241834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0175381932379004"/>
    <n v="8.0762975388230004E-2"/>
    <n v="618.135723745063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7.293238194012801"/>
    <n v="211.99165793224299"/>
    <n v="0.50132662100000003"/>
  </r>
  <r>
    <n v="830000"/>
    <n v="2400000"/>
    <n v="2400000"/>
    <x v="0"/>
    <x v="0"/>
    <s v="BR3-5, BR-7"/>
    <s v="62-304.520 (10), F.A.C."/>
    <n v="0.59"/>
    <n v="0.64"/>
    <s v="City of Cocoa Beach"/>
    <n v="6.1156861336620003E-2"/>
    <n v="3684.8125254332999"/>
    <n v="9.5783281568712297"/>
    <n v="1.5417406931478701"/>
    <n v="0.58578048692641005"/>
    <n v="9.4288021787859999E-2"/>
    <n v="225.35156866936501"/>
    <n v="1210"/>
    <s v="Fixed Single Family Units"/>
    <n v="1210"/>
    <s v="City of Cocoa Beach           Brevard County"/>
    <s v="City of Cocoa Beach"/>
    <m/>
    <m/>
    <m/>
    <n v="0"/>
    <n v="1"/>
    <n v="0.58578048692641005"/>
    <n v="9.4288021787859999E-2"/>
    <n v="225.35156866936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1.279430575274802"/>
    <n v="247.49303707392801"/>
    <n v="0.18276688460000001"/>
  </r>
  <r>
    <n v="830000"/>
    <n v="2400000"/>
    <n v="2400000"/>
    <x v="0"/>
    <x v="0"/>
    <s v="BR3-5, BR-7"/>
    <s v="62-304.520 (10), F.A.C."/>
    <n v="0.59"/>
    <n v="0.64"/>
    <s v="City of Cocoa Beach"/>
    <n v="5.6977087786070003E-2"/>
    <n v="3684.8125254332999"/>
    <n v="9.5783281568712297"/>
    <n v="1.5417406931478701"/>
    <n v="0.54574524423783999"/>
    <n v="8.7843894816840004E-2"/>
    <n v="209.94988673682701"/>
    <n v="1210"/>
    <s v="Fixed Single Family Units"/>
    <n v="1210"/>
    <s v="City of Cocoa Beach           Brevard County"/>
    <s v="City of Cocoa Beach"/>
    <m/>
    <m/>
    <m/>
    <n v="0"/>
    <n v="1"/>
    <n v="0.54574524423783999"/>
    <n v="8.7843894816840004E-2"/>
    <n v="566.91318865404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540363982103798"/>
    <n v="230.57809363671001"/>
    <n v="0.45978360800000001"/>
  </r>
  <r>
    <n v="830000"/>
    <n v="2400000"/>
    <n v="2400000"/>
    <x v="0"/>
    <x v="0"/>
    <s v="BR3-5, BR-7"/>
    <s v="62-304.520 (10), F.A.C."/>
    <n v="0.59"/>
    <n v="0.64"/>
    <s v="City of Cocoa Beach"/>
    <n v="2.3671560748E-3"/>
    <n v="3866.9204787235899"/>
    <n v="8.7607443780213696"/>
    <n v="1.18754416650045"/>
    <n v="2.0738049274270001E-2"/>
    <n v="2.8111023878300001E-3"/>
    <n v="9.1536043020100202"/>
    <n v="1400"/>
    <s v="Commercial and Services"/>
    <n v="1400"/>
    <s v="City of Cocoa Beach           Brevard County"/>
    <s v="City of Cocoa Beach"/>
    <m/>
    <m/>
    <m/>
    <n v="0"/>
    <n v="1"/>
    <n v="2.0738049274270001E-2"/>
    <n v="2.8111023878300001E-3"/>
    <n v="9.153604302010869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4.363048276252201"/>
    <n v="9.5795407641608001"/>
    <n v="7.4238478000000002E-3"/>
  </r>
  <r>
    <n v="830000"/>
    <n v="2400000"/>
    <n v="2400000"/>
    <x v="0"/>
    <x v="0"/>
    <s v="BR3-5, BR-7"/>
    <s v="62-304.520 (10), F.A.C."/>
    <n v="0.59"/>
    <n v="0.64"/>
    <s v="City of Cocoa Beach"/>
    <n v="0.61539629770816995"/>
    <n v="3866.9204787235899"/>
    <n v="8.7607443780213696"/>
    <n v="1.18754416650045"/>
    <n v="5.39132965540204"/>
    <n v="0.73081028342931997"/>
    <n v="2379.6885461384099"/>
    <n v="1450"/>
    <s v="Tourist Services"/>
    <n v="1450"/>
    <s v="City of Cocoa Beach           Brevard County"/>
    <s v="City of Cocoa Beach"/>
    <m/>
    <m/>
    <m/>
    <n v="0"/>
    <n v="1"/>
    <n v="5.39132965540204"/>
    <n v="0.73081028342931997"/>
    <n v="2379.68854613840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8.897132153011"/>
    <n v="2490.4204597015"/>
    <n v="1.9299988209000001"/>
  </r>
  <r>
    <n v="830000"/>
    <n v="2400000"/>
    <n v="2400000"/>
    <x v="0"/>
    <x v="0"/>
    <s v="BR3-5, BR-7"/>
    <s v="62-304.520 (10), F.A.C."/>
    <n v="0.59"/>
    <n v="0.64"/>
    <s v="City of Cocoa Beach"/>
    <n v="0.13400144307617001"/>
    <n v="3751.3519647691801"/>
    <n v="11.238572096747999"/>
    <n v="1.4866221488143601"/>
    <n v="1.50598487907983"/>
    <n v="0.19920951325012001"/>
    <n v="502.68657676570302"/>
    <n v="1400"/>
    <s v="Commercial and Services"/>
    <n v="1400"/>
    <s v="City of Cocoa Beach           Brevard County"/>
    <s v="City of Cocoa Beach"/>
    <m/>
    <m/>
    <m/>
    <n v="0"/>
    <n v="1"/>
    <n v="1.50598487907983"/>
    <n v="0.19920951325012001"/>
    <n v="710.640900240645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1.53125717186001"/>
    <n v="542.284600523672"/>
    <n v="0.57635109510000004"/>
  </r>
  <r>
    <n v="830000"/>
    <n v="2400000"/>
    <n v="2400000"/>
    <x v="0"/>
    <x v="0"/>
    <s v="BR3-5, BR-7"/>
    <s v="62-304.520 (10), F.A.C."/>
    <n v="0.59"/>
    <n v="0.64"/>
    <s v="City of Cocoa Beach"/>
    <n v="0.27931562032369001"/>
    <n v="3751.3519647691801"/>
    <n v="11.238572096747999"/>
    <n v="1.4866221488143601"/>
    <n v="3.1391087367557602"/>
    <n v="0.41523678768303002"/>
    <n v="1047.8112010920199"/>
    <n v="1410"/>
    <s v="Retail Sales and Services"/>
    <n v="1410"/>
    <s v="City of Cocoa Beach           Brevard County"/>
    <s v="City of Cocoa Beach"/>
    <m/>
    <m/>
    <m/>
    <n v="0"/>
    <n v="1"/>
    <n v="3.1391087367557602"/>
    <n v="0.41523678768303002"/>
    <n v="1399.1516813881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5.12898431711901"/>
    <n v="1130.35021198359"/>
    <n v="1.1347539995"/>
  </r>
  <r>
    <n v="830000"/>
    <n v="2400000"/>
    <n v="2400000"/>
    <x v="0"/>
    <x v="0"/>
    <s v="BR3-5, BR-7"/>
    <s v="62-304.520 (10), F.A.C."/>
    <n v="0.59"/>
    <n v="0.64"/>
    <s v="City of Cocoa Beach"/>
    <n v="1.25071363215E-3"/>
    <n v="3751.3519647691801"/>
    <n v="11.238572096747999"/>
    <n v="1.4866221488143601"/>
    <n v="1.4056235327369999E-2"/>
    <n v="1.85933858738E-3"/>
    <n v="4.6918670413520003"/>
    <n v="1450"/>
    <s v="Tourist Services"/>
    <n v="1450"/>
    <s v="City of Cocoa Beach           Brevard County"/>
    <s v="City of Cocoa Beach"/>
    <m/>
    <m/>
    <m/>
    <n v="0"/>
    <n v="1"/>
    <n v="1.4056235327369999E-2"/>
    <n v="1.85933858738E-3"/>
    <n v="4.6918670413515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.333093724066"/>
    <n v="5.0614584948732597"/>
    <n v="3.8052450000000001E-3"/>
  </r>
  <r>
    <n v="830000"/>
    <n v="2400000"/>
    <n v="2400000"/>
    <x v="0"/>
    <x v="0"/>
    <s v="BR3-5, BR-7"/>
    <s v="62-304.520 (10), F.A.C."/>
    <n v="0.59"/>
    <n v="0.64"/>
    <s v="City of Cocoa Beach"/>
    <n v="7.5341018750000005E-4"/>
    <n v="3751.3519647691801"/>
    <n v="11.238572096747999"/>
    <n v="1.4866221488143601"/>
    <n v="8.4672547106900004E-3"/>
    <n v="1.1200362718800001E-3"/>
    <n v="2.8263067871739902"/>
    <n v="1450"/>
    <s v="Tourist Services"/>
    <n v="1450"/>
    <s v="City of Cocoa Beach           Brevard County"/>
    <s v="City of Cocoa Beach"/>
    <m/>
    <m/>
    <m/>
    <n v="0"/>
    <n v="1"/>
    <n v="8.4672547106900004E-3"/>
    <n v="1.1200362718800001E-3"/>
    <n v="2.8263067871748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2.189760545339098"/>
    <n v="3.0489428560070801"/>
    <n v="2.2922196000000001E-3"/>
  </r>
  <r>
    <n v="830000"/>
    <n v="2400000"/>
    <n v="2400000"/>
    <x v="0"/>
    <x v="0"/>
    <s v="BR3-5, BR-7"/>
    <s v="62-304.520 (10), F.A.C."/>
    <n v="0.59"/>
    <n v="0.64"/>
    <s v="City of Cocoa Beach"/>
    <n v="3.495222690021E-2"/>
    <n v="3751.3519647691801"/>
    <n v="11.238572096747999"/>
    <n v="1.4866221488143601"/>
    <n v="0.39281312195991003"/>
    <n v="5.1960754660230001E-2"/>
    <n v="131.11810505516399"/>
    <n v="1410"/>
    <s v="Retail Sales and Services"/>
    <n v="1410"/>
    <s v="City of Cocoa Beach           Brevard County"/>
    <s v="City of Cocoa Beach"/>
    <m/>
    <m/>
    <m/>
    <n v="0"/>
    <n v="1"/>
    <n v="0.39281312195991003"/>
    <n v="5.1960754660230001E-2"/>
    <n v="200.13739048133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5.0224525950496"/>
    <n v="141.44664390830201"/>
    <n v="0.16231742939999999"/>
  </r>
  <r>
    <n v="830000"/>
    <n v="2400000"/>
    <n v="2400000"/>
    <x v="0"/>
    <x v="0"/>
    <s v="BR3-5, BR-7"/>
    <s v="62-304.520 (10), F.A.C."/>
    <n v="0.59"/>
    <n v="0.64"/>
    <s v="City of Cocoa Beach"/>
    <n v="6.2574417859610001E-2"/>
    <n v="3664.1173325240802"/>
    <n v="9.1385963512820094"/>
    <n v="1.3442133882686"/>
    <n v="0.57184234673550005"/>
    <n v="8.4113370250010006E-2"/>
    <n v="229.28000905203001"/>
    <n v="1200"/>
    <s v="Residential, Medium Density-Two-five dwellingunits per acre"/>
    <n v="1200"/>
    <s v="City of Cocoa Beach           Brevard County"/>
    <s v="City of Cocoa Beach"/>
    <m/>
    <m/>
    <m/>
    <n v="0"/>
    <n v="1"/>
    <n v="0.57184234673550005"/>
    <n v="8.4113370250010006E-2"/>
    <n v="643.083925711644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5.779612209040195"/>
    <n v="253.22968479313499"/>
    <n v="0.52156036149999996"/>
  </r>
  <r>
    <n v="830000"/>
    <n v="2400000"/>
    <n v="2400000"/>
    <x v="0"/>
    <x v="0"/>
    <s v="BR3-5, BR-7"/>
    <s v="62-304.520 (10), F.A.C."/>
    <n v="0.59"/>
    <n v="0.64"/>
    <s v="City of Cocoa Beach"/>
    <n v="2.2625515102799999E-3"/>
    <n v="3664.1173325240802"/>
    <n v="9.1385963512820094"/>
    <n v="1.3442133882686"/>
    <n v="2.0676544976479999E-2"/>
    <n v="3.04135203177E-3"/>
    <n v="8.2902542045674696"/>
    <n v="1210"/>
    <s v="Fixed Single Family Units"/>
    <n v="1210"/>
    <s v="City of Cocoa Beach           Brevard County"/>
    <s v="City of Cocoa Beach"/>
    <m/>
    <m/>
    <m/>
    <n v="0"/>
    <n v="1"/>
    <n v="2.0676544976479999E-2"/>
    <n v="3.04135203177E-3"/>
    <n v="19.240205405312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6.588795556729501"/>
    <n v="9.1562211104114599"/>
    <n v="1.5604383899999999E-2"/>
  </r>
  <r>
    <n v="830000"/>
    <n v="2400000"/>
    <n v="2400000"/>
    <x v="0"/>
    <x v="0"/>
    <s v="BR3-5, BR-7"/>
    <s v="62-304.520 (10), F.A.C."/>
    <n v="0.59"/>
    <n v="0.64"/>
    <s v="City of Cocoa Beach"/>
    <n v="0.10000989739787"/>
    <n v="3664.1173325240802"/>
    <n v="9.1385963512820094"/>
    <n v="1.3442133882686"/>
    <n v="0.9139500834523"/>
    <n v="0.13443464304159"/>
    <n v="366.44799847950901"/>
    <n v="1210"/>
    <s v="Fixed Single Family Units"/>
    <n v="1210"/>
    <s v="City of Cocoa Beach           Brevard County"/>
    <s v="City of Cocoa Beach"/>
    <m/>
    <m/>
    <m/>
    <n v="0"/>
    <n v="1"/>
    <n v="0.9139500834523"/>
    <n v="0.13443464304159"/>
    <n v="642.703010129687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0.455047157928007"/>
    <n v="404.725695588154"/>
    <n v="0.52125142749999998"/>
  </r>
  <r>
    <n v="830000"/>
    <n v="2400000"/>
    <n v="2400000"/>
    <x v="0"/>
    <x v="0"/>
    <s v="BR3-5, BR-7"/>
    <s v="62-304.520 (10), F.A.C."/>
    <n v="0.59"/>
    <n v="0.64"/>
    <s v="City of Cocoa Beach"/>
    <n v="0.10399673182935"/>
    <n v="3664.1173325240802"/>
    <n v="9.1385963512820094"/>
    <n v="1.3442133882686"/>
    <n v="0.95038415404099996"/>
    <n v="0.1397937992612"/>
    <n v="381.05622762180201"/>
    <n v="1210"/>
    <s v="Fixed Single Family Units"/>
    <n v="1210"/>
    <s v="City of Cocoa Beach           Brevard County"/>
    <s v="City of Cocoa Beach"/>
    <m/>
    <m/>
    <m/>
    <n v="0"/>
    <n v="1"/>
    <n v="0.95038415404099996"/>
    <n v="0.1397937992612"/>
    <n v="807.26936508725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2.153302655516299"/>
    <n v="420.85984211223803"/>
    <n v="0.6547196797"/>
  </r>
  <r>
    <n v="830000"/>
    <n v="2400000"/>
    <n v="2400000"/>
    <x v="0"/>
    <x v="0"/>
    <s v="BR3-5, BR-7"/>
    <s v="62-304.520 (10), F.A.C."/>
    <n v="0.59"/>
    <n v="0.64"/>
    <s v="City of Cocoa Beach"/>
    <n v="1.93329249697E-3"/>
    <n v="3664.1173325240802"/>
    <n v="9.1385963512820094"/>
    <n v="1.3442133882686"/>
    <n v="1.7667579758770001E-2"/>
    <n v="2.5987576578600001E-3"/>
    <n v="7.0838105469865402"/>
    <n v="1210"/>
    <s v="Fixed Single Family Units"/>
    <n v="1210"/>
    <s v="City of Cocoa Beach           Brevard County"/>
    <s v="City of Cocoa Beach"/>
    <m/>
    <m/>
    <m/>
    <n v="0"/>
    <n v="1"/>
    <n v="1.7667579758770001E-2"/>
    <n v="2.5987576578600001E-3"/>
    <n v="7.08381054698646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4.580389963875799"/>
    <n v="7.8237571577406797"/>
    <n v="5.7451828999999996E-3"/>
  </r>
  <r>
    <n v="830000"/>
    <n v="2400000"/>
    <n v="2400000"/>
    <x v="0"/>
    <x v="0"/>
    <s v="BR3-5, BR-7"/>
    <s v="62-304.520 (10), F.A.C."/>
    <n v="0.59"/>
    <n v="0.64"/>
    <s v="City of Cocoa Beach"/>
    <n v="1.1749242942840001E-2"/>
    <n v="3667.3977546454898"/>
    <n v="9.1617955501752792"/>
    <n v="1.3528633670083201"/>
    <n v="0.10764416171164"/>
    <n v="1.5895120367440001E-2"/>
    <n v="43.089147187355699"/>
    <n v="1200"/>
    <s v="Residential, Medium Density-Two-five dwellingunits per acre"/>
    <n v="1200"/>
    <s v="City of Cocoa Beach           Brevard County"/>
    <s v="City of Cocoa Beach"/>
    <m/>
    <m/>
    <m/>
    <n v="0"/>
    <n v="1"/>
    <n v="0.10764416171164"/>
    <n v="1.5895120367440001E-2"/>
    <n v="43.089147187355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0.626080343209303"/>
    <n v="47.547499261569598"/>
    <n v="3.4946591399999997E-2"/>
  </r>
  <r>
    <n v="830000"/>
    <n v="2400000"/>
    <n v="2400000"/>
    <x v="0"/>
    <x v="0"/>
    <s v="BR3-5, BR-7"/>
    <s v="62-304.520 (10), F.A.C."/>
    <n v="0.59"/>
    <n v="0.64"/>
    <s v="City of Cocoa Beach"/>
    <n v="9.6956513052499999E-2"/>
    <n v="3667.3977546454898"/>
    <n v="9.1617955501752792"/>
    <n v="1.3528633670083201"/>
    <n v="0.88829574984495996"/>
    <n v="0.1311689147016"/>
    <n v="355.578098267016"/>
    <n v="1300"/>
    <s v="Residential, High Density"/>
    <n v="1300"/>
    <s v="City of Cocoa Beach           Brevard County"/>
    <s v="City of Cocoa Beach"/>
    <m/>
    <m/>
    <m/>
    <n v="0"/>
    <n v="1"/>
    <n v="0.88829574984495996"/>
    <n v="0.1311689147016"/>
    <n v="355.57809826701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809130194708"/>
    <n v="392.36908754004099"/>
    <n v="0.28838450789999998"/>
  </r>
  <r>
    <n v="830000"/>
    <n v="2400000"/>
    <n v="2400000"/>
    <x v="0"/>
    <x v="0"/>
    <s v="BR3-5, BR-7"/>
    <s v="62-304.520 (10), F.A.C."/>
    <n v="0.59"/>
    <n v="0.64"/>
    <s v="City of Cocoa Beach"/>
    <n v="0.31449301129592999"/>
    <n v="3778.6616021837799"/>
    <n v="10.063886287937899"/>
    <n v="1.78204798462655"/>
    <n v="3.1650219040335101"/>
    <n v="0.56044163695906002"/>
    <n v="1188.36266593911"/>
    <n v="1300"/>
    <s v="Residential, High Density"/>
    <n v="1300"/>
    <s v="City of Cocoa Beach           Brevard County"/>
    <s v="City of Cocoa Beach"/>
    <m/>
    <m/>
    <m/>
    <n v="0"/>
    <n v="1"/>
    <n v="3.1650219040335101"/>
    <n v="0.56044163695906002"/>
    <n v="1188.3626659391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1.29397708513901"/>
    <n v="1272.7080625628801"/>
    <n v="0.96379778260000004"/>
  </r>
  <r>
    <n v="830000"/>
    <n v="2400000"/>
    <n v="2400000"/>
    <x v="0"/>
    <x v="0"/>
    <s v="BR3-5, BR-7"/>
    <s v="62-304.520 (10), F.A.C."/>
    <n v="0.59"/>
    <n v="0.64"/>
    <s v="City of Cocoa Beach"/>
    <n v="0.10514102735196"/>
    <n v="3778.6616021837799"/>
    <n v="10.063886287937899"/>
    <n v="1.78204798462655"/>
    <n v="1.0581273434671199"/>
    <n v="0.18736635589413"/>
    <n v="397.29236286901403"/>
    <n v="1300"/>
    <s v="Residential, High Density"/>
    <n v="1300"/>
    <s v="City of Cocoa Beach           Brevard County"/>
    <s v="City of Cocoa Beach"/>
    <m/>
    <m/>
    <m/>
    <n v="0"/>
    <n v="1"/>
    <n v="1.0581273434671199"/>
    <n v="0.18736635589413"/>
    <n v="397.292362869014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8.468786002672005"/>
    <n v="425.49064179702299"/>
    <n v="0.32221602830000001"/>
  </r>
  <r>
    <n v="830000"/>
    <n v="2400000"/>
    <n v="2400000"/>
    <x v="0"/>
    <x v="0"/>
    <s v="BR3-5, BR-7"/>
    <s v="62-304.520 (10), F.A.C."/>
    <n v="0.59"/>
    <n v="0.64"/>
    <s v="City of Cocoa Beach"/>
    <n v="0.19812941495097"/>
    <n v="3778.6616021837799"/>
    <n v="10.063886287937899"/>
    <n v="1.78204798462655"/>
    <n v="1.9939519023622401"/>
    <n v="0.35307612460860999"/>
    <n v="748.66401253837205"/>
    <n v="1450"/>
    <s v="Tourist Services"/>
    <n v="1450"/>
    <s v="City of Cocoa Beach           Brevard County"/>
    <s v="City of Cocoa Beach"/>
    <m/>
    <m/>
    <m/>
    <n v="0"/>
    <n v="1"/>
    <n v="1.9939519023622401"/>
    <n v="0.35307612460860999"/>
    <n v="748.664012538376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5.328971436282"/>
    <n v="801.80129536069296"/>
    <n v="0.60718898020000001"/>
  </r>
  <r>
    <n v="830000"/>
    <n v="2400000"/>
    <n v="2400000"/>
    <x v="0"/>
    <x v="0"/>
    <s v="BR3-5, BR-7"/>
    <s v="62-304.520 (10), F.A.C."/>
    <n v="0.59"/>
    <n v="0.64"/>
    <s v="City of Cocoa Beach"/>
    <n v="7.5196569672000002E-2"/>
    <n v="3738.3108026688601"/>
    <n v="11.492031981327701"/>
    <n v="1.51717807310137"/>
    <n v="0.86416138355682004"/>
    <n v="0.11408658667880001"/>
    <n v="281.10814872849801"/>
    <n v="1400"/>
    <s v="Commercial and Services"/>
    <n v="1400"/>
    <s v="City of Cocoa Beach           Brevard County"/>
    <s v="City of Cocoa Beach"/>
    <m/>
    <m/>
    <m/>
    <n v="0"/>
    <n v="1"/>
    <n v="0.86416138355682004"/>
    <n v="0.11408658667880001"/>
    <n v="281.108148728498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0.028251833659"/>
    <n v="304.30972091960302"/>
    <n v="0.22798714410000001"/>
  </r>
  <r>
    <n v="830000"/>
    <n v="2400000"/>
    <n v="2400000"/>
    <x v="0"/>
    <x v="0"/>
    <s v="BR3-5, BR-7"/>
    <s v="62-304.520 (10), F.A.C."/>
    <n v="0.59"/>
    <n v="0.64"/>
    <s v="City of Cocoa Beach"/>
    <n v="0.54256688385782004"/>
    <n v="3738.3108026688601"/>
    <n v="11.492031981327701"/>
    <n v="1.51717807310137"/>
    <n v="6.2351959813034998"/>
    <n v="0.82317057938003002"/>
    <n v="2028.2836430960899"/>
    <n v="1450"/>
    <s v="Tourist Services"/>
    <n v="1450"/>
    <s v="City of Cocoa Beach           Brevard County"/>
    <s v="City of Cocoa Beach"/>
    <m/>
    <m/>
    <m/>
    <n v="0"/>
    <n v="1"/>
    <n v="6.2351959813034998"/>
    <n v="0.82317057938003002"/>
    <n v="2028.2836430960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87.627269535702"/>
    <n v="2195.6902785215998"/>
    <n v="1.6449988995"/>
  </r>
  <r>
    <n v="830000"/>
    <n v="2400000"/>
    <n v="2400000"/>
    <x v="0"/>
    <x v="0"/>
    <s v="BR3-5, BR-7"/>
    <s v="62-304.520 (10), F.A.C."/>
    <n v="0.59"/>
    <n v="0.64"/>
    <s v="City of Cocoa Beach"/>
    <n v="0.18618754157935999"/>
    <n v="3710.9081355005501"/>
    <n v="10.631163420919499"/>
    <n v="2.0336225411797102"/>
    <n v="1.9793901814694399"/>
    <n v="0.37863518144261998"/>
    <n v="690.92486277570197"/>
    <n v="1300"/>
    <s v="Residential, High Density"/>
    <n v="1300"/>
    <s v="City of Cocoa Beach           Brevard County"/>
    <s v="City of Cocoa Beach"/>
    <m/>
    <m/>
    <m/>
    <n v="0"/>
    <n v="1"/>
    <n v="1.9793901814694399"/>
    <n v="0.37863518144261998"/>
    <n v="690.924862775701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0.79024330952501"/>
    <n v="753.47424841130601"/>
    <n v="0.56036079709999997"/>
  </r>
  <r>
    <n v="830000"/>
    <n v="2400000"/>
    <n v="2400000"/>
    <x v="0"/>
    <x v="0"/>
    <s v="BR3-5, BR-7"/>
    <s v="62-304.520 (10), F.A.C."/>
    <n v="0.59"/>
    <n v="0.64"/>
    <s v="City of Cocoa Beach"/>
    <n v="2.3188487379719999E-2"/>
    <n v="3710.9081355005501"/>
    <n v="10.631163420919499"/>
    <n v="2.0336225411797102"/>
    <n v="0.2465205988178"/>
    <n v="4.715663063127E-2"/>
    <n v="86.050346467380905"/>
    <n v="1210"/>
    <s v="Fixed Single Family Units"/>
    <n v="1210"/>
    <s v="City of Cocoa Beach           Brevard County"/>
    <s v="City of Cocoa Beach"/>
    <m/>
    <m/>
    <m/>
    <n v="0"/>
    <n v="1"/>
    <n v="0.2465205988178"/>
    <n v="4.715663063127E-2"/>
    <n v="86.0503464673822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0.983727785551203"/>
    <n v="93.840479078390899"/>
    <n v="6.9789413199999997E-2"/>
  </r>
  <r>
    <n v="830000"/>
    <n v="2400000"/>
    <n v="2400000"/>
    <x v="0"/>
    <x v="0"/>
    <s v="BR3-5, BR-7"/>
    <s v="62-304.520 (10), F.A.C."/>
    <n v="0.59"/>
    <n v="0.64"/>
    <s v="City of Cocoa Beach"/>
    <n v="0.13273167415473"/>
    <n v="3710.9081355005501"/>
    <n v="10.631163420919499"/>
    <n v="2.0336225411797102"/>
    <n v="1.41109211907123"/>
    <n v="0.26992612448959002"/>
    <n v="492.555049459418"/>
    <n v="1300"/>
    <s v="Residential, High Density"/>
    <n v="1300"/>
    <s v="City of Cocoa Beach           Brevard County"/>
    <s v="City of Cocoa Beach"/>
    <m/>
    <m/>
    <m/>
    <n v="0"/>
    <n v="1"/>
    <n v="1.41109211907123"/>
    <n v="0.26992612448959002"/>
    <n v="492.55504945941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2.896123194299406"/>
    <n v="537.14602800899604"/>
    <n v="0.39947692579999999"/>
  </r>
  <r>
    <n v="830000"/>
    <n v="2400000"/>
    <n v="2400000"/>
    <x v="0"/>
    <x v="0"/>
    <s v="BR3-5, BR-7"/>
    <s v="62-304.520 (10), F.A.C."/>
    <n v="0.59"/>
    <n v="0.64"/>
    <s v="City of Cocoa Beach"/>
    <n v="0.16267538008407001"/>
    <n v="3710.9081355005501"/>
    <n v="10.631163420919499"/>
    <n v="2.0336225411797102"/>
    <n v="1.7294285502340001"/>
    <n v="0.33082031983394999"/>
    <n v="603.67339139964201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1.7294285502340001"/>
    <n v="0.33082031983394999"/>
    <n v="603.67339139964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80347284810399"/>
    <n v="658.32390665960395"/>
    <n v="0.48959723550000001"/>
  </r>
  <r>
    <n v="830000"/>
    <n v="2400000"/>
    <n v="2400000"/>
    <x v="0"/>
    <x v="0"/>
    <s v="BR3-5, BR-7"/>
    <s v="62-304.520 (10), F.A.C."/>
    <n v="0.59"/>
    <n v="0.64"/>
    <s v="City of Cocoa Beach"/>
    <n v="0.11298037042398"/>
    <n v="3710.9081355005501"/>
    <n v="10.631163420919499"/>
    <n v="2.0336225411797102"/>
    <n v="1.2011127813333999"/>
    <n v="0.22975942800505"/>
    <n v="419.25977575823202"/>
    <n v="1300"/>
    <s v="Residential, High Density"/>
    <n v="1300"/>
    <s v="City of Cocoa Beach           Brevard County"/>
    <s v="City of Cocoa Beach"/>
    <m/>
    <m/>
    <m/>
    <n v="0"/>
    <n v="1"/>
    <n v="1.2011127813333999"/>
    <n v="0.22975942800505"/>
    <n v="419.25977575823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7.65916115349999"/>
    <n v="457.21533765543597"/>
    <n v="0.34003225929999997"/>
  </r>
  <r>
    <n v="830000"/>
    <n v="2400000"/>
    <n v="2400000"/>
    <x v="0"/>
    <x v="0"/>
    <s v="BR3-5, BR-7"/>
    <s v="62-304.520 (10), F.A.C."/>
    <n v="0.59"/>
    <n v="0.64"/>
    <s v="City of Cocoa Beach"/>
    <n v="0.18995891319256999"/>
    <n v="3669.8590948484202"/>
    <n v="9.1522207904347006"/>
    <n v="1.3461937983579999"/>
    <n v="1.7385459146494799"/>
    <n v="0.25572151088266998"/>
    <n v="697.12244522729998"/>
    <n v="1200"/>
    <s v="Residential, Medium Density-Two-five dwellingunits per acre"/>
    <n v="1200"/>
    <s v="City of Cocoa Beach           Brevard County"/>
    <s v="City of Cocoa Beach"/>
    <m/>
    <m/>
    <m/>
    <n v="0"/>
    <n v="1"/>
    <n v="1.7385459146494799"/>
    <n v="0.25572151088266998"/>
    <n v="697.122445227299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1.427540486656"/>
    <n v="768.73644784550402"/>
    <n v="0.56538722239999994"/>
  </r>
  <r>
    <n v="830000"/>
    <n v="2400000"/>
    <n v="2400000"/>
    <x v="0"/>
    <x v="0"/>
    <s v="BR3-5, BR-7"/>
    <s v="62-304.520 (10), F.A.C."/>
    <n v="0.59"/>
    <n v="0.64"/>
    <s v="City of Cocoa Beach"/>
    <n v="6.5592200666400001E-3"/>
    <n v="3669.8590948484202"/>
    <n v="9.1522207904347006"/>
    <n v="1.3461937983579999"/>
    <n v="6.0031430263019998E-2"/>
    <n v="8.8299813757799998E-3"/>
    <n v="24.0714134167041"/>
    <n v="1210"/>
    <s v="Fixed Single Family Units"/>
    <n v="1210"/>
    <s v="City of Cocoa Beach           Brevard County"/>
    <s v="City of Cocoa Beach"/>
    <m/>
    <m/>
    <m/>
    <n v="0"/>
    <n v="1"/>
    <n v="6.0031430263019998E-2"/>
    <n v="8.8299813757799998E-3"/>
    <n v="24.071413416704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0.732064584955999"/>
    <n v="26.5442218526535"/>
    <n v="1.9522638599999999E-2"/>
  </r>
  <r>
    <n v="830000"/>
    <n v="2400000"/>
    <n v="2400000"/>
    <x v="0"/>
    <x v="0"/>
    <s v="BR3-5, BR-7"/>
    <s v="62-304.520 (10), F.A.C."/>
    <n v="0.59"/>
    <n v="0.64"/>
    <s v="City of Cocoa Beach"/>
    <n v="4.1788209658730001E-2"/>
    <n v="3669.8590948484202"/>
    <n v="9.1522207904347006"/>
    <n v="1.3461937983579999"/>
    <n v="0.38245492123375002"/>
    <n v="5.6255028687069997E-2"/>
    <n v="153.35684127355501"/>
    <n v="1210"/>
    <s v="Fixed Single Family Units"/>
    <n v="1210"/>
    <s v="City of Cocoa Beach           Brevard County"/>
    <s v="City of Cocoa Beach"/>
    <m/>
    <m/>
    <m/>
    <n v="0"/>
    <n v="1"/>
    <n v="0.38245492123375002"/>
    <n v="5.6255028687069997E-2"/>
    <n v="153.35684127355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4.967322387093901"/>
    <n v="169.11088463806399"/>
    <n v="0.1243770002"/>
  </r>
  <r>
    <n v="830000"/>
    <n v="2400000"/>
    <n v="2400000"/>
    <x v="0"/>
    <x v="0"/>
    <s v="BR3-5, BR-7"/>
    <s v="62-304.520 (10), F.A.C."/>
    <n v="0.59"/>
    <n v="0.64"/>
    <s v="City of Cocoa Beach"/>
    <n v="4.1727470947260002E-2"/>
    <n v="3669.8590948484202"/>
    <n v="9.1522207904347006"/>
    <n v="1.3461937983579999"/>
    <n v="0.38189902713584001"/>
    <n v="5.6173262610369999E-2"/>
    <n v="153.13393876085399"/>
    <n v="1210"/>
    <s v="Fixed Single Family Units"/>
    <n v="1210"/>
    <s v="City of Cocoa Beach           Brevard County"/>
    <s v="City of Cocoa Beach"/>
    <m/>
    <m/>
    <m/>
    <n v="0"/>
    <n v="1"/>
    <n v="0.38189902713584001"/>
    <n v="5.6173262610369999E-2"/>
    <n v="153.13393876085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5.381084085740298"/>
    <n v="168.865083793461"/>
    <n v="0.1241962196"/>
  </r>
  <r>
    <n v="830000"/>
    <n v="2400000"/>
    <n v="2400000"/>
    <x v="0"/>
    <x v="0"/>
    <s v="BR3-5, BR-7"/>
    <s v="62-304.520 (10), F.A.C."/>
    <n v="0.59"/>
    <n v="0.64"/>
    <s v="City of Cocoa Beach"/>
    <n v="1.401722245637E-2"/>
    <n v="3669.8590948484202"/>
    <n v="9.1522207904347006"/>
    <n v="1.3461937983579999"/>
    <n v="0.12828871478939999"/>
    <n v="1.886989794097E-2"/>
    <n v="51.441231316048601"/>
    <n v="1210"/>
    <s v="Fixed Single Family Units"/>
    <n v="1210"/>
    <s v="City of Cocoa Beach           Brevard County"/>
    <s v="City of Cocoa Beach"/>
    <m/>
    <m/>
    <m/>
    <n v="0"/>
    <n v="1"/>
    <n v="0.12828871478939999"/>
    <n v="1.886989794097E-2"/>
    <n v="51.441231316048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4.058042113886501"/>
    <n v="56.725686721798297"/>
    <n v="4.1720382299999997E-2"/>
  </r>
  <r>
    <n v="830000"/>
    <n v="2400000"/>
    <n v="2400000"/>
    <x v="0"/>
    <x v="0"/>
    <s v="BR3-5, BR-7"/>
    <s v="62-304.520 (10), F.A.C."/>
    <n v="0.59"/>
    <n v="0.64"/>
    <s v="City of Cocoa Beach"/>
    <n v="0.18224036082587999"/>
    <n v="3669.8590948484202"/>
    <n v="9.1522207904347006"/>
    <n v="1.3461937983579999"/>
    <n v="1.667904019207"/>
    <n v="0.24533084355432999"/>
    <n v="668.79644562533895"/>
    <n v="1210"/>
    <s v="Fixed Single Family Units"/>
    <n v="1210"/>
    <s v="City of Cocoa Beach           Brevard County"/>
    <s v="City of Cocoa Beach"/>
    <m/>
    <m/>
    <m/>
    <n v="0"/>
    <n v="1"/>
    <n v="1.667904019207"/>
    <n v="0.24533084355432999"/>
    <n v="668.796445625338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8.93086945789901"/>
    <n v="737.50057462873394"/>
    <n v="0.54241398669999996"/>
  </r>
  <r>
    <n v="830000"/>
    <n v="2400000"/>
    <n v="2400000"/>
    <x v="0"/>
    <x v="0"/>
    <s v="BR3-5, BR-7"/>
    <s v="62-304.520 (10), F.A.C."/>
    <n v="0.59"/>
    <n v="0.64"/>
    <s v="City of Cocoa Beach"/>
    <n v="0.14147205661247"/>
    <n v="3669.8590948484202"/>
    <n v="9.1522207904347006"/>
    <n v="1.3461937983579999"/>
    <n v="1.2947834977942001"/>
    <n v="0.19044880525265001"/>
    <n v="519.18251362618298"/>
    <n v="1210"/>
    <s v="Fixed Single Family Units"/>
    <n v="1210"/>
    <s v="City of Cocoa Beach           Brevard County"/>
    <s v="City of Cocoa Beach"/>
    <m/>
    <m/>
    <m/>
    <n v="0"/>
    <n v="1"/>
    <n v="1.2947834977942001"/>
    <n v="0.19044880525265001"/>
    <n v="519.182513626182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6.107734002519805"/>
    <n v="572.51710089231199"/>
    <n v="0.42107259819999998"/>
  </r>
  <r>
    <n v="830000"/>
    <n v="2400000"/>
    <n v="2400000"/>
    <x v="0"/>
    <x v="0"/>
    <s v="BR3-5, BR-7"/>
    <s v="62-304.520 (10), F.A.C."/>
    <n v="0.59"/>
    <n v="0.64"/>
    <s v="City of Cocoa Beach"/>
    <n v="6.1226862069180002E-2"/>
    <n v="3771.92855647738"/>
    <n v="10.655683445123801"/>
    <n v="1.5077989625736601"/>
    <n v="0.65241406054748996"/>
    <n v="9.231779910955E-2"/>
    <n v="230.94334946225999"/>
    <n v="1300"/>
    <s v="Residential, High Density"/>
    <n v="1300"/>
    <s v="City of Cocoa Beach           Brevard County"/>
    <s v="City of Cocoa Beach"/>
    <m/>
    <m/>
    <m/>
    <n v="0"/>
    <n v="1"/>
    <n v="0.65241406054748996"/>
    <n v="9.231779910955E-2"/>
    <n v="328.55937015040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950514420900205"/>
    <n v="247.776319988079"/>
    <n v="0.26647150860000002"/>
  </r>
  <r>
    <n v="830000"/>
    <n v="2400000"/>
    <n v="2400000"/>
    <x v="0"/>
    <x v="0"/>
    <s v="BR3-5, BR-7"/>
    <s v="62-304.520 (10), F.A.C."/>
    <n v="0.59"/>
    <n v="0.64"/>
    <s v="City of Cocoa Beach"/>
    <n v="5.2692234618579997E-2"/>
    <n v="3771.92855647738"/>
    <n v="10.655683445123801"/>
    <n v="1.5077989625736601"/>
    <n v="0.56147177211178001"/>
    <n v="7.9449296693580002E-2"/>
    <n v="198.75134446242799"/>
    <n v="1400"/>
    <s v="Commercial and Services"/>
    <n v="1400"/>
    <s v="City of Cocoa Beach           Brevard County"/>
    <s v="City of Cocoa Beach"/>
    <m/>
    <m/>
    <m/>
    <n v="0"/>
    <n v="1"/>
    <n v="0.56147177211178001"/>
    <n v="7.9449296693580002E-2"/>
    <n v="1408.7371366738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6.805787428454"/>
    <n v="213.23790807680601"/>
    <n v="1.1425280914"/>
  </r>
  <r>
    <n v="830000"/>
    <n v="2400000"/>
    <n v="2400000"/>
    <x v="0"/>
    <x v="0"/>
    <s v="BR3-5, BR-7"/>
    <s v="62-304.520 (10), F.A.C."/>
    <n v="0.59"/>
    <n v="0.64"/>
    <s v="City of Cocoa Beach"/>
    <n v="7.2599355177E-4"/>
    <n v="3771.92855647738"/>
    <n v="10.655683445123801"/>
    <n v="1.5077989625736601"/>
    <n v="7.73595747087E-3"/>
    <n v="1.0946523241899999E-3"/>
    <n v="2.7383958097434702"/>
    <n v="1300"/>
    <s v="Residential, High Density"/>
    <n v="1300"/>
    <s v="City of Cocoa Beach           Brevard County"/>
    <s v="City of Cocoa Beach"/>
    <m/>
    <m/>
    <m/>
    <n v="0"/>
    <n v="1"/>
    <n v="7.73595747087E-3"/>
    <n v="1.0946523241899999E-3"/>
    <n v="2.738395809744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5.5016478266301"/>
    <n v="2.9379916676066702"/>
    <n v="2.2209211999999999E-3"/>
  </r>
  <r>
    <n v="830000"/>
    <n v="2400000"/>
    <n v="2400000"/>
    <x v="0"/>
    <x v="0"/>
    <s v="BR3-5, BR-7"/>
    <s v="62-304.520 (10), F.A.C."/>
    <n v="0.59"/>
    <n v="0.64"/>
    <s v="City of Cocoa Beach"/>
    <n v="3.925664376133E-2"/>
    <n v="3764.4729522903599"/>
    <n v="10.8097988027918"/>
    <n v="1.50576525601291"/>
    <n v="0.42435642073289997"/>
    <n v="5.9111290243490003E-2"/>
    <n v="147.78057363724301"/>
    <n v="1300"/>
    <s v="Residential, High Density"/>
    <n v="1300"/>
    <s v="City of Cocoa Beach           Brevard County"/>
    <s v="City of Cocoa Beach"/>
    <m/>
    <m/>
    <m/>
    <n v="0"/>
    <n v="1"/>
    <n v="0.42435642073289997"/>
    <n v="5.9111290243490003E-2"/>
    <n v="238.63381948829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2.931380738298103"/>
    <n v="158.86600092742799"/>
    <n v="0.1935391886"/>
  </r>
  <r>
    <n v="830000"/>
    <n v="2400000"/>
    <n v="2400000"/>
    <x v="0"/>
    <x v="0"/>
    <s v="BR3-5, BR-7"/>
    <s v="62-304.520 (10), F.A.C."/>
    <n v="0.59"/>
    <n v="0.64"/>
    <s v="City of Cocoa Beach"/>
    <n v="3.08391570448E-3"/>
    <n v="3764.4729522903599"/>
    <n v="10.8097988027918"/>
    <n v="1.50576525601291"/>
    <n v="3.3336508290280002E-2"/>
    <n v="4.6436531202900004E-3"/>
    <n v="11.609317256688501"/>
    <n v="1400"/>
    <s v="Commercial and Services"/>
    <n v="1400"/>
    <s v="City of Cocoa Beach           Brevard County"/>
    <s v="City of Cocoa Beach"/>
    <m/>
    <m/>
    <m/>
    <n v="0"/>
    <n v="1"/>
    <n v="3.3336508290280002E-2"/>
    <n v="4.6436531202900004E-3"/>
    <n v="684.803188941177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2.620020664133598"/>
    <n v="12.4801640748474"/>
    <n v="0.55539593590000003"/>
  </r>
  <r>
    <n v="830000"/>
    <n v="2400000"/>
    <n v="2400000"/>
    <x v="0"/>
    <x v="0"/>
    <s v="BR3-5, BR-7"/>
    <s v="62-304.520 (10), F.A.C."/>
    <n v="0.59"/>
    <n v="0.64"/>
    <s v="City of Cocoa Beach"/>
    <n v="1.696887168603E-2"/>
    <n v="3764.4729522903599"/>
    <n v="10.8097988027918"/>
    <n v="1.50576525601291"/>
    <n v="0.18343008883646"/>
    <n v="2.555113741857E-2"/>
    <n v="63.878858492975702"/>
    <n v="1300"/>
    <s v="Residential, High Density"/>
    <n v="1300"/>
    <s v="City of Cocoa Beach           Brevard County"/>
    <s v="City of Cocoa Beach"/>
    <m/>
    <m/>
    <m/>
    <n v="0"/>
    <n v="1"/>
    <n v="0.18343008883646"/>
    <n v="2.555113741857E-2"/>
    <n v="63.878858492976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2.892412267752"/>
    <n v="68.670587363524803"/>
    <n v="5.1807671100000001E-2"/>
  </r>
  <r>
    <n v="830000"/>
    <n v="2400000"/>
    <n v="2400000"/>
    <x v="0"/>
    <x v="0"/>
    <s v="BR3-5, BR-7"/>
    <s v="62-304.520 (10), F.A.C."/>
    <n v="0.59"/>
    <n v="0.64"/>
    <s v="City of Cocoa Beach"/>
    <n v="4.2575673125649999E-2"/>
    <n v="3828.0127978622099"/>
    <n v="9.4709127569534495"/>
    <n v="1.2930329568299901"/>
    <n v="0.40323048574166998"/>
    <n v="5.5051748510690002E-2"/>
    <n v="162.98022160261701"/>
    <n v="1200"/>
    <s v="Residential, Medium Density-Two-five dwellingunits per acre"/>
    <n v="1200"/>
    <s v="City of Cocoa Beach           Brevard County"/>
    <s v="City of Cocoa Beach"/>
    <m/>
    <m/>
    <m/>
    <n v="0"/>
    <n v="1"/>
    <n v="0.40323048574166998"/>
    <n v="5.5051748510690002E-2"/>
    <n v="280.16564932861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9.535564196245204"/>
    <n v="172.297636226572"/>
    <n v="0.22722274880000001"/>
  </r>
  <r>
    <n v="830000"/>
    <n v="2400000"/>
    <n v="2400000"/>
    <x v="0"/>
    <x v="0"/>
    <s v="BR3-5, BR-7"/>
    <s v="62-304.520 (10), F.A.C."/>
    <n v="0.59"/>
    <n v="0.64"/>
    <s v="City of Cocoa Beach"/>
    <n v="6.7464647391390006E-2"/>
    <n v="3828.0127978622099"/>
    <n v="9.4709127569534495"/>
    <n v="1.2930329568299901"/>
    <n v="0.63895178962253996"/>
    <n v="8.7234012497989996E-2"/>
    <n v="258.25553361752901"/>
    <n v="1400"/>
    <s v="Commercial and Services"/>
    <n v="1400"/>
    <s v="City of Cocoa Beach           Brevard County"/>
    <s v="City of Cocoa Beach"/>
    <m/>
    <m/>
    <m/>
    <n v="0"/>
    <n v="1"/>
    <n v="0.63895178962253996"/>
    <n v="8.7234012497989996E-2"/>
    <n v="437.96470147380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7.408567023476394"/>
    <n v="273.01974158082601"/>
    <n v="0.35520251539999997"/>
  </r>
  <r>
    <n v="830000"/>
    <n v="2400000"/>
    <n v="2400000"/>
    <x v="0"/>
    <x v="0"/>
    <s v="BR3-5, BR-7"/>
    <s v="62-304.520 (10), F.A.C."/>
    <n v="0.59"/>
    <n v="0.64"/>
    <s v="City of Cocoa Beach"/>
    <n v="0.18307649296494"/>
    <n v="3828.0127978622099"/>
    <n v="9.4709127569534495"/>
    <n v="1.2930329568299901"/>
    <n v="1.73390149272002"/>
    <n v="0.23672393902453001"/>
    <n v="700.81915805755204"/>
    <n v="1410"/>
    <s v="Retail Sales and Services"/>
    <n v="1410"/>
    <s v="City of Cocoa Beach           Brevard County"/>
    <s v="City of Cocoa Beach"/>
    <m/>
    <m/>
    <m/>
    <n v="0"/>
    <n v="1"/>
    <n v="1.73390149272002"/>
    <n v="0.23672393902453001"/>
    <n v="700.8191580575520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9.90212554874"/>
    <n v="740.88428134566595"/>
    <n v="0.56838536740000001"/>
  </r>
  <r>
    <n v="830000"/>
    <n v="2400000"/>
    <n v="2400000"/>
    <x v="0"/>
    <x v="0"/>
    <s v="BR3-5, BR-7"/>
    <s v="62-304.520 (10), F.A.C."/>
    <n v="0.59"/>
    <n v="0.64"/>
    <s v="City of Cocoa Beach"/>
    <n v="2.4741202476120001E-2"/>
    <n v="3828.0127978622099"/>
    <n v="9.4709127569534495"/>
    <n v="1.2930329568299901"/>
    <n v="0.23432177015349001"/>
    <n v="3.1991190193229997E-2"/>
    <n v="94.709639713102902"/>
    <n v="1410"/>
    <s v="Retail Sales and Services"/>
    <n v="1410"/>
    <s v="City of Cocoa Beach           Brevard County"/>
    <s v="City of Cocoa Beach"/>
    <m/>
    <m/>
    <m/>
    <n v="0"/>
    <n v="1"/>
    <n v="0.23432177015349001"/>
    <n v="3.1991190193229997E-2"/>
    <n v="707.427425047295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6.671965121269807"/>
    <n v="100.12409413840101"/>
    <n v="0.57374487029999999"/>
  </r>
  <r>
    <n v="830000"/>
    <n v="2400000"/>
    <n v="2400000"/>
    <x v="0"/>
    <x v="0"/>
    <s v="BR3-5, BR-7"/>
    <s v="62-304.520 (10), F.A.C."/>
    <n v="0.59"/>
    <n v="0.64"/>
    <s v="City of Cocoa Beach"/>
    <n v="2.8585968774689999E-2"/>
    <n v="3828.0127978622099"/>
    <n v="9.4709127569534495"/>
    <n v="1.2930329568299901"/>
    <n v="0.27073521633809"/>
    <n v="3.6962599728580001E-2"/>
    <n v="109.42745430880601"/>
    <n v="1450"/>
    <s v="Tourist Services"/>
    <n v="1450"/>
    <s v="City of Cocoa Beach           Brevard County"/>
    <s v="City of Cocoa Beach"/>
    <m/>
    <m/>
    <m/>
    <n v="0"/>
    <n v="1"/>
    <n v="0.27073521633809"/>
    <n v="3.6962599728580001E-2"/>
    <n v="220.13619391253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7.653345057040198"/>
    <n v="115.683311326385"/>
    <n v="0.17853705910000001"/>
  </r>
  <r>
    <n v="830000"/>
    <n v="2400000"/>
    <n v="2400000"/>
    <x v="0"/>
    <x v="0"/>
    <s v="BR3-5, BR-7"/>
    <s v="62-304.520 (10), F.A.C."/>
    <n v="0.59"/>
    <n v="0.64"/>
    <s v="City of Cocoa Beach"/>
    <n v="0.12203037256623001"/>
    <n v="3827.9335238459198"/>
    <n v="8.9757007610436705"/>
    <n v="1.3718901839335"/>
    <n v="1.0953081079131799"/>
    <n v="0.16741227026536001"/>
    <n v="467.12415407369002"/>
    <n v="1450"/>
    <s v="Tourist Services"/>
    <n v="1450"/>
    <s v="City of Cocoa Beach           Brevard County"/>
    <s v="City of Cocoa Beach"/>
    <m/>
    <m/>
    <m/>
    <n v="0"/>
    <n v="1"/>
    <n v="1.0953081079131799"/>
    <n v="0.16741227026536001"/>
    <n v="1446.2720014703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5.344395985302"/>
    <n v="493.83939694752399"/>
    <n v="1.1729699930999999"/>
  </r>
  <r>
    <n v="830000"/>
    <n v="2400000"/>
    <n v="2400000"/>
    <x v="0"/>
    <x v="0"/>
    <s v="BR3-5, BR-7"/>
    <s v="62-304.520 (10), F.A.C."/>
    <n v="0.59"/>
    <n v="0.64"/>
    <s v="City of Cocoa Beach"/>
    <n v="2.3827154745999999E-4"/>
    <n v="3720.1448432840002"/>
    <n v="9.8542963554243705"/>
    <n v="1.3000097112692901"/>
    <n v="2.34799844179E-3"/>
    <n v="3.0975532561999998E-4"/>
    <n v="0.88640466860694"/>
    <n v="1300"/>
    <s v="Residential, High Density"/>
    <n v="1300"/>
    <s v="City of Cocoa Beach           Brevard County"/>
    <s v="City of Cocoa Beach"/>
    <m/>
    <m/>
    <m/>
    <n v="0"/>
    <n v="1"/>
    <n v="2.34799844179E-3"/>
    <n v="3.0975532561999998E-4"/>
    <n v="6.3366500123584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.9337698463006099"/>
    <n v="0.96425074213933004"/>
    <n v="5.1392132999999998E-3"/>
  </r>
  <r>
    <n v="830000"/>
    <n v="2400000"/>
    <n v="2400000"/>
    <x v="0"/>
    <x v="0"/>
    <s v="BR3-5, BR-7"/>
    <s v="62-304.520 (10), F.A.C."/>
    <n v="0.59"/>
    <n v="0.64"/>
    <s v="City of Cocoa Beach"/>
    <n v="1.30159072774E-3"/>
    <n v="3720.1448432840002"/>
    <n v="9.8542963554243705"/>
    <n v="1.3000097112692901"/>
    <n v="1.2826260764680001E-2"/>
    <n v="1.69208058616E-3"/>
    <n v="4.8421060338905599"/>
    <n v="1400"/>
    <s v="Commercial and Services"/>
    <n v="1400"/>
    <s v="City of Cocoa Beach           Brevard County"/>
    <s v="City of Cocoa Beach"/>
    <m/>
    <m/>
    <m/>
    <n v="0"/>
    <n v="1"/>
    <n v="1.2826260764680001E-2"/>
    <n v="1.69208058616E-3"/>
    <n v="892.506644439498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2.424867501318602"/>
    <n v="5.2673507959134698"/>
    <n v="0.72384967109999998"/>
  </r>
  <r>
    <n v="830000"/>
    <n v="2400000"/>
    <n v="2400000"/>
    <x v="0"/>
    <x v="0"/>
    <s v="BR3-5, BR-7"/>
    <s v="62-304.520 (10), F.A.C."/>
    <n v="0.59"/>
    <n v="0.64"/>
    <s v="City of Cocoa Beach"/>
    <n v="3.226864462E-6"/>
    <n v="3720.1448432840002"/>
    <n v="9.8542963554243705"/>
    <n v="1.3000097112692901"/>
    <n v="3.1798478699999998E-5"/>
    <n v="4.1949551375500004E-6"/>
    <n v="1.200440318828E-2"/>
    <n v="1410"/>
    <s v="Retail Sales and Services"/>
    <n v="1410"/>
    <s v="City of Cocoa Beach           Brevard County"/>
    <s v="City of Cocoa Beach"/>
    <m/>
    <m/>
    <m/>
    <n v="0"/>
    <n v="1"/>
    <n v="3.1798478699999998E-5"/>
    <n v="4.1949551375500004E-6"/>
    <n v="173.109740860353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.1685774983822701"/>
    <n v="1.3058657172610001E-2"/>
    <n v="0.14039719449999999"/>
  </r>
  <r>
    <n v="830000"/>
    <n v="2400000"/>
    <n v="2500000"/>
    <x v="0"/>
    <x v="0"/>
    <s v="BR3-5, BR-7"/>
    <s v="62-304.520 (10), F.A.C."/>
    <n v="0.59"/>
    <n v="0.64"/>
    <s v="City of Cocoa Beach"/>
    <n v="0.39789871805797"/>
    <n v="3872.8244133232402"/>
    <n v="8.6924585388354796"/>
    <n v="1.17938469210158"/>
    <n v="3.4587181093747001"/>
    <n v="0.46927565708440999"/>
    <n v="1540.9918693249299"/>
    <n v="1450"/>
    <s v="Tourist Services"/>
    <n v="1450"/>
    <s v="City of Cocoa Beach           Brevard County"/>
    <s v="City of Cocoa Beach"/>
    <m/>
    <m/>
    <m/>
    <n v="0"/>
    <n v="1"/>
    <n v="3.4587181093747001"/>
    <n v="0.46927565708440999"/>
    <n v="2392.48938422182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4.582698332994"/>
    <n v="1610.23898263762"/>
    <n v="1.9403806847"/>
  </r>
  <r>
    <n v="830000"/>
    <n v="2400000"/>
    <n v="2500000"/>
    <x v="0"/>
    <x v="0"/>
    <s v="BR3-5, BR-7"/>
    <s v="62-304.520 (10), F.A.C."/>
    <n v="0.59"/>
    <n v="0.64"/>
    <s v="City of Cocoa Beach"/>
    <n v="0.10650585779368001"/>
    <n v="3803.7520443416802"/>
    <n v="10.0774815754214"/>
    <n v="1.6135838525569699"/>
    <n v="1.0733108195902801"/>
    <n v="0.17185613233861"/>
    <n v="405.12187431708298"/>
    <n v="1300"/>
    <s v="Residential, High Density"/>
    <n v="1300"/>
    <s v="City of Cocoa Beach           Brevard County"/>
    <s v="City of Cocoa Beach"/>
    <m/>
    <m/>
    <m/>
    <n v="0"/>
    <n v="1"/>
    <n v="1.0733108195902801"/>
    <n v="0.17185613233861"/>
    <n v="405.121874317082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5.882547199437"/>
    <n v="431.01391463558298"/>
    <n v="0.328565997"/>
  </r>
  <r>
    <n v="830000"/>
    <n v="2400000"/>
    <n v="2500000"/>
    <x v="0"/>
    <x v="0"/>
    <s v="BR3-5, BR-7"/>
    <s v="62-304.520 (10), F.A.C."/>
    <n v="0.59"/>
    <n v="0.64"/>
    <s v="City of Cocoa Beach"/>
    <n v="0.10052339512352999"/>
    <n v="3803.7520443416802"/>
    <n v="10.0774815754214"/>
    <n v="1.6135838525569699"/>
    <n v="1.0130226622562599"/>
    <n v="0.16220292717554"/>
    <n v="382.366069705325"/>
    <n v="1400"/>
    <s v="Commercial and Services"/>
    <n v="1400"/>
    <s v="City of Cocoa Beach           Brevard County"/>
    <s v="City of Cocoa Beach"/>
    <m/>
    <m/>
    <m/>
    <n v="0"/>
    <n v="1"/>
    <n v="1.0130226622562599"/>
    <n v="0.16220292717554"/>
    <n v="382.36606970532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6.537160536619"/>
    <n v="406.803747157141"/>
    <n v="0.31011035660000003"/>
  </r>
  <r>
    <n v="830000"/>
    <n v="2400000"/>
    <n v="2500000"/>
    <x v="0"/>
    <x v="0"/>
    <s v="BR3-5, BR-7"/>
    <s v="62-304.520 (10), F.A.C."/>
    <n v="0.59"/>
    <n v="0.64"/>
    <s v="City of Cocoa Beach"/>
    <n v="0.12913424140636001"/>
    <n v="3803.7520443416802"/>
    <n v="10.0774815754214"/>
    <n v="1.6135838525569699"/>
    <n v="1.3013479385286899"/>
    <n v="0.20836892674551"/>
    <n v="491.19463474398498"/>
    <n v="1300"/>
    <s v="Residential, High Density"/>
    <n v="1300"/>
    <s v="City of Cocoa Beach           Brevard County"/>
    <s v="City of Cocoa Beach"/>
    <m/>
    <m/>
    <m/>
    <n v="0"/>
    <n v="1"/>
    <n v="1.3013479385286899"/>
    <n v="0.20836892674551"/>
    <n v="491.19463474398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0.611754042021"/>
    <n v="522.58773418711098"/>
    <n v="0.39837358859999999"/>
  </r>
  <r>
    <n v="830000"/>
    <n v="2400000"/>
    <n v="2500000"/>
    <x v="0"/>
    <x v="0"/>
    <s v="BR3-5, BR-7"/>
    <s v="62-304.520 (10), F.A.C."/>
    <n v="0.59"/>
    <n v="0.64"/>
    <s v="City of Cocoa Beach"/>
    <n v="0.28159995945938998"/>
    <n v="3803.7520443416802"/>
    <n v="10.0774815754214"/>
    <n v="1.6135838525569699"/>
    <n v="2.8378184030914499"/>
    <n v="0.45438514746436998"/>
    <n v="1071.1364214801999"/>
    <n v="1450"/>
    <s v="Tourist Services"/>
    <n v="1450"/>
    <s v="City of Cocoa Beach           Brevard County"/>
    <s v="City of Cocoa Beach"/>
    <m/>
    <m/>
    <m/>
    <n v="0"/>
    <n v="1"/>
    <n v="2.8378184030914499"/>
    <n v="0.45438514746436998"/>
    <n v="1071.13642148019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45.73709010668199"/>
    <n v="1139.5946044858199"/>
    <n v="0.8687237806"/>
  </r>
  <r>
    <n v="840000"/>
    <n v="2400000"/>
    <n v="2400000"/>
    <x v="0"/>
    <x v="0"/>
    <s v="BR3-5, BR-7"/>
    <s v="62-304.520 (10), F.A.C."/>
    <n v="0.59"/>
    <n v="0.64"/>
    <s v="City of Cocoa Beach"/>
    <n v="4.8284835071709997E-2"/>
    <n v="3811.3396671840001"/>
    <n v="9.6314439814663295"/>
    <n v="1.34660469972349"/>
    <n v="0.46505268414757001"/>
    <n v="6.502058583294E-2"/>
    <n v="184.02990723226799"/>
    <n v="1300"/>
    <s v="Residential, High Density"/>
    <n v="1300"/>
    <s v="City of Cocoa Beach           Brevard County"/>
    <s v="City of Cocoa Beach"/>
    <m/>
    <m/>
    <m/>
    <n v="0"/>
    <n v="1"/>
    <n v="0.46505268414757001"/>
    <n v="6.502058583294E-2"/>
    <n v="184.02990723226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7.863184764756"/>
    <n v="195.401794914498"/>
    <n v="0.14925377719999999"/>
  </r>
  <r>
    <n v="840000"/>
    <n v="2400000"/>
    <n v="2400000"/>
    <x v="0"/>
    <x v="0"/>
    <s v="BR3-5, BR-7"/>
    <s v="62-304.520 (10), F.A.C."/>
    <n v="0.59"/>
    <n v="0.64"/>
    <s v="City of Cocoa Beach"/>
    <n v="7.5796626507680001E-2"/>
    <n v="3811.3396671840001"/>
    <n v="9.6314439814663295"/>
    <n v="1.34660469972349"/>
    <n v="0.73003096219288999"/>
    <n v="0.10206809347843"/>
    <n v="288.88668924746997"/>
    <n v="1400"/>
    <s v="Commercial and Services"/>
    <n v="1400"/>
    <s v="City of Cocoa Beach           Brevard County"/>
    <s v="City of Cocoa Beach"/>
    <m/>
    <m/>
    <m/>
    <n v="0"/>
    <n v="1"/>
    <n v="0.73003096219288999"/>
    <n v="0.10206809347843"/>
    <n v="716.3179061711159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1.58420799756399"/>
    <n v="306.73806477887803"/>
    <n v="0.58095531730000005"/>
  </r>
  <r>
    <n v="840000"/>
    <n v="2400000"/>
    <n v="2400000"/>
    <x v="0"/>
    <x v="0"/>
    <s v="BR3-5, BR-7"/>
    <s v="62-304.520 (10), F.A.C."/>
    <n v="0.59"/>
    <n v="0.64"/>
    <s v="City of Cocoa Beach"/>
    <n v="1.6394360742499999E-2"/>
    <n v="3811.3396671840001"/>
    <n v="9.6314439814663295"/>
    <n v="1.34660469972349"/>
    <n v="0.15790136710336999"/>
    <n v="2.207672322481E-2"/>
    <n v="62.484477416029698"/>
    <n v="1300"/>
    <s v="Residential, High Density"/>
    <n v="1300"/>
    <s v="City of Cocoa Beach           Brevard County"/>
    <s v="City of Cocoa Beach"/>
    <m/>
    <m/>
    <m/>
    <n v="0"/>
    <n v="1"/>
    <n v="0.15790136710336999"/>
    <n v="2.207672322481E-2"/>
    <n v="62.4844774160307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2.67256190853"/>
    <n v="66.345624061946097"/>
    <n v="5.0676786199999997E-2"/>
  </r>
  <r>
    <n v="840000"/>
    <n v="2400000"/>
    <n v="2400000"/>
    <x v="0"/>
    <x v="0"/>
    <s v="BR3-5, BR-7"/>
    <s v="62-304.520 (10), F.A.C."/>
    <n v="0.59"/>
    <n v="0.64"/>
    <s v="City of Cocoa Beach"/>
    <n v="3.4539459187599999E-3"/>
    <n v="3666.8022040303799"/>
    <n v="9.1449516373431603"/>
    <n v="1.3451366194457399"/>
    <n v="3.1586168385120003E-2"/>
    <n v="4.6460291369100001E-3"/>
    <n v="12.664936507536501"/>
    <n v="1200"/>
    <s v="Residential, Medium Density-Two-five dwellingunits per acre"/>
    <n v="1200"/>
    <s v="City of Cocoa Beach           Brevard County"/>
    <s v="City of Cocoa Beach"/>
    <m/>
    <m/>
    <m/>
    <n v="0"/>
    <n v="1"/>
    <n v="3.1586168385120003E-2"/>
    <n v="4.6460291369100001E-3"/>
    <n v="295.013431585448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3.462285940222998"/>
    <n v="13.9776232239852"/>
    <n v="0.23926474580000001"/>
  </r>
  <r>
    <n v="840000"/>
    <n v="2400000"/>
    <n v="2400000"/>
    <x v="0"/>
    <x v="0"/>
    <s v="BR3-5, BR-7"/>
    <s v="62-304.520 (10), F.A.C."/>
    <n v="0.59"/>
    <n v="0.64"/>
    <s v="City of Cocoa Beach"/>
    <n v="1.7019980260579999E-2"/>
    <n v="3731.9231298561599"/>
    <n v="9.4700604874153598"/>
    <n v="1.6773109885088899"/>
    <n v="0.16118024256238001"/>
    <n v="2.854779991528E-2"/>
    <n v="63.517258004183702"/>
    <n v="1300"/>
    <s v="Residential, High Density"/>
    <n v="1300"/>
    <s v="City of Cocoa Beach           Brevard County"/>
    <s v="City of Cocoa Beach"/>
    <m/>
    <m/>
    <m/>
    <n v="0"/>
    <n v="1"/>
    <n v="0.16118024256238001"/>
    <n v="2.854779991528E-2"/>
    <n v="343.33639414929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0.9034400315157"/>
    <n v="68.877416426680497"/>
    <n v="0.27845611850000002"/>
  </r>
  <r>
    <n v="840000"/>
    <n v="2400000"/>
    <n v="2400000"/>
    <x v="0"/>
    <x v="0"/>
    <s v="BR3-5, BR-7"/>
    <s v="62-304.520 (10), F.A.C."/>
    <n v="0.59"/>
    <n v="0.64"/>
    <s v="City of Cocoa Beach"/>
    <n v="0.20326367069576001"/>
    <n v="3731.9231298561599"/>
    <n v="9.4700604874153598"/>
    <n v="1.6773109885088899"/>
    <n v="1.92491925638295"/>
    <n v="0.34093638842265001"/>
    <n v="758.56439412898499"/>
    <n v="1300"/>
    <s v="Residential, High Density"/>
    <n v="1300"/>
    <s v="City of Cocoa Beach           Brevard County"/>
    <s v="City of Cocoa Beach"/>
    <m/>
    <m/>
    <m/>
    <n v="0"/>
    <n v="1"/>
    <n v="1.92491925638295"/>
    <n v="0.34093638842265001"/>
    <n v="1123.36866353107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7.29388473674901"/>
    <n v="822.578891195746"/>
    <n v="0.91108569630000003"/>
  </r>
  <r>
    <n v="840000"/>
    <n v="2400000"/>
    <n v="2400000"/>
    <x v="0"/>
    <x v="0"/>
    <s v="BR3-5, BR-7"/>
    <s v="62-304.520 (10), F.A.C."/>
    <n v="0.59"/>
    <n v="0.64"/>
    <s v="City of Cocoa Beach"/>
    <n v="9.5947657563649993E-2"/>
    <n v="3688.82269287901"/>
    <n v="10.525515615222901"/>
    <n v="1.9529015761409201"/>
    <n v="1.0098985679302901"/>
    <n v="0.18737633168307999"/>
    <n v="353.93389654938801"/>
    <n v="1300"/>
    <s v="Residential, High Density"/>
    <n v="1300"/>
    <s v="City of Cocoa Beach           Brevard County"/>
    <s v="City of Cocoa Beach"/>
    <m/>
    <m/>
    <m/>
    <n v="0"/>
    <n v="1"/>
    <n v="1.0098985679302901"/>
    <n v="0.18737633168307999"/>
    <n v="782.20577064462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8.495204632274195"/>
    <n v="388.28639422570501"/>
    <n v="0.63439235250000003"/>
  </r>
  <r>
    <n v="840000"/>
    <n v="2400000"/>
    <n v="2400000"/>
    <x v="0"/>
    <x v="0"/>
    <s v="BR3-5, BR-7"/>
    <s v="62-304.520 (10), F.A.C."/>
    <n v="0.59"/>
    <n v="0.64"/>
    <s v="City of Cocoa Beach"/>
    <n v="4.2216600718450001E-2"/>
    <n v="3688.82269287901"/>
    <n v="10.525515615222901"/>
    <n v="1.9529015761409201"/>
    <n v="0.44435149008376001"/>
    <n v="8.2444866082379997E-2"/>
    <n v="155.72955474646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44435149008376001"/>
    <n v="8.2444866082379997E-2"/>
    <n v="504.22716827446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5.024526060299003"/>
    <n v="170.844521749389"/>
    <n v="0.40894336440000001"/>
  </r>
  <r>
    <n v="840000"/>
    <n v="2400000"/>
    <n v="2400000"/>
    <x v="0"/>
    <x v="0"/>
    <s v="BR3-5, BR-7"/>
    <s v="62-304.520 (10), F.A.C."/>
    <n v="0.59"/>
    <n v="0.64"/>
    <s v="City of Cocoa Beach"/>
    <n v="9.2888995204869998E-2"/>
    <n v="3664.1173325240802"/>
    <n v="9.1385963512820201"/>
    <n v="1.3442133882686"/>
    <n v="0.84887503265356001"/>
    <n v="0.12486263097721"/>
    <n v="340.35617733094301"/>
    <n v="1200"/>
    <s v="Residential, Medium Density-Two-five dwellingunits per acre"/>
    <n v="1200"/>
    <s v="City of Cocoa Beach           Brevard County"/>
    <s v="City of Cocoa Beach"/>
    <m/>
    <m/>
    <m/>
    <n v="0"/>
    <n v="1"/>
    <n v="0.84887503265356001"/>
    <n v="0.12486263097721"/>
    <n v="399.68584847866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37960549552299"/>
    <n v="375.908426815148"/>
    <n v="0.32415721689999999"/>
  </r>
  <r>
    <n v="840000"/>
    <n v="2400000"/>
    <n v="2400000"/>
    <x v="0"/>
    <x v="0"/>
    <s v="BR3-5, BR-7"/>
    <s v="62-304.520 (10), F.A.C."/>
    <n v="0.59"/>
    <n v="0.64"/>
    <s v="City of Cocoa Beach"/>
    <n v="6.0490922584600003E-2"/>
    <n v="3664.1173325240802"/>
    <n v="9.1385963512820201"/>
    <n v="1.3442133882686"/>
    <n v="0.55280212441734"/>
    <n v="8.1312708006940002E-2"/>
    <n v="221.64583790262"/>
    <n v="1210"/>
    <s v="Fixed Single Family Units"/>
    <n v="1210"/>
    <s v="City of Cocoa Beach           Brevard County"/>
    <s v="City of Cocoa Beach"/>
    <m/>
    <m/>
    <m/>
    <n v="0"/>
    <n v="1"/>
    <n v="0.55280212441734"/>
    <n v="8.1312708006940002E-2"/>
    <n v="598.77546409358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3.315458347108901"/>
    <n v="244.79807855840599"/>
    <n v="0.4856248695"/>
  </r>
  <r>
    <n v="840000"/>
    <n v="2400000"/>
    <n v="2400000"/>
    <x v="0"/>
    <x v="0"/>
    <s v="BR3-5, BR-7"/>
    <s v="62-304.520 (10), F.A.C."/>
    <n v="0.59"/>
    <n v="0.64"/>
    <s v="City of Cocoa Beach"/>
    <n v="9.2691749198390003E-2"/>
    <n v="3664.1173325240802"/>
    <n v="9.1385963512820201"/>
    <n v="1.3442133882686"/>
    <n v="0.84707248101840005"/>
    <n v="0.12459749025451"/>
    <n v="339.63344481981397"/>
    <n v="1210"/>
    <s v="Fixed Single Family Units"/>
    <n v="1210"/>
    <s v="City of Cocoa Beach           Brevard County"/>
    <s v="City of Cocoa Beach"/>
    <m/>
    <m/>
    <m/>
    <n v="0"/>
    <n v="1"/>
    <n v="0.84707248101840005"/>
    <n v="0.12459749025451"/>
    <n v="858.054785622603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0.7331828076682"/>
    <n v="375.11020054701299"/>
    <n v="0.69590817969999996"/>
  </r>
  <r>
    <n v="840000"/>
    <n v="2400000"/>
    <n v="2400000"/>
    <x v="0"/>
    <x v="0"/>
    <s v="BR3-5, BR-7"/>
    <s v="62-304.520 (10), F.A.C."/>
    <n v="0.59"/>
    <n v="0.64"/>
    <s v="City of Cocoa Beach"/>
    <n v="1.8886991878719998E-2"/>
    <n v="3664.1173325240802"/>
    <n v="9.1385963512820201"/>
    <n v="1.3442133882686"/>
    <n v="0.17260059506962999"/>
    <n v="2.5388147347500001E-2"/>
    <n v="69.204154302088796"/>
    <n v="1210"/>
    <s v="Fixed Single Family Units"/>
    <n v="1210"/>
    <s v="City of Cocoa Beach           Brevard County"/>
    <s v="City of Cocoa Beach"/>
    <m/>
    <m/>
    <m/>
    <n v="0"/>
    <n v="1"/>
    <n v="0.17260059506962999"/>
    <n v="2.5388147347500001E-2"/>
    <n v="213.663075216654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9.965570937179599"/>
    <n v="76.432944384245701"/>
    <n v="0.17328716559999999"/>
  </r>
  <r>
    <n v="840000"/>
    <n v="2400000"/>
    <n v="2400000"/>
    <x v="0"/>
    <x v="0"/>
    <s v="BR3-5, BR-7"/>
    <s v="62-304.520 (10), F.A.C."/>
    <n v="0.59"/>
    <n v="0.64"/>
    <s v="City of Cocoa Beach"/>
    <n v="0.20135543570573999"/>
    <n v="3710.45435828987"/>
    <n v="11.727572462558999"/>
    <n v="2.3820605535641599"/>
    <n v="2.3614104629693098"/>
    <n v="0.47964084064037998"/>
    <n v="747.12015397974903"/>
    <n v="1300"/>
    <s v="Residential, High Density"/>
    <n v="1300"/>
    <s v="City of Cocoa Beach           Brevard County"/>
    <s v="City of Cocoa Beach"/>
    <m/>
    <m/>
    <m/>
    <n v="0"/>
    <n v="1"/>
    <n v="2.3614104629693098"/>
    <n v="0.47964084064037998"/>
    <n v="1112.4874751571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32.24415311384101"/>
    <n v="814.85653817095795"/>
    <n v="0.90226072599999996"/>
  </r>
  <r>
    <n v="840000"/>
    <n v="2400000"/>
    <n v="2400000"/>
    <x v="0"/>
    <x v="0"/>
    <s v="BR3-5, BR-7"/>
    <s v="62-304.520 (10), F.A.C."/>
    <n v="0.59"/>
    <n v="0.64"/>
    <s v="City of Cocoa Beach"/>
    <n v="1.638757258154E-2"/>
    <n v="3710.45435828987"/>
    <n v="11.727572462558999"/>
    <n v="2.3820605535641599"/>
    <n v="0.19218644493546"/>
    <n v="3.903619021515E-2"/>
    <n v="60.805340106970398"/>
    <n v="1300"/>
    <s v="Residential, High Density"/>
    <n v="1300"/>
    <s v="City of Cocoa Beach           Brevard County"/>
    <s v="City of Cocoa Beach"/>
    <m/>
    <m/>
    <m/>
    <n v="0"/>
    <n v="1"/>
    <n v="0.19218644493546"/>
    <n v="3.903619021515E-2"/>
    <n v="60.805340106968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3.694627553410498"/>
    <n v="66.318153349153405"/>
    <n v="4.93149555E-2"/>
  </r>
  <r>
    <n v="840000"/>
    <n v="2400000"/>
    <n v="2400000"/>
    <x v="0"/>
    <x v="0"/>
    <s v="BR3-5, BR-7"/>
    <s v="62-304.520 (10), F.A.C."/>
    <n v="0.59"/>
    <n v="0.64"/>
    <s v="City of Cocoa Beach"/>
    <n v="9.0627262857310001E-2"/>
    <n v="3739.8375652242098"/>
    <n v="8.9203298963218405"/>
    <n v="1.5047971532959199"/>
    <n v="0.80842508228792997"/>
    <n v="0.13637564715868999"/>
    <n v="338.931242067239"/>
    <n v="1300"/>
    <s v="Residential, High Density"/>
    <n v="1300"/>
    <s v="City of Cocoa Beach           Brevard County"/>
    <s v="City of Cocoa Beach"/>
    <m/>
    <m/>
    <m/>
    <n v="0"/>
    <n v="1"/>
    <n v="0.80842508228792997"/>
    <n v="0.13637564715868999"/>
    <n v="677.631426328758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4.690095766456"/>
    <n v="366.755520738661"/>
    <n v="0.54957942120000003"/>
  </r>
  <r>
    <n v="840000"/>
    <n v="2400000"/>
    <n v="2400000"/>
    <x v="0"/>
    <x v="0"/>
    <s v="BR3-5, BR-7"/>
    <s v="62-304.520 (10), F.A.C."/>
    <n v="0.59"/>
    <n v="0.64"/>
    <s v="City of Cocoa Beach"/>
    <n v="8.6000160646750007E-2"/>
    <n v="3739.8375652242098"/>
    <n v="8.9203298963218405"/>
    <n v="1.5047971532959199"/>
    <n v="0.76714980410571998"/>
    <n v="0.12941279692422"/>
    <n v="321.62663140204802"/>
    <n v="1300"/>
    <s v="Residential, High Density"/>
    <n v="1300"/>
    <s v="City of Cocoa Beach           Brevard County"/>
    <s v="City of Cocoa Beach"/>
    <m/>
    <m/>
    <m/>
    <n v="0"/>
    <n v="1"/>
    <n v="0.76714980410571998"/>
    <n v="0.12941279692422"/>
    <n v="321.62663140204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13.93962538133199"/>
    <n v="348.03030244074699"/>
    <n v="0.26084884949999998"/>
  </r>
  <r>
    <n v="840000"/>
    <n v="2400000"/>
    <n v="2400000"/>
    <x v="0"/>
    <x v="0"/>
    <s v="BR3-5, BR-7"/>
    <s v="62-304.520 (10), F.A.C."/>
    <n v="0.59"/>
    <n v="0.64"/>
    <s v="City of Cocoa Beach"/>
    <n v="1.2941057864050001E-2"/>
    <n v="3689.62023253801"/>
    <n v="9.7954920720454393"/>
    <n v="1.6436795223587599"/>
    <n v="0.12676402971121001"/>
    <n v="2.1270951808799999E-2"/>
    <n v="47.747588925655101"/>
    <n v="1200"/>
    <s v="Residential, Medium Density-Two-five dwellingunits per acre"/>
    <n v="1200"/>
    <s v="City of Cocoa Beach           Brevard County"/>
    <s v="City of Cocoa Beach"/>
    <m/>
    <m/>
    <m/>
    <n v="0"/>
    <n v="1"/>
    <n v="0.12676402971121001"/>
    <n v="2.1270951808799999E-2"/>
    <n v="496.026071798394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2.157056977649702"/>
    <n v="52.370603129794297"/>
    <n v="0.402292029"/>
  </r>
  <r>
    <n v="840000"/>
    <n v="2400000"/>
    <n v="2400000"/>
    <x v="0"/>
    <x v="0"/>
    <s v="BR3-5, BR-7"/>
    <s v="62-304.520 (10), F.A.C."/>
    <n v="0.59"/>
    <n v="0.64"/>
    <s v="City of Cocoa Beach"/>
    <n v="2.125098814247E-2"/>
    <n v="3689.62023253801"/>
    <n v="9.7954920720454393"/>
    <n v="1.6436795223587599"/>
    <n v="0.20816388587272999"/>
    <n v="3.492981403967E-2"/>
    <n v="78.408075811897405"/>
    <n v="1300"/>
    <s v="Residential, High Density"/>
    <n v="1300"/>
    <s v="City of Cocoa Beach           Brevard County"/>
    <s v="City of Cocoa Beach"/>
    <m/>
    <m/>
    <m/>
    <n v="0"/>
    <n v="1"/>
    <n v="0.20816388587272999"/>
    <n v="3.492981403967E-2"/>
    <n v="390.38516934199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7.293472733276303"/>
    <n v="85.999697846715307"/>
    <n v="0.3166140871"/>
  </r>
  <r>
    <n v="840000"/>
    <n v="2400000"/>
    <n v="2400000"/>
    <x v="0"/>
    <x v="0"/>
    <s v="BR3-5, BR-7"/>
    <s v="62-304.520 (10), F.A.C."/>
    <n v="0.59"/>
    <n v="0.64"/>
    <s v="City of Cocoa Beach"/>
    <n v="0.15624715359003"/>
    <n v="3753.8553054603399"/>
    <n v="11.5377905628033"/>
    <n v="1.5232391878345699"/>
    <n v="1.8027469341559601"/>
    <n v="0.23800178733593999"/>
    <n v="586.52920646702296"/>
    <n v="1400"/>
    <s v="Commercial and Services"/>
    <n v="1400"/>
    <s v="City of Cocoa Beach           Brevard County"/>
    <s v="City of Cocoa Beach"/>
    <m/>
    <m/>
    <m/>
    <n v="0"/>
    <n v="1"/>
    <n v="1.8027469341559601"/>
    <n v="0.23800178733593999"/>
    <n v="1002.3064134468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5.823684236551"/>
    <n v="632.30979698754197"/>
    <n v="0.81290057859999998"/>
  </r>
  <r>
    <n v="840000"/>
    <n v="2400000"/>
    <n v="2400000"/>
    <x v="0"/>
    <x v="0"/>
    <s v="BR3-5, BR-7"/>
    <s v="62-304.520 (10), F.A.C."/>
    <n v="0.59"/>
    <n v="0.64"/>
    <s v="City of Cocoa Beach"/>
    <n v="3.5591676085579997E-2"/>
    <n v="3688.82269287901"/>
    <n v="10.525515615222901"/>
    <n v="1.9529015761409201"/>
    <n v="0.37462074241078003"/>
    <n v="6.9507040325029995E-2"/>
    <n v="131.29138242210499"/>
    <n v="1300"/>
    <s v="Residential, High Density"/>
    <n v="1300"/>
    <s v="City of Cocoa Beach           Brevard County"/>
    <s v="City of Cocoa Beach"/>
    <m/>
    <m/>
    <m/>
    <n v="0"/>
    <n v="1"/>
    <n v="0.37462074241078003"/>
    <n v="6.9507040325029995E-2"/>
    <n v="131.29138242210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1.975546266892195"/>
    <n v="144.034402950931"/>
    <n v="0.106481251"/>
  </r>
  <r>
    <n v="840000"/>
    <n v="2400000"/>
    <n v="2400000"/>
    <x v="0"/>
    <x v="0"/>
    <s v="BR3-5, BR-7"/>
    <s v="62-304.520 (10), F.A.C."/>
    <n v="0.59"/>
    <n v="0.64"/>
    <s v="City of Cocoa Beach"/>
    <n v="3.0692264585060001E-2"/>
    <n v="3688.82269287901"/>
    <n v="10.525515615222901"/>
    <n v="1.9529015761409201"/>
    <n v="0.32305191015666002"/>
    <n v="5.9938971883510002E-2"/>
    <n v="113.218322097238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32305191015666002"/>
    <n v="5.9938971883510002E-2"/>
    <n v="113.21832209723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0.699842473026798"/>
    <n v="124.207188054076"/>
    <n v="9.18234567E-2"/>
  </r>
  <r>
    <n v="840000"/>
    <n v="2400000"/>
    <n v="2400000"/>
    <x v="0"/>
    <x v="0"/>
    <s v="BR3-5, BR-7"/>
    <s v="62-304.520 (10), F.A.C."/>
    <n v="0.59"/>
    <n v="0.64"/>
    <s v="City of Cocoa Beach"/>
    <n v="7.59218242267E-3"/>
    <n v="3738.3085289572"/>
    <n v="11.492024991659701"/>
    <n v="1.51717715032534"/>
    <n v="8.7249550142649998E-2"/>
    <n v="1.1518685692780001E-2"/>
    <n v="28.381920304096099"/>
    <n v="1400"/>
    <s v="Commercial and Services"/>
    <n v="1400"/>
    <s v="City of Cocoa Beach           Brevard County"/>
    <s v="City of Cocoa Beach"/>
    <m/>
    <m/>
    <m/>
    <n v="0"/>
    <n v="1"/>
    <n v="8.7249550142649998E-2"/>
    <n v="1.1518685692780001E-2"/>
    <n v="560.755665250940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0.685718570298306"/>
    <n v="30.7244721972476"/>
    <n v="0.45478967170000001"/>
  </r>
  <r>
    <n v="840000"/>
    <n v="2400000"/>
    <n v="2400000"/>
    <x v="0"/>
    <x v="0"/>
    <s v="BR3-5, BR-7"/>
    <s v="62-304.520 (10), F.A.C."/>
    <n v="0.59"/>
    <n v="0.64"/>
    <s v="City of Cocoa Beach"/>
    <n v="1.320627093057E-2"/>
    <n v="3695.1423574092"/>
    <n v="9.8302641178760695"/>
    <n v="1.5843568761889899"/>
    <n v="0.12982113125976999"/>
    <n v="2.092344615767E-2"/>
    <n v="48.799051098985899"/>
    <n v="1200"/>
    <s v="Residential, Medium Density-Two-five dwellingunits per acre"/>
    <n v="1200"/>
    <s v="City of Cocoa Beach           Brevard County"/>
    <s v="City of Cocoa Beach"/>
    <m/>
    <m/>
    <m/>
    <n v="0"/>
    <n v="1"/>
    <n v="0.12982113125976999"/>
    <n v="2.092344615767E-2"/>
    <n v="659.8195013372810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7.321826020720806"/>
    <n v="53.443882331346799"/>
    <n v="0.53513341550000004"/>
  </r>
  <r>
    <n v="840000"/>
    <n v="2400000"/>
    <n v="2400000"/>
    <x v="0"/>
    <x v="0"/>
    <s v="BR3-5, BR-7"/>
    <s v="62-304.520 (10), F.A.C."/>
    <n v="0.59"/>
    <n v="0.64"/>
    <s v="City of Cocoa Beach"/>
    <n v="1.3795391887499999E-2"/>
    <n v="3695.1423574092"/>
    <n v="9.8302641178760695"/>
    <n v="1.5843568761889899"/>
    <n v="0.1356123458638"/>
    <n v="2.1856823996689999E-2"/>
    <n v="50.975936900590099"/>
    <n v="1400"/>
    <s v="Commercial and Services"/>
    <n v="1400"/>
    <s v="City of Cocoa Beach           Brevard County"/>
    <s v="City of Cocoa Beach"/>
    <m/>
    <m/>
    <m/>
    <n v="0"/>
    <n v="1"/>
    <n v="0.1356123458638"/>
    <n v="2.1856823996689999E-2"/>
    <n v="115.8618793537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3.915805044482603"/>
    <n v="55.827970259488097"/>
    <n v="9.3967461000000002E-2"/>
  </r>
  <r>
    <n v="840000"/>
    <n v="2400000"/>
    <n v="2400000"/>
    <x v="0"/>
    <x v="0"/>
    <s v="BR3-5, BR-7"/>
    <s v="62-304.520 (10), F.A.C."/>
    <n v="0.59"/>
    <n v="0.64"/>
    <s v="City of Cocoa Beach"/>
    <n v="0.11285583801825"/>
    <n v="3695.1423574092"/>
    <n v="9.8302641178760695"/>
    <n v="1.5843568761889899"/>
    <n v="1.1094026949636799"/>
    <n v="0.17880392298229"/>
    <n v="417.01838734216602"/>
    <n v="1300"/>
    <s v="Residential, High Density"/>
    <n v="1300"/>
    <s v="City of Cocoa Beach           Brevard County"/>
    <s v="City of Cocoa Beach"/>
    <m/>
    <m/>
    <m/>
    <n v="0"/>
    <n v="1"/>
    <n v="1.1094026949636799"/>
    <n v="0.17880392298229"/>
    <n v="458.857185362344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05.062587827632"/>
    <n v="456.71137288951002"/>
    <n v="0.37214694679999999"/>
  </r>
  <r>
    <n v="840000"/>
    <n v="2400000"/>
    <n v="2400000"/>
    <x v="0"/>
    <x v="0"/>
    <s v="BR3-5, BR-7"/>
    <s v="62-304.520 (10), F.A.C."/>
    <n v="0.59"/>
    <n v="0.64"/>
    <s v="City of Cocoa Beach"/>
    <n v="5.1396528467999997E-4"/>
    <n v="3748.94196293717"/>
    <n v="8.1826313582309407"/>
    <n v="1.2738035181559"/>
    <n v="4.2055884554899996E-3"/>
    <n v="6.5469078784000003E-4"/>
    <n v="1.92682602324479"/>
    <n v="1300"/>
    <s v="Residential, High Density"/>
    <n v="1300"/>
    <s v="City of Cocoa Beach           Brevard County"/>
    <s v="City of Cocoa Beach"/>
    <m/>
    <m/>
    <m/>
    <n v="0"/>
    <n v="1"/>
    <n v="4.2055884554899996E-3"/>
    <n v="6.5469078784000003E-4"/>
    <n v="2315.95933393442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.9776346405004501"/>
    <n v="2.07994371321506"/>
    <n v="1.8783125173999999"/>
  </r>
  <r>
    <n v="840000"/>
    <n v="2400000"/>
    <n v="2400000"/>
    <x v="0"/>
    <x v="0"/>
    <s v="BR3-5, BR-7"/>
    <s v="62-304.520 (10), F.A.C."/>
    <n v="0.59"/>
    <n v="0.64"/>
    <s v="City of Cocoa Beach"/>
    <n v="0.15439543388995"/>
    <n v="3753.14035942999"/>
    <n v="11.5356646709798"/>
    <n v="1.5229578154493"/>
    <n v="1.78105395208495"/>
    <n v="0.23513773271239"/>
    <n v="579.46773424409503"/>
    <n v="1400"/>
    <s v="Commercial and Services"/>
    <n v="1400"/>
    <s v="City of Cocoa Beach           Brevard County"/>
    <s v="City of Cocoa Beach"/>
    <m/>
    <m/>
    <m/>
    <n v="0"/>
    <n v="1"/>
    <n v="1.78105395208495"/>
    <n v="0.23513773271239"/>
    <n v="1076.79104673266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5.515647045986"/>
    <n v="624.81615322679897"/>
    <n v="0.87330985139999995"/>
  </r>
  <r>
    <n v="840000"/>
    <n v="2400000"/>
    <n v="2400000"/>
    <x v="0"/>
    <x v="0"/>
    <s v="BR3-5, BR-7"/>
    <s v="62-304.520 (10), F.A.C."/>
    <n v="0.59"/>
    <n v="0.64"/>
    <s v="City of Cocoa Beach"/>
    <n v="0.16398396721670999"/>
    <n v="3736.76290362911"/>
    <n v="11.9252598337842"/>
    <n v="1.5700371911879001"/>
    <n v="1.9555514176341"/>
    <n v="0.25746092728878001"/>
    <n v="612.769205485361"/>
    <n v="1400"/>
    <s v="Commercial and Services"/>
    <n v="1400"/>
    <s v="City of Cocoa Beach           Brevard County"/>
    <s v="City of Cocoa Beach"/>
    <m/>
    <m/>
    <m/>
    <n v="0"/>
    <n v="1"/>
    <n v="1.9555514176341"/>
    <n v="0.25746092728878001"/>
    <n v="627.23691749059606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5.628056100105"/>
    <n v="663.61957090160104"/>
    <n v="0.50870796230000004"/>
  </r>
  <r>
    <n v="840000"/>
    <n v="2400000"/>
    <n v="2400000"/>
    <x v="0"/>
    <x v="0"/>
    <s v="BR3-5, BR-7"/>
    <s v="62-304.520 (10), F.A.C."/>
    <n v="0.59"/>
    <n v="0.64"/>
    <s v="City of Cocoa Beach"/>
    <n v="0.16407514312071"/>
    <n v="3740.2262049943702"/>
    <n v="11.845312331822999"/>
    <n v="1.5603793125162699"/>
    <n v="1.9435213161534599"/>
    <n v="0.25601945902370998"/>
    <n v="613.67814988830798"/>
    <n v="1400"/>
    <s v="Commercial and Services"/>
    <n v="1400"/>
    <s v="City of Cocoa Beach           Brevard County"/>
    <s v="City of Cocoa Beach"/>
    <m/>
    <m/>
    <m/>
    <n v="0"/>
    <n v="1"/>
    <n v="1.9435213161534599"/>
    <n v="0.25601945902370998"/>
    <n v="817.09035543151094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26.99614360077"/>
    <n v="663.98854669427305"/>
    <n v="0.66268479759999999"/>
  </r>
  <r>
    <n v="840000"/>
    <n v="2400000"/>
    <n v="2400000"/>
    <x v="0"/>
    <x v="0"/>
    <s v="BR3-5, BR-7"/>
    <s v="62-304.520 (10), F.A.C."/>
    <n v="0.59"/>
    <n v="0.64"/>
    <s v="City of Cocoa Beach"/>
    <n v="2.0092216060219999E-2"/>
    <n v="3695.6535633538101"/>
    <n v="9.4867124968976295"/>
    <n v="1.25624546124614"/>
    <n v="0.19060907718886999"/>
    <n v="2.524075523203E-2"/>
    <n v="74.253869878634205"/>
    <n v="1400"/>
    <s v="Commercial and Services"/>
    <n v="1400"/>
    <s v="City of Cocoa Beach           Brevard County"/>
    <s v="City of Cocoa Beach"/>
    <m/>
    <m/>
    <m/>
    <n v="0"/>
    <n v="1"/>
    <n v="0.19060907718886999"/>
    <n v="2.524075523203E-2"/>
    <n v="439.603387092636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6.140547049986999"/>
    <n v="81.310313603559607"/>
    <n v="0.35653153859999998"/>
  </r>
  <r>
    <n v="840000"/>
    <n v="2400000"/>
    <n v="2400000"/>
    <x v="0"/>
    <x v="0"/>
    <s v="BR3-5, BR-7"/>
    <s v="62-304.520 (10), F.A.C."/>
    <n v="0.59"/>
    <n v="0.64"/>
    <s v="City of Cocoa Beach"/>
    <n v="5.3888972712840003E-2"/>
    <n v="3695.6535633538101"/>
    <n v="9.4867124968976295"/>
    <n v="1.25624546124614"/>
    <n v="0.51122919087991003"/>
    <n v="6.7697777381720003E-2"/>
    <n v="199.154974031698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51122919087991003"/>
    <n v="6.7697777381720003E-2"/>
    <n v="690.740453353354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6.794303383454903"/>
    <n v="218.08093531951101"/>
    <n v="0.56021123549999996"/>
  </r>
  <r>
    <n v="840000"/>
    <n v="2400000"/>
    <n v="2400000"/>
    <x v="0"/>
    <x v="0"/>
    <s v="BR3-5, BR-7"/>
    <s v="62-304.520 (10), F.A.C."/>
    <n v="0.59"/>
    <n v="0.64"/>
    <s v="City of Cocoa Beach"/>
    <n v="2.312607436081E-2"/>
    <n v="3682.0525930429599"/>
    <n v="9.6478322220914201"/>
    <n v="1.57785830965503"/>
    <n v="0.22311648538876"/>
    <n v="3.648966859991E-2"/>
    <n v="85.151422067146896"/>
    <n v="1200"/>
    <s v="Residential, Medium Density-Two-five dwellingunits per acre"/>
    <n v="1200"/>
    <s v="City of Cocoa Beach           Brevard County"/>
    <s v="City of Cocoa Beach"/>
    <m/>
    <m/>
    <m/>
    <n v="0"/>
    <n v="1"/>
    <n v="0.22311648538876"/>
    <n v="3.648966859991E-2"/>
    <n v="480.9836129544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4.850180848407597"/>
    <n v="93.587902551969094"/>
    <n v="0.39009214349999999"/>
  </r>
  <r>
    <n v="840000"/>
    <n v="2400000"/>
    <n v="2400000"/>
    <x v="0"/>
    <x v="0"/>
    <s v="BR3-5, BR-7"/>
    <s v="62-304.520 (10), F.A.C."/>
    <n v="0.59"/>
    <n v="0.64"/>
    <s v="City of Cocoa Beach"/>
    <n v="1.35218264049E-2"/>
    <n v="3682.0525930429599"/>
    <n v="9.6478322220914201"/>
    <n v="1.57785830965503"/>
    <n v="0.13045631249072001"/>
    <n v="2.1335526154679998E-2"/>
    <n v="49.788075976838797"/>
    <n v="1300"/>
    <s v="Residential, High Density"/>
    <n v="1300"/>
    <s v="City of Cocoa Beach           Brevard County"/>
    <s v="City of Cocoa Beach"/>
    <m/>
    <m/>
    <m/>
    <n v="0"/>
    <n v="1"/>
    <n v="0.13045631249072001"/>
    <n v="2.1335526154679998E-2"/>
    <n v="392.014533045687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9.845498949515498"/>
    <n v="54.720890029245901"/>
    <n v="0.3179355499"/>
  </r>
  <r>
    <n v="840000"/>
    <n v="2400000"/>
    <n v="2400000"/>
    <x v="0"/>
    <x v="0"/>
    <s v="BR3-5, BR-7"/>
    <s v="62-304.520 (10), F.A.C."/>
    <n v="0.59"/>
    <n v="0.64"/>
    <s v="City of Cocoa Beach"/>
    <n v="6.2589723337399998E-3"/>
    <n v="3682.0525930429599"/>
    <n v="9.6478322220914201"/>
    <n v="1.57785830965503"/>
    <n v="6.0385514958630003E-2"/>
    <n v="9.8757715066899992E-3"/>
    <n v="23.045865311231498"/>
    <n v="1210"/>
    <s v="Fixed Single Family Units"/>
    <n v="1210"/>
    <s v="City of Cocoa Beach           Brevard County"/>
    <s v="City of Cocoa Beach"/>
    <m/>
    <m/>
    <m/>
    <n v="0"/>
    <n v="1"/>
    <n v="6.0385514958630003E-2"/>
    <n v="9.8757715066899992E-3"/>
    <n v="260.546769706203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2.740521306544199"/>
    <n v="25.329162386420101"/>
    <n v="0.21131124870000001"/>
  </r>
  <r>
    <n v="840000"/>
    <n v="2400000"/>
    <n v="2400000"/>
    <x v="0"/>
    <x v="0"/>
    <s v="BR3-5, BR-7"/>
    <s v="62-304.520 (10), F.A.C."/>
    <n v="0.59"/>
    <n v="0.64"/>
    <s v="City of Cocoa Beach"/>
    <n v="0.47697198181035999"/>
    <n v="3748.94196293717"/>
    <n v="8.1826313582309407"/>
    <n v="1.2738035181559"/>
    <n v="3.9028858953590602"/>
    <n v="0.60756858849183004"/>
    <n v="1788.14027775419"/>
    <n v="1300"/>
    <s v="Residential, High Density"/>
    <n v="1300"/>
    <s v="City of Cocoa Beach           Brevard County"/>
    <s v="City of Cocoa Beach"/>
    <m/>
    <m/>
    <m/>
    <n v="0"/>
    <n v="1"/>
    <n v="3.9028858953590602"/>
    <n v="0.60756858849183004"/>
    <n v="2315.95933445206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92.315805630943"/>
    <n v="1930.23712789414"/>
    <n v="1.8783125178"/>
  </r>
  <r>
    <n v="840000"/>
    <n v="2400000"/>
    <n v="2400000"/>
    <x v="0"/>
    <x v="0"/>
    <s v="BR3-5, BR-7"/>
    <s v="62-304.520 (10), F.A.C."/>
    <n v="0.59"/>
    <n v="0.64"/>
    <s v="City of Cocoa Beach"/>
    <n v="1.366980853824E-2"/>
    <n v="3744.6331390922501"/>
    <n v="11.747704000972"/>
    <n v="1.5485933910671199"/>
    <n v="0.16058886445720999"/>
    <n v="2.1168975159469999E-2"/>
    <n v="51.188418057343497"/>
    <n v="1400"/>
    <s v="Commercial and Services"/>
    <n v="1400"/>
    <s v="City of Cocoa Beach           Brevard County"/>
    <s v="City of Cocoa Beach"/>
    <m/>
    <m/>
    <m/>
    <n v="0"/>
    <n v="1"/>
    <n v="0.16058886445720999"/>
    <n v="2.1168975159469999E-2"/>
    <n v="665.06723816995202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8.831913707072502"/>
    <n v="55.319752475959703"/>
    <n v="0.53938948760000005"/>
  </r>
  <r>
    <n v="840000"/>
    <n v="2400000"/>
    <n v="2400000"/>
    <x v="0"/>
    <x v="0"/>
    <s v="BR3-5, BR-7"/>
    <s v="62-304.520 (10), F.A.C."/>
    <n v="0.59"/>
    <n v="0.64"/>
    <s v="City of Cocoa Beach"/>
    <n v="3.4500035311010001E-2"/>
    <n v="3713.4391479556798"/>
    <n v="11.736175122556901"/>
    <n v="2.3837198730832498"/>
    <n v="0.40489845614443998"/>
    <n v="8.2238419792930006E-2"/>
    <n v="128.11378172976899"/>
    <n v="1300"/>
    <s v="Residential, High Density"/>
    <n v="1300"/>
    <s v="City of Cocoa Beach           Brevard County"/>
    <s v="City of Cocoa Beach"/>
    <m/>
    <m/>
    <m/>
    <n v="0"/>
    <n v="1"/>
    <n v="0.40489845614443998"/>
    <n v="8.2238419792930006E-2"/>
    <n v="1347.33503346601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1.780747216135801"/>
    <n v="139.616689471397"/>
    <n v="1.0927291430999999"/>
  </r>
  <r>
    <n v="840000"/>
    <n v="2400000"/>
    <n v="2400000"/>
    <x v="0"/>
    <x v="0"/>
    <s v="BR3-5, BR-7"/>
    <s v="62-304.520 (10), F.A.C."/>
    <n v="0.59"/>
    <n v="0.64"/>
    <s v="City of Cocoa Beach"/>
    <n v="4.8840090039759997E-2"/>
    <n v="3695.6535633538101"/>
    <n v="9.4867124968976295"/>
    <n v="1.25624546124614"/>
    <n v="0.46333189252987"/>
    <n v="6.135514143931E-2"/>
    <n v="180.49605278998899"/>
    <n v="1400"/>
    <s v="Commercial and Services"/>
    <n v="1400"/>
    <s v="City of Cocoa Beach           Brevard County"/>
    <s v="City of Cocoa Beach"/>
    <m/>
    <m/>
    <m/>
    <n v="0"/>
    <n v="1"/>
    <n v="0.46333189252987"/>
    <n v="6.135514143931E-2"/>
    <n v="180.496052789988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58.305512118590499"/>
    <n v="197.64883204802899"/>
    <n v="0.14638771519999999"/>
  </r>
  <r>
    <n v="840000"/>
    <n v="2400000"/>
    <n v="2400000"/>
    <x v="0"/>
    <x v="0"/>
    <s v="BR3-5, BR-7"/>
    <s v="62-304.520 (10), F.A.C."/>
    <n v="0.59"/>
    <n v="0.64"/>
    <s v="City of Cocoa Beach"/>
    <n v="6.8325520820559996E-2"/>
    <n v="3695.6535633538101"/>
    <n v="9.4867124968976295"/>
    <n v="1.25624546124614"/>
    <n v="0.64818457222547998"/>
    <n v="8.5833625418110002E-2"/>
    <n v="252.507454488522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64818457222547998"/>
    <n v="8.5833625418110002E-2"/>
    <n v="252.50745448852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80.946514413193697"/>
    <n v="276.50357274652401"/>
    <n v="0.20479112290000001"/>
  </r>
  <r>
    <n v="840000"/>
    <n v="2400000"/>
    <n v="2400000"/>
    <x v="0"/>
    <x v="0"/>
    <s v="BR3-5, BR-7"/>
    <s v="62-304.520 (10), F.A.C."/>
    <n v="0.59"/>
    <n v="0.64"/>
    <s v="City of Cocoa Beach"/>
    <n v="6.5208599764199999E-3"/>
    <n v="3739.83763285445"/>
    <n v="8.9203248769158208"/>
    <n v="1.5047955796805801"/>
    <n v="5.8168189466599997E-2"/>
    <n v="9.8125612682400006E-3"/>
    <n v="24.386957538415999"/>
    <n v="1300"/>
    <s v="Residential, High Density"/>
    <n v="1300"/>
    <s v="City of Cocoa Beach           Brevard County"/>
    <s v="City of Cocoa Beach"/>
    <m/>
    <m/>
    <m/>
    <n v="0"/>
    <n v="1"/>
    <n v="5.8168189466599997E-2"/>
    <n v="9.8125612682400006E-3"/>
    <n v="677.63156387359697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1.3804426851448"/>
    <n v="26.388984075173301"/>
    <n v="0.54957953270000004"/>
  </r>
  <r>
    <n v="840000"/>
    <n v="2400000"/>
    <n v="2400000"/>
    <x v="0"/>
    <x v="0"/>
    <s v="BR3-5, BR-7"/>
    <s v="62-304.520 (10), F.A.C."/>
    <n v="0.59"/>
    <n v="0.64"/>
    <s v="City of Cocoa Beach"/>
    <n v="7.4061740328199999E-3"/>
    <n v="3739.83763285445"/>
    <n v="8.9203248769158208"/>
    <n v="1.5047955796805801"/>
    <n v="6.6065478467759994E-2"/>
    <n v="1.1144777946929999E-2"/>
    <n v="27.6978883634246"/>
    <n v="1300"/>
    <s v="Residential, High Density"/>
    <n v="1300"/>
    <s v="City of Cocoa Beach           Brevard County"/>
    <s v="City of Cocoa Beach"/>
    <m/>
    <m/>
    <m/>
    <n v="0"/>
    <n v="1"/>
    <n v="6.6065478467759994E-2"/>
    <n v="1.1144777946929999E-2"/>
    <n v="384.332847911232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22.4281222532159"/>
    <n v="29.971722950144802"/>
    <n v="0.31170547279999999"/>
  </r>
  <r>
    <n v="840000"/>
    <n v="2400000"/>
    <n v="2400000"/>
    <x v="0"/>
    <x v="0"/>
    <s v="BR3-5, BR-7"/>
    <s v="62-304.520 (10), F.A.C."/>
    <n v="0.59"/>
    <n v="0.64"/>
    <s v="City of Cocoa Beach"/>
    <n v="8.2443682049959999E-2"/>
    <n v="3664.1173325240802"/>
    <n v="9.1385963512820094"/>
    <n v="1.3442133882686"/>
    <n v="0.75341953196806999"/>
    <n v="0.11082190118972"/>
    <n v="302.08332435638499"/>
    <n v="1200"/>
    <s v="Residential, Medium Density-Two-five dwellingunits per acre"/>
    <n v="1200"/>
    <s v="City of Cocoa Beach           Brevard County"/>
    <s v="City of Cocoa Beach"/>
    <m/>
    <m/>
    <m/>
    <n v="0"/>
    <n v="1"/>
    <n v="0.75341953196806999"/>
    <n v="0.11082190118972"/>
    <n v="643.083925711644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99.767578842082997"/>
    <n v="333.637744190207"/>
    <n v="0.52156036149999996"/>
  </r>
  <r>
    <n v="840000"/>
    <n v="2400000"/>
    <n v="2400000"/>
    <x v="0"/>
    <x v="0"/>
    <s v="BR3-5, BR-7"/>
    <s v="62-304.520 (10), F.A.C."/>
    <n v="0.59"/>
    <n v="0.64"/>
    <s v="City of Cocoa Beach"/>
    <n v="7.5394695790259994E-2"/>
    <n v="3664.1173325240802"/>
    <n v="9.1385963512820094"/>
    <n v="1.3442133882686"/>
    <n v="0.68900169185496996"/>
    <n v="0.10134655948571"/>
    <n v="276.25501162550501"/>
    <n v="1210"/>
    <s v="Fixed Single Family Units"/>
    <n v="1210"/>
    <s v="City of Cocoa Beach           Brevard County"/>
    <s v="City of Cocoa Beach"/>
    <m/>
    <m/>
    <m/>
    <n v="0"/>
    <n v="1"/>
    <n v="0.68900169185496996"/>
    <n v="0.10134655948571"/>
    <n v="642.70301012968798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0.968079190187495"/>
    <n v="305.11150887374299"/>
    <n v="0.52125142749999998"/>
  </r>
  <r>
    <n v="840000"/>
    <n v="2400000"/>
    <n v="2400000"/>
    <x v="0"/>
    <x v="0"/>
    <s v="BR3-5, BR-7"/>
    <s v="62-304.520 (10), F.A.C."/>
    <n v="0.59"/>
    <n v="0.64"/>
    <s v="City of Cocoa Beach"/>
    <n v="7.2806224279639994E-2"/>
    <n v="3664.1173325240802"/>
    <n v="9.1385963512820094"/>
    <n v="1.3442133882686"/>
    <n v="0.66534669555259995"/>
    <n v="9.7867101425979999E-2"/>
    <n v="266.77054829869002"/>
    <n v="1210"/>
    <s v="Fixed Single Family Units"/>
    <n v="1210"/>
    <s v="City of Cocoa Beach           Brevard County"/>
    <s v="City of Cocoa Beach"/>
    <m/>
    <m/>
    <m/>
    <n v="0"/>
    <n v="1"/>
    <n v="0.66534669555259995"/>
    <n v="9.7867101425979999E-2"/>
    <n v="807.26936508725203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9.640715018243995"/>
    <n v="294.63633631678601"/>
    <n v="0.6547196797"/>
  </r>
  <r>
    <n v="840000"/>
    <n v="2400000"/>
    <n v="2400000"/>
    <x v="0"/>
    <x v="0"/>
    <s v="BR3-5, BR-7"/>
    <s v="62-304.520 (10), F.A.C."/>
    <n v="0.59"/>
    <n v="0.64"/>
    <s v="City of Cocoa Beach"/>
    <n v="2.5879604875090001E-2"/>
    <n v="3771.92855647738"/>
    <n v="10.655683445123801"/>
    <n v="1.5077989625736601"/>
    <n v="0.27576487723392001"/>
    <n v="3.9021241382479997E-2"/>
    <n v="97.616020658733405"/>
    <n v="1300"/>
    <s v="Residential, High Density"/>
    <n v="1300"/>
    <s v="City of Cocoa Beach           Brevard County"/>
    <s v="City of Cocoa Beach"/>
    <m/>
    <m/>
    <m/>
    <n v="0"/>
    <n v="1"/>
    <n v="0.27576487723392001"/>
    <n v="3.9021241382479997E-2"/>
    <n v="328.55937015040399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64.650931612560001"/>
    <n v="104.731045197966"/>
    <n v="0.26647150860000002"/>
  </r>
  <r>
    <n v="840000"/>
    <n v="2400000"/>
    <n v="2400000"/>
    <x v="0"/>
    <x v="0"/>
    <s v="BR3-5, BR-7"/>
    <s v="62-304.520 (10), F.A.C."/>
    <n v="0.59"/>
    <n v="0.64"/>
    <s v="City of Cocoa Beach"/>
    <n v="5.0305932643620002E-2"/>
    <n v="3771.92855647738"/>
    <n v="10.655683445123801"/>
    <n v="1.5077989625736601"/>
    <n v="0.53604409366215"/>
    <n v="7.5851233051349998E-2"/>
    <n v="189.75038389870099"/>
    <n v="1400"/>
    <s v="Commercial and Services"/>
    <n v="1400"/>
    <s v="City of Cocoa Beach           Brevard County"/>
    <s v="City of Cocoa Beach"/>
    <m/>
    <m/>
    <m/>
    <n v="0"/>
    <n v="1"/>
    <n v="0.53604409366215"/>
    <n v="7.5851233051349998E-2"/>
    <n v="1408.7371366738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70.696124740821105"/>
    <n v="203.58088660365999"/>
    <n v="1.1425280914"/>
  </r>
  <r>
    <n v="840000"/>
    <n v="2400000"/>
    <n v="2400000"/>
    <x v="0"/>
    <x v="0"/>
    <s v="BR3-5, BR-7"/>
    <s v="62-304.520 (10), F.A.C."/>
    <n v="0.59"/>
    <n v="0.64"/>
    <s v="City of Cocoa Beach"/>
    <n v="1.8624656603399999E-3"/>
    <n v="3771.92855647738"/>
    <n v="10.655683445123801"/>
    <n v="1.5077989625736601"/>
    <n v="1.984584450406E-2"/>
    <n v="2.8082237904900002E-3"/>
    <n v="7.0250874097175799"/>
    <n v="1300"/>
    <s v="Residential, High Density"/>
    <n v="1300"/>
    <s v="City of Cocoa Beach           Brevard County"/>
    <s v="City of Cocoa Beach"/>
    <m/>
    <m/>
    <m/>
    <n v="0"/>
    <n v="1"/>
    <n v="1.984584450406E-2"/>
    <n v="2.8082237904900002E-3"/>
    <n v="7.02508740971800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7.5798637872916"/>
    <n v="7.5371311190710903"/>
    <n v="5.6975567000000001E-3"/>
  </r>
  <r>
    <n v="840000"/>
    <n v="2400000"/>
    <n v="2400000"/>
    <x v="0"/>
    <x v="0"/>
    <s v="BR3-5, BR-7"/>
    <s v="62-304.520 (10), F.A.C."/>
    <n v="0.59"/>
    <n v="0.64"/>
    <s v="City of Cocoa Beach"/>
    <n v="1.8729161964489999E-2"/>
    <n v="3764.4729522903599"/>
    <n v="10.8097988027918"/>
    <n v="1.50576525601291"/>
    <n v="0.20245847258103"/>
    <n v="2.8201721360360001E-2"/>
    <n v="70.505423634387896"/>
    <n v="1300"/>
    <s v="Residential, High Density"/>
    <n v="1300"/>
    <s v="City of Cocoa Beach           Brevard County"/>
    <s v="City of Cocoa Beach"/>
    <m/>
    <m/>
    <m/>
    <n v="0"/>
    <n v="1"/>
    <n v="0.20245847258103"/>
    <n v="2.8201721360360001E-2"/>
    <n v="238.6338194882910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40.9097080945768"/>
    <n v="75.7942293821649"/>
    <n v="0.1935391886"/>
  </r>
  <r>
    <n v="840000"/>
    <n v="2400000"/>
    <n v="2400000"/>
    <x v="0"/>
    <x v="0"/>
    <s v="BR3-5, BR-7"/>
    <s v="62-304.520 (10), F.A.C."/>
    <n v="0.59"/>
    <n v="0.64"/>
    <s v="City of Cocoa Beach"/>
    <n v="8.5051614008100004E-3"/>
    <n v="3764.4729522903599"/>
    <n v="10.8097988027918"/>
    <n v="1.50576525601291"/>
    <n v="9.193908352803E-2"/>
    <n v="1.2806776534120001E-2"/>
    <n v="32.017450048217"/>
    <n v="1400"/>
    <s v="Commercial and Services"/>
    <n v="1400"/>
    <s v="City of Cocoa Beach           Brevard County"/>
    <s v="City of Cocoa Beach"/>
    <m/>
    <m/>
    <m/>
    <n v="0"/>
    <n v="1"/>
    <n v="9.193908352803E-2"/>
    <n v="1.2806776534120001E-2"/>
    <n v="684.80318894117795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33.053576118991998"/>
    <n v="34.419167038418699"/>
    <n v="0.55539593590000003"/>
  </r>
  <r>
    <n v="840000"/>
    <n v="2400000"/>
    <n v="2400000"/>
    <x v="0"/>
    <x v="0"/>
    <s v="BR3-5, BR-7"/>
    <s v="62-304.520 (10), F.A.C."/>
    <n v="0.59"/>
    <n v="0.64"/>
    <s v="City of Cocoa Beach"/>
    <n v="3.2398723012300001E-3"/>
    <n v="3764.4729522903599"/>
    <n v="10.8097988027918"/>
    <n v="1.50576525601291"/>
    <n v="3.5022367723079997E-2"/>
    <n v="4.8784871451100003E-3"/>
    <n v="12.1964116468738"/>
    <n v="1300"/>
    <s v="Residential, High Density"/>
    <n v="1300"/>
    <s v="City of Cocoa Beach           Brevard County"/>
    <s v="City of Cocoa Beach"/>
    <m/>
    <m/>
    <m/>
    <n v="0"/>
    <n v="1"/>
    <n v="3.5022367723079997E-2"/>
    <n v="4.8784871451100003E-3"/>
    <n v="12.1964116468731"/>
    <m/>
    <n v="-1"/>
    <n v="-1"/>
    <n v="-1"/>
    <n v="-1"/>
    <n v="0"/>
    <m/>
    <m/>
    <s v="Banana River B"/>
    <n v="-1"/>
    <m/>
    <m/>
    <n v="357"/>
    <x v="11"/>
    <s v="Ocean Beach Blvd Bioretention/Exfiltration"/>
    <x v="0"/>
    <n v="122.34610000000001"/>
    <n v="16.701209856438499"/>
    <n v="13.1112980300079"/>
    <n v="9.8916557999999995E-3"/>
  </r>
  <r>
    <n v="830000"/>
    <n v="2400000"/>
    <n v="2400000"/>
    <x v="0"/>
    <x v="0"/>
    <s v="BR3-5, BR-7"/>
    <s v="62-304.520 (10), F.A.C."/>
    <n v="0.59"/>
    <n v="0.64"/>
    <s v="City of Cocoa Beach"/>
    <n v="0.12924262432628"/>
    <n v="3767.0525004188698"/>
    <n v="9.8673703062809892"/>
    <n v="1.7883223524554399"/>
    <n v="1.2752848335829801"/>
    <n v="0.23112747397269001"/>
    <n v="486.86375112901698"/>
    <n v="1300"/>
    <s v="Residential, High Density"/>
    <n v="1300"/>
    <s v="City of Cocoa Beach           Brevard County"/>
    <s v="City of Cocoa Beach"/>
    <m/>
    <m/>
    <m/>
    <n v="0"/>
    <n v="1"/>
    <n v="1.2752848335829801"/>
    <n v="0.23112747397269001"/>
    <n v="574.4271314520769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01.063600700264"/>
    <n v="523.02634430264504"/>
    <n v="0.46587764110000002"/>
  </r>
  <r>
    <n v="830000"/>
    <n v="2400000"/>
    <n v="2400000"/>
    <x v="0"/>
    <x v="0"/>
    <s v="BR3-5, BR-7"/>
    <s v="62-304.520 (10), F.A.C."/>
    <n v="0.59"/>
    <n v="0.64"/>
    <s v="City of Cocoa Beach"/>
    <n v="0.32823704436721002"/>
    <n v="3767.0525004188698"/>
    <n v="9.8673703062809892"/>
    <n v="1.7883223524554399"/>
    <n v="3.2388364650104799"/>
    <n v="0.58699364334578996"/>
    <n v="1236.4861787136099"/>
    <n v="1300"/>
    <s v="Residential, High Density"/>
    <n v="1300"/>
    <s v="City of Cocoa Beach           Brevard County"/>
    <s v="City of Cocoa Beach"/>
    <m/>
    <m/>
    <m/>
    <n v="0"/>
    <n v="1"/>
    <n v="3.2388364650104799"/>
    <n v="0.58699364334578996"/>
    <n v="1236.486178713609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47.188290923365"/>
    <n v="1328.3281910670501"/>
    <n v="1.0028273956"/>
  </r>
  <r>
    <n v="830000"/>
    <n v="2400000"/>
    <n v="2400000"/>
    <x v="0"/>
    <x v="0"/>
    <s v="BR3-5, BR-7"/>
    <s v="62-304.520 (10), F.A.C."/>
    <n v="0.59"/>
    <n v="0.64"/>
    <s v="City of Cocoa Beach"/>
    <n v="6.2311061255499997E-2"/>
    <n v="3767.0525004188698"/>
    <n v="9.8673703062809892"/>
    <n v="1.7883223524554399"/>
    <n v="0.61484631558539005"/>
    <n v="0.11143226364842999"/>
    <n v="234.72903910629199"/>
    <n v="1300"/>
    <s v="Residential, High Density"/>
    <n v="1300"/>
    <s v="City of Cocoa Beach           Brevard County"/>
    <s v="City of Cocoa Beach"/>
    <m/>
    <m/>
    <m/>
    <n v="0"/>
    <n v="1"/>
    <n v="0.61484631558539005"/>
    <n v="0.11143226364842999"/>
    <n v="234.7290391062929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76.7018451927689"/>
    <n v="252.163918428389"/>
    <n v="0.19037229450000001"/>
  </r>
  <r>
    <n v="830000"/>
    <n v="2400000"/>
    <n v="2400000"/>
    <x v="0"/>
    <x v="0"/>
    <s v="BR3-5, BR-7"/>
    <s v="62-304.520 (10), F.A.C."/>
    <n v="0.59"/>
    <n v="0.64"/>
    <s v="City of Cocoa Beach"/>
    <n v="7.4728189682489995E-2"/>
    <n v="3767.0525004188698"/>
    <n v="9.8673703062809892"/>
    <n v="1.7883223524554399"/>
    <n v="0.73737071991515002"/>
    <n v="0.13363809196772999"/>
    <n v="281.50501379520699"/>
    <n v="1300"/>
    <s v="Residential, High Density"/>
    <n v="1300"/>
    <s v="City of Cocoa Beach           Brevard County"/>
    <s v="City of Cocoa Beach"/>
    <m/>
    <m/>
    <m/>
    <n v="0"/>
    <n v="1"/>
    <n v="0.73737071991515002"/>
    <n v="0.13363809196772999"/>
    <n v="281.505013795205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70.206300580310398"/>
    <n v="302.414254350916"/>
    <n v="0.2283090136"/>
  </r>
  <r>
    <n v="830000"/>
    <n v="2400000"/>
    <n v="2400000"/>
    <x v="0"/>
    <x v="0"/>
    <s v="BR3-5, BR-7"/>
    <s v="62-304.520 (10), F.A.C."/>
    <n v="0.59"/>
    <n v="0.64"/>
    <s v="City of Cocoa Beach"/>
    <n v="7.76385708667E-3"/>
    <n v="3750.3315969544001"/>
    <n v="10.7900620166228"/>
    <n v="2.0790272731675401"/>
    <n v="8.3772499453419996E-2"/>
    <n v="1.6141270628170001E-2"/>
    <n v="29.117038546395602"/>
    <n v="1300"/>
    <s v="Residential, High Density"/>
    <n v="1300"/>
    <s v="City of Cocoa Beach           Brevard County"/>
    <s v="City of Cocoa Beach"/>
    <m/>
    <m/>
    <m/>
    <n v="0"/>
    <n v="1"/>
    <n v="8.3772499453419996E-2"/>
    <n v="1.6141270628170001E-2"/>
    <n v="1328.28782477217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01.654106275199"/>
    <n v="31.419214913806201"/>
    <n v="1.0772812853"/>
  </r>
  <r>
    <n v="830000"/>
    <n v="2400000"/>
    <n v="2400000"/>
    <x v="0"/>
    <x v="0"/>
    <s v="BR3-5, BR-7"/>
    <s v="62-304.520 (10), F.A.C."/>
    <n v="0.59"/>
    <n v="0.64"/>
    <s v="City of Cocoa Beach"/>
    <n v="0.199468266635"/>
    <n v="3750.3315969544001"/>
    <n v="10.7900620166228"/>
    <n v="2.0790272731675401"/>
    <n v="2.1522749673399901"/>
    <n v="0.41469996646563001"/>
    <n v="748.07214295099197"/>
    <n v="1300"/>
    <s v="Residential, High Density"/>
    <n v="1300"/>
    <s v="City of Cocoa Beach           Brevard County"/>
    <s v="City of Cocoa Beach"/>
    <m/>
    <m/>
    <m/>
    <n v="0"/>
    <n v="1"/>
    <n v="2.1522749673399901"/>
    <n v="0.41469996646563001"/>
    <n v="748.07214295099197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17.676391924584"/>
    <n v="807.21943589687203"/>
    <n v="0.60670895619999998"/>
  </r>
  <r>
    <n v="830000"/>
    <n v="2400000"/>
    <n v="2400000"/>
    <x v="0"/>
    <x v="0"/>
    <s v="BR3-5, BR-7"/>
    <s v="62-304.520 (10), F.A.C."/>
    <n v="0.59"/>
    <n v="0.64"/>
    <s v="City of Cocoa Beach"/>
    <n v="6.4097500998769999E-2"/>
    <n v="3750.3315969544001"/>
    <n v="10.7900620166228"/>
    <n v="2.0790272731675401"/>
    <n v="0.69161601088736002"/>
    <n v="0.13326045271834"/>
    <n v="240.38688328153299"/>
    <n v="1300"/>
    <s v="Residential, High Density"/>
    <n v="1300"/>
    <s v="City of Cocoa Beach           Brevard County"/>
    <s v="City of Cocoa Beach"/>
    <m/>
    <m/>
    <m/>
    <n v="0"/>
    <n v="1"/>
    <n v="0.69161601088736002"/>
    <n v="0.13326045271834"/>
    <n v="240.38688328153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65.843933014293995"/>
    <n v="259.393383576693"/>
    <n v="0.1949609759"/>
  </r>
  <r>
    <n v="830000"/>
    <n v="2400000"/>
    <n v="2400000"/>
    <x v="0"/>
    <x v="0"/>
    <s v="BR3-5, BR-7"/>
    <s v="62-304.520 (10), F.A.C."/>
    <n v="0.59"/>
    <n v="0.64"/>
    <s v="City of Cocoa Beach"/>
    <n v="2.8356448803480001E-2"/>
    <n v="3814.1521255305001"/>
    <n v="10.3914561760274"/>
    <n v="1.49866399725473"/>
    <n v="0.29466479504914"/>
    <n v="4.249678891177E-2"/>
    <n v="108.15580947629699"/>
    <n v="1300"/>
    <s v="Residential, High Density"/>
    <n v="1300"/>
    <s v="City of Cocoa Beach           Brevard County"/>
    <s v="City of Cocoa Beach"/>
    <m/>
    <m/>
    <m/>
    <n v="0"/>
    <n v="1"/>
    <n v="0.29466479504914"/>
    <n v="4.249678891177E-2"/>
    <n v="239.3192736842769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69.5133904076108"/>
    <n v="114.754476956826"/>
    <n v="0.1940951125"/>
  </r>
  <r>
    <n v="830000"/>
    <n v="2400000"/>
    <n v="2400000"/>
    <x v="0"/>
    <x v="0"/>
    <s v="BR3-5, BR-7"/>
    <s v="62-304.520 (10), F.A.C."/>
    <n v="0.59"/>
    <n v="0.64"/>
    <s v="City of Cocoa Beach"/>
    <n v="7.8575222788799994E-3"/>
    <n v="3814.1521255305001"/>
    <n v="10.3914561760274"/>
    <n v="1.49866399725473"/>
    <n v="8.165109841314E-2"/>
    <n v="1.1775785746980001E-2"/>
    <n v="29.969785301393401"/>
    <n v="1300"/>
    <s v="Residential, High Density"/>
    <n v="1300"/>
    <s v="City of Cocoa Beach           Brevard County"/>
    <s v="City of Cocoa Beach"/>
    <m/>
    <m/>
    <m/>
    <n v="0"/>
    <n v="1"/>
    <n v="8.165109841314E-2"/>
    <n v="1.1775785746980001E-2"/>
    <n v="174.884658650629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39.831899409292099"/>
    <n v="31.798264498436399"/>
    <n v="0.14183670609999999"/>
  </r>
  <r>
    <n v="830000"/>
    <n v="2400000"/>
    <n v="2400000"/>
    <x v="0"/>
    <x v="0"/>
    <s v="BR3-5, BR-7"/>
    <s v="62-304.520 (10), F.A.C."/>
    <n v="0.59"/>
    <n v="0.64"/>
    <s v="City of Cocoa Beach"/>
    <n v="0.47235969557920998"/>
    <n v="3750.3315961161302"/>
    <n v="10.790062014211101"/>
    <n v="2.07902727270285"/>
    <n v="5.0967904083136197"/>
    <n v="0.98204868963479997"/>
    <n v="1771.5054910625299"/>
    <n v="1300"/>
    <s v="Residential, High Density"/>
    <n v="1300"/>
    <s v="City of Cocoa Beach           Brevard County"/>
    <s v="City of Cocoa Beach"/>
    <m/>
    <m/>
    <m/>
    <n v="0"/>
    <n v="1"/>
    <n v="5.0967904083136197"/>
    <n v="0.98204868963479997"/>
    <n v="1771.505491062529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76.635615705585"/>
    <n v="1911.5718677376501"/>
    <n v="1.4367441128"/>
  </r>
  <r>
    <n v="830000"/>
    <n v="2400000"/>
    <n v="2400000"/>
    <x v="0"/>
    <x v="0"/>
    <s v="BR3-5, BR-7"/>
    <s v="62-304.520 (10), F.A.C."/>
    <n v="0.59"/>
    <n v="0.64"/>
    <s v="City of Cocoa Beach"/>
    <n v="9.8089263234499999E-2"/>
    <n v="3750.3315961161302"/>
    <n v="10.790062014211101"/>
    <n v="2.07902727270285"/>
    <n v="1.05838923322859"/>
    <n v="0.20393025342386001"/>
    <n v="367.86726314812"/>
    <n v="1300"/>
    <s v="Residential, High Density"/>
    <n v="1300"/>
    <s v="City of Cocoa Beach           Brevard County"/>
    <s v="City of Cocoa Beach"/>
    <m/>
    <m/>
    <m/>
    <n v="0"/>
    <n v="1"/>
    <n v="1.05838923322859"/>
    <n v="0.20393025342386001"/>
    <n v="367.86726314812103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93.548734602069601"/>
    <n v="396.95316488904598"/>
    <n v="0.2983513894"/>
  </r>
  <r>
    <n v="830000"/>
    <n v="2400000"/>
    <n v="2400000"/>
    <x v="0"/>
    <x v="0"/>
    <s v="BR3-5, BR-7"/>
    <s v="62-304.520 (10), F.A.C."/>
    <n v="0.59"/>
    <n v="0.64"/>
    <s v="City of Cocoa Beach"/>
    <n v="4.7314495061309997E-2"/>
    <n v="3750.3315961161302"/>
    <n v="10.790062014211101"/>
    <n v="2.07902727270285"/>
    <n v="0.51052633588264995"/>
    <n v="9.8368125626629999E-2"/>
    <n v="177.44504578272301"/>
    <n v="1300"/>
    <s v="Residential, High Density"/>
    <n v="1300"/>
    <s v="City of Cocoa Beach           Brevard County"/>
    <s v="City of Cocoa Beach"/>
    <m/>
    <m/>
    <m/>
    <n v="0"/>
    <n v="1"/>
    <n v="0.51052633588264995"/>
    <n v="9.8368125626629999E-2"/>
    <n v="177.4450457827219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55.451788313681298"/>
    <n v="191.47496821148599"/>
    <n v="0.14391325690000001"/>
  </r>
  <r>
    <n v="830000"/>
    <n v="2400000"/>
    <n v="2400000"/>
    <x v="0"/>
    <x v="0"/>
    <s v="BR3-5, BR-7"/>
    <s v="62-304.520 (10), F.A.C."/>
    <n v="0.59"/>
    <n v="0.64"/>
    <s v="City of Cocoa Beach"/>
    <n v="4.2974154229999999E-5"/>
    <n v="3751.2225470038202"/>
    <n v="10.5776857975856"/>
    <n v="2.0252602625263201"/>
    <n v="4.5456710090000001E-4"/>
    <n v="8.7033846879999997E-5"/>
    <n v="0.161205616301"/>
    <n v="1300"/>
    <s v="Residential, High Density"/>
    <n v="1300"/>
    <s v="City of Cocoa Beach           Brevard County"/>
    <s v="City of Cocoa Beach"/>
    <m/>
    <m/>
    <m/>
    <n v="0"/>
    <n v="1"/>
    <n v="4.5456710090000001E-4"/>
    <n v="8.7033846879999997E-5"/>
    <n v="154.500667307245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3.98988477642198"/>
    <n v="0.17391023205728001"/>
    <n v="0.12530467749999999"/>
  </r>
  <r>
    <n v="830000"/>
    <n v="2400000"/>
    <n v="2400000"/>
    <x v="0"/>
    <x v="0"/>
    <s v="BR3-5, BR-7"/>
    <s v="62-304.520 (10), F.A.C."/>
    <n v="0.59"/>
    <n v="0.64"/>
    <s v="City of Cocoa Beach"/>
    <n v="0.27234836635107001"/>
    <n v="3751.2225470038202"/>
    <n v="10.5776857975856"/>
    <n v="2.0252602625263201"/>
    <n v="2.8808154467473499"/>
    <n v="0.55157632393477996"/>
    <n v="1021.63933249579"/>
    <n v="1300"/>
    <s v="Residential, High Density"/>
    <n v="1300"/>
    <s v="City of Cocoa Beach           Brevard County"/>
    <s v="City of Cocoa Beach"/>
    <m/>
    <m/>
    <m/>
    <n v="0"/>
    <n v="1"/>
    <n v="2.8808154467473499"/>
    <n v="0.55157632393477996"/>
    <n v="1064.20386579740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32.817086565555"/>
    <n v="1102.15473549797"/>
    <n v="0.86310126990000002"/>
  </r>
  <r>
    <n v="830000"/>
    <n v="2400000"/>
    <n v="2400000"/>
    <x v="0"/>
    <x v="0"/>
    <s v="BR3-5, BR-7"/>
    <s v="62-304.520 (10), F.A.C."/>
    <n v="0.59"/>
    <n v="0.64"/>
    <s v="City of Cocoa Beach"/>
    <n v="0.11696016221959001"/>
    <n v="3751.2225470038202"/>
    <n v="10.5776857975856"/>
    <n v="2.0252602625263201"/>
    <n v="1.2371678467935601"/>
    <n v="0.23687476884198"/>
    <n v="438.74359761938399"/>
    <n v="1300"/>
    <s v="Residential, High Density"/>
    <n v="1300"/>
    <s v="City of Cocoa Beach           Brevard County"/>
    <s v="City of Cocoa Beach"/>
    <m/>
    <m/>
    <m/>
    <n v="0"/>
    <n v="1"/>
    <n v="1.2371678467935601"/>
    <n v="0.23687476884198"/>
    <n v="499.48816801202003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91.502065036060699"/>
    <n v="473.32098364333098"/>
    <n v="0.40509989299999999"/>
  </r>
  <r>
    <n v="830000"/>
    <n v="2400000"/>
    <n v="2400000"/>
    <x v="0"/>
    <x v="0"/>
    <s v="BR3-5, BR-7"/>
    <s v="62-304.520 (10), F.A.C."/>
    <n v="0.59"/>
    <n v="0.64"/>
    <s v="City of Cocoa Beach"/>
    <n v="0.15972805885720001"/>
    <n v="3751.2225470038202"/>
    <n v="10.5776857975856"/>
    <n v="2.0252602625263201"/>
    <n v="1.68955321964981"/>
    <n v="0.32349089041397"/>
    <n v="599.17549577431498"/>
    <n v="1300"/>
    <s v="Residential, High Density"/>
    <n v="1300"/>
    <s v="City of Cocoa Beach           Brevard County"/>
    <s v="City of Cocoa Beach"/>
    <m/>
    <m/>
    <m/>
    <n v="0"/>
    <n v="1"/>
    <n v="1.68955321964981"/>
    <n v="0.32349089041397"/>
    <n v="599.17549577431498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26.028627089254"/>
    <n v="646.396520823782"/>
    <n v="0.48594930720000001"/>
  </r>
  <r>
    <n v="830000"/>
    <n v="2400000"/>
    <n v="2400000"/>
    <x v="0"/>
    <x v="0"/>
    <s v="BR3-5, BR-7"/>
    <s v="62-304.520 (10), F.A.C."/>
    <n v="0.59"/>
    <n v="0.64"/>
    <s v="City of Cocoa Beach"/>
    <n v="4.3131423062779999E-2"/>
    <n v="3775.6522445601099"/>
    <n v="9.3002907279737901"/>
    <n v="1.61021838571117"/>
    <n v="0.40113477399511999"/>
    <n v="6.9451010417580006E-2"/>
    <n v="162.849254298072"/>
    <n v="1300"/>
    <s v="Residential, High Density"/>
    <n v="1300"/>
    <s v="City of Cocoa Beach           Brevard County"/>
    <s v="City of Cocoa Beach"/>
    <m/>
    <m/>
    <m/>
    <n v="0"/>
    <n v="1"/>
    <n v="0.40113477399511999"/>
    <n v="6.9451010417580006E-2"/>
    <n v="950.27138272072796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59.496966792583798"/>
    <n v="174.54667642887699"/>
    <n v="0.77069860720000005"/>
  </r>
  <r>
    <n v="830000"/>
    <n v="2400000"/>
    <n v="2400000"/>
    <x v="0"/>
    <x v="0"/>
    <s v="BR3-5, BR-7"/>
    <s v="62-304.520 (10), F.A.C."/>
    <n v="0.59"/>
    <n v="0.64"/>
    <s v="City of Cocoa Beach"/>
    <n v="0.19330442508456999"/>
    <n v="3775.6522445601099"/>
    <n v="9.3002907279737901"/>
    <n v="1.61021838571117"/>
    <n v="1.79778735229033"/>
    <n v="0.31126233931050001"/>
    <n v="729.85028645395801"/>
    <n v="1300"/>
    <s v="Residential, High Density"/>
    <n v="1300"/>
    <s v="City of Cocoa Beach           Brevard County"/>
    <s v="City of Cocoa Beach"/>
    <m/>
    <m/>
    <m/>
    <n v="0"/>
    <n v="1"/>
    <n v="1.79778735229033"/>
    <n v="0.31126233931050001"/>
    <n v="1382.18858746706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11.619431515952"/>
    <n v="782.27525413183196"/>
    <n v="1.1209964213000001"/>
  </r>
  <r>
    <n v="830000"/>
    <n v="2400000"/>
    <n v="2400000"/>
    <x v="0"/>
    <x v="0"/>
    <s v="BR3-5, BR-7"/>
    <s v="62-304.520 (10), F.A.C."/>
    <n v="0.59"/>
    <n v="0.64"/>
    <s v="City of Cocoa Beach"/>
    <n v="1.7428522299999999E-7"/>
    <n v="3865.1032930056899"/>
    <n v="8.8310740795523799"/>
    <n v="1.25660400402273"/>
    <n v="1.539125715284E-6"/>
    <n v="2.1900750906379999E-7"/>
    <n v="6.7363038933000003E-4"/>
    <n v="1300"/>
    <s v="Residential, High Density"/>
    <n v="1300"/>
    <s v="City of Cocoa Beach           Brevard County"/>
    <s v="City of Cocoa Beach"/>
    <m/>
    <m/>
    <m/>
    <n v="0"/>
    <n v="1"/>
    <n v="1.539125715284E-6"/>
    <n v="2.1900750906379999E-7"/>
    <n v="113.70502977932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0.20756412208080999"/>
    <n v="7.0530727446000004E-4"/>
    <n v="9.2218191199999994E-2"/>
  </r>
  <r>
    <n v="830000"/>
    <n v="2400000"/>
    <n v="2400000"/>
    <x v="0"/>
    <x v="0"/>
    <s v="BR3-5, BR-7"/>
    <s v="62-304.520 (10), F.A.C."/>
    <n v="0.59"/>
    <n v="0.64"/>
    <s v="City of Cocoa Beach"/>
    <n v="7.0340920297800001E-3"/>
    <n v="3865.1032930056899"/>
    <n v="8.8310740795523799"/>
    <n v="1.25660400402273"/>
    <n v="6.2118587797369999E-2"/>
    <n v="8.8390682092799999E-3"/>
    <n v="27.187492267607698"/>
    <n v="1300"/>
    <s v="Residential, High Density"/>
    <n v="1300"/>
    <s v="City of Cocoa Beach           Brevard County"/>
    <s v="City of Cocoa Beach"/>
    <m/>
    <m/>
    <m/>
    <n v="0"/>
    <n v="1"/>
    <n v="6.2118587797369999E-2"/>
    <n v="8.8390682092799999E-3"/>
    <n v="109.96975499006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41.530512343489001"/>
    <n v="28.465960506469699"/>
    <n v="8.9188771299999997E-2"/>
  </r>
  <r>
    <n v="830000"/>
    <n v="2400000"/>
    <n v="2400000"/>
    <x v="0"/>
    <x v="0"/>
    <s v="BR3-5, BR-7"/>
    <s v="62-304.520 (10), F.A.C."/>
    <n v="0.59"/>
    <n v="0.64"/>
    <s v="City of Cocoa Beach"/>
    <n v="1.19161903901E-3"/>
    <n v="3751.4182924594102"/>
    <n v="10.813279445486501"/>
    <n v="2.03350153149914"/>
    <n v="1.2885309661460001E-2"/>
    <n v="2.4231591407999999E-3"/>
    <n v="4.4702614606150304"/>
    <n v="1300"/>
    <s v="Residential, High Density"/>
    <n v="1300"/>
    <s v="City of Cocoa Beach           Brevard County"/>
    <s v="City of Cocoa Beach"/>
    <m/>
    <m/>
    <m/>
    <n v="0"/>
    <n v="1"/>
    <n v="1.2885309661460001E-2"/>
    <n v="2.4231591407999999E-3"/>
    <n v="1272.4868262383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57.988555657749103"/>
    <n v="4.82231116110363"/>
    <n v="1.0320250010000001"/>
  </r>
  <r>
    <n v="830000"/>
    <n v="2400000"/>
    <n v="2400000"/>
    <x v="0"/>
    <x v="0"/>
    <s v="BR3-5, BR-7"/>
    <s v="62-304.520 (10), F.A.C."/>
    <n v="0.59"/>
    <n v="0.64"/>
    <s v="City of Cocoa Beach"/>
    <n v="0.21131523115284001"/>
    <n v="3751.4182924594102"/>
    <n v="10.813279445486501"/>
    <n v="2.03350153149914"/>
    <n v="2.2850106455433101"/>
    <n v="0.42970984617841002"/>
    <n v="792.73182362208001"/>
    <n v="1300"/>
    <s v="Residential, High Density"/>
    <n v="1300"/>
    <s v="City of Cocoa Beach           Brevard County"/>
    <s v="City of Cocoa Beach"/>
    <m/>
    <m/>
    <m/>
    <n v="0"/>
    <n v="1"/>
    <n v="2.2850106455433101"/>
    <n v="0.42970984617841002"/>
    <n v="795.94653013432503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33.95901890503299"/>
    <n v="855.16240034184"/>
    <n v="0.64553652080000001"/>
  </r>
  <r>
    <n v="830000"/>
    <n v="2400000"/>
    <n v="2400000"/>
    <x v="0"/>
    <x v="0"/>
    <s v="BR3-5, BR-7"/>
    <s v="62-304.520 (10), F.A.C."/>
    <n v="0.59"/>
    <n v="0.64"/>
    <s v="City of Cocoa Beach"/>
    <n v="3.3188073327E-4"/>
    <n v="3783.55660249833"/>
    <n v="8.1145758939543295"/>
    <n v="1.2836234552414101"/>
    <n v="2.69307139787E-3"/>
    <n v="4.2600989356999998E-4"/>
    <n v="1.2556895396132599"/>
    <n v="1300"/>
    <s v="Residential, High Density"/>
    <n v="1300"/>
    <s v="City of Cocoa Beach           Brevard County"/>
    <s v="City of Cocoa Beach"/>
    <m/>
    <m/>
    <m/>
    <n v="0"/>
    <n v="1"/>
    <n v="2.69307139787E-3"/>
    <n v="4.2600989356999998E-4"/>
    <n v="544.0240619146239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5.0558222737461698"/>
    <n v="1.34307367691312"/>
    <n v="0.44121983930000003"/>
  </r>
  <r>
    <n v="830000"/>
    <n v="2400000"/>
    <n v="2400000"/>
    <x v="0"/>
    <x v="0"/>
    <s v="BR3-5, BR-7"/>
    <s v="62-304.520 (10), F.A.C."/>
    <n v="0.59"/>
    <n v="0.64"/>
    <s v="City of Cocoa Beach"/>
    <n v="1.24191353618E-3"/>
    <n v="3783.55660249833"/>
    <n v="8.1145758939543295"/>
    <n v="1.2836234552414101"/>
    <n v="1.007760164311E-2"/>
    <n v="1.5941493444299999E-3"/>
    <n v="4.6988501595685896"/>
    <n v="1300"/>
    <s v="Residential, High Density"/>
    <n v="1300"/>
    <s v="City of Cocoa Beach           Brevard County"/>
    <s v="City of Cocoa Beach"/>
    <m/>
    <m/>
    <m/>
    <n v="0"/>
    <n v="1"/>
    <n v="1.007760164311E-2"/>
    <n v="1.5941493444299999E-3"/>
    <n v="1793.31893242814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4.6752090439486"/>
    <n v="5.0258457699802399"/>
    <n v="1.4544354683"/>
  </r>
  <r>
    <n v="830000"/>
    <n v="2400000"/>
    <n v="2400000"/>
    <x v="0"/>
    <x v="0"/>
    <s v="BR3-5, BR-7"/>
    <s v="62-304.520 (10), F.A.C."/>
    <n v="0.59"/>
    <n v="0.64"/>
    <s v="City of Cocoa Beach"/>
    <n v="5.2386453942409997E-2"/>
    <n v="3788.60306865139"/>
    <n v="8.2673540374675891"/>
    <n v="1.28670975398589"/>
    <n v="0.43309736150939998"/>
    <n v="6.7406161264429998E-2"/>
    <n v="198.47148016198301"/>
    <n v="1300"/>
    <s v="Residential, High Density"/>
    <n v="1300"/>
    <s v="City of Cocoa Beach           Brevard County"/>
    <s v="City of Cocoa Beach"/>
    <m/>
    <m/>
    <m/>
    <n v="0"/>
    <n v="1"/>
    <n v="0.43309736150939998"/>
    <n v="6.7406161264429998E-2"/>
    <n v="1760.12562963718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69.7741738973032"/>
    <n v="212.00045758360901"/>
    <n v="1.4275147037"/>
  </r>
  <r>
    <n v="830000"/>
    <n v="2400000"/>
    <n v="2400000"/>
    <x v="0"/>
    <x v="0"/>
    <s v="BR3-5, BR-7"/>
    <s v="62-304.520 (10), F.A.C."/>
    <n v="0.59"/>
    <n v="0.64"/>
    <s v="City of Cocoa Beach"/>
    <n v="9.6923316069189996E-2"/>
    <n v="3788.60306865139"/>
    <n v="8.2673540374675891"/>
    <n v="1.28670975398589"/>
    <n v="0.80129936842938998"/>
    <n v="0.12471217617487999"/>
    <n v="367.20397268361302"/>
    <n v="1300"/>
    <s v="Residential, High Density"/>
    <n v="1300"/>
    <s v="City of Cocoa Beach           Brevard County"/>
    <s v="City of Cocoa Beach"/>
    <m/>
    <m/>
    <m/>
    <n v="0"/>
    <n v="1"/>
    <n v="0.80129936842938998"/>
    <n v="0.12471217617487999"/>
    <n v="580.33488706569995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85.371275202747896"/>
    <n v="392.23474411491799"/>
    <n v="0.47066900820000002"/>
  </r>
  <r>
    <n v="830000"/>
    <n v="2400000"/>
    <n v="2400000"/>
    <x v="0"/>
    <x v="0"/>
    <s v="BR3-5, BR-7"/>
    <s v="62-304.520 (10), F.A.C."/>
    <n v="0.59"/>
    <n v="0.64"/>
    <s v="City of Cocoa Beach"/>
    <n v="0.30291229682018"/>
    <n v="3747.2343118684098"/>
    <n v="10.769561941427201"/>
    <n v="2.0744178070286701"/>
    <n v="3.2622327434249301"/>
    <n v="0.62836666249173001"/>
    <n v="1135.0833521314501"/>
    <n v="1300"/>
    <s v="Residential, High Density"/>
    <n v="1300"/>
    <s v="City of Cocoa Beach           Brevard County"/>
    <s v="City of Cocoa Beach"/>
    <m/>
    <m/>
    <m/>
    <n v="0"/>
    <n v="1"/>
    <n v="3.2622327434249301"/>
    <n v="0.62836666249173001"/>
    <n v="1515.03396964898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48.047176732987"/>
    <n v="1225.8425738106801"/>
    <n v="1.2287380127"/>
  </r>
  <r>
    <n v="830000"/>
    <n v="2400000"/>
    <n v="2400000"/>
    <x v="0"/>
    <x v="0"/>
    <s v="BR3-5, BR-7"/>
    <s v="62-304.520 (10), F.A.C."/>
    <n v="0.59"/>
    <n v="0.64"/>
    <s v="City of Cocoa Beach"/>
    <n v="5.7404486865209998E-2"/>
    <n v="3747.2343118684098"/>
    <n v="10.769561941427201"/>
    <n v="2.0744178070286701"/>
    <n v="0.61822117701072998"/>
    <n v="0.11908088975653"/>
    <n v="215.108062836518"/>
    <n v="1300"/>
    <s v="Residential, High Density"/>
    <n v="1300"/>
    <s v="City of Cocoa Beach           Brevard County"/>
    <s v="City of Cocoa Beach"/>
    <m/>
    <m/>
    <m/>
    <n v="0"/>
    <n v="1"/>
    <n v="0.61822117701072998"/>
    <n v="0.11908088975653"/>
    <n v="215.10806283651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61.036114407322998"/>
    <n v="232.307716345057"/>
    <n v="0.1744590939"/>
  </r>
  <r>
    <n v="830000"/>
    <n v="2400000"/>
    <n v="2400000"/>
    <x v="0"/>
    <x v="0"/>
    <s v="BR3-5, BR-7"/>
    <s v="62-304.520 (10), F.A.C."/>
    <n v="0.59"/>
    <n v="0.64"/>
    <s v="City of Cocoa Beach"/>
    <n v="0.15371739461716"/>
    <n v="3747.2343118684098"/>
    <n v="10.769561941427201"/>
    <n v="2.0744178070286701"/>
    <n v="1.6554690028043599"/>
    <n v="0.31887410064388999"/>
    <n v="576.01509544045405"/>
    <n v="1300"/>
    <s v="Residential, High Density"/>
    <n v="1300"/>
    <s v="City of Cocoa Beach           Brevard County"/>
    <s v="City of Cocoa Beach"/>
    <m/>
    <m/>
    <m/>
    <n v="0"/>
    <n v="1"/>
    <n v="1.6554690028043599"/>
    <n v="0.31887410064388999"/>
    <n v="576.01509544045405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05.799501648065"/>
    <n v="622.07222564106405"/>
    <n v="0.46716552750000001"/>
  </r>
  <r>
    <n v="830000"/>
    <n v="2400000"/>
    <n v="2400000"/>
    <x v="0"/>
    <x v="0"/>
    <s v="BR3-5, BR-7"/>
    <s v="62-304.520 (10), F.A.C."/>
    <n v="0.59"/>
    <n v="0.64"/>
    <s v="City of Cocoa Beach"/>
    <n v="0.14852074568317999"/>
    <n v="3747.1835506982202"/>
    <n v="10.7815908016152"/>
    <n v="2.0774632046180601"/>
    <n v="1.6012899055068199"/>
    <n v="0.30854638427924003"/>
    <n v="556.53449516144997"/>
    <n v="1300"/>
    <s v="Residential, High Density"/>
    <n v="1300"/>
    <s v="City of Cocoa Beach           Brevard County"/>
    <s v="City of Cocoa Beach"/>
    <m/>
    <m/>
    <m/>
    <n v="0"/>
    <n v="1"/>
    <n v="1.6012899055068199"/>
    <n v="0.30854638427924003"/>
    <n v="556.53449516144997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04.862564929244"/>
    <n v="601.04213352761701"/>
    <n v="0.45136617610000002"/>
  </r>
  <r>
    <n v="830000"/>
    <n v="2400000"/>
    <n v="2400000"/>
    <x v="0"/>
    <x v="0"/>
    <s v="BR3-5, BR-7"/>
    <s v="62-304.520 (10), F.A.C."/>
    <n v="0.59"/>
    <n v="0.64"/>
    <s v="City of Cocoa Beach"/>
    <n v="0.27244608169290002"/>
    <n v="3747.1835506982202"/>
    <n v="10.7815908016152"/>
    <n v="2.0774632046180601"/>
    <n v="2.9374021683162801"/>
    <n v="0.56599670995936002"/>
    <n v="1020.90547577182"/>
    <n v="1300"/>
    <s v="Residential, High Density"/>
    <n v="1300"/>
    <s v="City of Cocoa Beach           Brevard County"/>
    <s v="City of Cocoa Beach"/>
    <m/>
    <m/>
    <m/>
    <n v="0"/>
    <n v="1"/>
    <n v="2.9374021683162801"/>
    <n v="0.56599670995936002"/>
    <n v="1020.90547577182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32.932814962078"/>
    <n v="1102.5501754566201"/>
    <n v="0.82798497630000001"/>
  </r>
  <r>
    <n v="830000"/>
    <n v="2400000"/>
    <n v="2400000"/>
    <x v="0"/>
    <x v="0"/>
    <s v="BR3-5, BR-7"/>
    <s v="62-304.520 (10), F.A.C."/>
    <n v="0.59"/>
    <n v="0.64"/>
    <s v="City of Cocoa Beach"/>
    <n v="0.19679662636087"/>
    <n v="3747.1835506982202"/>
    <n v="10.7815908016152"/>
    <n v="2.0774632046180601"/>
    <n v="2.1217806965613"/>
    <n v="0.40883775005768003"/>
    <n v="737.43308113236799"/>
    <n v="1300"/>
    <s v="Residential, High Density"/>
    <n v="1300"/>
    <s v="City of Cocoa Beach           Brevard County"/>
    <s v="City of Cocoa Beach"/>
    <m/>
    <m/>
    <m/>
    <n v="0"/>
    <n v="1"/>
    <n v="2.1217806965613"/>
    <n v="0.40883775005768003"/>
    <n v="737.43308113236799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32.029035569565"/>
    <n v="796.40769129515104"/>
    <n v="0.59808035780000002"/>
  </r>
  <r>
    <n v="830000"/>
    <n v="2400000"/>
    <n v="2400000"/>
    <x v="0"/>
    <x v="0"/>
    <s v="BR3-5, BR-7"/>
    <s v="62-304.520 (10), F.A.C."/>
    <n v="0.59"/>
    <n v="0.64"/>
    <s v="City of Cocoa Beach"/>
    <n v="2.853745810065E-2"/>
    <n v="3763.3800884058001"/>
    <n v="9.7104931816671094"/>
    <n v="1.7683960951300099"/>
    <n v="0.27711279230855002"/>
    <n v="5.0465529470139998E-2"/>
    <n v="107.397301589731"/>
    <n v="1300"/>
    <s v="Residential, High Density"/>
    <n v="1300"/>
    <s v="City of Cocoa Beach           Brevard County"/>
    <s v="City of Cocoa Beach"/>
    <m/>
    <m/>
    <m/>
    <n v="0"/>
    <n v="1"/>
    <n v="0.27711279230855002"/>
    <n v="5.0465529470139998E-2"/>
    <n v="348.386703410898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02.423102167743"/>
    <n v="115.486995593618"/>
    <n v="0.28255207090000001"/>
  </r>
  <r>
    <n v="830000"/>
    <n v="2400000"/>
    <n v="2400000"/>
    <x v="0"/>
    <x v="0"/>
    <s v="BR3-5, BR-7"/>
    <s v="62-304.520 (10), F.A.C."/>
    <n v="0.59"/>
    <n v="0.64"/>
    <s v="City of Cocoa Beach"/>
    <n v="0.10159180581627"/>
    <n v="3763.3800884058001"/>
    <n v="9.7104931816671094"/>
    <n v="1.7683960951300099"/>
    <n v="0.98650653769218"/>
    <n v="0.1796545527027"/>
    <n v="382.32857915415798"/>
    <n v="1300"/>
    <s v="Residential, High Density"/>
    <n v="1300"/>
    <s v="City of Cocoa Beach           Brevard County"/>
    <s v="City of Cocoa Beach"/>
    <m/>
    <m/>
    <m/>
    <n v="0"/>
    <n v="1"/>
    <n v="0.98650653769218"/>
    <n v="0.1796545527027"/>
    <n v="558.343344808197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08.82544936795701"/>
    <n v="411.12745183080398"/>
    <n v="0.4528332075"/>
  </r>
  <r>
    <n v="830000"/>
    <n v="2400000"/>
    <n v="2400000"/>
    <x v="0"/>
    <x v="0"/>
    <s v="BR3-5, BR-7"/>
    <s v="62-304.520 (10), F.A.C."/>
    <n v="0.59"/>
    <n v="0.64"/>
    <s v="City of Cocoa Beach"/>
    <n v="0.29758524418084997"/>
    <n v="3763.3800884058001"/>
    <n v="9.7104931816671094"/>
    <n v="1.7683960951300099"/>
    <n v="2.8896994845829602"/>
    <n v="0.52624858377773998"/>
    <n v="1119.92638255362"/>
    <n v="1300"/>
    <s v="Residential, High Density"/>
    <n v="1300"/>
    <s v="City of Cocoa Beach           Brevard County"/>
    <s v="City of Cocoa Beach"/>
    <m/>
    <m/>
    <m/>
    <n v="0"/>
    <n v="1"/>
    <n v="2.8896994845829602"/>
    <n v="0.52624858377773998"/>
    <n v="1119.92638255362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38.99685180954799"/>
    <n v="1204.2847566247699"/>
    <n v="0.90829390310000002"/>
  </r>
  <r>
    <n v="830000"/>
    <n v="2400000"/>
    <n v="2400000"/>
    <x v="0"/>
    <x v="0"/>
    <s v="BR3-5, BR-7"/>
    <s v="62-304.520 (10), F.A.C."/>
    <n v="0.59"/>
    <n v="0.64"/>
    <s v="City of Cocoa Beach"/>
    <n v="7.9243191854170003E-2"/>
    <n v="3763.3800884058001"/>
    <n v="9.7104931816671094"/>
    <n v="1.7683960951300099"/>
    <n v="0.76949047419354"/>
    <n v="0.14013335104055999"/>
    <n v="298.22225036573798"/>
    <n v="1300"/>
    <s v="Residential, High Density"/>
    <n v="1300"/>
    <s v="City of Cocoa Beach           Brevard County"/>
    <s v="City of Cocoa Beach"/>
    <m/>
    <m/>
    <m/>
    <n v="0"/>
    <n v="1"/>
    <n v="0.76949047419354"/>
    <n v="0.14013335104055999"/>
    <n v="298.222250365737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86.9687076000492"/>
    <n v="320.68581988655802"/>
    <n v="0.24186719409999999"/>
  </r>
  <r>
    <n v="830000"/>
    <n v="2400000"/>
    <n v="2400000"/>
    <x v="0"/>
    <x v="0"/>
    <s v="BR3-5, BR-7"/>
    <s v="62-304.520 (10), F.A.C."/>
    <n v="0.59"/>
    <n v="0.64"/>
    <s v="City of Cocoa Beach"/>
    <n v="1.23722569319E-3"/>
    <n v="3791.2453083038399"/>
    <n v="11.034275242290599"/>
    <n v="1.5340905726039999"/>
    <n v="1.3651888835589999E-2"/>
    <n v="1.8980162721199999E-3"/>
    <n v="4.6906261046536697"/>
    <n v="1300"/>
    <s v="Residential, High Density"/>
    <n v="1300"/>
    <s v="City of Cocoa Beach           Brevard County"/>
    <s v="City of Cocoa Beach"/>
    <m/>
    <m/>
    <m/>
    <n v="0"/>
    <n v="1"/>
    <n v="1.3651888835589999E-2"/>
    <n v="1.8980162721199999E-3"/>
    <n v="156.410570528698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22.159514464620599"/>
    <n v="5.0068747424797397"/>
    <n v="0.1268536663"/>
  </r>
  <r>
    <n v="830000"/>
    <n v="2400000"/>
    <n v="2400000"/>
    <x v="0"/>
    <x v="0"/>
    <s v="BR3-5, BR-7"/>
    <s v="62-304.520 (10), F.A.C."/>
    <n v="0.59"/>
    <n v="0.64"/>
    <s v="City of Cocoa Beach"/>
    <n v="9.1006985053899994E-2"/>
    <n v="3761.16797161758"/>
    <n v="10.2154477809709"/>
    <n v="1.8978466159835901"/>
    <n v="0.92967710352173005"/>
    <n v="0.17271729861540999"/>
    <n v="342.292557378212"/>
    <n v="1300"/>
    <s v="Residential, High Density"/>
    <n v="1300"/>
    <s v="City of Cocoa Beach           Brevard County"/>
    <s v="City of Cocoa Beach"/>
    <m/>
    <m/>
    <m/>
    <n v="0"/>
    <n v="1"/>
    <n v="0.92967710352173005"/>
    <n v="0.17271729861540999"/>
    <n v="1139.00718173184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16.04654968806901"/>
    <n v="368.29220194864098"/>
    <n v="0.92376900380000004"/>
  </r>
  <r>
    <n v="830000"/>
    <n v="2400000"/>
    <n v="2400000"/>
    <x v="0"/>
    <x v="0"/>
    <s v="BR3-5, BR-7"/>
    <s v="62-304.520 (10), F.A.C."/>
    <n v="0.59"/>
    <n v="0.64"/>
    <s v="City of Cocoa Beach"/>
    <n v="0.17323350771636001"/>
    <n v="3761.16797161758"/>
    <n v="10.2154477809709"/>
    <n v="1.8978466159835901"/>
    <n v="1.76965785199098"/>
    <n v="0.32877062639447002"/>
    <n v="651.56032083376601"/>
    <n v="1300"/>
    <s v="Residential, High Density"/>
    <n v="1300"/>
    <s v="City of Cocoa Beach           Brevard County"/>
    <s v="City of Cocoa Beach"/>
    <m/>
    <m/>
    <m/>
    <n v="0"/>
    <n v="1"/>
    <n v="1.76965785199098"/>
    <n v="0.32877062639447002"/>
    <n v="651.56032083376601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106.29403754081299"/>
    <n v="701.05113327686001"/>
    <n v="0.52843497230000003"/>
  </r>
  <r>
    <n v="830000"/>
    <n v="2400000"/>
    <n v="2400000"/>
    <x v="0"/>
    <x v="0"/>
    <s v="BR3-5, BR-7"/>
    <s v="62-304.520 (10), F.A.C."/>
    <n v="0.59"/>
    <n v="0.64"/>
    <s v="City of Cocoa Beach"/>
    <n v="0.14169657324397"/>
    <n v="3761.16797161758"/>
    <n v="10.2154477809709"/>
    <n v="1.8978466159835901"/>
    <n v="1.4474939447163799"/>
    <n v="0.26891836202754998"/>
    <n v="532.94461297321402"/>
    <n v="1300"/>
    <s v="Residential, High Density"/>
    <n v="1300"/>
    <s v="City of Cocoa Beach           Brevard County"/>
    <s v="City of Cocoa Beach"/>
    <m/>
    <m/>
    <m/>
    <n v="0"/>
    <n v="1"/>
    <n v="1.4474939447163799"/>
    <n v="0.26891836202754998"/>
    <n v="532.94461297321402"/>
    <m/>
    <n v="-1"/>
    <n v="-1"/>
    <n v="-1"/>
    <n v="-1"/>
    <n v="0"/>
    <m/>
    <m/>
    <s v="Banana River B"/>
    <n v="-1"/>
    <m/>
    <m/>
    <n v="376"/>
    <x v="12"/>
    <s v="S Banana St.Lucie Swale"/>
    <x v="0"/>
    <n v="4.7216959999999997"/>
    <n v="96.415107819249002"/>
    <n v="573.425687464465"/>
    <n v="0.43223407380000001"/>
  </r>
  <r>
    <n v="830000"/>
    <n v="2400000"/>
    <n v="2400000"/>
    <x v="0"/>
    <x v="0"/>
    <s v="BR3-5, BR-7"/>
    <s v="62-304.520 (10), F.A.C."/>
    <n v="0.59"/>
    <n v="0.64"/>
    <s v="City of Cocoa Beach"/>
    <n v="2.3244534105459999E-2"/>
    <n v="3767.0525004188698"/>
    <n v="9.8673703062809892"/>
    <n v="1.7883223524554399"/>
    <n v="0.22936242561558001"/>
    <n v="4.1568719913209998E-2"/>
    <n v="87.563380323055995"/>
    <n v="1300"/>
    <s v="Residential, High Density"/>
    <n v="1300"/>
    <s v="City of Cocoa Beach           Brevard County"/>
    <s v="City of Cocoa Beach"/>
    <m/>
    <m/>
    <m/>
    <n v="0"/>
    <n v="1"/>
    <n v="0.22936242561558001"/>
    <n v="4.1568719913209998E-2"/>
    <n v="574.42713145207699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49.273627489798798"/>
    <n v="94.067292130390598"/>
    <n v="0.46587764110000002"/>
  </r>
  <r>
    <n v="830000"/>
    <n v="2400000"/>
    <n v="2400000"/>
    <x v="0"/>
    <x v="0"/>
    <s v="BR3-5, BR-7"/>
    <s v="62-304.520 (10), F.A.C."/>
    <n v="0.59"/>
    <n v="0.64"/>
    <s v="City of Cocoa Beach"/>
    <n v="0.19906975687098"/>
    <n v="3765.9661651176898"/>
    <n v="9.9338337401203507"/>
    <n v="1.8092229171007901"/>
    <n v="1.9775258674425"/>
    <n v="0.36016156623265999"/>
    <n v="749.68996887431899"/>
    <n v="1300"/>
    <s v="Residential, High Density"/>
    <n v="1300"/>
    <s v="City of Cocoa Beach           Brevard County"/>
    <s v="City of Cocoa Beach"/>
    <m/>
    <m/>
    <m/>
    <n v="0"/>
    <n v="1"/>
    <n v="1.9775258674425"/>
    <n v="0.36016156623265999"/>
    <n v="1261.9081149020401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132.444213469461"/>
    <n v="805.60672409893505"/>
    <n v="1.0234453486999999"/>
  </r>
  <r>
    <n v="830000"/>
    <n v="2400000"/>
    <n v="2400000"/>
    <x v="0"/>
    <x v="0"/>
    <s v="BR3-5, BR-7"/>
    <s v="62-304.520 (10), F.A.C."/>
    <n v="0.59"/>
    <n v="0.64"/>
    <s v="City of Cocoa Beach"/>
    <n v="0.17441037066234"/>
    <n v="3765.9661651176898"/>
    <n v="9.9338337401203507"/>
    <n v="1.8092229171007901"/>
    <n v="1.73256362471252"/>
    <n v="0.31554723958235997"/>
    <n v="656.82355476003397"/>
    <n v="1300"/>
    <s v="Residential, High Density"/>
    <n v="1300"/>
    <s v="City of Cocoa Beach           Brevard County"/>
    <s v="City of Cocoa Beach"/>
    <m/>
    <m/>
    <m/>
    <n v="0"/>
    <n v="1"/>
    <n v="1.73256362471252"/>
    <n v="0.31554723958235997"/>
    <n v="656.82355476003397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115.797586344801"/>
    <n v="705.81372864808498"/>
    <n v="0.53270361290000001"/>
  </r>
  <r>
    <n v="830000"/>
    <n v="2400000"/>
    <n v="2400000"/>
    <x v="0"/>
    <x v="0"/>
    <s v="BR3-5, BR-7"/>
    <s v="62-304.520 (10), F.A.C."/>
    <n v="0.59"/>
    <n v="0.64"/>
    <s v="City of Cocoa Beach"/>
    <n v="3.6848646212690003E-2"/>
    <n v="3765.9661651176898"/>
    <n v="9.9338337401203507"/>
    <n v="1.8092229171007901"/>
    <n v="0.36604832502540002"/>
    <n v="6.6667415192140006E-2"/>
    <n v="138.770754867394"/>
    <n v="1300"/>
    <s v="Residential, High Density"/>
    <n v="1300"/>
    <s v="City of Cocoa Beach           Brevard County"/>
    <s v="City of Cocoa Beach"/>
    <m/>
    <m/>
    <m/>
    <n v="0"/>
    <n v="1"/>
    <n v="0.36604832502540002"/>
    <n v="6.6667415192140006E-2"/>
    <n v="138.77075486739199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50.209713531667397"/>
    <n v="149.12118058258"/>
    <n v="0.1125472464"/>
  </r>
  <r>
    <n v="830000"/>
    <n v="2400000"/>
    <n v="2400000"/>
    <x v="0"/>
    <x v="0"/>
    <s v="BR3-5, BR-7"/>
    <s v="62-304.520 (10), F.A.C."/>
    <n v="0.59"/>
    <n v="0.64"/>
    <s v="City of Cocoa Beach"/>
    <n v="9.9846853509809999E-2"/>
    <n v="3775.6522445601099"/>
    <n v="9.3002907279737901"/>
    <n v="1.61021838571117"/>
    <n v="0.92860476591468"/>
    <n v="0.16077523927691001"/>
    <n v="376.98699656659301"/>
    <n v="1300"/>
    <s v="Residential, High Density"/>
    <n v="1300"/>
    <s v="City of Cocoa Beach           Brevard County"/>
    <s v="City of Cocoa Beach"/>
    <m/>
    <m/>
    <m/>
    <n v="0"/>
    <n v="1"/>
    <n v="0.92860476591468"/>
    <n v="0.16077523927691001"/>
    <n v="950.27138272072796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84.139726260708599"/>
    <n v="404.065880382621"/>
    <n v="0.77069860720000005"/>
  </r>
  <r>
    <n v="830000"/>
    <n v="2400000"/>
    <n v="2400000"/>
    <x v="0"/>
    <x v="0"/>
    <s v="BR3-5, BR-7"/>
    <s v="62-304.520 (10), F.A.C."/>
    <n v="0.59"/>
    <n v="0.64"/>
    <s v="City of Cocoa Beach"/>
    <n v="0.17277499587840001"/>
    <n v="3775.6522445601099"/>
    <n v="9.3002907279737901"/>
    <n v="1.61021838571117"/>
    <n v="1.6068576921936599"/>
    <n v="0.27820547495457998"/>
    <n v="652.33830099217096"/>
    <n v="1300"/>
    <s v="Residential, High Density"/>
    <n v="1300"/>
    <s v="City of Cocoa Beach           Brevard County"/>
    <s v="City of Cocoa Beach"/>
    <m/>
    <m/>
    <m/>
    <n v="0"/>
    <n v="1"/>
    <n v="1.6068576921936599"/>
    <n v="0.27820547495457998"/>
    <n v="1382.18858746706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109.689104993041"/>
    <n v="699.19560170066404"/>
    <n v="1.1209964213000001"/>
  </r>
  <r>
    <n v="830000"/>
    <n v="2400000"/>
    <n v="2400000"/>
    <x v="0"/>
    <x v="0"/>
    <s v="BR3-5, BR-7"/>
    <s v="62-304.520 (10), F.A.C."/>
    <n v="0.59"/>
    <n v="0.64"/>
    <s v="City of Cocoa Beach"/>
    <n v="0.33266442115167"/>
    <n v="3783.55660249833"/>
    <n v="8.1145758939543295"/>
    <n v="1.2836234552414101"/>
    <n v="2.69943069265367"/>
    <n v="0.42701585371459999"/>
    <n v="1258.6546670647101"/>
    <n v="1300"/>
    <s v="Residential, High Density"/>
    <n v="1300"/>
    <s v="City of Cocoa Beach           Brevard County"/>
    <s v="City of Cocoa Beach"/>
    <m/>
    <m/>
    <m/>
    <n v="0"/>
    <n v="1"/>
    <n v="2.69943069265367"/>
    <n v="0.42701585371459999"/>
    <n v="1793.31893242814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158.46111701605801"/>
    <n v="1346.2451492416401"/>
    <n v="1.4544354683"/>
  </r>
  <r>
    <n v="830000"/>
    <n v="2400000"/>
    <n v="2400000"/>
    <x v="0"/>
    <x v="0"/>
    <s v="BR3-5, BR-7"/>
    <s v="62-304.520 (10), F.A.C."/>
    <n v="0.59"/>
    <n v="0.64"/>
    <s v="City of Cocoa Beach"/>
    <n v="0.41219787903628002"/>
    <n v="3788.60306865139"/>
    <n v="8.2673540374675891"/>
    <n v="1.28670975398589"/>
    <n v="3.4077857994862302"/>
    <n v="0.53037903152828003"/>
    <n v="1561.6541494084699"/>
    <n v="1300"/>
    <s v="Residential, High Density"/>
    <n v="1300"/>
    <s v="City of Cocoa Beach           Brevard County"/>
    <s v="City of Cocoa Beach"/>
    <m/>
    <m/>
    <m/>
    <n v="0"/>
    <n v="1"/>
    <n v="3.4077857994862302"/>
    <n v="0.53037903152828003"/>
    <n v="1760.1256296371801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165.91896649229099"/>
    <n v="1668.1056340776499"/>
    <n v="1.4275147037"/>
  </r>
  <r>
    <n v="830000"/>
    <n v="2400000"/>
    <n v="2400000"/>
    <x v="0"/>
    <x v="0"/>
    <s v="BR3-5, BR-7"/>
    <s v="62-304.520 (10), F.A.C."/>
    <n v="0.59"/>
    <n v="0.64"/>
    <s v="City of Cocoa Beach"/>
    <n v="5.6255804735080003E-2"/>
    <n v="3788.60306865139"/>
    <n v="8.2673540374675891"/>
    <n v="1.28670975398589"/>
    <n v="0.46508665440761998"/>
    <n v="7.2384892670960002E-2"/>
    <n v="213.13091444881101"/>
    <n v="1300"/>
    <s v="Residential, High Density"/>
    <n v="1300"/>
    <s v="City of Cocoa Beach           Brevard County"/>
    <s v="City of Cocoa Beach"/>
    <m/>
    <m/>
    <m/>
    <n v="0"/>
    <n v="1"/>
    <n v="0.46508665440761998"/>
    <n v="7.2384892670960002E-2"/>
    <n v="580.33488706569995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70.114080628798604"/>
    <n v="227.65916468947401"/>
    <n v="0.47066900820000002"/>
  </r>
  <r>
    <n v="830000"/>
    <n v="2400000"/>
    <n v="2400000"/>
    <x v="0"/>
    <x v="0"/>
    <s v="BR3-5, BR-7"/>
    <s v="62-304.520 (10), F.A.C."/>
    <n v="0.59"/>
    <n v="0.64"/>
    <s v="City of Cocoa Beach"/>
    <n v="0.12043813127965999"/>
    <n v="3765.58417130112"/>
    <n v="9.5695297145398897"/>
    <n v="1.72482288526538"/>
    <n v="1.15253627604439"/>
    <n v="0.20773444508975999"/>
    <n v="453.51992076778498"/>
    <n v="1300"/>
    <s v="Residential, High Density"/>
    <n v="1300"/>
    <s v="City of Cocoa Beach           Brevard County"/>
    <s v="City of Cocoa Beach"/>
    <m/>
    <m/>
    <m/>
    <n v="0"/>
    <n v="1"/>
    <n v="1.15253627604439"/>
    <n v="0.20773444508975999"/>
    <n v="1215.2963177430399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96.9229855794825"/>
    <n v="487.39582507095997"/>
    <n v="0.9856417824"/>
  </r>
  <r>
    <n v="830000"/>
    <n v="2400000"/>
    <n v="2400000"/>
    <x v="0"/>
    <x v="0"/>
    <s v="BR3-5, BR-7"/>
    <s v="62-304.520 (10), F.A.C."/>
    <n v="0.59"/>
    <n v="0.64"/>
    <s v="City of Cocoa Beach"/>
    <n v="0.14228767022290001"/>
    <n v="3765.58417130112"/>
    <n v="9.5695297145398897"/>
    <n v="1.72482288526538"/>
    <n v="1.3616260882107001"/>
    <n v="0.24542102989155001"/>
    <n v="535.79619876266895"/>
    <n v="1300"/>
    <s v="Residential, High Density"/>
    <n v="1300"/>
    <s v="City of Cocoa Beach           Brevard County"/>
    <s v="City of Cocoa Beach"/>
    <m/>
    <m/>
    <m/>
    <n v="0"/>
    <n v="1"/>
    <n v="1.3616260882107001"/>
    <n v="0.24542102989155001"/>
    <n v="680.59011287806902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99.316030556584593"/>
    <n v="575.81777206987897"/>
    <n v="0.55197900479999995"/>
  </r>
  <r>
    <n v="830000"/>
    <n v="2400000"/>
    <n v="2400000"/>
    <x v="0"/>
    <x v="0"/>
    <s v="BR3-5, BR-7"/>
    <s v="62-304.520 (10), F.A.C."/>
    <n v="0.59"/>
    <n v="0.64"/>
    <s v="City of Cocoa Beach"/>
    <n v="4.6601591235990003E-2"/>
    <n v="3763.3800884058001"/>
    <n v="9.7104931816671094"/>
    <n v="1.7683960951300099"/>
    <n v="0.45252443395191"/>
    <n v="8.2410071968570003E-2"/>
    <n v="175.379500545551"/>
    <n v="1300"/>
    <s v="Residential, High Density"/>
    <n v="1300"/>
    <s v="City of Cocoa Beach           Brevard County"/>
    <s v="City of Cocoa Beach"/>
    <m/>
    <m/>
    <m/>
    <n v="0"/>
    <n v="1"/>
    <n v="0.45252443395191"/>
    <n v="8.2410071968570003E-2"/>
    <n v="558.343344808197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72.229401675543201"/>
    <n v="188.58994878742399"/>
    <n v="0.4528332075"/>
  </r>
  <r>
    <n v="830000"/>
    <n v="2400000"/>
    <n v="2500000"/>
    <x v="0"/>
    <x v="0"/>
    <s v="BR3-5, BR-7"/>
    <s v="62-304.520 (10), F.A.C."/>
    <n v="0.59"/>
    <n v="0.64"/>
    <s v="City of Cocoa Beach"/>
    <n v="0.25009028400611999"/>
    <n v="3758.1952972904901"/>
    <n v="10.3809450928667"/>
    <n v="1.9499796479660301"/>
    <n v="2.5961735065270601"/>
    <n v="0.48767096396599002"/>
    <n v="939.88812924986996"/>
    <n v="1300"/>
    <s v="Residential, High Density"/>
    <n v="1300"/>
    <s v="City of Cocoa Beach           Brevard County"/>
    <s v="City of Cocoa Beach"/>
    <m/>
    <m/>
    <m/>
    <n v="0"/>
    <n v="1"/>
    <n v="2.5961735065270601"/>
    <n v="0.48767096396599002"/>
    <n v="1480.3809664687799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146.992752197372"/>
    <n v="1012.07947201003"/>
    <n v="1.2006333871999999"/>
  </r>
  <r>
    <n v="830000"/>
    <n v="2400000"/>
    <n v="2500000"/>
    <x v="0"/>
    <x v="0"/>
    <s v="BR3-5, BR-7"/>
    <s v="62-304.520 (10), F.A.C."/>
    <n v="0.59"/>
    <n v="0.64"/>
    <s v="City of Cocoa Beach"/>
    <n v="0.10095223248499"/>
    <n v="3758.1952972904901"/>
    <n v="10.3809450928667"/>
    <n v="1.9499796479660301"/>
    <n v="1.0479795824290401"/>
    <n v="0.19685479876247"/>
    <n v="379.39820537608102"/>
    <n v="1300"/>
    <s v="Residential, High Density"/>
    <n v="1300"/>
    <s v="City of Cocoa Beach           Brevard County"/>
    <s v="City of Cocoa Beach"/>
    <m/>
    <m/>
    <m/>
    <n v="0"/>
    <n v="1"/>
    <n v="1.0479795824290401"/>
    <n v="0.19685479876247"/>
    <n v="379.39820537608102"/>
    <m/>
    <n v="-1"/>
    <n v="-1"/>
    <n v="-1"/>
    <n v="-1"/>
    <n v="0"/>
    <m/>
    <m/>
    <s v="Banana River B"/>
    <n v="-1"/>
    <m/>
    <m/>
    <n v="375"/>
    <x v="13"/>
    <s v="S Banana St.Lucie Swale"/>
    <x v="0"/>
    <n v="2.1676829999999998"/>
    <n v="86.651326731976596"/>
    <n v="408.53919038751701"/>
    <n v="0.30770332960000002"/>
  </r>
  <r>
    <n v="830000"/>
    <n v="2400000"/>
    <n v="2400000"/>
    <x v="0"/>
    <x v="0"/>
    <s v="BR3-5, BR-7"/>
    <s v="62-304.520 (10), F.A.C."/>
    <n v="0.59"/>
    <n v="0.64"/>
    <s v="City of Cocoa Beach"/>
    <n v="1.7466725829E-4"/>
    <n v="3761.5798087868202"/>
    <n v="10.8202516724301"/>
    <n v="2.0845915085551199"/>
    <n v="1.8899436936499999E-3"/>
    <n v="3.6410988345E-4"/>
    <n v="0.65702483204732998"/>
    <n v="1300"/>
    <s v="Residential, High Density"/>
    <n v="1300"/>
    <s v="City of Cocoa Beach           Brevard County"/>
    <s v="City of Cocoa Beach"/>
    <m/>
    <m/>
    <m/>
    <n v="0"/>
    <n v="1"/>
    <n v="1.8899436936499999E-3"/>
    <n v="3.6410988345E-4"/>
    <n v="258.03072988901698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4.4958429016052799"/>
    <n v="0.70685331600024004"/>
    <n v="0.20927066499999999"/>
  </r>
  <r>
    <n v="830000"/>
    <n v="2400000"/>
    <n v="2400000"/>
    <x v="0"/>
    <x v="0"/>
    <s v="BR3-5, BR-7"/>
    <s v="62-304.520 (10), F.A.C."/>
    <n v="0.59"/>
    <n v="0.64"/>
    <s v="City of Cocoa Beach"/>
    <n v="0.12031561234336"/>
    <n v="3754.85988381487"/>
    <n v="10.6640272652579"/>
    <n v="2.0139385840834301"/>
    <n v="1.2830489704658199"/>
    <n v="0.24230825396592001"/>
    <n v="451.76826618471398"/>
    <n v="1300"/>
    <s v="Residential, High Density"/>
    <n v="1300"/>
    <s v="City of Cocoa Beach           Brevard County"/>
    <s v="City of Cocoa Beach"/>
    <m/>
    <m/>
    <m/>
    <n v="0"/>
    <n v="1"/>
    <n v="1.2830489704658199"/>
    <n v="0.24230825396592001"/>
    <n v="1166.9159170621599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00.404805645519"/>
    <n v="486.90000852672802"/>
    <n v="0.94640382570000003"/>
  </r>
  <r>
    <n v="830000"/>
    <n v="2400000"/>
    <n v="2400000"/>
    <x v="0"/>
    <x v="0"/>
    <s v="BR3-5, BR-7"/>
    <s v="62-304.520 (10), F.A.C."/>
    <n v="0.59"/>
    <n v="0.64"/>
    <s v="City of Cocoa Beach"/>
    <n v="3.8548234563000002E-4"/>
    <n v="3754.85988381487"/>
    <n v="10.6640272652579"/>
    <n v="2.0139385840834301"/>
    <n v="4.1107942441300001E-3"/>
    <n v="7.7633776935000004E-4"/>
    <n v="1.44743219554747"/>
    <n v="1300"/>
    <s v="Residential, High Density"/>
    <n v="1300"/>
    <s v="City of Cocoa Beach           Brevard County"/>
    <s v="City of Cocoa Beach"/>
    <m/>
    <m/>
    <m/>
    <n v="0"/>
    <n v="1"/>
    <n v="4.1107942441300001E-3"/>
    <n v="7.7633776935000004E-4"/>
    <n v="405.39427025421497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1.3863890819405"/>
    <n v="1.55999170616077"/>
    <n v="0.32878691830000001"/>
  </r>
  <r>
    <n v="830000"/>
    <n v="2400000"/>
    <n v="2400000"/>
    <x v="0"/>
    <x v="0"/>
    <s v="BR3-5, BR-7"/>
    <s v="62-304.520 (10), F.A.C."/>
    <n v="0.59"/>
    <n v="0.64"/>
    <s v="City of Cocoa Beach"/>
    <n v="1.0640618299120001E-2"/>
    <n v="3754.85988381487"/>
    <n v="10.6640272652579"/>
    <n v="2.0139385840834301"/>
    <n v="0.1134718436611"/>
    <n v="2.1429551751109999E-2"/>
    <n v="39.954030790382099"/>
    <n v="1210"/>
    <s v="Fixed Single Family Units"/>
    <n v="1210"/>
    <s v="City of Cocoa Beach           Brevard County"/>
    <s v="City of Cocoa Beach"/>
    <m/>
    <m/>
    <m/>
    <n v="0"/>
    <n v="1"/>
    <n v="0.1134718436611"/>
    <n v="2.1429551751109999E-2"/>
    <n v="223.48716875282599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33.639762571348399"/>
    <n v="43.061054502131903"/>
    <n v="0.18125480029999999"/>
  </r>
  <r>
    <n v="830000"/>
    <n v="2400000"/>
    <n v="2400000"/>
    <x v="0"/>
    <x v="0"/>
    <s v="BR3-5, BR-7"/>
    <s v="62-304.520 (10), F.A.C."/>
    <n v="0.59"/>
    <n v="0.64"/>
    <s v="City of Cocoa Beach"/>
    <n v="0.17907304176777"/>
    <n v="3761.6001606657501"/>
    <n v="10.820338973805701"/>
    <n v="2.08461167355386"/>
    <n v="1.93763101299781"/>
    <n v="0.37329775328789999"/>
    <n v="673.60118268457495"/>
    <n v="1300"/>
    <s v="Residential, High Density"/>
    <n v="1300"/>
    <s v="City of Cocoa Beach           Brevard County"/>
    <s v="City of Cocoa Beach"/>
    <m/>
    <m/>
    <m/>
    <n v="0"/>
    <n v="1"/>
    <n v="1.93763101299781"/>
    <n v="0.37329775328789999"/>
    <n v="2318.4846496445198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27.148696273602"/>
    <n v="724.68288915663197"/>
    <n v="1.8803606241999999"/>
  </r>
  <r>
    <n v="830000"/>
    <n v="2400000"/>
    <n v="2400000"/>
    <x v="0"/>
    <x v="0"/>
    <s v="BR3-5, BR-7"/>
    <s v="62-304.520 (10), F.A.C."/>
    <n v="0.59"/>
    <n v="0.64"/>
    <s v="City of Cocoa Beach"/>
    <n v="2.720913147923E-2"/>
    <n v="3761.6001601052299"/>
    <n v="10.8203389721933"/>
    <n v="2.0846116732432298"/>
    <n v="0.29441202574424002"/>
    <n v="5.672047310041E-2"/>
    <n v="102.349873328595"/>
    <n v="1300"/>
    <s v="Residential, High Density"/>
    <n v="1300"/>
    <s v="City of Cocoa Beach           Brevard County"/>
    <s v="City of Cocoa Beach"/>
    <m/>
    <m/>
    <m/>
    <n v="0"/>
    <n v="1"/>
    <n v="0.29441202574424002"/>
    <n v="5.672047310041E-2"/>
    <n v="1317.5866469792099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49.041510428353199"/>
    <n v="110.111448474648"/>
    <n v="1.0686023090000001"/>
  </r>
  <r>
    <n v="830000"/>
    <n v="2400000"/>
    <n v="2400000"/>
    <x v="0"/>
    <x v="0"/>
    <s v="BR3-5, BR-7"/>
    <s v="62-304.520 (10), F.A.C."/>
    <n v="0.59"/>
    <n v="0.64"/>
    <s v="City of Cocoa Beach"/>
    <n v="5.06081396383E-2"/>
    <n v="3761.60015982497"/>
    <n v="10.8203389713871"/>
    <n v="2.0846116730879101"/>
    <n v="0.54759722559775004"/>
    <n v="0.10549831864327"/>
    <n v="190.367586151892"/>
    <n v="1300"/>
    <s v="Residential, High Density"/>
    <n v="1300"/>
    <s v="City of Cocoa Beach           Brevard County"/>
    <s v="City of Cocoa Beach"/>
    <m/>
    <m/>
    <m/>
    <n v="0"/>
    <n v="1"/>
    <n v="0.54759722559775004"/>
    <n v="0.10549831864327"/>
    <n v="1404.18328520303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99.623852121433302"/>
    <n v="204.80387492099101"/>
    <n v="1.1388347811999999"/>
  </r>
  <r>
    <n v="830000"/>
    <n v="2400000"/>
    <n v="2400000"/>
    <x v="0"/>
    <x v="0"/>
    <s v="BR3-5, BR-7"/>
    <s v="62-304.520 (10), F.A.C."/>
    <n v="0.59"/>
    <n v="0.64"/>
    <s v="City of Cocoa Beach"/>
    <n v="0.22978232208280999"/>
    <n v="3761.6001601052299"/>
    <n v="10.8203389721933"/>
    <n v="2.0846116732432298"/>
    <n v="2.48632261475375"/>
    <n v="0.47900691091876002"/>
    <n v="864.34921953606101"/>
    <n v="1300"/>
    <s v="Residential, High Density"/>
    <n v="1300"/>
    <s v="City of Cocoa Beach           Brevard County"/>
    <s v="City of Cocoa Beach"/>
    <m/>
    <m/>
    <m/>
    <n v="0"/>
    <n v="1"/>
    <n v="2.48632261475375"/>
    <n v="0.47900691091876002"/>
    <n v="1589.06030459612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55.58505585877799"/>
    <n v="929.89606587481705"/>
    <n v="1.2887755916999999"/>
  </r>
  <r>
    <n v="830000"/>
    <n v="2400000"/>
    <n v="2400000"/>
    <x v="0"/>
    <x v="0"/>
    <s v="BR3-5, BR-7"/>
    <s v="62-304.520 (10), F.A.C."/>
    <n v="0.59"/>
    <n v="0.64"/>
    <s v="City of Cocoa Beach"/>
    <n v="4.7416649243170003E-2"/>
    <n v="3757.9541202986902"/>
    <n v="10.810547258440501"/>
    <n v="2.0828062309037301"/>
    <n v="0.51259992748019001"/>
    <n v="9.8759692492250001E-2"/>
    <n v="178.189592394128"/>
    <n v="1300"/>
    <s v="Residential, High Density"/>
    <n v="1300"/>
    <s v="City of Cocoa Beach           Brevard County"/>
    <s v="City of Cocoa Beach"/>
    <m/>
    <m/>
    <m/>
    <n v="0"/>
    <n v="1"/>
    <n v="0.51259992748019001"/>
    <n v="9.8759692492250001E-2"/>
    <n v="423.75703679879001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05.278963903574"/>
    <n v="191.88837151841"/>
    <n v="0.34367967300000002"/>
  </r>
  <r>
    <n v="830000"/>
    <n v="2400000"/>
    <n v="2400000"/>
    <x v="0"/>
    <x v="0"/>
    <s v="BR3-5, BR-7"/>
    <s v="62-304.520 (10), F.A.C."/>
    <n v="0.59"/>
    <n v="0.64"/>
    <s v="City of Cocoa Beach"/>
    <n v="0.11113457469365"/>
    <n v="3761.60015982497"/>
    <n v="10.8203389713871"/>
    <n v="2.0846116730879101"/>
    <n v="1.2025137696263"/>
    <n v="0.23167243169005"/>
    <n v="418.04383392973602"/>
    <n v="1300"/>
    <s v="Residential, High Density"/>
    <n v="1300"/>
    <s v="City of Cocoa Beach           Brevard County"/>
    <s v="City of Cocoa Beach"/>
    <m/>
    <m/>
    <m/>
    <n v="0"/>
    <n v="1"/>
    <n v="1.2025137696263"/>
    <n v="0.23167243169005"/>
    <n v="421.09662829779302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19.566614953147"/>
    <n v="449.74566734971302"/>
    <n v="0.34152200189999998"/>
  </r>
  <r>
    <n v="830000"/>
    <n v="2400000"/>
    <n v="2400000"/>
    <x v="0"/>
    <x v="0"/>
    <s v="BR3-5, BR-7"/>
    <s v="62-304.520 (10), F.A.C."/>
    <n v="0.59"/>
    <n v="0.64"/>
    <s v="City of Cocoa Beach"/>
    <n v="6.03053327298E-3"/>
    <n v="3761.60015982497"/>
    <n v="10.8203389713871"/>
    <n v="2.0846116730879101"/>
    <n v="6.5252414191929994E-2"/>
    <n v="1.2571320055809999E-2"/>
    <n v="22.684454923493899"/>
    <n v="1300"/>
    <s v="Residential, High Density"/>
    <n v="1300"/>
    <s v="City of Cocoa Beach           Brevard County"/>
    <s v="City of Cocoa Beach"/>
    <m/>
    <m/>
    <m/>
    <n v="0"/>
    <n v="1"/>
    <n v="6.5252414191929994E-2"/>
    <n v="1.2571320055809999E-2"/>
    <n v="1190.7791190210901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68.710727762130006"/>
    <n v="24.404702306279901"/>
    <n v="0.96575759859999999"/>
  </r>
  <r>
    <n v="830000"/>
    <n v="2400000"/>
    <n v="2400000"/>
    <x v="0"/>
    <x v="0"/>
    <s v="BR3-5, BR-7"/>
    <s v="62-304.520 (10), F.A.C."/>
    <n v="0.59"/>
    <n v="0.64"/>
    <s v="City of Cocoa Beach"/>
    <n v="1.67918470777E-3"/>
    <n v="3761.60015982497"/>
    <n v="10.8203389713871"/>
    <n v="2.0846116730879101"/>
    <n v="1.8169347733729999E-2"/>
    <n v="3.5004480430999999E-3"/>
    <n v="6.3164214651571298"/>
    <n v="1300"/>
    <s v="Residential, High Density"/>
    <n v="1300"/>
    <s v="City of Cocoa Beach           Brevard County"/>
    <s v="City of Cocoa Beach"/>
    <m/>
    <m/>
    <m/>
    <n v="0"/>
    <n v="1"/>
    <n v="1.8169347733729999E-2"/>
    <n v="3.5004480430999999E-3"/>
    <n v="529.72802074742594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27.957940367892"/>
    <n v="6.7954194190725499"/>
    <n v="0.429625321"/>
  </r>
  <r>
    <n v="830000"/>
    <n v="2400000"/>
    <n v="2400000"/>
    <x v="0"/>
    <x v="0"/>
    <s v="BR3-5, BR-7"/>
    <s v="62-304.520 (10), F.A.C."/>
    <n v="0.59"/>
    <n v="0.64"/>
    <s v="City of Cocoa Beach"/>
    <n v="0.15341557361295999"/>
    <n v="3761.6001605256201"/>
    <n v="10.820338973402601"/>
    <n v="2.0846116734761999"/>
    <n v="1.66000851029128"/>
    <n v="0.31981189564662998"/>
    <n v="577.08804632965996"/>
    <n v="1300"/>
    <s v="Residential, High Density"/>
    <n v="1300"/>
    <s v="City of Cocoa Beach           Brevard County"/>
    <s v="City of Cocoa Beach"/>
    <m/>
    <m/>
    <m/>
    <n v="0"/>
    <n v="1"/>
    <n v="1.66000851029128"/>
    <n v="0.31981189564662998"/>
    <n v="955.02000478284197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26.72426896425701"/>
    <n v="620.85079937180797"/>
    <n v="0.77454988219999998"/>
  </r>
  <r>
    <n v="830000"/>
    <n v="2400000"/>
    <n v="2400000"/>
    <x v="0"/>
    <x v="0"/>
    <s v="BR3-5, BR-7"/>
    <s v="62-304.520 (10), F.A.C."/>
    <n v="0.59"/>
    <n v="0.64"/>
    <s v="City of Cocoa Beach"/>
    <n v="3.0144964814600001E-3"/>
    <n v="3761.6001605256201"/>
    <n v="10.820338973402601"/>
    <n v="2.0846116734761999"/>
    <n v="3.261787376361E-2"/>
    <n v="6.2840545549200004E-3"/>
    <n v="11.3393304485939"/>
    <n v="1300"/>
    <s v="Residential, High Density"/>
    <n v="1300"/>
    <s v="City of Cocoa Beach           Brevard County"/>
    <s v="City of Cocoa Beach"/>
    <m/>
    <m/>
    <m/>
    <n v="0"/>
    <n v="1"/>
    <n v="3.261787376361E-2"/>
    <n v="6.2840545549200004E-3"/>
    <n v="1051.79232325369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51.461961347304999"/>
    <n v="12.1992344463305"/>
    <n v="0.85303513649999996"/>
  </r>
  <r>
    <n v="830000"/>
    <n v="2400000"/>
    <n v="2400000"/>
    <x v="0"/>
    <x v="0"/>
    <s v="BR3-5, BR-7"/>
    <s v="62-304.520 (10), F.A.C."/>
    <n v="0.59"/>
    <n v="0.64"/>
    <s v="City of Cocoa Beach"/>
    <n v="9.1846897661009994E-2"/>
    <n v="3758.8981531250702"/>
    <n v="10.8130311252903"/>
    <n v="2.08325781237515"/>
    <n v="0.99314336316987994"/>
    <n v="0.19134076709472"/>
    <n v="345.24313398824501"/>
    <n v="1300"/>
    <s v="Residential, High Density"/>
    <n v="1300"/>
    <s v="City of Cocoa Beach           Brevard County"/>
    <s v="City of Cocoa Beach"/>
    <m/>
    <m/>
    <m/>
    <n v="0"/>
    <n v="1"/>
    <n v="0.99314336316987994"/>
    <n v="0.19134076709472"/>
    <n v="1043.70411707223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11.76175552046"/>
    <n v="371.69120767698303"/>
    <n v="0.8464753585"/>
  </r>
  <r>
    <n v="830000"/>
    <n v="2400000"/>
    <n v="2500000"/>
    <x v="0"/>
    <x v="0"/>
    <s v="BR3-5, BR-7"/>
    <s v="62-304.520 (10), F.A.C."/>
    <n v="0.59"/>
    <n v="0.64"/>
    <s v="City of Cocoa Beach"/>
    <n v="1.2707540092350001E-2"/>
    <n v="3754.8754972583802"/>
    <n v="10.802199967825601"/>
    <n v="2.0812572217348602"/>
    <n v="0.13726938917677001"/>
    <n v="2.6447659587689999E-2"/>
    <n v="47.715230923208502"/>
    <n v="1300"/>
    <s v="Residential, High Density"/>
    <n v="1300"/>
    <s v="City of Cocoa Beach           Brevard County"/>
    <s v="City of Cocoa Beach"/>
    <m/>
    <m/>
    <m/>
    <n v="0"/>
    <n v="1"/>
    <n v="0.13726938917677001"/>
    <n v="2.6447659587689999E-2"/>
    <n v="1220.41225481997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29.721015642411"/>
    <n v="51.425590235647498"/>
    <n v="0.98979096089999996"/>
  </r>
  <r>
    <n v="830000"/>
    <n v="2400000"/>
    <n v="2500000"/>
    <x v="0"/>
    <x v="0"/>
    <s v="BR3-5, BR-7"/>
    <s v="62-304.520 (10), F.A.C."/>
    <n v="0.59"/>
    <n v="0.64"/>
    <s v="City of Cocoa Beach"/>
    <n v="8.5088510634069997E-2"/>
    <n v="3761.6001606657501"/>
    <n v="10.820338973805701"/>
    <n v="2.08461167355386"/>
    <n v="0.92068652783698002"/>
    <n v="0.1773765025531"/>
    <n v="320.06895527195297"/>
    <n v="1300"/>
    <s v="Residential, High Density"/>
    <n v="1300"/>
    <s v="City of Cocoa Beach           Brevard County"/>
    <s v="City of Cocoa Beach"/>
    <m/>
    <m/>
    <m/>
    <n v="0"/>
    <n v="1"/>
    <n v="0.92068652783698002"/>
    <n v="0.1773765025531"/>
    <n v="333.52738978756702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19.001590190985"/>
    <n v="344.340985731964"/>
    <n v="0.27050072159999999"/>
  </r>
  <r>
    <n v="830000"/>
    <n v="2400000"/>
    <n v="2500000"/>
    <x v="0"/>
    <x v="0"/>
    <s v="BR3-5, BR-7"/>
    <s v="62-304.520 (10), F.A.C."/>
    <n v="0.59"/>
    <n v="0.64"/>
    <s v="City of Cocoa Beach"/>
    <n v="8.5537296502799995E-3"/>
    <n v="3761.6001606657501"/>
    <n v="10.820338973805701"/>
    <n v="2.08461167355386"/>
    <n v="9.255425430632E-2"/>
    <n v="1.783120468139E-2"/>
    <n v="32.175710826784602"/>
    <n v="1300"/>
    <s v="Residential, High Density"/>
    <n v="1300"/>
    <s v="City of Cocoa Beach           Brevard County"/>
    <s v="City of Cocoa Beach"/>
    <m/>
    <m/>
    <m/>
    <n v="0"/>
    <n v="1"/>
    <n v="9.255425430632E-2"/>
    <n v="1.783120468139E-2"/>
    <n v="943.38034794816804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66.639520991727494"/>
    <n v="34.615715770708398"/>
    <n v="0.76510977120000001"/>
  </r>
  <r>
    <n v="830000"/>
    <n v="2400000"/>
    <n v="2500000"/>
    <x v="0"/>
    <x v="0"/>
    <s v="BR3-5, BR-7"/>
    <s v="62-304.520 (10), F.A.C."/>
    <n v="0.59"/>
    <n v="0.64"/>
    <s v="City of Cocoa Beach"/>
    <n v="1.5452039298399999E-3"/>
    <n v="3761.6001606657501"/>
    <n v="10.820338973805701"/>
    <n v="2.08461167355386"/>
    <n v="1.6719630304619999E-2"/>
    <n v="3.2211501501799998E-3"/>
    <n v="5.8124393507813501"/>
    <n v="1300"/>
    <s v="Residential, High Density"/>
    <n v="1300"/>
    <s v="City of Cocoa Beach           Brevard County"/>
    <s v="City of Cocoa Beach"/>
    <m/>
    <m/>
    <m/>
    <n v="0"/>
    <n v="1"/>
    <n v="1.6719630304619999E-2"/>
    <n v="3.2211501501799998E-3"/>
    <n v="580.88915800674602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17.560051438030499"/>
    <n v="6.2532184474281696"/>
    <n v="0.47111853850000002"/>
  </r>
  <r>
    <n v="840000"/>
    <n v="2400000"/>
    <n v="2400000"/>
    <x v="0"/>
    <x v="0"/>
    <s v="BR3-5, BR-7"/>
    <s v="62-304.520 (10), F.A.C."/>
    <n v="0.59"/>
    <n v="0.64"/>
    <s v="City of Cocoa Beach"/>
    <n v="4.6844095314999999E-4"/>
    <n v="3761.6001606657501"/>
    <n v="10.820338973805701"/>
    <n v="2.08461167355386"/>
    <n v="5.0686899023899999E-3"/>
    <n v="9.7651747932000002E-4"/>
    <n v="1.76208756466531"/>
    <n v="1300"/>
    <s v="Residential, High Density"/>
    <n v="1300"/>
    <s v="City of Cocoa Beach           Brevard County"/>
    <s v="City of Cocoa Beach"/>
    <m/>
    <m/>
    <m/>
    <n v="0"/>
    <n v="1"/>
    <n v="5.0686899023899999E-3"/>
    <n v="9.7651747932000002E-4"/>
    <n v="2318.4846496445198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21.367111189582101"/>
    <n v="1.89571327980813"/>
    <n v="1.8803606241999999"/>
  </r>
  <r>
    <n v="840000"/>
    <n v="2400000"/>
    <n v="2400000"/>
    <x v="0"/>
    <x v="0"/>
    <s v="BR3-5, BR-7"/>
    <s v="62-304.520 (10), F.A.C."/>
    <n v="0.59"/>
    <n v="0.64"/>
    <s v="City of Cocoa Beach"/>
    <n v="8.2849621534999995E-4"/>
    <n v="3761.6001601052299"/>
    <n v="10.8203389721933"/>
    <n v="2.0846116732432298"/>
    <n v="8.9646098873099999E-3"/>
    <n v="1.72709288176E-3"/>
    <n v="3.11647149632218"/>
    <n v="1300"/>
    <s v="Residential, High Density"/>
    <n v="1300"/>
    <s v="City of Cocoa Beach           Brevard County"/>
    <s v="City of Cocoa Beach"/>
    <m/>
    <m/>
    <m/>
    <n v="0"/>
    <n v="1"/>
    <n v="8.9646098873099999E-3"/>
    <n v="1.72709288176E-3"/>
    <n v="1317.5866469792099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41.299130994092899"/>
    <n v="3.35280523004131"/>
    <n v="1.0686023090000001"/>
  </r>
  <r>
    <n v="840000"/>
    <n v="2400000"/>
    <n v="2400000"/>
    <x v="0"/>
    <x v="0"/>
    <s v="BR3-5, BR-7"/>
    <s v="62-304.520 (10), F.A.C."/>
    <n v="0.59"/>
    <n v="0.64"/>
    <s v="City of Cocoa Beach"/>
    <n v="8.0847395989000004E-4"/>
    <n v="3761.6001601052299"/>
    <n v="10.8203389721933"/>
    <n v="2.0846116732432298"/>
    <n v="8.7479622962E-3"/>
    <n v="1.6853542542999999E-3"/>
    <n v="3.0411557769631301"/>
    <n v="1300"/>
    <s v="Residential, High Density"/>
    <n v="1300"/>
    <s v="City of Cocoa Beach           Brevard County"/>
    <s v="City of Cocoa Beach"/>
    <m/>
    <m/>
    <m/>
    <n v="0"/>
    <n v="1"/>
    <n v="8.7479622962E-3"/>
    <n v="1.6853542542999999E-3"/>
    <n v="1589.06030459612"/>
    <m/>
    <n v="-1"/>
    <n v="-1"/>
    <n v="-1"/>
    <n v="-1"/>
    <n v="0"/>
    <m/>
    <m/>
    <s v="Banana River B"/>
    <n v="-1"/>
    <m/>
    <m/>
    <n v="377"/>
    <x v="14"/>
    <s v="Banana River Retention"/>
    <x v="0"/>
    <n v="1.142728"/>
    <n v="71.190669710054607"/>
    <n v="3.2717780369259799"/>
    <n v="1.2887755916999999"/>
  </r>
  <r>
    <n v="830000"/>
    <n v="2400000"/>
    <n v="2400000"/>
    <x v="0"/>
    <x v="0"/>
    <s v="BR3-5, BR-7"/>
    <s v="62-304.520 (10), F.A.C."/>
    <n v="0.59"/>
    <n v="0.64"/>
    <s v="City of Cocoa Beach"/>
    <n v="4.5678694037479997E-2"/>
    <n v="3761.5798087868202"/>
    <n v="10.8202516724301"/>
    <n v="2.0845915085551199"/>
    <n v="0.49425496555346998"/>
    <n v="9.5221417712420001E-2"/>
    <n v="171.824053183139"/>
    <n v="1300"/>
    <s v="Residential, High Density"/>
    <n v="1300"/>
    <s v="City of Cocoa Beach           Brevard County"/>
    <s v="City of Cocoa Beach"/>
    <m/>
    <m/>
    <m/>
    <n v="0"/>
    <n v="1"/>
    <n v="0.49425496555346998"/>
    <n v="9.5221417712420001E-2"/>
    <n v="258.03072988901698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69.438077861803606"/>
    <n v="184.85511633242399"/>
    <n v="0.20927066499999999"/>
  </r>
  <r>
    <n v="830000"/>
    <n v="2400000"/>
    <n v="2400000"/>
    <x v="0"/>
    <x v="0"/>
    <s v="BR3-5, BR-7"/>
    <s v="62-304.520 (10), F.A.C."/>
    <n v="0.59"/>
    <n v="0.64"/>
    <s v="City of Cocoa Beach"/>
    <n v="6.1714862543060002E-2"/>
    <n v="3761.6001606657501"/>
    <n v="10.820338973805701"/>
    <n v="2.08461167355386"/>
    <n v="0.66777573243779997"/>
    <n v="0.12865152288904"/>
    <n v="232.146636857461"/>
    <n v="1300"/>
    <s v="Residential, High Density"/>
    <n v="1300"/>
    <s v="City of Cocoa Beach           Brevard County"/>
    <s v="City of Cocoa Beach"/>
    <m/>
    <m/>
    <m/>
    <n v="0"/>
    <n v="1"/>
    <n v="0.66777573243779997"/>
    <n v="0.12865152288904"/>
    <n v="2318.4846496445198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82.508616426155001"/>
    <n v="249.75118783993901"/>
    <n v="1.8803606241999999"/>
  </r>
  <r>
    <n v="830000"/>
    <n v="2400000"/>
    <n v="2400000"/>
    <x v="0"/>
    <x v="0"/>
    <s v="BR3-5, BR-7"/>
    <s v="62-304.520 (10), F.A.C."/>
    <n v="0.59"/>
    <n v="0.64"/>
    <s v="City of Cocoa Beach"/>
    <n v="7.050606268048E-2"/>
    <n v="3761.6001612262698"/>
    <n v="10.820338975418"/>
    <n v="2.0846116738644902"/>
    <n v="0.76289949802490997"/>
    <n v="0.14697776134195001"/>
    <n v="265.21561674633801"/>
    <n v="1300"/>
    <s v="Residential, High Density"/>
    <n v="1300"/>
    <s v="City of Cocoa Beach           Brevard County"/>
    <s v="City of Cocoa Beach"/>
    <m/>
    <m/>
    <m/>
    <n v="0"/>
    <n v="1"/>
    <n v="0.76289949802490997"/>
    <n v="0.14697776134195001"/>
    <n v="1488.9414267872801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11.012506750781"/>
    <n v="285.32791257665201"/>
    <n v="1.2075761774"/>
  </r>
  <r>
    <n v="830000"/>
    <n v="2400000"/>
    <n v="2400000"/>
    <x v="0"/>
    <x v="0"/>
    <s v="BR3-5, BR-7"/>
    <s v="62-304.520 (10), F.A.C."/>
    <n v="0.59"/>
    <n v="0.64"/>
    <s v="City of Cocoa Beach"/>
    <n v="2.1550258953900001E-3"/>
    <n v="3735.0741333655501"/>
    <n v="9.91847478693734"/>
    <n v="1.66678720725565"/>
    <n v="2.137457000865E-2"/>
    <n v="3.5919695937399999E-3"/>
    <n v="8.0491814786153402"/>
    <n v="1200"/>
    <s v="Residential, Medium Density-Two-five dwellingunits per acre"/>
    <n v="1200"/>
    <s v="City of Cocoa Beach           Brevard County"/>
    <s v="City of Cocoa Beach"/>
    <m/>
    <m/>
    <m/>
    <n v="0"/>
    <n v="1"/>
    <n v="2.137457000865E-2"/>
    <n v="3.5919695937399999E-3"/>
    <n v="460.91974107297801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24.098872828939399"/>
    <n v="8.72108038520979"/>
    <n v="0.37381974130000001"/>
  </r>
  <r>
    <n v="830000"/>
    <n v="2400000"/>
    <n v="2400000"/>
    <x v="0"/>
    <x v="0"/>
    <s v="BR3-5, BR-7"/>
    <s v="62-304.520 (10), F.A.C."/>
    <n v="0.59"/>
    <n v="0.64"/>
    <s v="City of Cocoa Beach"/>
    <n v="8.4016260354200008E-3"/>
    <n v="3735.0741333655501"/>
    <n v="9.91847478693734"/>
    <n v="1.66678720725565"/>
    <n v="8.33313160016E-2"/>
    <n v="1.400372279598E-2"/>
    <n v="31.380696083111498"/>
    <n v="1300"/>
    <s v="Residential, High Density"/>
    <n v="1300"/>
    <s v="City of Cocoa Beach           Brevard County"/>
    <s v="City of Cocoa Beach"/>
    <m/>
    <m/>
    <m/>
    <n v="0"/>
    <n v="1"/>
    <n v="8.33313160016E-2"/>
    <n v="1.400372279598E-2"/>
    <n v="421.22179088635301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50.871642211544497"/>
    <n v="34.000174280045499"/>
    <n v="0.3416235125"/>
  </r>
  <r>
    <n v="830000"/>
    <n v="2400000"/>
    <n v="2400000"/>
    <x v="0"/>
    <x v="0"/>
    <s v="BR3-5, BR-7"/>
    <s v="62-304.520 (10), F.A.C."/>
    <n v="0.59"/>
    <n v="0.64"/>
    <s v="City of Cocoa Beach"/>
    <n v="3.3038686565150001E-2"/>
    <n v="3741.8746443498799"/>
    <n v="10.1229369516556"/>
    <n v="1.7608810384035101"/>
    <n v="0.33444854106452998"/>
    <n v="5.8177196706330002E-2"/>
    <n v="123.626623540761"/>
    <n v="1200"/>
    <s v="Residential, Medium Density-Two-five dwellingunits per acre"/>
    <n v="1200"/>
    <s v="City of Cocoa Beach           Brevard County"/>
    <s v="City of Cocoa Beach"/>
    <m/>
    <m/>
    <m/>
    <n v="0"/>
    <n v="1"/>
    <n v="0.33444854106452998"/>
    <n v="5.8177196706330002E-2"/>
    <n v="281.96550064121197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46.259045861942603"/>
    <n v="133.70282091383999"/>
    <n v="0.22868248229999999"/>
  </r>
  <r>
    <n v="830000"/>
    <n v="2400000"/>
    <n v="2400000"/>
    <x v="0"/>
    <x v="0"/>
    <s v="BR3-5, BR-7"/>
    <s v="62-304.520 (10), F.A.C."/>
    <n v="0.59"/>
    <n v="0.64"/>
    <s v="City of Cocoa Beach"/>
    <n v="7.1324535804729999E-2"/>
    <n v="3741.8746443498799"/>
    <n v="10.1229369516556"/>
    <n v="1.7608810384035101"/>
    <n v="0.72201377905737996"/>
    <n v="0.12559402267148001"/>
    <n v="266.88747204774398"/>
    <n v="1300"/>
    <s v="Residential, High Density"/>
    <n v="1300"/>
    <s v="City of Cocoa Beach           Brevard County"/>
    <s v="City of Cocoa Beach"/>
    <m/>
    <m/>
    <m/>
    <n v="0"/>
    <n v="1"/>
    <n v="0.72201377905737996"/>
    <n v="0.12559402267148001"/>
    <n v="266.88747204774501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72.350540375385606"/>
    <n v="288.64015579607002"/>
    <n v="0.2164537486"/>
  </r>
  <r>
    <n v="830000"/>
    <n v="2400000"/>
    <n v="2400000"/>
    <x v="0"/>
    <x v="0"/>
    <s v="BR3-5, BR-7"/>
    <s v="62-304.520 (10), F.A.C."/>
    <n v="0.59"/>
    <n v="0.64"/>
    <s v="City of Cocoa Beach"/>
    <n v="4.6290210359899997E-3"/>
    <n v="3741.8746443498799"/>
    <n v="10.1229369516556"/>
    <n v="1.7608810384035101"/>
    <n v="4.6859288095230003E-2"/>
    <n v="8.1511553686400007E-3"/>
    <n v="17.321216442740699"/>
    <n v="1210"/>
    <s v="Fixed Single Family Units"/>
    <n v="1210"/>
    <s v="City of Cocoa Beach           Brevard County"/>
    <s v="City of Cocoa Beach"/>
    <m/>
    <m/>
    <m/>
    <n v="0"/>
    <n v="1"/>
    <n v="4.6859288095230003E-2"/>
    <n v="8.1511553686400007E-3"/>
    <n v="755.33592627580595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8.5813442202654"/>
    <n v="18.7329835089288"/>
    <n v="0.61260010239999996"/>
  </r>
  <r>
    <n v="830000"/>
    <n v="2400000"/>
    <n v="2400000"/>
    <x v="0"/>
    <x v="0"/>
    <s v="BR3-5, BR-7"/>
    <s v="62-304.520 (10), F.A.C."/>
    <n v="0.59"/>
    <n v="0.64"/>
    <s v="City of Cocoa Beach"/>
    <n v="1.700866178319E-2"/>
    <n v="3741.8746443498799"/>
    <n v="10.1229369516556"/>
    <n v="1.7608810384035101"/>
    <n v="0.17217761086335001"/>
    <n v="2.9950230022650001E-2"/>
    <n v="63.644280260875199"/>
    <n v="1300"/>
    <s v="Residential, High Density"/>
    <n v="1300"/>
    <s v="City of Cocoa Beach           Brevard County"/>
    <s v="City of Cocoa Beach"/>
    <m/>
    <m/>
    <m/>
    <n v="0"/>
    <n v="1"/>
    <n v="0.17217761086335001"/>
    <n v="2.9950230022650001E-2"/>
    <n v="1007.40450512401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63.141938735008203"/>
    <n v="68.831612173767198"/>
    <n v="0.81703528400000003"/>
  </r>
  <r>
    <n v="830000"/>
    <n v="2400000"/>
    <n v="2400000"/>
    <x v="0"/>
    <x v="0"/>
    <s v="BR3-5, BR-7"/>
    <s v="62-304.520 (10), F.A.C."/>
    <n v="0.59"/>
    <n v="0.64"/>
    <s v="City of Cocoa Beach"/>
    <n v="0.31544162719546998"/>
    <n v="3761.6001601052299"/>
    <n v="10.8203389721933"/>
    <n v="2.0846116732432298"/>
    <n v="3.4131853321952899"/>
    <n v="0.65757329827851996"/>
    <n v="1186.5652753623499"/>
    <n v="1300"/>
    <s v="Residential, High Density"/>
    <n v="1300"/>
    <s v="City of Cocoa Beach           Brevard County"/>
    <s v="City of Cocoa Beach"/>
    <m/>
    <m/>
    <m/>
    <n v="0"/>
    <n v="1"/>
    <n v="3.4131853321952899"/>
    <n v="0.65757329827851996"/>
    <n v="1317.5866469792099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52.716502699796"/>
    <n v="1276.5469749083099"/>
    <n v="1.0686023090000001"/>
  </r>
  <r>
    <n v="830000"/>
    <n v="2400000"/>
    <n v="2400000"/>
    <x v="0"/>
    <x v="0"/>
    <s v="BR3-5, BR-7"/>
    <s v="62-304.520 (10), F.A.C."/>
    <n v="0.59"/>
    <n v="0.64"/>
    <s v="City of Cocoa Beach"/>
    <n v="7.7380098636299997E-3"/>
    <n v="3761.6001601052299"/>
    <n v="10.8203389721933"/>
    <n v="2.0846116732432298"/>
    <n v="8.3727889694670002E-2"/>
    <n v="1.6130745689389998E-2"/>
    <n v="29.1072991419339"/>
    <n v="1300"/>
    <s v="Residential, High Density"/>
    <n v="1300"/>
    <s v="City of Cocoa Beach           Brevard County"/>
    <s v="City of Cocoa Beach"/>
    <m/>
    <m/>
    <m/>
    <n v="0"/>
    <n v="1"/>
    <n v="8.3727889694670002E-2"/>
    <n v="1.6130745689389998E-2"/>
    <n v="822.98247996599298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54.010464683309301"/>
    <n v="31.314614913235001"/>
    <n v="0.66746348740000006"/>
  </r>
  <r>
    <n v="830000"/>
    <n v="2400000"/>
    <n v="2400000"/>
    <x v="0"/>
    <x v="0"/>
    <s v="BR3-5, BR-7"/>
    <s v="62-304.520 (10), F.A.C."/>
    <n v="0.59"/>
    <n v="0.64"/>
    <s v="City of Cocoa Beach"/>
    <n v="2.8703104134389999E-2"/>
    <n v="3761.6001606657501"/>
    <n v="10.820338973805701"/>
    <n v="2.08461167355386"/>
    <n v="0.31057731633462998"/>
    <n v="5.9834825945790003E-2"/>
    <n v="107.969601123557"/>
    <n v="1300"/>
    <s v="Residential, High Density"/>
    <n v="1300"/>
    <s v="City of Cocoa Beach           Brevard County"/>
    <s v="City of Cocoa Beach"/>
    <m/>
    <m/>
    <m/>
    <n v="0"/>
    <n v="1"/>
    <n v="0.31057731633462998"/>
    <n v="5.9834825945790003E-2"/>
    <n v="958.87430576228098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05.356472504368"/>
    <n v="116.157341309103"/>
    <n v="0.77767583600000001"/>
  </r>
  <r>
    <n v="830000"/>
    <n v="2400000"/>
    <n v="2400000"/>
    <x v="0"/>
    <x v="0"/>
    <s v="BR3-5, BR-7"/>
    <s v="62-304.520 (10), F.A.C."/>
    <n v="0.59"/>
    <n v="0.64"/>
    <s v="City of Cocoa Beach"/>
    <n v="0.17656717695669"/>
    <n v="3761.6001606657501"/>
    <n v="10.820338973805701"/>
    <n v="2.08461167355386"/>
    <n v="1.91051670631937"/>
    <n v="0.36807399825037002"/>
    <n v="664.17512120860204"/>
    <n v="1300"/>
    <s v="Residential, High Density"/>
    <n v="1300"/>
    <s v="City of Cocoa Beach           Brevard County"/>
    <s v="City of Cocoa Beach"/>
    <m/>
    <m/>
    <m/>
    <n v="0"/>
    <n v="1"/>
    <n v="1.91051670631937"/>
    <n v="0.36807399825037002"/>
    <n v="664.17512120860204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31.098743777788"/>
    <n v="714.54201405223898"/>
    <n v="0.53866595390000005"/>
  </r>
  <r>
    <n v="830000"/>
    <n v="2400000"/>
    <n v="2400000"/>
    <x v="0"/>
    <x v="0"/>
    <s v="BR3-5, BR-7"/>
    <s v="62-304.520 (10), F.A.C."/>
    <n v="0.59"/>
    <n v="0.64"/>
    <s v="City of Cocoa Beach"/>
    <n v="2.3939175073419999E-2"/>
    <n v="3761.6001606657501"/>
    <n v="10.820338973805701"/>
    <n v="2.08461167355386"/>
    <n v="0.25902998904771002"/>
    <n v="4.99038838133E-2"/>
    <n v="90.049604802393503"/>
    <n v="1300"/>
    <s v="Residential, High Density"/>
    <n v="1300"/>
    <s v="City of Cocoa Beach           Brevard County"/>
    <s v="City of Cocoa Beach"/>
    <m/>
    <m/>
    <m/>
    <n v="0"/>
    <n v="1"/>
    <n v="0.25902998904771002"/>
    <n v="4.99038838133E-2"/>
    <n v="1526.7774809136999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95.212390677888806"/>
    <n v="96.878404392840906"/>
    <n v="1.2382623527000001"/>
  </r>
  <r>
    <n v="830000"/>
    <n v="2400000"/>
    <n v="2400000"/>
    <x v="0"/>
    <x v="0"/>
    <s v="BR3-5, BR-7"/>
    <s v="62-304.520 (10), F.A.C."/>
    <n v="0.59"/>
    <n v="0.64"/>
    <s v="City of Cocoa Beach"/>
    <n v="3.1585803179499999E-3"/>
    <n v="3761.6001606657501"/>
    <n v="10.820338973805701"/>
    <n v="2.08461167355386"/>
    <n v="3.4176909716299997E-2"/>
    <n v="6.5844134026699997E-3"/>
    <n v="11.881316231510199"/>
    <n v="1300"/>
    <s v="Residential, High Density"/>
    <n v="1300"/>
    <s v="City of Cocoa Beach           Brevard County"/>
    <s v="City of Cocoa Beach"/>
    <m/>
    <m/>
    <m/>
    <n v="0"/>
    <n v="1"/>
    <n v="3.4176909716299997E-2"/>
    <n v="6.5844134026699997E-3"/>
    <n v="132.82650436177701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5.273760055731"/>
    <n v="12.782321045399"/>
    <n v="0.1077262809"/>
  </r>
  <r>
    <n v="830000"/>
    <n v="2400000"/>
    <n v="2400000"/>
    <x v="0"/>
    <x v="0"/>
    <s v="BR3-5, BR-7"/>
    <s v="62-304.520 (10), F.A.C."/>
    <n v="0.59"/>
    <n v="0.64"/>
    <s v="City of Cocoa Beach"/>
    <n v="0.16165721287217999"/>
    <n v="3761.6001601052299"/>
    <n v="10.8203389721933"/>
    <n v="2.0846116732432298"/>
    <n v="1.7491858405770899"/>
    <n v="0.33699251301731997"/>
    <n v="608.08979782218705"/>
    <n v="1300"/>
    <s v="Residential, High Density"/>
    <n v="1300"/>
    <s v="City of Cocoa Beach           Brevard County"/>
    <s v="City of Cocoa Beach"/>
    <m/>
    <m/>
    <m/>
    <n v="0"/>
    <n v="1"/>
    <n v="1.7491858405770899"/>
    <n v="0.33699251301731997"/>
    <n v="1589.06030459612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34.22051736569"/>
    <n v="654.20353013909698"/>
    <n v="1.2887755916999999"/>
  </r>
  <r>
    <n v="830000"/>
    <n v="2400000"/>
    <n v="2400000"/>
    <x v="0"/>
    <x v="0"/>
    <s v="BR3-5, BR-7"/>
    <s v="62-304.520 (10), F.A.C."/>
    <n v="0.59"/>
    <n v="0.64"/>
    <s v="City of Cocoa Beach"/>
    <n v="0.1415546480688"/>
    <n v="3761.6001601052299"/>
    <n v="10.8203389721933"/>
    <n v="2.0846116732432298"/>
    <n v="1.53166927519398"/>
    <n v="0.29508647176606001"/>
    <n v="532.47198683924898"/>
    <n v="1300"/>
    <s v="Residential, High Density"/>
    <n v="1300"/>
    <s v="City of Cocoa Beach           Brevard County"/>
    <s v="City of Cocoa Beach"/>
    <m/>
    <m/>
    <m/>
    <n v="0"/>
    <n v="1"/>
    <n v="1.53166927519398"/>
    <n v="0.29508647176606001"/>
    <n v="532.47198683924898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23.175174507672"/>
    <n v="572.851336657807"/>
    <n v="0.43185075979999998"/>
  </r>
  <r>
    <n v="830000"/>
    <n v="2400000"/>
    <n v="2400000"/>
    <x v="0"/>
    <x v="0"/>
    <s v="BR3-5, BR-7"/>
    <s v="62-304.520 (10), F.A.C."/>
    <n v="0.59"/>
    <n v="0.64"/>
    <s v="City of Cocoa Beach"/>
    <n v="2.2845269147939998E-2"/>
    <n v="3761.6001601052299"/>
    <n v="10.8203389721933"/>
    <n v="2.0846116732432298"/>
    <n v="0.24719355609179"/>
    <n v="4.762351474419E-2"/>
    <n v="85.934768084571999"/>
    <n v="1300"/>
    <s v="Residential, High Density"/>
    <n v="1300"/>
    <s v="City of Cocoa Beach           Brevard County"/>
    <s v="City of Cocoa Beach"/>
    <m/>
    <m/>
    <m/>
    <n v="0"/>
    <n v="1"/>
    <n v="0.24719355609179"/>
    <n v="4.762351474419E-2"/>
    <n v="1790.67315618109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04.367487168808"/>
    <n v="92.451524172832407"/>
    <n v="1.4522896644000001"/>
  </r>
  <r>
    <n v="830000"/>
    <n v="2400000"/>
    <n v="2400000"/>
    <x v="0"/>
    <x v="0"/>
    <s v="BR3-5, BR-7"/>
    <s v="62-304.520 (10), F.A.C."/>
    <n v="0.59"/>
    <n v="0.64"/>
    <s v="City of Cocoa Beach"/>
    <n v="0.14207838088763"/>
    <n v="3758.8981531250702"/>
    <n v="10.8130311252903"/>
    <n v="2.08325781237515"/>
    <n v="1.53629795476883"/>
    <n v="0.29598589695376998"/>
    <n v="534.05816351752401"/>
    <n v="1300"/>
    <s v="Residential, High Density"/>
    <n v="1300"/>
    <s v="City of Cocoa Beach           Brevard County"/>
    <s v="City of Cocoa Beach"/>
    <m/>
    <m/>
    <m/>
    <n v="0"/>
    <n v="1"/>
    <n v="1.53629795476883"/>
    <n v="0.29598589695376998"/>
    <n v="1043.70411707223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128.120008798687"/>
    <n v="574.97080817931203"/>
    <n v="0.8464753585"/>
  </r>
  <r>
    <n v="830000"/>
    <n v="2400000"/>
    <n v="2500000"/>
    <x v="0"/>
    <x v="0"/>
    <s v="BR3-5, BR-7"/>
    <s v="62-304.520 (10), F.A.C."/>
    <n v="0.59"/>
    <n v="0.64"/>
    <s v="City of Cocoa Beach"/>
    <n v="2.3164444513910001E-2"/>
    <n v="3754.8754972583802"/>
    <n v="10.802199967825601"/>
    <n v="2.0812572217348602"/>
    <n v="0.25022696178295001"/>
    <n v="4.8211167432069997E-2"/>
    <n v="86.979605112915806"/>
    <n v="1300"/>
    <s v="Residential, High Density"/>
    <n v="1300"/>
    <s v="City of Cocoa Beach           Brevard County"/>
    <s v="City of Cocoa Beach"/>
    <m/>
    <m/>
    <m/>
    <n v="0"/>
    <n v="1"/>
    <n v="0.25022696178295001"/>
    <n v="4.8211167432069997E-2"/>
    <n v="1220.41225481997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40.600867634796998"/>
    <n v="93.743181052482299"/>
    <n v="0.98979096089999996"/>
  </r>
  <r>
    <n v="840000"/>
    <n v="2400000"/>
    <n v="2400000"/>
    <x v="0"/>
    <x v="0"/>
    <s v="BR3-5, BR-7"/>
    <s v="62-304.520 (10), F.A.C."/>
    <n v="0.59"/>
    <n v="0.64"/>
    <s v="City of Cocoa Beach"/>
    <n v="4.6844095314999999E-4"/>
    <n v="3761.6001606657501"/>
    <n v="10.820338973805701"/>
    <n v="2.08461167355386"/>
    <n v="5.0686899023899999E-3"/>
    <n v="9.7651747932000002E-4"/>
    <n v="1.76208756466531"/>
    <n v="1300"/>
    <s v="Residential, High Density"/>
    <n v="1300"/>
    <s v="City of Cocoa Beach           Brevard County"/>
    <s v="City of Cocoa Beach"/>
    <m/>
    <m/>
    <m/>
    <n v="0"/>
    <n v="1"/>
    <n v="5.0686899023899999E-3"/>
    <n v="9.7651747932000002E-4"/>
    <n v="2318.4846496445198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21.367111189582101"/>
    <n v="1.89571327980813"/>
    <n v="1.8803606241999999"/>
  </r>
  <r>
    <n v="840000"/>
    <n v="2400000"/>
    <n v="2400000"/>
    <x v="0"/>
    <x v="0"/>
    <s v="BR3-5, BR-7"/>
    <s v="62-304.520 (10), F.A.C."/>
    <n v="0.59"/>
    <n v="0.64"/>
    <s v="City of Cocoa Beach"/>
    <n v="8.2849621534999995E-4"/>
    <n v="3761.6001601052299"/>
    <n v="10.8203389721933"/>
    <n v="2.0846116732432298"/>
    <n v="8.9646098873099999E-3"/>
    <n v="1.72709288176E-3"/>
    <n v="3.11647149632218"/>
    <n v="1300"/>
    <s v="Residential, High Density"/>
    <n v="1300"/>
    <s v="City of Cocoa Beach           Brevard County"/>
    <s v="City of Cocoa Beach"/>
    <m/>
    <m/>
    <m/>
    <n v="0"/>
    <n v="1"/>
    <n v="8.9646098873099999E-3"/>
    <n v="1.72709288176E-3"/>
    <n v="1317.5866469792099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41.299130994092899"/>
    <n v="3.35280523004131"/>
    <n v="1.0686023090000001"/>
  </r>
  <r>
    <n v="840000"/>
    <n v="2400000"/>
    <n v="2400000"/>
    <x v="0"/>
    <x v="0"/>
    <s v="BR3-5, BR-7"/>
    <s v="62-304.520 (10), F.A.C."/>
    <n v="0.59"/>
    <n v="0.64"/>
    <s v="City of Cocoa Beach"/>
    <n v="8.0847395989000004E-4"/>
    <n v="3761.6001601052299"/>
    <n v="10.8203389721933"/>
    <n v="2.0846116732432298"/>
    <n v="8.7479622962E-3"/>
    <n v="1.6853542542999999E-3"/>
    <n v="3.0411557769631301"/>
    <n v="1300"/>
    <s v="Residential, High Density"/>
    <n v="1300"/>
    <s v="City of Cocoa Beach           Brevard County"/>
    <s v="City of Cocoa Beach"/>
    <m/>
    <m/>
    <m/>
    <n v="0"/>
    <n v="1"/>
    <n v="8.7479622962E-3"/>
    <n v="1.6853542542999999E-3"/>
    <n v="1589.06030459612"/>
    <m/>
    <n v="-1"/>
    <n v="-1"/>
    <n v="-1"/>
    <n v="-1"/>
    <n v="0"/>
    <m/>
    <m/>
    <s v="Banana River B"/>
    <n v="-1"/>
    <m/>
    <m/>
    <n v="378"/>
    <x v="15"/>
    <s v="Banana River Retention"/>
    <x v="0"/>
    <n v="1.363408"/>
    <n v="71.190669710054607"/>
    <n v="3.2717780369259799"/>
    <n v="1.2887755916999999"/>
  </r>
  <r>
    <n v="630000"/>
    <n v="1300000"/>
    <n v="1300000"/>
    <x v="0"/>
    <x v="0"/>
    <s v="BR3-5, BR-7"/>
    <s v="62-304.520 (10), F.A.C."/>
    <n v="0.59"/>
    <n v="0.64"/>
    <s v="City of Cocoa Beach"/>
    <n v="1.348510492908E-2"/>
    <n v="3796.1064631833101"/>
    <n v="8.8266635144335108"/>
    <n v="1.4526754567379101"/>
    <n v="0.11902848366586"/>
    <n v="1.9589480962009999E-2"/>
    <n v="51.190893978004603"/>
    <n v="1750"/>
    <s v="Governmental"/>
    <n v="1750"/>
    <s v="City of Cocoa Beach           Brevard County"/>
    <s v="City of Cocoa Beach"/>
    <m/>
    <m/>
    <m/>
    <n v="0"/>
    <n v="1"/>
    <n v="0.11902848366586"/>
    <n v="1.9589480962009999E-2"/>
    <n v="212.102180547784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31.029250730338099"/>
    <n v="54.5722834890055"/>
    <n v="0.17202123320000001"/>
  </r>
  <r>
    <n v="630000"/>
    <n v="1300000"/>
    <n v="1300000"/>
    <x v="0"/>
    <x v="0"/>
    <s v="BR3-5, BR-7"/>
    <s v="62-304.520 (10), F.A.C."/>
    <n v="0.59"/>
    <n v="0.64"/>
    <s v="City of Cocoa Beach"/>
    <n v="2.328926634918E-2"/>
    <n v="3734.5185289246301"/>
    <n v="8.2792638428047098"/>
    <n v="1.27948949585256"/>
    <n v="0.19281798081028001"/>
    <n v="2.97983716599E-2"/>
    <n v="86.974196706107193"/>
    <n v="1750"/>
    <s v="Governmental"/>
    <n v="1750"/>
    <s v="City of Cocoa Beach           Brevard County"/>
    <s v="City of Cocoa Beach"/>
    <m/>
    <m/>
    <m/>
    <n v="0"/>
    <n v="1"/>
    <n v="0.19281798081028001"/>
    <n v="2.97983716599E-2"/>
    <n v="1657.374271171459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63.944239508289499"/>
    <n v="94.248317098199195"/>
    <n v="1.3441802686"/>
  </r>
  <r>
    <n v="650000"/>
    <n v="2300000"/>
    <n v="2300000"/>
    <x v="0"/>
    <x v="0"/>
    <s v="BR3-5, BR-7"/>
    <s v="62-304.520 (10), F.A.C."/>
    <n v="0.59"/>
    <n v="0.64"/>
    <s v="City of Cocoa Beach"/>
    <n v="4.2619450742800002E-3"/>
    <n v="3780.30688682853"/>
    <n v="10.8701205903584"/>
    <n v="2.0937337319537899"/>
    <n v="4.6327856906919998E-2"/>
    <n v="8.9233781657499997E-3"/>
    <n v="16.111460315593199"/>
    <n v="1300"/>
    <s v="Residential, High Density"/>
    <n v="1300"/>
    <s v="City of Cocoa Beach           Brevard County"/>
    <s v="City of Cocoa Beach"/>
    <m/>
    <m/>
    <m/>
    <n v="0"/>
    <n v="1"/>
    <n v="4.6327856906919998E-2"/>
    <n v="8.9233781657499997E-3"/>
    <n v="253.4166798480129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20.209053360271501"/>
    <n v="17.2474797957722"/>
    <n v="0.20552853190000001"/>
  </r>
  <r>
    <n v="650000"/>
    <n v="2300000"/>
    <n v="2300000"/>
    <x v="0"/>
    <x v="0"/>
    <s v="BR3-5, BR-7"/>
    <s v="62-304.520 (10), F.A.C."/>
    <n v="0.59"/>
    <n v="0.64"/>
    <s v="City of Cocoa Beach"/>
    <n v="6.4894542391630006E-2"/>
    <n v="3757.3267528548099"/>
    <n v="10.14152876366"/>
    <n v="1.7597422292543301"/>
    <n v="0.65812986826927"/>
    <n v="0.11419766669468"/>
    <n v="243.83000024234201"/>
    <n v="1300"/>
    <s v="Residential, High Density"/>
    <n v="1300"/>
    <s v="City of Cocoa Beach           Brevard County"/>
    <s v="City of Cocoa Beach"/>
    <m/>
    <m/>
    <m/>
    <n v="0"/>
    <n v="1"/>
    <n v="0.65812986826927"/>
    <n v="0.11419766669468"/>
    <n v="358.6628860749129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46.36381318789901"/>
    <n v="262.618895656277"/>
    <n v="0.29088636340000001"/>
  </r>
  <r>
    <n v="650000"/>
    <n v="2300000"/>
    <n v="2300000"/>
    <x v="0"/>
    <x v="0"/>
    <s v="BR3-5, BR-7"/>
    <s v="62-304.520 (10), F.A.C."/>
    <n v="0.59"/>
    <n v="0.64"/>
    <s v="City of Cocoa Beach"/>
    <n v="0.11900303486574999"/>
    <n v="3757.3267528548099"/>
    <n v="10.14152876366"/>
    <n v="1.7597422292543301"/>
    <n v="1.20687270105385"/>
    <n v="0.20941466586268001"/>
    <n v="447.13328657199997"/>
    <n v="1300"/>
    <s v="Residential, High Density"/>
    <n v="1300"/>
    <s v="City of Cocoa Beach           Brevard County"/>
    <s v="City of Cocoa Beach"/>
    <m/>
    <m/>
    <m/>
    <n v="0"/>
    <n v="1"/>
    <n v="1.20687270105385"/>
    <n v="0.20941466586268001"/>
    <n v="897.6260749710299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11.100154247227"/>
    <n v="481.58819593155698"/>
    <n v="0.7280016829"/>
  </r>
  <r>
    <n v="650000"/>
    <n v="2300000"/>
    <n v="2300000"/>
    <x v="0"/>
    <x v="0"/>
    <s v="BR3-5, BR-7"/>
    <s v="62-304.520 (10), F.A.C."/>
    <n v="0.59"/>
    <n v="0.64"/>
    <s v="City of Cocoa Beach"/>
    <n v="0.20379506126537"/>
    <n v="3753.7732455074201"/>
    <n v="10.0798447195052"/>
    <n v="1.77154147761529"/>
    <n v="2.05422257215703"/>
    <n v="0.36103140396476002"/>
    <n v="765.000448544508"/>
    <n v="1200"/>
    <s v="Residential, Medium Density-Two-five dwellingunits per acre"/>
    <n v="1200"/>
    <s v="City of Cocoa Beach           Brevard County"/>
    <s v="City of Cocoa Beach"/>
    <m/>
    <m/>
    <m/>
    <n v="0"/>
    <n v="1"/>
    <n v="2.05422257215703"/>
    <n v="0.36103140396476002"/>
    <n v="769.175614983758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21.032102016148"/>
    <n v="824.72935253518006"/>
    <n v="0.6238245053"/>
  </r>
  <r>
    <n v="650000"/>
    <n v="2300000"/>
    <n v="2300000"/>
    <x v="0"/>
    <x v="0"/>
    <s v="BR3-5, BR-7"/>
    <s v="62-304.520 (10), F.A.C."/>
    <n v="0.59"/>
    <n v="0.64"/>
    <s v="City of Cocoa Beach"/>
    <n v="2.2089163028220001E-2"/>
    <n v="3753.7732455074201"/>
    <n v="10.0798447195052"/>
    <n v="1.77154147761529"/>
    <n v="0.22265533330831999"/>
    <n v="3.9131868510299997E-2"/>
    <n v="82.917709190995296"/>
    <n v="1300"/>
    <s v="Residential, High Density"/>
    <n v="1300"/>
    <s v="City of Cocoa Beach           Brevard County"/>
    <s v="City of Cocoa Beach"/>
    <m/>
    <m/>
    <m/>
    <n v="0"/>
    <n v="1"/>
    <n v="0.22265533330831999"/>
    <n v="3.9131868510299997E-2"/>
    <n v="693.685983479902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90.602092399913204"/>
    <n v="89.3916712662039"/>
    <n v="0.56260014879999998"/>
  </r>
  <r>
    <n v="650000"/>
    <n v="2300000"/>
    <n v="2300000"/>
    <x v="0"/>
    <x v="0"/>
    <s v="BR3-5, BR-7"/>
    <s v="62-304.520 (10), F.A.C."/>
    <n v="0.59"/>
    <n v="0.64"/>
    <s v="City of Cocoa Beach"/>
    <n v="4.6201617145259999E-2"/>
    <n v="3753.7732455074201"/>
    <n v="10.0798447195052"/>
    <n v="1.77154147761529"/>
    <n v="0.46570512661430002"/>
    <n v="8.1848081105729997E-2"/>
    <n v="173.43039433907299"/>
    <n v="1820"/>
    <s v="Golf Course"/>
    <n v="1820"/>
    <s v="City of Cocoa Beach           Brevard County"/>
    <s v="City of Cocoa Beach"/>
    <m/>
    <m/>
    <m/>
    <n v="0"/>
    <n v="1"/>
    <n v="0.46570512661430002"/>
    <n v="8.1848081105729997E-2"/>
    <n v="173.430394339072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57.1073230848177"/>
    <n v="186.97131106958099"/>
    <n v="0.14065725409999999"/>
  </r>
  <r>
    <n v="650000"/>
    <n v="2300000"/>
    <n v="2300000"/>
    <x v="0"/>
    <x v="0"/>
    <s v="BR3-5, BR-7"/>
    <s v="62-304.520 (10), F.A.C."/>
    <n v="0.59"/>
    <n v="0.64"/>
    <s v="City of Cocoa Beach"/>
    <n v="7.6041440919800002E-3"/>
    <n v="3753.7732455074201"/>
    <n v="10.0798447195052"/>
    <n v="1.77154147761529"/>
    <n v="7.6648591671940006E-2"/>
    <n v="1.3471056660709999E-2"/>
    <n v="28.544232647472899"/>
    <n v="1300"/>
    <s v="Residential, High Density"/>
    <n v="1300"/>
    <s v="City of Cocoa Beach           Brevard County"/>
    <s v="City of Cocoa Beach"/>
    <m/>
    <m/>
    <m/>
    <n v="0"/>
    <n v="1"/>
    <n v="7.6648591671940006E-2"/>
    <n v="1.3471056660709999E-2"/>
    <n v="56.7160363200585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48.475069923088299"/>
    <n v="30.772879355500201"/>
    <n v="4.5998407400000003E-2"/>
  </r>
  <r>
    <n v="660000"/>
    <n v="2300000"/>
    <n v="2300000"/>
    <x v="0"/>
    <x v="0"/>
    <s v="BR3-5, BR-7"/>
    <s v="62-304.520 (10), F.A.C."/>
    <n v="0.59"/>
    <n v="0.64"/>
    <s v="City of Cocoa Beach"/>
    <n v="6.3276372356090002E-2"/>
    <n v="3728.52021845954"/>
    <n v="9.2901878153640105"/>
    <n v="1.3662044634539401"/>
    <n v="0.58784938346299997"/>
    <n v="8.6448462344060006E-2"/>
    <n v="235.92723368046299"/>
    <n v="1200"/>
    <s v="Residential, Medium Density-Two-five dwellingunits per acre"/>
    <n v="1200"/>
    <s v="City of Cocoa Beach           Brevard County"/>
    <s v="City of Cocoa Beach"/>
    <m/>
    <m/>
    <m/>
    <n v="0"/>
    <n v="1"/>
    <n v="0.58784938346299997"/>
    <n v="8.6448462344060006E-2"/>
    <n v="779.08876918817305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29.80237353517401"/>
    <n v="256.07039385542498"/>
    <n v="0.63186437080000002"/>
  </r>
  <r>
    <n v="660000"/>
    <n v="2300000"/>
    <n v="2300000"/>
    <x v="0"/>
    <x v="0"/>
    <s v="BR3-5, BR-7"/>
    <s v="62-304.520 (10), F.A.C."/>
    <n v="0.59"/>
    <n v="0.64"/>
    <s v="City of Cocoa Beach"/>
    <n v="0.12372429770894"/>
    <n v="3728.52021845954"/>
    <n v="9.2901878153640105"/>
    <n v="1.3662044634539401"/>
    <n v="1.1494219630401099"/>
    <n v="0.16903268776766001"/>
    <n v="461.30854552250798"/>
    <n v="1210"/>
    <s v="Fixed Single Family Units"/>
    <n v="1210"/>
    <s v="City of Cocoa Beach           Brevard County"/>
    <s v="City of Cocoa Beach"/>
    <m/>
    <m/>
    <m/>
    <n v="0"/>
    <n v="1"/>
    <n v="1.1494219630401099"/>
    <n v="0.16903268776766001"/>
    <n v="524.06002134046196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09.360051404335"/>
    <n v="500.69446879037503"/>
    <n v="0.42502840339999998"/>
  </r>
  <r>
    <n v="660000"/>
    <n v="2300000"/>
    <n v="2300000"/>
    <x v="0"/>
    <x v="0"/>
    <s v="BR3-5, BR-7"/>
    <s v="62-304.520 (10), F.A.C."/>
    <n v="0.59"/>
    <n v="0.64"/>
    <s v="City of Cocoa Beach"/>
    <n v="3.9281850939670002E-2"/>
    <n v="3728.52021845954"/>
    <n v="9.2901878153640105"/>
    <n v="1.3662044634539401"/>
    <n v="0.36493577296473001"/>
    <n v="5.366704008651E-2"/>
    <n v="146.46317544709899"/>
    <n v="1210"/>
    <s v="Fixed Single Family Units"/>
    <n v="1210"/>
    <s v="City of Cocoa Beach           Brevard County"/>
    <s v="City of Cocoa Beach"/>
    <m/>
    <m/>
    <m/>
    <n v="0"/>
    <n v="1"/>
    <n v="0.36493577296473001"/>
    <n v="5.366704008651E-2"/>
    <n v="146.463175447098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51.347653443563303"/>
    <n v="158.96801075899"/>
    <n v="0.11878603040000001"/>
  </r>
  <r>
    <n v="660000"/>
    <n v="2300000"/>
    <n v="2300000"/>
    <x v="0"/>
    <x v="0"/>
    <s v="BR3-5, BR-7"/>
    <s v="62-304.520 (10), F.A.C."/>
    <n v="0.59"/>
    <n v="0.64"/>
    <s v="City of Cocoa Beach"/>
    <n v="0.11716091039517"/>
    <n v="3728.52021845954"/>
    <n v="9.2901878153640105"/>
    <n v="1.3662044634539401"/>
    <n v="1.08844686219017"/>
    <n v="0.16006575872421"/>
    <n v="436.836823221521"/>
    <n v="1210"/>
    <s v="Fixed Single Family Units"/>
    <n v="1210"/>
    <s v="City of Cocoa Beach           Brevard County"/>
    <s v="City of Cocoa Beach"/>
    <m/>
    <m/>
    <m/>
    <n v="0"/>
    <n v="1"/>
    <n v="1.08844686219017"/>
    <n v="0.16006575872421"/>
    <n v="436.83682322152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90.050713368860201"/>
    <n v="474.133382686929"/>
    <n v="0.35428777230000003"/>
  </r>
  <r>
    <n v="660000"/>
    <n v="2300000"/>
    <n v="2300000"/>
    <x v="0"/>
    <x v="0"/>
    <s v="BR3-5, BR-7"/>
    <s v="62-304.520 (10), F.A.C."/>
    <n v="0.59"/>
    <n v="0.64"/>
    <s v="City of Cocoa Beach"/>
    <n v="0.22444885550359001"/>
    <n v="3795.9897575166701"/>
    <n v="9.9980728868832802"/>
    <n v="1.81902505231189"/>
    <n v="2.2440560167024302"/>
    <n v="0.40827809112376001"/>
    <n v="852.00555657797099"/>
    <n v="1300"/>
    <s v="Residential, High Density"/>
    <n v="1300"/>
    <s v="City of Cocoa Beach           Brevard County"/>
    <s v="City of Cocoa Beach"/>
    <m/>
    <m/>
    <m/>
    <n v="0"/>
    <n v="1"/>
    <n v="2.2440560167024302"/>
    <n v="0.40827809112376001"/>
    <n v="1257.61610419534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47.779075215087"/>
    <n v="908.312292395035"/>
    <n v="1.0199643992"/>
  </r>
  <r>
    <n v="660000"/>
    <n v="2300000"/>
    <n v="2300000"/>
    <x v="0"/>
    <x v="0"/>
    <s v="BR3-5, BR-7"/>
    <s v="62-304.520 (10), F.A.C."/>
    <n v="0.59"/>
    <n v="0.64"/>
    <s v="City of Cocoa Beach"/>
    <n v="4.1210046862899998E-3"/>
    <n v="3795.9897575166701"/>
    <n v="9.9980728868832802"/>
    <n v="1.81902505231189"/>
    <n v="4.1202105220760003E-2"/>
    <n v="7.4962107650600003E-3"/>
    <n v="15.643291579854001"/>
    <n v="1300"/>
    <s v="Residential, High Density"/>
    <n v="1300"/>
    <s v="City of Cocoa Beach           Brevard County"/>
    <s v="City of Cocoa Beach"/>
    <m/>
    <m/>
    <m/>
    <n v="0"/>
    <n v="1"/>
    <n v="4.1202105220760003E-2"/>
    <n v="7.4962107650600003E-3"/>
    <n v="258.63866741022002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28.722590033135202"/>
    <n v="16.677114281473099"/>
    <n v="0.2097637205"/>
  </r>
  <r>
    <n v="660000"/>
    <n v="2300000"/>
    <n v="2300000"/>
    <x v="0"/>
    <x v="0"/>
    <s v="BR3-5, BR-7"/>
    <s v="62-304.520 (10), F.A.C."/>
    <n v="0.59"/>
    <n v="0.64"/>
    <s v="City of Cocoa Beach"/>
    <n v="6.5599304158919999E-2"/>
    <n v="3795.9897575166701"/>
    <n v="9.9980728868832802"/>
    <n v="1.81902505231189"/>
    <n v="0.65586662430971998"/>
    <n v="0.1193267776793"/>
    <n v="249.01428668748801"/>
    <n v="1300"/>
    <s v="Residential, High Density"/>
    <n v="1300"/>
    <s v="City of Cocoa Beach           Brevard County"/>
    <s v="City of Cocoa Beach"/>
    <m/>
    <m/>
    <m/>
    <n v="0"/>
    <n v="1"/>
    <n v="0.65586662430971998"/>
    <n v="0.1193267776793"/>
    <n v="809.92498601355896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78.696377096806401"/>
    <n v="265.47096534050303"/>
    <n v="0.65687346800000002"/>
  </r>
  <r>
    <n v="660000"/>
    <n v="2300000"/>
    <n v="2300000"/>
    <x v="0"/>
    <x v="0"/>
    <s v="BR3-5, BR-7"/>
    <s v="62-304.520 (10), F.A.C."/>
    <n v="0.59"/>
    <n v="0.64"/>
    <s v="City of Cocoa Beach"/>
    <n v="0.27375402882510003"/>
    <n v="3736.5625381342902"/>
    <n v="9.5503003584537094"/>
    <n v="1.50476534094271"/>
    <n v="2.61443319961655"/>
    <n v="0.41193557451945001"/>
    <n v="1022.89904877122"/>
    <n v="1200"/>
    <s v="Residential, Medium Density-Two-five dwellingunits per acre"/>
    <n v="1200"/>
    <s v="City of Cocoa Beach           Brevard County"/>
    <s v="City of Cocoa Beach"/>
    <m/>
    <m/>
    <m/>
    <n v="0"/>
    <n v="1"/>
    <n v="2.61443319961655"/>
    <n v="0.41193557451945001"/>
    <n v="1800.47150726836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37.28426854576699"/>
    <n v="1107.8432497087499"/>
    <n v="1.4602364211000001"/>
  </r>
  <r>
    <n v="660000"/>
    <n v="2300000"/>
    <n v="2300000"/>
    <x v="0"/>
    <x v="0"/>
    <s v="BR3-5, BR-7"/>
    <s v="62-304.520 (10), F.A.C."/>
    <n v="0.59"/>
    <n v="0.64"/>
    <s v="City of Cocoa Beach"/>
    <n v="5.5860900854700002E-3"/>
    <n v="3736.5625381342902"/>
    <n v="9.5503003584537094"/>
    <n v="1.50476534094271"/>
    <n v="5.3348838145660001E-2"/>
    <n v="8.4057547520000001E-3"/>
    <n v="20.8727749480292"/>
    <n v="1300"/>
    <s v="Residential, High Density"/>
    <n v="1300"/>
    <s v="City of Cocoa Beach           Brevard County"/>
    <s v="City of Cocoa Beach"/>
    <m/>
    <m/>
    <m/>
    <n v="0"/>
    <n v="1"/>
    <n v="5.3348838145660001E-2"/>
    <n v="8.4057547520000001E-3"/>
    <n v="385.69705587563698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40.515081498966701"/>
    <n v="22.606104538508902"/>
    <n v="0.31281188640000002"/>
  </r>
  <r>
    <n v="660000"/>
    <n v="2300000"/>
    <n v="2300000"/>
    <x v="0"/>
    <x v="0"/>
    <s v="BR3-5, BR-7"/>
    <s v="62-304.520 (10), F.A.C."/>
    <n v="0.59"/>
    <n v="0.64"/>
    <s v="City of Cocoa Beach"/>
    <n v="0.21105568051716"/>
    <n v="3780.3068876735001"/>
    <n v="10.870120592788"/>
    <n v="2.09373373242178"/>
    <n v="2.2942006990145298"/>
    <n v="0.44189439771802003"/>
    <n v="797.855242741653"/>
    <n v="1300"/>
    <s v="Residential, High Density"/>
    <n v="1300"/>
    <s v="City of Cocoa Beach           Brevard County"/>
    <s v="City of Cocoa Beach"/>
    <m/>
    <m/>
    <m/>
    <n v="0"/>
    <n v="1"/>
    <n v="2.2942006990145298"/>
    <n v="0.44189439771802003"/>
    <n v="1451.5102211535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37.934223270731"/>
    <n v="854.11203618488798"/>
    <n v="1.1772183463999999"/>
  </r>
  <r>
    <n v="660000"/>
    <n v="2300000"/>
    <n v="2300000"/>
    <x v="0"/>
    <x v="0"/>
    <s v="BR3-5, BR-7"/>
    <s v="62-304.520 (10), F.A.C."/>
    <n v="0.59"/>
    <n v="0.64"/>
    <s v="City of Cocoa Beach"/>
    <n v="5.9320696420659999E-2"/>
    <n v="3780.3068876735001"/>
    <n v="10.870120592788"/>
    <n v="2.09373373242178"/>
    <n v="0.64482312374084005"/>
    <n v="0.1242017431267"/>
    <n v="224.250437260643"/>
    <n v="1300"/>
    <s v="Residential, High Density"/>
    <n v="1300"/>
    <s v="City of Cocoa Beach           Brevard County"/>
    <s v="City of Cocoa Beach"/>
    <m/>
    <m/>
    <m/>
    <n v="0"/>
    <n v="1"/>
    <n v="0.64482312374084005"/>
    <n v="0.1242017431267"/>
    <n v="227.622089027903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75.212008543549899"/>
    <n v="240.06234129122501"/>
    <n v="0.18460834470000001"/>
  </r>
  <r>
    <n v="660000"/>
    <n v="2300000"/>
    <n v="2300000"/>
    <x v="0"/>
    <x v="0"/>
    <s v="BR3-5, BR-7"/>
    <s v="62-304.520 (10), F.A.C."/>
    <n v="0.59"/>
    <n v="0.64"/>
    <s v="City of Cocoa Beach"/>
    <n v="6.1626381816740003E-2"/>
    <n v="3727.76341277641"/>
    <n v="8.8415930022973601"/>
    <n v="1.2811565966791401"/>
    <n v="0.54487538622780995"/>
    <n v="7.8953045593980004E-2"/>
    <n v="229.72857139824001"/>
    <n v="1210"/>
    <s v="Fixed Single Family Units"/>
    <n v="1210"/>
    <s v="City of Cocoa Beach           Brevard County"/>
    <s v="City of Cocoa Beach"/>
    <m/>
    <m/>
    <m/>
    <n v="0"/>
    <n v="1"/>
    <n v="0.54487538622780995"/>
    <n v="7.8953045593980004E-2"/>
    <n v="431.574838012060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67.381863592062402"/>
    <n v="249.39311904435601"/>
    <n v="0.35002014440000001"/>
  </r>
  <r>
    <n v="660000"/>
    <n v="2300000"/>
    <n v="2300000"/>
    <x v="0"/>
    <x v="0"/>
    <s v="BR3-5, BR-7"/>
    <s v="62-304.520 (10), F.A.C."/>
    <n v="0.59"/>
    <n v="0.64"/>
    <s v="City of Cocoa Beach"/>
    <n v="0.13251568521189999"/>
    <n v="3727.76341277641"/>
    <n v="8.8415930022973601"/>
    <n v="1.2811565966791401"/>
    <n v="1.17164975506424"/>
    <n v="0.16977334427269"/>
    <n v="493.98712295194599"/>
    <n v="1210"/>
    <s v="Fixed Single Family Units"/>
    <n v="1210"/>
    <s v="City of Cocoa Beach           Brevard County"/>
    <s v="City of Cocoa Beach"/>
    <m/>
    <m/>
    <m/>
    <n v="0"/>
    <n v="1"/>
    <n v="1.17164975506424"/>
    <n v="0.16977334427269"/>
    <n v="1020.36722396074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95.194403019118795"/>
    <n v="536.27195176854696"/>
    <n v="0.82754843789999999"/>
  </r>
  <r>
    <n v="660000"/>
    <n v="2300000"/>
    <n v="2300000"/>
    <x v="0"/>
    <x v="0"/>
    <s v="BR3-5, BR-7"/>
    <s v="62-304.520 (10), F.A.C."/>
    <n v="0.59"/>
    <n v="0.64"/>
    <s v="City of Cocoa Beach"/>
    <n v="3.9053285082709999E-2"/>
    <n v="3727.76341277641"/>
    <n v="8.8415930022973601"/>
    <n v="1.2811565966791401"/>
    <n v="0.34529325210403"/>
    <n v="5.0033373805699999E-2"/>
    <n v="145.58140728006001"/>
    <n v="1210"/>
    <s v="Fixed Single Family Units"/>
    <n v="1210"/>
    <s v="City of Cocoa Beach           Brevard County"/>
    <s v="City of Cocoa Beach"/>
    <m/>
    <m/>
    <m/>
    <n v="0"/>
    <n v="1"/>
    <n v="0.34529325210403"/>
    <n v="5.0033373805699999E-2"/>
    <n v="288.76845434444903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50.946810526716"/>
    <n v="158.04303755279099"/>
    <n v="0.23419988189999999"/>
  </r>
  <r>
    <n v="660000"/>
    <n v="2300000"/>
    <n v="2300000"/>
    <x v="0"/>
    <x v="0"/>
    <s v="BR3-5, BR-7"/>
    <s v="62-304.520 (10), F.A.C."/>
    <n v="0.59"/>
    <n v="0.64"/>
    <s v="City of Cocoa Beach"/>
    <n v="0.16459253490350001"/>
    <n v="3787.3454042538101"/>
    <n v="10.5007283236798"/>
    <n v="1.9772370676453399"/>
    <n v="1.7283414931274801"/>
    <n v="0.32543846106891"/>
    <n v="623.36878064126597"/>
    <n v="1300"/>
    <s v="Residential, High Density"/>
    <n v="1300"/>
    <s v="City of Cocoa Beach           Brevard County"/>
    <s v="City of Cocoa Beach"/>
    <m/>
    <m/>
    <m/>
    <n v="0"/>
    <n v="1"/>
    <n v="1.7283414931274801"/>
    <n v="0.32543846106891"/>
    <n v="1295.1063095118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58.15806859712001"/>
    <n v="666.08235695333804"/>
    <n v="1.0503700807"/>
  </r>
  <r>
    <n v="660000"/>
    <n v="2300000"/>
    <n v="2300000"/>
    <x v="0"/>
    <x v="0"/>
    <s v="BR3-5, BR-7"/>
    <s v="62-304.520 (10), F.A.C."/>
    <n v="0.59"/>
    <n v="0.64"/>
    <s v="City of Cocoa Beach"/>
    <n v="7.9478059589499998E-3"/>
    <n v="3787.3454042538101"/>
    <n v="10.5007283236798"/>
    <n v="1.9772370676453399"/>
    <n v="8.3457751144339995E-2"/>
    <n v="1.5714696548499999E-2"/>
    <n v="30.101086372560601"/>
    <n v="1300"/>
    <s v="Residential, High Density"/>
    <n v="1300"/>
    <s v="City of Cocoa Beach           Brevard County"/>
    <s v="City of Cocoa Beach"/>
    <m/>
    <m/>
    <m/>
    <n v="0"/>
    <n v="1"/>
    <n v="8.3457751144339995E-2"/>
    <n v="1.5714696548499999E-2"/>
    <n v="342.98986618663503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39.781201747328602"/>
    <n v="32.163629588999001"/>
    <n v="0.27817507400000002"/>
  </r>
  <r>
    <n v="660000"/>
    <n v="2300000"/>
    <n v="2300000"/>
    <x v="0"/>
    <x v="0"/>
    <s v="BR3-5, BR-7"/>
    <s v="62-304.520 (10), F.A.C."/>
    <n v="0.59"/>
    <n v="0.64"/>
    <s v="City of Cocoa Beach"/>
    <n v="1.5897148078000001E-4"/>
    <n v="3787.3454042538101"/>
    <n v="10.5007283236798"/>
    <n v="1.9772370676453399"/>
    <n v="1.66931633097E-3"/>
    <n v="3.1432430451E-4"/>
    <n v="0.60207990717364002"/>
    <n v="1300"/>
    <s v="Residential, High Density"/>
    <n v="1300"/>
    <s v="City of Cocoa Beach           Brevard County"/>
    <s v="City of Cocoa Beach"/>
    <m/>
    <m/>
    <m/>
    <n v="0"/>
    <n v="1"/>
    <n v="1.66931633097E-3"/>
    <n v="3.1432430451E-4"/>
    <n v="81.301806307412505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3.81138798627881"/>
    <n v="0.64333475801017004"/>
    <n v="6.5938204599999994E-2"/>
  </r>
  <r>
    <n v="660000"/>
    <n v="2300000"/>
    <n v="2300000"/>
    <x v="0"/>
    <x v="0"/>
    <s v="BR3-5, BR-7"/>
    <s v="62-304.520 (10), F.A.C."/>
    <n v="0.59"/>
    <n v="0.64"/>
    <s v="City of Cocoa Beach"/>
    <n v="0.14496104586264"/>
    <n v="3796.1064631833101"/>
    <n v="8.8266635144335108"/>
    <n v="1.4526754567379101"/>
    <n v="1.27952237452995"/>
    <n v="0.21058135350772"/>
    <n v="550.28756310900599"/>
    <n v="1300"/>
    <s v="Residential, High Density"/>
    <n v="1300"/>
    <s v="City of Cocoa Beach           Brevard County"/>
    <s v="City of Cocoa Beach"/>
    <m/>
    <m/>
    <m/>
    <n v="0"/>
    <n v="1"/>
    <n v="1.27952237452995"/>
    <n v="0.21058135350772"/>
    <n v="563.44554416132996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08.034928770554"/>
    <n v="586.63653944707301"/>
    <n v="0.45697124430000002"/>
  </r>
  <r>
    <n v="660000"/>
    <n v="2300000"/>
    <n v="2300000"/>
    <x v="0"/>
    <x v="0"/>
    <s v="BR3-5, BR-7"/>
    <s v="62-304.520 (10), F.A.C."/>
    <n v="0.59"/>
    <n v="0.64"/>
    <s v="City of Cocoa Beach"/>
    <n v="2.2942765492120001E-2"/>
    <n v="3796.1064631833101"/>
    <n v="8.8266635144335108"/>
    <n v="1.4526754567379101"/>
    <n v="0.20250807108953001"/>
    <n v="3.3328392340100002E-2"/>
    <n v="87.093180367950893"/>
    <n v="1820"/>
    <s v="Golf Course"/>
    <n v="1820"/>
    <s v="City of Cocoa Beach           Brevard County"/>
    <s v="City of Cocoa Beach"/>
    <m/>
    <m/>
    <m/>
    <n v="0"/>
    <n v="1"/>
    <n v="0.20250807108953001"/>
    <n v="3.3328392340100002E-2"/>
    <n v="87.093180367950495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39.126909676456997"/>
    <n v="92.846077879418701"/>
    <n v="7.0635182800000001E-2"/>
  </r>
  <r>
    <n v="660000"/>
    <n v="2300000"/>
    <n v="2300000"/>
    <x v="0"/>
    <x v="0"/>
    <s v="BR3-5, BR-7"/>
    <s v="62-304.520 (10), F.A.C."/>
    <n v="0.59"/>
    <n v="0.64"/>
    <s v="City of Cocoa Beach"/>
    <n v="3.3540157897150001E-2"/>
    <n v="3796.1064631833101"/>
    <n v="8.8266635144335108"/>
    <n v="1.4526754567379101"/>
    <n v="0.29604768797913"/>
    <n v="4.8722964192300003E-2"/>
    <n v="127.322010169571"/>
    <n v="1300"/>
    <s v="Residential, High Density"/>
    <n v="1300"/>
    <s v="City of Cocoa Beach           Brevard County"/>
    <s v="City of Cocoa Beach"/>
    <m/>
    <m/>
    <m/>
    <n v="0"/>
    <n v="1"/>
    <n v="0.29604768797913"/>
    <n v="4.8722964192300003E-2"/>
    <n v="1482.454843297729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96.146737909922194"/>
    <n v="135.73220339440201"/>
    <n v="1.2023153635999999"/>
  </r>
  <r>
    <n v="660000"/>
    <n v="2300000"/>
    <n v="2300000"/>
    <x v="0"/>
    <x v="0"/>
    <s v="BR3-5, BR-7"/>
    <s v="62-304.520 (10), F.A.C."/>
    <n v="0.59"/>
    <n v="0.64"/>
    <s v="City of Cocoa Beach"/>
    <n v="4.6536912932030002E-2"/>
    <n v="3780.3068873918401"/>
    <n v="10.8701205919782"/>
    <n v="2.0937337322657799"/>
    <n v="0.50586185554964003"/>
    <n v="9.7435904401319995E-2"/>
    <n v="175.92381247493699"/>
    <n v="1300"/>
    <s v="Residential, High Density"/>
    <n v="1300"/>
    <s v="City of Cocoa Beach           Brevard County"/>
    <s v="City of Cocoa Beach"/>
    <m/>
    <m/>
    <m/>
    <n v="0"/>
    <n v="1"/>
    <n v="0.50586185554964003"/>
    <n v="9.7435904401319995E-2"/>
    <n v="175.923812474936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69.222698885963894"/>
    <n v="188.328204977685"/>
    <n v="0.1426794911"/>
  </r>
  <r>
    <n v="660000"/>
    <n v="2300000"/>
    <n v="2300000"/>
    <x v="0"/>
    <x v="0"/>
    <s v="BR3-5, BR-7"/>
    <s v="62-304.520 (10), F.A.C."/>
    <n v="0.59"/>
    <n v="0.64"/>
    <s v="City of Cocoa Beach"/>
    <n v="0.16788523783194001"/>
    <n v="3780.3068873918401"/>
    <n v="10.8701205919782"/>
    <n v="2.0937337322657799"/>
    <n v="1.82493278084615"/>
    <n v="0.35150698559819998"/>
    <n v="634.65772086750803"/>
    <n v="1300"/>
    <s v="Residential, High Density"/>
    <n v="1300"/>
    <s v="City of Cocoa Beach           Brevard County"/>
    <s v="City of Cocoa Beach"/>
    <m/>
    <m/>
    <m/>
    <n v="0"/>
    <n v="1"/>
    <n v="1.82493278084615"/>
    <n v="0.35150698559819998"/>
    <n v="2082.0689960650102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15.02561434506499"/>
    <n v="679.40745294634496"/>
    <n v="1.6886204348"/>
  </r>
  <r>
    <n v="660000"/>
    <n v="2300000"/>
    <n v="2300000"/>
    <x v="0"/>
    <x v="0"/>
    <s v="BR3-5, BR-7"/>
    <s v="62-304.520 (10), F.A.C."/>
    <n v="0.59"/>
    <n v="0.64"/>
    <s v="City of Cocoa Beach"/>
    <n v="9.0730151222720004E-2"/>
    <n v="3728.5128951882002"/>
    <n v="9.2901999147443703"/>
    <n v="1.36620727431417"/>
    <n v="0.84290124315407"/>
    <n v="0.1239561926001"/>
    <n v="338.28853881629402"/>
    <n v="1200"/>
    <s v="Residential, Medium Density-Two-five dwellingunits per acre"/>
    <n v="1200"/>
    <s v="City of Cocoa Beach           Brevard County"/>
    <s v="City of Cocoa Beach"/>
    <m/>
    <m/>
    <m/>
    <n v="0"/>
    <n v="1"/>
    <n v="0.84290124315407"/>
    <n v="0.1239561926001"/>
    <n v="721.01395695707504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14.146323896533"/>
    <n v="367.17189518099599"/>
    <n v="0.58476395540000004"/>
  </r>
  <r>
    <n v="660000"/>
    <n v="2300000"/>
    <n v="2300000"/>
    <x v="0"/>
    <x v="0"/>
    <s v="BR3-5, BR-7"/>
    <s v="62-304.520 (10), F.A.C."/>
    <n v="0.59"/>
    <n v="0.64"/>
    <s v="City of Cocoa Beach"/>
    <n v="3.5437244250699999E-3"/>
    <n v="3728.5128951882002"/>
    <n v="9.2901999147443703"/>
    <n v="1.36620727431417"/>
    <n v="3.2921908351710001E-2"/>
    <n v="4.8414620877000004E-3"/>
    <n v="13.212822215889201"/>
    <n v="1210"/>
    <s v="Fixed Single Family Units"/>
    <n v="1210"/>
    <s v="City of Cocoa Beach           Brevard County"/>
    <s v="City of Cocoa Beach"/>
    <m/>
    <m/>
    <m/>
    <n v="0"/>
    <n v="1"/>
    <n v="3.2921908351710001E-2"/>
    <n v="4.8414620877000004E-3"/>
    <n v="13.2128222158892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22.536499663361202"/>
    <n v="14.3409439488345"/>
    <n v="1.07159953E-2"/>
  </r>
  <r>
    <n v="660000"/>
    <n v="2300000"/>
    <n v="2300000"/>
    <x v="0"/>
    <x v="0"/>
    <s v="BR3-5, BR-7"/>
    <s v="62-304.520 (10), F.A.C."/>
    <n v="0.59"/>
    <n v="0.64"/>
    <s v="City of Cocoa Beach"/>
    <n v="2.091654865318E-2"/>
    <n v="3728.5128951882002"/>
    <n v="9.2901999147443703"/>
    <n v="1.36620727431417"/>
    <n v="0.19431891851454999"/>
    <n v="2.8576340923519999E-2"/>
    <n v="77.987621376227906"/>
    <n v="1210"/>
    <s v="Fixed Single Family Units"/>
    <n v="1210"/>
    <s v="City of Cocoa Beach           Brevard County"/>
    <s v="City of Cocoa Beach"/>
    <m/>
    <m/>
    <m/>
    <n v="0"/>
    <n v="1"/>
    <n v="0.19431891851454999"/>
    <n v="2.8576340923519999E-2"/>
    <n v="77.987621376227906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60.897392459987103"/>
    <n v="84.646269251579795"/>
    <n v="6.3250301199999998E-2"/>
  </r>
  <r>
    <n v="660000"/>
    <n v="2300000"/>
    <n v="2300000"/>
    <x v="0"/>
    <x v="0"/>
    <s v="BR3-5, BR-7"/>
    <s v="62-304.520 (10), F.A.C."/>
    <n v="0.59"/>
    <n v="0.64"/>
    <s v="City of Cocoa Beach"/>
    <n v="2.5166579879570002E-2"/>
    <n v="3728.5128951882002"/>
    <n v="9.2901999147443703"/>
    <n v="1.36620727431417"/>
    <n v="0.23380255825164001"/>
    <n v="3.438276450108E-2"/>
    <n v="93.833917608782997"/>
    <n v="1210"/>
    <s v="Fixed Single Family Units"/>
    <n v="1210"/>
    <s v="City of Cocoa Beach           Brevard County"/>
    <s v="City of Cocoa Beach"/>
    <m/>
    <m/>
    <m/>
    <n v="0"/>
    <n v="1"/>
    <n v="0.23380255825164001"/>
    <n v="3.438276450108E-2"/>
    <n v="93.833917608782997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42.725360564327097"/>
    <n v="101.845535415504"/>
    <n v="7.6102122999999994E-2"/>
  </r>
  <r>
    <n v="660000"/>
    <n v="2300000"/>
    <n v="2300000"/>
    <x v="0"/>
    <x v="0"/>
    <s v="BR3-5, BR-7"/>
    <s v="62-304.520 (10), F.A.C."/>
    <n v="0.59"/>
    <n v="0.64"/>
    <s v="City of Cocoa Beach"/>
    <n v="5.6580109649220001E-2"/>
    <n v="3728.50801126535"/>
    <n v="9.2902079778439202"/>
    <n v="1.36620914779748"/>
    <n v="0.52564098605051002"/>
    <n v="7.7300263386149995E-2"/>
    <n v="210.95939210540701"/>
    <n v="1200"/>
    <s v="Residential, Medium Density-Two-five dwellingunits per acre"/>
    <n v="1200"/>
    <s v="City of Cocoa Beach           Brevard County"/>
    <s v="City of Cocoa Beach"/>
    <m/>
    <m/>
    <m/>
    <n v="0"/>
    <n v="1"/>
    <n v="0.52564098605051002"/>
    <n v="7.7300263386149995E-2"/>
    <n v="645.89748778415105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79.670812135417094"/>
    <n v="228.971580114061"/>
    <n v="0.52384224479999997"/>
  </r>
  <r>
    <n v="660000"/>
    <n v="2300000"/>
    <n v="2300000"/>
    <x v="0"/>
    <x v="0"/>
    <s v="BR3-5, BR-7"/>
    <s v="62-304.520 (10), F.A.C."/>
    <n v="0.59"/>
    <n v="0.64"/>
    <s v="City of Cocoa Beach"/>
    <n v="2.6527357511599999E-3"/>
    <n v="3728.50801126535"/>
    <n v="9.2902079778439202"/>
    <n v="1.36620914779748"/>
    <n v="2.4644466838529999E-2"/>
    <n v="3.62419184992E-3"/>
    <n v="9.8907464999700796"/>
    <n v="1210"/>
    <s v="Fixed Single Family Units"/>
    <n v="1210"/>
    <s v="City of Cocoa Beach           Brevard County"/>
    <s v="City of Cocoa Beach"/>
    <m/>
    <m/>
    <m/>
    <n v="0"/>
    <n v="1"/>
    <n v="2.4644466838529999E-2"/>
    <n v="3.62419184992E-3"/>
    <n v="9.8907464999684098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30.981562939709502"/>
    <n v="10.7352407115101"/>
    <n v="8.0216921999999996E-3"/>
  </r>
  <r>
    <n v="660000"/>
    <n v="2300000"/>
    <n v="2300000"/>
    <x v="0"/>
    <x v="0"/>
    <s v="BR3-5, BR-7"/>
    <s v="62-304.520 (10), F.A.C."/>
    <n v="0.59"/>
    <n v="0.64"/>
    <s v="City of Cocoa Beach"/>
    <n v="3.5723410106599999E-3"/>
    <n v="3728.1445689707798"/>
    <n v="9.01720907417495"/>
    <n v="1.31444231244057"/>
    <n v="3.2212545777380003E-2"/>
    <n v="4.6956361788799998E-3"/>
    <n v="13.3182037374111"/>
    <n v="1200"/>
    <s v="Residential, Medium Density-Two-five dwellingunits per acre"/>
    <n v="1200"/>
    <s v="City of Cocoa Beach           Brevard County"/>
    <s v="City of Cocoa Beach"/>
    <m/>
    <m/>
    <m/>
    <n v="0"/>
    <n v="1"/>
    <n v="3.2212545777380003E-2"/>
    <n v="4.6956361788799998E-3"/>
    <n v="52.254489810932903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37.052892281170202"/>
    <n v="14.456751162002099"/>
    <n v="4.2379959299999999E-2"/>
  </r>
  <r>
    <n v="660000"/>
    <n v="2300000"/>
    <n v="2300000"/>
    <x v="0"/>
    <x v="0"/>
    <s v="BR3-5, BR-7"/>
    <s v="62-304.520 (10), F.A.C."/>
    <n v="0.59"/>
    <n v="0.64"/>
    <s v="City of Cocoa Beach"/>
    <n v="9.8951849703369996E-2"/>
    <n v="3728.1445689707798"/>
    <n v="9.01720907417495"/>
    <n v="1.31444231244057"/>
    <n v="0.89226951705165003"/>
    <n v="0.13006649814436999"/>
    <n v="368.90680106124302"/>
    <n v="1210"/>
    <s v="Fixed Single Family Units"/>
    <n v="1210"/>
    <s v="City of Cocoa Beach           Brevard County"/>
    <s v="City of Cocoa Beach"/>
    <m/>
    <m/>
    <m/>
    <n v="0"/>
    <n v="1"/>
    <n v="0.89226951705165003"/>
    <n v="0.13006649814436999"/>
    <n v="1041.55183379261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83.175078510453304"/>
    <n v="400.443928480453"/>
    <n v="0.8447297922"/>
  </r>
  <r>
    <n v="660000"/>
    <n v="2300000"/>
    <n v="2300000"/>
    <x v="0"/>
    <x v="0"/>
    <s v="BR3-5, BR-7"/>
    <s v="62-304.520 (10), F.A.C."/>
    <n v="0.59"/>
    <n v="0.64"/>
    <s v="City of Cocoa Beach"/>
    <n v="9.3443223406179998E-2"/>
    <n v="3728.1445689707798"/>
    <n v="9.01720907417495"/>
    <n v="1.31444231244057"/>
    <n v="0.8425970820184"/>
    <n v="0.12282572665592"/>
    <n v="348.36984584889098"/>
    <n v="1210"/>
    <s v="Fixed Single Family Units"/>
    <n v="1210"/>
    <s v="City of Cocoa Beach           Brevard County"/>
    <s v="City of Cocoa Beach"/>
    <m/>
    <m/>
    <m/>
    <n v="0"/>
    <n v="1"/>
    <n v="0.8425970820184"/>
    <n v="0.12282572665592"/>
    <n v="587.35191120420905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80.370276607163106"/>
    <n v="378.15130877107703"/>
    <n v="0.47636002529999999"/>
  </r>
  <r>
    <n v="660000"/>
    <n v="2300000"/>
    <n v="2400000"/>
    <x v="0"/>
    <x v="0"/>
    <s v="BR3-5, BR-7"/>
    <s v="62-304.520 (10), F.A.C."/>
    <n v="0.59"/>
    <n v="0.64"/>
    <s v="City of Cocoa Beach"/>
    <n v="1.58795275803E-3"/>
    <n v="3734.5185289246301"/>
    <n v="8.2792638428047098"/>
    <n v="1.27948949585256"/>
    <n v="1.314707985365E-2"/>
    <n v="2.0317688738099998E-3"/>
    <n v="5.9302389979274697"/>
    <n v="1200"/>
    <s v="Residential, Medium Density-Two-five dwellingunits per acre"/>
    <n v="1200"/>
    <s v="City of Cocoa Beach           Brevard County"/>
    <s v="City of Cocoa Beach"/>
    <m/>
    <m/>
    <m/>
    <n v="0"/>
    <n v="1"/>
    <n v="1.314707985365E-2"/>
    <n v="2.0317688738099998E-3"/>
    <n v="5.9302389979271002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6.051368574773601"/>
    <n v="6.4262168173091903"/>
    <n v="4.8096018000000004E-3"/>
  </r>
  <r>
    <n v="660000"/>
    <n v="2300000"/>
    <n v="2400000"/>
    <x v="0"/>
    <x v="0"/>
    <s v="BR3-5, BR-7"/>
    <s v="62-304.520 (10), F.A.C."/>
    <n v="0.59"/>
    <n v="0.64"/>
    <s v="City of Cocoa Beach"/>
    <n v="2.231438540205E-2"/>
    <n v="3734.5185289246301"/>
    <n v="8.2792638428047098"/>
    <n v="1.27948949585256"/>
    <n v="0.18474668423365001"/>
    <n v="2.855102172833E-2"/>
    <n v="83.333485745543399"/>
    <n v="1820"/>
    <s v="Golf Course"/>
    <n v="1820"/>
    <s v="City of Cocoa Beach           Brevard County"/>
    <s v="City of Cocoa Beach"/>
    <m/>
    <m/>
    <m/>
    <n v="0"/>
    <n v="1"/>
    <n v="0.18474668423365001"/>
    <n v="2.855102172833E-2"/>
    <n v="83.3334857455430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49.6539318261867"/>
    <n v="90.303113876218703"/>
    <n v="6.7585957599999996E-2"/>
  </r>
  <r>
    <n v="660000"/>
    <n v="2300000"/>
    <n v="2400000"/>
    <x v="0"/>
    <x v="0"/>
    <s v="BR3-5, BR-7"/>
    <s v="62-304.520 (10), F.A.C."/>
    <n v="0.59"/>
    <n v="0.64"/>
    <s v="City of Cocoa Beach"/>
    <n v="3.2313512747099999E-3"/>
    <n v="3734.5185289246301"/>
    <n v="8.2792638428047098"/>
    <n v="1.27948949585256"/>
    <n v="2.6753209772110001E-2"/>
    <n v="4.1344800134000001E-3"/>
    <n v="12.067541208872401"/>
    <n v="1300"/>
    <s v="Residential, High Density"/>
    <n v="1300"/>
    <s v="City of Cocoa Beach           Brevard County"/>
    <s v="City of Cocoa Beach"/>
    <m/>
    <m/>
    <m/>
    <n v="0"/>
    <n v="1"/>
    <n v="2.6753209772110001E-2"/>
    <n v="4.1344800134000001E-3"/>
    <n v="560.41115080686302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21.147250864018499"/>
    <n v="13.0768146590939"/>
    <n v="0.45451026020000002"/>
  </r>
  <r>
    <n v="660000"/>
    <n v="2400000"/>
    <n v="2400000"/>
    <x v="0"/>
    <x v="0"/>
    <s v="BR3-5, BR-7"/>
    <s v="62-304.520 (10), F.A.C."/>
    <n v="0.59"/>
    <n v="0.64"/>
    <s v="City of Cocoa Beach"/>
    <n v="3.8204002772199998E-3"/>
    <n v="3726.50451562637"/>
    <n v="8.4494311536369704"/>
    <n v="1.20686878910697"/>
    <n v="3.228020912178E-2"/>
    <n v="4.6107218564799997E-3"/>
    <n v="14.2367388845941"/>
    <n v="1210"/>
    <s v="Fixed Single Family Units"/>
    <n v="1210"/>
    <s v="City of Cocoa Beach           Brevard County"/>
    <s v="City of Cocoa Beach"/>
    <m/>
    <m/>
    <m/>
    <n v="0"/>
    <n v="1"/>
    <n v="3.228020912178E-2"/>
    <n v="4.6107218564799997E-3"/>
    <n v="60.60485013173759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6.882117776059101"/>
    <n v="15.460611398041999"/>
    <n v="4.9152352099999998E-2"/>
  </r>
  <r>
    <n v="660000"/>
    <n v="2400000"/>
    <n v="2400000"/>
    <x v="0"/>
    <x v="0"/>
    <s v="BR3-5, BR-7"/>
    <s v="62-304.520 (10), F.A.C."/>
    <n v="0.59"/>
    <n v="0.64"/>
    <s v="City of Cocoa Beach"/>
    <n v="4.6754572126969998E-2"/>
    <n v="3726.50451562637"/>
    <n v="8.4494311536369704"/>
    <n v="1.20686878910697"/>
    <n v="0.39504953830463002"/>
    <n v="5.6426633848089998E-2"/>
    <n v="174.231124157355"/>
    <n v="1210"/>
    <s v="Fixed Single Family Units"/>
    <n v="1210"/>
    <s v="City of Cocoa Beach           Brevard County"/>
    <s v="City of Cocoa Beach"/>
    <m/>
    <m/>
    <m/>
    <n v="0"/>
    <n v="1"/>
    <n v="0.39504953830463002"/>
    <n v="5.6426633848089998E-2"/>
    <n v="589.236493496266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57.018961291252701"/>
    <n v="189.20904048861399"/>
    <n v="0.47788847810000001"/>
  </r>
  <r>
    <n v="660000"/>
    <n v="2400000"/>
    <n v="2400000"/>
    <x v="0"/>
    <x v="0"/>
    <s v="BR3-5, BR-7"/>
    <s v="62-304.520 (10), F.A.C."/>
    <n v="0.59"/>
    <n v="0.64"/>
    <s v="City of Cocoa Beach"/>
    <n v="5.029154528391E-2"/>
    <n v="3726.50451562637"/>
    <n v="8.4494311536369704"/>
    <n v="1.20686878910697"/>
    <n v="0.42493494948640997"/>
    <n v="6.0695296359110001E-2"/>
    <n v="187.41167059831901"/>
    <n v="1210"/>
    <s v="Fixed Single Family Units"/>
    <n v="1210"/>
    <s v="City of Cocoa Beach           Brevard County"/>
    <s v="City of Cocoa Beach"/>
    <m/>
    <m/>
    <m/>
    <n v="0"/>
    <n v="1"/>
    <n v="0.42493494948640997"/>
    <n v="6.0695296359110001E-2"/>
    <n v="600.51490556004899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67.110585648123504"/>
    <n v="203.52266302461101"/>
    <n v="0.48703560870000001"/>
  </r>
  <r>
    <n v="660000"/>
    <n v="2400000"/>
    <n v="2400000"/>
    <x v="0"/>
    <x v="0"/>
    <s v="BR3-5, BR-7"/>
    <s v="62-304.520 (10), F.A.C."/>
    <n v="0.59"/>
    <n v="0.64"/>
    <s v="City of Cocoa Beach"/>
    <n v="4.2576978410790001E-2"/>
    <n v="3776.0306701306299"/>
    <n v="10.770803101359199"/>
    <n v="2.06382503617652"/>
    <n v="0.45858825111353002"/>
    <n v="8.7871434008950006E-2"/>
    <n v="160.77197632066699"/>
    <n v="1300"/>
    <s v="Residential, High Density"/>
    <n v="1300"/>
    <s v="City of Cocoa Beach           Brevard County"/>
    <s v="City of Cocoa Beach"/>
    <m/>
    <m/>
    <m/>
    <n v="0"/>
    <n v="1"/>
    <n v="0.45858825111353002"/>
    <n v="8.7871434008950006E-2"/>
    <n v="781.80468301644396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91.198811557849695"/>
    <n v="172.30291852812701"/>
    <n v="0.63406705839999999"/>
  </r>
  <r>
    <n v="660000"/>
    <n v="2400000"/>
    <n v="2400000"/>
    <x v="0"/>
    <x v="0"/>
    <s v="BR3-5, BR-7"/>
    <s v="62-304.520 (10), F.A.C."/>
    <n v="0.59"/>
    <n v="0.64"/>
    <s v="City of Cocoa Beach"/>
    <n v="1.681606738692E-2"/>
    <n v="3776.0306701306299"/>
    <n v="10.770803101359199"/>
    <n v="2.06382503617652"/>
    <n v="0.18112255076372999"/>
    <n v="3.4705420883159997E-2"/>
    <n v="63.497986204004803"/>
    <n v="1820"/>
    <s v="Golf Course"/>
    <n v="1820"/>
    <s v="City of Cocoa Beach           Brevard County"/>
    <s v="City of Cocoa Beach"/>
    <m/>
    <m/>
    <m/>
    <n v="0"/>
    <n v="1"/>
    <n v="0.18112255076372999"/>
    <n v="3.4705420883159997E-2"/>
    <n v="63.4979862040052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36.597722809796402"/>
    <n v="68.052210304281104"/>
    <n v="5.1498772300000002E-2"/>
  </r>
  <r>
    <n v="660000"/>
    <n v="2400000"/>
    <n v="2400000"/>
    <x v="0"/>
    <x v="0"/>
    <s v="BR3-5, BR-7"/>
    <s v="62-304.520 (10), F.A.C."/>
    <n v="0.59"/>
    <n v="0.64"/>
    <s v="City of Cocoa Beach"/>
    <n v="1.7718560312000001E-3"/>
    <n v="3769.6654084565098"/>
    <n v="10.539283896516"/>
    <n v="1.94125316199142"/>
    <n v="1.8674093736640002E-2"/>
    <n v="3.4396211231700002E-3"/>
    <n v="6.6793043896060702"/>
    <n v="1200"/>
    <s v="Residential, Medium Density-Two-five dwellingunits per acre"/>
    <n v="1200"/>
    <s v="City of Cocoa Beach           Brevard County"/>
    <s v="City of Cocoa Beach"/>
    <m/>
    <m/>
    <m/>
    <n v="0"/>
    <n v="1"/>
    <n v="1.8674093736640002E-2"/>
    <n v="3.4396211231700002E-3"/>
    <n v="10.0308085208384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1.7611295944714"/>
    <n v="7.1704469594568003"/>
    <n v="8.1352866999999992E-3"/>
  </r>
  <r>
    <n v="660000"/>
    <n v="2400000"/>
    <n v="2400000"/>
    <x v="0"/>
    <x v="0"/>
    <s v="BR3-5, BR-7"/>
    <s v="62-304.520 (10), F.A.C."/>
    <n v="0.59"/>
    <n v="0.64"/>
    <s v="City of Cocoa Beach"/>
    <n v="2.2163556414000001E-3"/>
    <n v="3769.6654084565098"/>
    <n v="10.539283896516"/>
    <n v="1.94125316199142"/>
    <n v="2.335880132037E-2"/>
    <n v="4.3025073969600001E-3"/>
    <n v="8.3549191942268006"/>
    <n v="1300"/>
    <s v="Residential, High Density"/>
    <n v="1300"/>
    <s v="City of Cocoa Beach           Brevard County"/>
    <s v="City of Cocoa Beach"/>
    <m/>
    <m/>
    <m/>
    <n v="0"/>
    <n v="1"/>
    <n v="2.335880132037E-2"/>
    <n v="4.3025073969600001E-3"/>
    <n v="9.1058333417396593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13.119784435555699"/>
    <n v="8.9692730617243406"/>
    <n v="7.3851040999999996E-3"/>
  </r>
  <r>
    <n v="660000"/>
    <n v="2400000"/>
    <n v="2400000"/>
    <x v="0"/>
    <x v="0"/>
    <s v="BR3-5, BR-7"/>
    <s v="62-304.520 (10), F.A.C."/>
    <n v="0.59"/>
    <n v="0.64"/>
    <s v="City of Cocoa Beach"/>
    <n v="3.5174233389539997E-2"/>
    <n v="3769.6654084565098"/>
    <n v="10.539283896516"/>
    <n v="1.94125316199142"/>
    <n v="0.37071123153468"/>
    <n v="6.8282091788070001E-2"/>
    <n v="132.59509087752801"/>
    <n v="1210"/>
    <s v="Fixed Single Family Units"/>
    <n v="1210"/>
    <s v="City of Cocoa Beach           Brevard County"/>
    <s v="City of Cocoa Beach"/>
    <m/>
    <m/>
    <m/>
    <n v="0"/>
    <n v="1"/>
    <n v="0.37071123153468"/>
    <n v="6.8282091788070001E-2"/>
    <n v="478.233940539883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58.423289978476603"/>
    <n v="142.34507229546"/>
    <n v="0.3878620767"/>
  </r>
  <r>
    <n v="660000"/>
    <n v="2400000"/>
    <n v="2400000"/>
    <x v="0"/>
    <x v="0"/>
    <s v="BR3-5, BR-7"/>
    <s v="62-304.520 (10), F.A.C."/>
    <n v="0.59"/>
    <n v="0.64"/>
    <s v="City of Cocoa Beach"/>
    <n v="7.0241055593890003E-2"/>
    <n v="3769.6654084565098"/>
    <n v="10.539283896516"/>
    <n v="1.94125316199142"/>
    <n v="0.74029042609497997"/>
    <n v="0.13635567127324999"/>
    <n v="264.78527752576099"/>
    <n v="1300"/>
    <s v="Residential, High Density"/>
    <n v="1300"/>
    <s v="City of Cocoa Beach           Brevard County"/>
    <s v="City of Cocoa Beach"/>
    <m/>
    <m/>
    <m/>
    <n v="0"/>
    <n v="1"/>
    <n v="0.74029042609497997"/>
    <n v="0.13635567127324999"/>
    <n v="1310.7350177492101"/>
    <m/>
    <n v="-1"/>
    <n v="-1"/>
    <n v="-1"/>
    <n v="-1"/>
    <n v="0"/>
    <m/>
    <m/>
    <s v="Banana River B"/>
    <n v="-1"/>
    <m/>
    <m/>
    <n v="379"/>
    <x v="16"/>
    <s v="Minutemen/Country Club Swale"/>
    <x v="0"/>
    <n v="3.2060680000000001"/>
    <n v="73.640655407778794"/>
    <n v="284.25546694629497"/>
    <n v="1.0630454321"/>
  </r>
  <r>
    <n v="830000"/>
    <n v="2400000"/>
    <n v="2400000"/>
    <x v="0"/>
    <x v="0"/>
    <s v="BR3-5, BR-7"/>
    <s v="62-304.520 (10), F.A.C."/>
    <n v="0.59"/>
    <n v="0.64"/>
    <s v="City of Cocoa Beach"/>
    <n v="2.417719239241E-2"/>
    <n v="3811.3396671840001"/>
    <n v="9.6314439814663295"/>
    <n v="1.34660469972349"/>
    <n v="0.23286127415669999"/>
    <n v="3.2557120901739997E-2"/>
    <n v="92.147492406362005"/>
    <n v="1400"/>
    <s v="Commercial and Services"/>
    <n v="1400"/>
    <s v="City of Cocoa Beach           Brevard County"/>
    <s v="City of Cocoa Beach"/>
    <m/>
    <m/>
    <m/>
    <n v="0"/>
    <n v="1"/>
    <n v="0.23286127415669999"/>
    <n v="3.2557120901739997E-2"/>
    <n v="716.31790617111596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92.091301952983599"/>
    <n v="97.841626308859205"/>
    <n v="0.58095531730000005"/>
  </r>
  <r>
    <n v="830000"/>
    <n v="2400000"/>
    <n v="2400000"/>
    <x v="0"/>
    <x v="0"/>
    <s v="BR3-5, BR-7"/>
    <s v="62-304.520 (10), F.A.C."/>
    <n v="0.59"/>
    <n v="0.64"/>
    <s v="City of Cocoa Beach"/>
    <n v="1.6492793266029999E-2"/>
    <n v="3764.4729522903599"/>
    <n v="10.8097988027918"/>
    <n v="1.50576525601291"/>
    <n v="0.17828377690186001"/>
    <n v="2.483427507459E-2"/>
    <n v="62.086674157701502"/>
    <n v="1400"/>
    <s v="Commercial and Services"/>
    <n v="1400"/>
    <s v="City of Cocoa Beach           Brevard County"/>
    <s v="City of Cocoa Beach"/>
    <m/>
    <m/>
    <m/>
    <n v="0"/>
    <n v="1"/>
    <n v="0.17828377690186001"/>
    <n v="2.483427507459E-2"/>
    <n v="684.80318894117795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37.613716065640901"/>
    <n v="66.743966351964602"/>
    <n v="0.55539593590000003"/>
  </r>
  <r>
    <n v="840000"/>
    <n v="2400000"/>
    <n v="2400000"/>
    <x v="0"/>
    <x v="0"/>
    <s v="BR3-5, BR-7"/>
    <s v="62-304.520 (10), F.A.C."/>
    <n v="0.59"/>
    <n v="0.64"/>
    <s v="City of Cocoa Beach"/>
    <n v="4.8284835071709997E-2"/>
    <n v="3811.3396671840001"/>
    <n v="9.6314439814663295"/>
    <n v="1.34660469972349"/>
    <n v="0.46505268414757001"/>
    <n v="6.502058583294E-2"/>
    <n v="184.02990723226799"/>
    <n v="1300"/>
    <s v="Residential, High Density"/>
    <n v="1300"/>
    <s v="City of Cocoa Beach           Brevard County"/>
    <s v="City of Cocoa Beach"/>
    <m/>
    <m/>
    <m/>
    <n v="0"/>
    <n v="1"/>
    <n v="0.46505268414757001"/>
    <n v="6.502058583294E-2"/>
    <n v="184.02990723226799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107.863184764756"/>
    <n v="195.401794914498"/>
    <n v="0.14925377719999999"/>
  </r>
  <r>
    <n v="840000"/>
    <n v="2400000"/>
    <n v="2400000"/>
    <x v="0"/>
    <x v="0"/>
    <s v="BR3-5, BR-7"/>
    <s v="62-304.520 (10), F.A.C."/>
    <n v="0.59"/>
    <n v="0.64"/>
    <s v="City of Cocoa Beach"/>
    <n v="7.5796626507680001E-2"/>
    <n v="3811.3396671840001"/>
    <n v="9.6314439814663295"/>
    <n v="1.34660469972349"/>
    <n v="0.73003096219288999"/>
    <n v="0.10206809347843"/>
    <n v="288.88668924746997"/>
    <n v="1400"/>
    <s v="Commercial and Services"/>
    <n v="1400"/>
    <s v="City of Cocoa Beach           Brevard County"/>
    <s v="City of Cocoa Beach"/>
    <m/>
    <m/>
    <m/>
    <n v="0"/>
    <n v="1"/>
    <n v="0.73003096219288999"/>
    <n v="0.10206809347843"/>
    <n v="716.31790617111596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111.58420799756399"/>
    <n v="306.73806477887803"/>
    <n v="0.58095531730000005"/>
  </r>
  <r>
    <n v="840000"/>
    <n v="2400000"/>
    <n v="2400000"/>
    <x v="0"/>
    <x v="0"/>
    <s v="BR3-5, BR-7"/>
    <s v="62-304.520 (10), F.A.C."/>
    <n v="0.59"/>
    <n v="0.64"/>
    <s v="City of Cocoa Beach"/>
    <n v="1.6394360742499999E-2"/>
    <n v="3811.3396671840001"/>
    <n v="9.6314439814663295"/>
    <n v="1.34660469972349"/>
    <n v="0.15790136710336999"/>
    <n v="2.207672322481E-2"/>
    <n v="62.484477416029698"/>
    <n v="1300"/>
    <s v="Residential, High Density"/>
    <n v="1300"/>
    <s v="City of Cocoa Beach           Brevard County"/>
    <s v="City of Cocoa Beach"/>
    <m/>
    <m/>
    <m/>
    <n v="0"/>
    <n v="1"/>
    <n v="0.15790136710336999"/>
    <n v="2.207672322481E-2"/>
    <n v="62.484477416030799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102.67256190853"/>
    <n v="66.345624061946097"/>
    <n v="5.0676786199999997E-2"/>
  </r>
  <r>
    <n v="840000"/>
    <n v="2400000"/>
    <n v="2400000"/>
    <x v="0"/>
    <x v="0"/>
    <s v="BR3-5, BR-7"/>
    <s v="62-304.520 (10), F.A.C."/>
    <n v="0.59"/>
    <n v="0.64"/>
    <s v="City of Cocoa Beach"/>
    <n v="1.7019980260579999E-2"/>
    <n v="3731.9231298561599"/>
    <n v="9.4700604874153598"/>
    <n v="1.6773109885088899"/>
    <n v="0.16118024256238001"/>
    <n v="2.854779991528E-2"/>
    <n v="63.517258004183702"/>
    <n v="1300"/>
    <s v="Residential, High Density"/>
    <n v="1300"/>
    <s v="City of Cocoa Beach           Brevard County"/>
    <s v="City of Cocoa Beach"/>
    <m/>
    <m/>
    <m/>
    <n v="0"/>
    <n v="1"/>
    <n v="0.16118024256238001"/>
    <n v="2.854779991528E-2"/>
    <n v="343.33639414929701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50.9034400315157"/>
    <n v="68.877416426680497"/>
    <n v="0.27845611850000002"/>
  </r>
  <r>
    <n v="840000"/>
    <n v="2400000"/>
    <n v="2400000"/>
    <x v="0"/>
    <x v="0"/>
    <s v="BR3-5, BR-7"/>
    <s v="62-304.520 (10), F.A.C."/>
    <n v="0.59"/>
    <n v="0.64"/>
    <s v="City of Cocoa Beach"/>
    <n v="0.20326367069576001"/>
    <n v="3731.9231298561599"/>
    <n v="9.4700604874153598"/>
    <n v="1.6773109885088899"/>
    <n v="1.92491925638295"/>
    <n v="0.34093638842265001"/>
    <n v="758.56439412898499"/>
    <n v="1300"/>
    <s v="Residential, High Density"/>
    <n v="1300"/>
    <s v="City of Cocoa Beach           Brevard County"/>
    <s v="City of Cocoa Beach"/>
    <m/>
    <m/>
    <m/>
    <n v="0"/>
    <n v="1"/>
    <n v="1.92491925638295"/>
    <n v="0.34093638842265001"/>
    <n v="1123.3686635310701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117.29388473674901"/>
    <n v="822.578891195746"/>
    <n v="0.91108569630000003"/>
  </r>
  <r>
    <n v="840000"/>
    <n v="2400000"/>
    <n v="2400000"/>
    <x v="0"/>
    <x v="0"/>
    <s v="BR3-5, BR-7"/>
    <s v="62-304.520 (10), F.A.C."/>
    <n v="0.59"/>
    <n v="0.64"/>
    <s v="City of Cocoa Beach"/>
    <n v="9.0627262857310001E-2"/>
    <n v="3739.8375652242098"/>
    <n v="8.9203298963218405"/>
    <n v="1.5047971532959199"/>
    <n v="0.80842508228792997"/>
    <n v="0.13637564715868999"/>
    <n v="338.931242067239"/>
    <n v="1300"/>
    <s v="Residential, High Density"/>
    <n v="1300"/>
    <s v="City of Cocoa Beach           Brevard County"/>
    <s v="City of Cocoa Beach"/>
    <m/>
    <m/>
    <m/>
    <n v="0"/>
    <n v="1"/>
    <n v="0.80842508228792997"/>
    <n v="0.13637564715868999"/>
    <n v="677.63142632875895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114.690095766456"/>
    <n v="366.755520738661"/>
    <n v="0.54957942120000003"/>
  </r>
  <r>
    <n v="840000"/>
    <n v="2400000"/>
    <n v="2400000"/>
    <x v="0"/>
    <x v="0"/>
    <s v="BR3-5, BR-7"/>
    <s v="62-304.520 (10), F.A.C."/>
    <n v="0.59"/>
    <n v="0.64"/>
    <s v="City of Cocoa Beach"/>
    <n v="8.6000160646750007E-2"/>
    <n v="3739.8375652242098"/>
    <n v="8.9203298963218405"/>
    <n v="1.5047971532959199"/>
    <n v="0.76714980410571998"/>
    <n v="0.12941279692422"/>
    <n v="321.62663140204802"/>
    <n v="1300"/>
    <s v="Residential, High Density"/>
    <n v="1300"/>
    <s v="City of Cocoa Beach           Brevard County"/>
    <s v="City of Cocoa Beach"/>
    <m/>
    <m/>
    <m/>
    <n v="0"/>
    <n v="1"/>
    <n v="0.76714980410571998"/>
    <n v="0.12941279692422"/>
    <n v="321.626631402047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113.93962538133199"/>
    <n v="348.03030244074699"/>
    <n v="0.26084884949999998"/>
  </r>
  <r>
    <n v="840000"/>
    <n v="2400000"/>
    <n v="2400000"/>
    <x v="0"/>
    <x v="0"/>
    <s v="BR3-5, BR-7"/>
    <s v="62-304.520 (10), F.A.C."/>
    <n v="0.59"/>
    <n v="0.64"/>
    <s v="City of Cocoa Beach"/>
    <n v="5.1396528467999997E-4"/>
    <n v="3748.94196293717"/>
    <n v="8.1826313582309407"/>
    <n v="1.2738035181559"/>
    <n v="4.2055884554899996E-3"/>
    <n v="6.5469078784000003E-4"/>
    <n v="1.92682602324479"/>
    <n v="1300"/>
    <s v="Residential, High Density"/>
    <n v="1300"/>
    <s v="City of Cocoa Beach           Brevard County"/>
    <s v="City of Cocoa Beach"/>
    <m/>
    <m/>
    <m/>
    <n v="0"/>
    <n v="1"/>
    <n v="4.2055884554899996E-3"/>
    <n v="6.5469078784000003E-4"/>
    <n v="2315.9593339344201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6.9776346405004501"/>
    <n v="2.07994371321506"/>
    <n v="1.8783125173999999"/>
  </r>
  <r>
    <n v="840000"/>
    <n v="2400000"/>
    <n v="2400000"/>
    <x v="0"/>
    <x v="0"/>
    <s v="BR3-5, BR-7"/>
    <s v="62-304.520 (10), F.A.C."/>
    <n v="0.59"/>
    <n v="0.64"/>
    <s v="City of Cocoa Beach"/>
    <n v="0.47697198181035999"/>
    <n v="3748.94196293717"/>
    <n v="8.1826313582309407"/>
    <n v="1.2738035181559"/>
    <n v="3.9028858953590602"/>
    <n v="0.60756858849183004"/>
    <n v="1788.14027775419"/>
    <n v="1300"/>
    <s v="Residential, High Density"/>
    <n v="1300"/>
    <s v="City of Cocoa Beach           Brevard County"/>
    <s v="City of Cocoa Beach"/>
    <m/>
    <m/>
    <m/>
    <n v="0"/>
    <n v="1"/>
    <n v="3.9028858953590602"/>
    <n v="0.60756858849183004"/>
    <n v="2315.9593344520699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192.315805630943"/>
    <n v="1930.23712789414"/>
    <n v="1.8783125178"/>
  </r>
  <r>
    <n v="840000"/>
    <n v="2400000"/>
    <n v="2400000"/>
    <x v="0"/>
    <x v="0"/>
    <s v="BR3-5, BR-7"/>
    <s v="62-304.520 (10), F.A.C."/>
    <n v="0.59"/>
    <n v="0.64"/>
    <s v="City of Cocoa Beach"/>
    <n v="6.5208599764199999E-3"/>
    <n v="3739.83763285445"/>
    <n v="8.9203248769158208"/>
    <n v="1.5047955796805801"/>
    <n v="5.8168189466599997E-2"/>
    <n v="9.8125612682400006E-3"/>
    <n v="24.386957538415999"/>
    <n v="1300"/>
    <s v="Residential, High Density"/>
    <n v="1300"/>
    <s v="City of Cocoa Beach           Brevard County"/>
    <s v="City of Cocoa Beach"/>
    <m/>
    <m/>
    <m/>
    <n v="0"/>
    <n v="1"/>
    <n v="5.8168189466599997E-2"/>
    <n v="9.8125612682400006E-3"/>
    <n v="677.63156387359697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21.3804426851448"/>
    <n v="26.388984075173301"/>
    <n v="0.54957953270000004"/>
  </r>
  <r>
    <n v="840000"/>
    <n v="2400000"/>
    <n v="2400000"/>
    <x v="0"/>
    <x v="0"/>
    <s v="BR3-5, BR-7"/>
    <s v="62-304.520 (10), F.A.C."/>
    <n v="0.59"/>
    <n v="0.64"/>
    <s v="City of Cocoa Beach"/>
    <n v="7.4061740328199999E-3"/>
    <n v="3739.83763285445"/>
    <n v="8.9203248769158208"/>
    <n v="1.5047955796805801"/>
    <n v="6.6065478467759994E-2"/>
    <n v="1.1144777946929999E-2"/>
    <n v="27.6978883634246"/>
    <n v="1300"/>
    <s v="Residential, High Density"/>
    <n v="1300"/>
    <s v="City of Cocoa Beach           Brevard County"/>
    <s v="City of Cocoa Beach"/>
    <m/>
    <m/>
    <m/>
    <n v="0"/>
    <n v="1"/>
    <n v="6.6065478467759994E-2"/>
    <n v="1.1144777946929999E-2"/>
    <n v="384.33284791123299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22.4281222532159"/>
    <n v="29.971722950144802"/>
    <n v="0.31170547279999999"/>
  </r>
  <r>
    <n v="840000"/>
    <n v="2400000"/>
    <n v="2400000"/>
    <x v="0"/>
    <x v="0"/>
    <s v="BR3-5, BR-7"/>
    <s v="62-304.520 (10), F.A.C."/>
    <n v="0.59"/>
    <n v="0.64"/>
    <s v="City of Cocoa Beach"/>
    <n v="2.5879604875090001E-2"/>
    <n v="3771.92855647738"/>
    <n v="10.655683445123801"/>
    <n v="1.5077989625736601"/>
    <n v="0.27576487723392001"/>
    <n v="3.9021241382479997E-2"/>
    <n v="97.616020658733405"/>
    <n v="1300"/>
    <s v="Residential, High Density"/>
    <n v="1300"/>
    <s v="City of Cocoa Beach           Brevard County"/>
    <s v="City of Cocoa Beach"/>
    <m/>
    <m/>
    <m/>
    <n v="0"/>
    <n v="1"/>
    <n v="0.27576487723392001"/>
    <n v="3.9021241382479997E-2"/>
    <n v="328.55937015040399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64.650931612560001"/>
    <n v="104.731045197966"/>
    <n v="0.26647150860000002"/>
  </r>
  <r>
    <n v="840000"/>
    <n v="2400000"/>
    <n v="2400000"/>
    <x v="0"/>
    <x v="0"/>
    <s v="BR3-5, BR-7"/>
    <s v="62-304.520 (10), F.A.C."/>
    <n v="0.59"/>
    <n v="0.64"/>
    <s v="City of Cocoa Beach"/>
    <n v="5.0305932643620002E-2"/>
    <n v="3771.92855647738"/>
    <n v="10.655683445123801"/>
    <n v="1.5077989625736601"/>
    <n v="0.53604409366215"/>
    <n v="7.5851233051349998E-2"/>
    <n v="189.75038389870099"/>
    <n v="1400"/>
    <s v="Commercial and Services"/>
    <n v="1400"/>
    <s v="City of Cocoa Beach           Brevard County"/>
    <s v="City of Cocoa Beach"/>
    <m/>
    <m/>
    <m/>
    <n v="0"/>
    <n v="1"/>
    <n v="0.53604409366215"/>
    <n v="7.5851233051349998E-2"/>
    <n v="1408.73713667381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70.696124740821105"/>
    <n v="203.58088660365999"/>
    <n v="1.1425280914"/>
  </r>
  <r>
    <n v="840000"/>
    <n v="2400000"/>
    <n v="2400000"/>
    <x v="0"/>
    <x v="0"/>
    <s v="BR3-5, BR-7"/>
    <s v="62-304.520 (10), F.A.C."/>
    <n v="0.59"/>
    <n v="0.64"/>
    <s v="City of Cocoa Beach"/>
    <n v="1.8624656603399999E-3"/>
    <n v="3771.92855647738"/>
    <n v="10.655683445123801"/>
    <n v="1.5077989625736601"/>
    <n v="1.984584450406E-2"/>
    <n v="2.8082237904900002E-3"/>
    <n v="7.0250874097175799"/>
    <n v="1300"/>
    <s v="Residential, High Density"/>
    <n v="1300"/>
    <s v="City of Cocoa Beach           Brevard County"/>
    <s v="City of Cocoa Beach"/>
    <m/>
    <m/>
    <m/>
    <n v="0"/>
    <n v="1"/>
    <n v="1.984584450406E-2"/>
    <n v="2.8082237904900002E-3"/>
    <n v="7.0250874097180001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47.5798637872916"/>
    <n v="7.5371311190710903"/>
    <n v="5.6975567000000001E-3"/>
  </r>
  <r>
    <n v="840000"/>
    <n v="2400000"/>
    <n v="2400000"/>
    <x v="0"/>
    <x v="0"/>
    <s v="BR3-5, BR-7"/>
    <s v="62-304.520 (10), F.A.C."/>
    <n v="0.59"/>
    <n v="0.64"/>
    <s v="City of Cocoa Beach"/>
    <n v="1.8729161964489999E-2"/>
    <n v="3764.4729522903599"/>
    <n v="10.8097988027918"/>
    <n v="1.50576525601291"/>
    <n v="0.20245847258103"/>
    <n v="2.8201721360360001E-2"/>
    <n v="70.505423634387896"/>
    <n v="1300"/>
    <s v="Residential, High Density"/>
    <n v="1300"/>
    <s v="City of Cocoa Beach           Brevard County"/>
    <s v="City of Cocoa Beach"/>
    <m/>
    <m/>
    <m/>
    <n v="0"/>
    <n v="1"/>
    <n v="0.20245847258103"/>
    <n v="2.8201721360360001E-2"/>
    <n v="238.63381948829101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40.9097080945768"/>
    <n v="75.7942293821649"/>
    <n v="0.1935391886"/>
  </r>
  <r>
    <n v="840000"/>
    <n v="2400000"/>
    <n v="2400000"/>
    <x v="0"/>
    <x v="0"/>
    <s v="BR3-5, BR-7"/>
    <s v="62-304.520 (10), F.A.C."/>
    <n v="0.59"/>
    <n v="0.64"/>
    <s v="City of Cocoa Beach"/>
    <n v="8.5051614008100004E-3"/>
    <n v="3764.4729522903599"/>
    <n v="10.8097988027918"/>
    <n v="1.50576525601291"/>
    <n v="9.193908352803E-2"/>
    <n v="1.2806776534120001E-2"/>
    <n v="32.017450048217"/>
    <n v="1400"/>
    <s v="Commercial and Services"/>
    <n v="1400"/>
    <s v="City of Cocoa Beach           Brevard County"/>
    <s v="City of Cocoa Beach"/>
    <m/>
    <m/>
    <m/>
    <n v="0"/>
    <n v="1"/>
    <n v="9.193908352803E-2"/>
    <n v="1.2806776534120001E-2"/>
    <n v="684.80318894117795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33.053576118991998"/>
    <n v="34.419167038418699"/>
    <n v="0.55539593590000003"/>
  </r>
  <r>
    <n v="840000"/>
    <n v="2400000"/>
    <n v="2400000"/>
    <x v="0"/>
    <x v="0"/>
    <s v="BR3-5, BR-7"/>
    <s v="62-304.520 (10), F.A.C."/>
    <n v="0.59"/>
    <n v="0.64"/>
    <s v="City of Cocoa Beach"/>
    <n v="3.2398723012300001E-3"/>
    <n v="3764.4729522903599"/>
    <n v="10.8097988027918"/>
    <n v="1.50576525601291"/>
    <n v="3.5022367723079997E-2"/>
    <n v="4.8784871451100003E-3"/>
    <n v="12.1964116468738"/>
    <n v="1300"/>
    <s v="Residential, High Density"/>
    <n v="1300"/>
    <s v="City of Cocoa Beach           Brevard County"/>
    <s v="City of Cocoa Beach"/>
    <m/>
    <m/>
    <m/>
    <n v="0"/>
    <n v="1"/>
    <n v="3.5022367723079997E-2"/>
    <n v="4.8784871451100003E-3"/>
    <n v="12.1964116468731"/>
    <m/>
    <n v="-1"/>
    <n v="-1"/>
    <n v="-1"/>
    <n v="-1"/>
    <n v="0"/>
    <m/>
    <m/>
    <s v="Banana River B"/>
    <n v="-1"/>
    <m/>
    <m/>
    <n v="380"/>
    <x v="17"/>
    <s v="Palm Av Swale"/>
    <x v="0"/>
    <n v="1.1779919999999999"/>
    <n v="16.701209856438499"/>
    <n v="13.1112980300079"/>
    <n v="9.8916557999999995E-3"/>
  </r>
  <r>
    <n v="600000"/>
    <n v="1200000"/>
    <n v="1200000"/>
    <x v="0"/>
    <x v="0"/>
    <s v="BR3-5, BR-7"/>
    <s v="62-304.520 (10), F.A.C."/>
    <n v="0.59"/>
    <n v="0.64"/>
    <s v="City of Cocoa Beach"/>
    <n v="7.1018960731870001E-2"/>
    <n v="3615.9641270456"/>
    <n v="7.7852707861208996"/>
    <n v="1.0013356399748601"/>
    <n v="0.55290184024653999"/>
    <n v="7.1113816494800003E-2"/>
    <n v="256.80201434652702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55290184024653999"/>
    <n v="7.1113816494800003E-2"/>
    <n v="1046.9115289766601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98.190207642051902"/>
    <n v="287.40353734997001"/>
    <n v="0.84907666579999996"/>
  </r>
  <r>
    <n v="610000"/>
    <n v="1200000"/>
    <n v="1200000"/>
    <x v="0"/>
    <x v="0"/>
    <s v="BR3-5, BR-7"/>
    <s v="62-304.520 (10), F.A.C."/>
    <n v="0.59"/>
    <n v="0.64"/>
    <s v="City of Cocoa Beach"/>
    <n v="0.14423866234353"/>
    <n v="3696.0453521244099"/>
    <n v="7.5915201521356197"/>
    <n v="1.00922788452226"/>
    <n v="1.09499071189805"/>
    <n v="0.14556968006328999"/>
    <n v="533.11263755147604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1.09499071189805"/>
    <n v="0.14556968006328999"/>
    <n v="1126.9006039327301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23.147364402422"/>
    <n v="583.71315706333303"/>
    <n v="0.91395020589999998"/>
  </r>
  <r>
    <n v="610000"/>
    <n v="1200000"/>
    <n v="1200000"/>
    <x v="0"/>
    <x v="0"/>
    <s v="BR3-5, BR-7"/>
    <s v="62-304.520 (10), F.A.C."/>
    <n v="0.59"/>
    <n v="0.64"/>
    <s v="City of Cocoa Beach"/>
    <n v="0.15545635368797001"/>
    <n v="3699.4704100490799"/>
    <n v="7.5330192022385303"/>
    <n v="1.01061078421982"/>
    <n v="1.17105569744153"/>
    <n v="0.15710586751256"/>
    <n v="575.10618052280302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1.17105569744153"/>
    <n v="0.15710586751256"/>
    <n v="1160.48236464194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25.398853166888"/>
    <n v="629.10954332508197"/>
    <n v="0.94118602159999998"/>
  </r>
  <r>
    <n v="610000"/>
    <n v="1300000"/>
    <n v="1300000"/>
    <x v="0"/>
    <x v="0"/>
    <s v="BR3-5, BR-7"/>
    <s v="62-304.520 (10), F.A.C."/>
    <n v="0.59"/>
    <n v="0.64"/>
    <s v="City of Cocoa Beach"/>
    <n v="1.710685786749E-2"/>
    <n v="172.00812881521099"/>
    <n v="0.46967170090650001"/>
    <n v="4.5960893965409998E-2"/>
    <n v="8.0346070317900004E-3"/>
    <n v="7.8624648051999998E-4"/>
    <n v="2.94251861169576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8.0346070317900004E-3"/>
    <n v="7.8624648051999998E-4"/>
    <n v="2.9425186116958302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03.498992542884"/>
    <n v="69.228997628161693"/>
    <n v="2.3864708999999998E-3"/>
  </r>
  <r>
    <n v="620000"/>
    <n v="1300000"/>
    <n v="1300000"/>
    <x v="0"/>
    <x v="0"/>
    <s v="BR3-5, BR-7"/>
    <s v="62-304.520 (10), F.A.C."/>
    <n v="0.59"/>
    <n v="0.64"/>
    <s v="City of Cocoa Beach"/>
    <n v="0.17607186041285"/>
    <n v="3700.9519182005101"/>
    <n v="7.5889673422057298"/>
    <n v="1.0172545875457799"/>
    <n v="1.33620359855454"/>
    <n v="0.17910990774269001"/>
    <n v="651.63348953608102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1.33620359855454"/>
    <n v="0.17910990774269001"/>
    <n v="1284.15850196939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28.53206921314799"/>
    <n v="712.53753911567105"/>
    <n v="1.0414910802999999"/>
  </r>
  <r>
    <n v="620000"/>
    <n v="1300000"/>
    <n v="1300000"/>
    <x v="0"/>
    <x v="0"/>
    <s v="BR3-5, BR-7"/>
    <s v="62-304.520 (10), F.A.C."/>
    <n v="0.59"/>
    <n v="0.64"/>
    <s v="City of Cocoa Beach"/>
    <n v="0.16453992408008999"/>
    <n v="3700.0036194665799"/>
    <n v="7.5612447266174003"/>
    <n v="1.0137849002107"/>
    <n v="1.2441266332686201"/>
    <n v="0.16680809051421"/>
    <n v="608.79831464309598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1.2441266332686201"/>
    <n v="0.16680809051421"/>
    <n v="1220.47218312361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26.76219748160899"/>
    <n v="665.86944850472798"/>
    <n v="0.9898395646"/>
  </r>
  <r>
    <n v="620000"/>
    <n v="1300000"/>
    <n v="1300000"/>
    <x v="0"/>
    <x v="0"/>
    <s v="BR3-5, BR-7"/>
    <s v="62-304.520 (10), F.A.C."/>
    <n v="0.59"/>
    <n v="0.64"/>
    <s v="City of Cocoa Beach"/>
    <n v="1.217772858168E-2"/>
    <n v="163.49487833045799"/>
    <n v="0.43839453028429998"/>
    <n v="5.2552348246160001E-2"/>
    <n v="5.3386496014900002E-3"/>
    <n v="6.3996823326999998E-4"/>
    <n v="1.9909962528044201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5.3386496014900002E-3"/>
    <n v="6.3996823326999998E-4"/>
    <n v="6.8261397359957501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86.520423544480806"/>
    <n v="49.281519121049101"/>
    <n v="5.5362042000000004E-3"/>
  </r>
  <r>
    <n v="620000"/>
    <n v="1300000"/>
    <n v="1300000"/>
    <x v="0"/>
    <x v="0"/>
    <s v="BR3-5, BR-7"/>
    <s v="62-304.520 (10), F.A.C."/>
    <n v="0.59"/>
    <n v="0.64"/>
    <s v="City of Cocoa Beach"/>
    <n v="2.2031029614779998E-2"/>
    <n v="96.274815351284801"/>
    <n v="0.26734586412140998"/>
    <n v="3.2999704581229999E-2"/>
    <n v="5.88990464984E-3"/>
    <n v="7.2701746890000004E-4"/>
    <n v="2.1210333081616302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5.88990464984E-3"/>
    <n v="7.2701746890000004E-4"/>
    <n v="3.22159650878499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03.36988123558"/>
    <n v="89.156413688658802"/>
    <n v="2.6128114000000002E-3"/>
  </r>
  <r>
    <n v="620000"/>
    <n v="1300000"/>
    <n v="1300000"/>
    <x v="0"/>
    <x v="0"/>
    <s v="BR3-5, BR-7"/>
    <s v="62-304.520 (10), F.A.C."/>
    <n v="0.59"/>
    <n v="0.64"/>
    <s v="City of Cocoa Beach"/>
    <n v="0.19346775963162"/>
    <n v="3700.64450707691"/>
    <n v="7.6760752633011604"/>
    <n v="1.0263134964453"/>
    <n v="1.48507308395463"/>
    <n v="0.19855857283697001"/>
    <n v="715.95540197725995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1.48507308395463"/>
    <n v="0.19855857283697001"/>
    <n v="1351.45525728245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31.40800947477899"/>
    <n v="782.93624559259194"/>
    <n v="1.0960707682999999"/>
  </r>
  <r>
    <n v="630000"/>
    <n v="1300000"/>
    <n v="1300000"/>
    <x v="0"/>
    <x v="0"/>
    <s v="BR3-5, BR-7"/>
    <s v="62-304.520 (10), F.A.C."/>
    <n v="0.59"/>
    <n v="0.64"/>
    <s v="City of Cocoa Beach"/>
    <n v="5.8651439415640001E-2"/>
    <n v="3727.10644852821"/>
    <n v="8.5466419355632208"/>
    <n v="1.33808495204"/>
    <n v="0.50127285169087998"/>
    <n v="7.8480608497549995E-2"/>
    <n v="218.60015806150801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50127285169087998"/>
    <n v="7.8480608497549995E-2"/>
    <n v="764.52157006410903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60.235908570370903"/>
    <n v="237.35395428220301"/>
    <n v="0.62004993519999996"/>
  </r>
  <r>
    <n v="630000"/>
    <n v="1300000"/>
    <n v="1300000"/>
    <x v="0"/>
    <x v="0"/>
    <s v="BR3-5, BR-7"/>
    <s v="62-304.520 (10), F.A.C."/>
    <n v="0.59"/>
    <n v="0.64"/>
    <s v="City of Cocoa Beach"/>
    <n v="0.12427325175499"/>
    <n v="3687.7741029260701"/>
    <n v="7.7174886658628203"/>
    <n v="1.0155538805715301"/>
    <n v="0.95907741188909001"/>
    <n v="0.12620618307102"/>
    <n v="458.29167950848603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95907741188909001"/>
    <n v="0.12620618307102"/>
    <n v="1066.53242765808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20.14580194788699"/>
    <n v="502.91600699723602"/>
    <n v="0.86498980349999999"/>
  </r>
  <r>
    <n v="630000"/>
    <n v="1300000"/>
    <n v="1300000"/>
    <x v="0"/>
    <x v="0"/>
    <s v="BR3-5, BR-7"/>
    <s v="62-304.520 (10), F.A.C."/>
    <n v="0.59"/>
    <n v="0.64"/>
    <s v="City of Cocoa Beach"/>
    <n v="0.10317137902404"/>
    <n v="3687.9678875810901"/>
    <n v="7.6729893274814103"/>
    <n v="1.0104979127068501"/>
    <n v="0.79163289015301996"/>
    <n v="0.10425446315488"/>
    <n v="380.49273275812698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79163289015301996"/>
    <n v="0.10425446315488"/>
    <n v="1007.8846641226399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16.729952102062"/>
    <n v="417.51975781131398"/>
    <n v="0.81742470730000005"/>
  </r>
  <r>
    <n v="630000"/>
    <n v="1300000"/>
    <n v="1300000"/>
    <x v="0"/>
    <x v="0"/>
    <s v="BR3-5, BR-7"/>
    <s v="62-304.520 (10), F.A.C."/>
    <n v="0.59"/>
    <n v="0.64"/>
    <s v="City of Cocoa Beach"/>
    <n v="6.2850313798000004E-3"/>
    <n v="2325.45760771288"/>
    <n v="5.7188830695948596"/>
    <n v="0.58394739872160994"/>
    <n v="3.594335954985E-2"/>
    <n v="3.6701277251200001E-3"/>
    <n v="14.615574036888701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3.594335954985E-2"/>
    <n v="3.6701277251200001E-3"/>
    <n v="14.6155740368895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85.124539355816793"/>
    <n v="25.434619604362901"/>
    <n v="1.18536691E-2"/>
  </r>
  <r>
    <n v="650000"/>
    <n v="2200000"/>
    <n v="2200000"/>
    <x v="0"/>
    <x v="0"/>
    <s v="BR3-5, BR-7"/>
    <s v="62-304.520 (10), F.A.C."/>
    <n v="0.59"/>
    <n v="0.64"/>
    <s v="Natural Lands"/>
    <n v="1.178752808036E-2"/>
    <n v="3615.9641270456"/>
    <n v="7.7852707861208996"/>
    <n v="1.0013356399748601"/>
    <n v="9.176909800461E-2"/>
    <n v="1.1803271974070001E-2"/>
    <n v="42.623278685128"/>
    <n v="3100"/>
    <s v="Herbaceous Dry Prairie"/>
    <n v="3100"/>
    <s v="City of Cocoa Beach           Brevard County"/>
    <s v="City of Cocoa Beach"/>
    <m/>
    <m/>
    <s v="Natural Lands"/>
    <n v="0"/>
    <n v="1"/>
    <n v="9.176909800461E-2"/>
    <n v="1.1803271974070001E-2"/>
    <n v="179.36201153089701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27.856096901183601"/>
    <n v="47.702433716229798"/>
    <n v="0.1454679737"/>
  </r>
  <r>
    <n v="650000"/>
    <n v="2300000"/>
    <n v="2300000"/>
    <x v="0"/>
    <x v="0"/>
    <s v="BR3-5, BR-7"/>
    <s v="62-304.520 (10), F.A.C."/>
    <n v="0.59"/>
    <n v="0.64"/>
    <s v="Natural Lands"/>
    <n v="2.3164312776E-4"/>
    <n v="3696.0453521244099"/>
    <n v="7.5915201521356197"/>
    <n v="1.00922788452226"/>
    <n v="1.7585234725E-3"/>
    <n v="2.3378070378999999E-4"/>
    <n v="0.85616350571629996"/>
    <n v="6120"/>
    <s v="Mangrove swamp"/>
    <n v="6120"/>
    <s v="City of Cocoa Beach           Brevard County"/>
    <s v="City of Cocoa Beach"/>
    <m/>
    <m/>
    <s v="Natural Lands"/>
    <n v="0"/>
    <n v="1"/>
    <n v="1.7585234725E-3"/>
    <n v="2.3378070378999999E-4"/>
    <n v="0.85616350571737998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6.341872742115001"/>
    <n v="0.93742647928966005"/>
    <n v="6.9437429999999998E-4"/>
  </r>
  <r>
    <n v="650000"/>
    <n v="2300000"/>
    <n v="2300000"/>
    <x v="0"/>
    <x v="0"/>
    <s v="BR3-5, BR-7"/>
    <s v="62-304.520 (10), F.A.C."/>
    <n v="0.59"/>
    <n v="0.64"/>
    <s v="Natural Lands"/>
    <n v="4.4355884786200003E-3"/>
    <n v="3699.4704100490799"/>
    <n v="7.5330192022385303"/>
    <n v="1.01061078421982"/>
    <n v="3.3413373182730001E-2"/>
    <n v="4.4826535508599996E-3"/>
    <n v="16.409328327838899"/>
    <n v="6120"/>
    <s v="Mangrove swamp"/>
    <n v="6120"/>
    <s v="City of Cocoa Beach           Brevard County"/>
    <s v="City of Cocoa Beach"/>
    <m/>
    <m/>
    <s v="Natural Lands"/>
    <n v="0"/>
    <n v="1"/>
    <n v="3.3413373182730001E-2"/>
    <n v="4.4826535508599996E-3"/>
    <n v="27.206119041753698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89.094354425700701"/>
    <n v="17.950189721860401"/>
    <n v="2.2064978900000001E-2"/>
  </r>
  <r>
    <n v="650000"/>
    <n v="2300000"/>
    <n v="2300000"/>
    <x v="0"/>
    <x v="0"/>
    <s v="BR3-5, BR-7"/>
    <s v="62-304.520 (10), F.A.C."/>
    <n v="0.59"/>
    <n v="0.64"/>
    <s v="Natural Lands"/>
    <n v="7.4995593855900003E-3"/>
    <n v="172.00812881521099"/>
    <n v="0.46967170090650001"/>
    <n v="4.5960893965409998E-2"/>
    <n v="3.5223308126799999E-3"/>
    <n v="3.4468645370000001E-4"/>
    <n v="1.28998517685544"/>
    <n v="5400"/>
    <s v="Bays and estuaries"/>
    <n v="5400"/>
    <s v="City of Cocoa Beach           Brevard County"/>
    <s v="City of Cocoa Beach"/>
    <m/>
    <m/>
    <s v="Natural Lands"/>
    <n v="0"/>
    <n v="1"/>
    <n v="3.5223308126799999E-3"/>
    <n v="3.4468645370000001E-4"/>
    <n v="96.595248377372599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67.714818938789904"/>
    <n v="30.349640064781301"/>
    <n v="7.8341645099999996E-2"/>
  </r>
  <r>
    <n v="650000"/>
    <n v="2300000"/>
    <n v="2300000"/>
    <x v="0"/>
    <x v="0"/>
    <s v="BR3-5, BR-7"/>
    <s v="62-304.520 (10), F.A.C."/>
    <n v="0.59"/>
    <n v="0.64"/>
    <s v="Natural Lands"/>
    <n v="2.8385402800100001E-3"/>
    <n v="172.00812881521099"/>
    <n v="0.46967170090650001"/>
    <n v="4.5960893965409998E-2"/>
    <n v="1.3331820414E-3"/>
    <n v="1.3046184882E-4"/>
    <n v="0.48825200213181003"/>
    <n v="6120"/>
    <s v="Mangrove swamp"/>
    <n v="6120"/>
    <s v="City of Cocoa Beach           Brevard County"/>
    <s v="City of Cocoa Beach"/>
    <m/>
    <m/>
    <s v="Natural Lands"/>
    <n v="0"/>
    <n v="1"/>
    <n v="1.3331820414E-3"/>
    <n v="1.3046184882E-4"/>
    <n v="6.7225859306620404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36.270119217163"/>
    <n v="11.487164962416699"/>
    <n v="5.4522188999999999E-3"/>
  </r>
  <r>
    <n v="660000"/>
    <n v="2300000"/>
    <n v="2300000"/>
    <x v="0"/>
    <x v="0"/>
    <s v="BR3-5, BR-7"/>
    <s v="62-304.520 (10), F.A.C."/>
    <n v="0.59"/>
    <n v="0.64"/>
    <s v="Natural Lands"/>
    <n v="3.8356919568100002E-3"/>
    <n v="163.49487833045799"/>
    <n v="0.43839453028429998"/>
    <n v="5.2552348246160001E-2"/>
    <n v="1.68154637372E-3"/>
    <n v="2.0157461947E-4"/>
    <n v="0.62711598979192995"/>
    <n v="3100"/>
    <s v="Herbaceous Dry Prairie"/>
    <n v="3100"/>
    <s v="City of Cocoa Beach           Brevard County"/>
    <s v="City of Cocoa Beach"/>
    <m/>
    <m/>
    <s v="Natural Lands"/>
    <n v="0"/>
    <n v="1"/>
    <n v="1.68154637372E-3"/>
    <n v="2.0157461947E-4"/>
    <n v="1.62270070442325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20.225902741531701"/>
    <n v="15.5224946297675"/>
    <n v="1.3160590000000001E-3"/>
  </r>
  <r>
    <n v="660000"/>
    <n v="2300000"/>
    <n v="2300000"/>
    <x v="0"/>
    <x v="0"/>
    <s v="BR3-5, BR-7"/>
    <s v="62-304.520 (10), F.A.C."/>
    <n v="0.59"/>
    <n v="0.64"/>
    <s v="Natural Lands"/>
    <n v="4.4050811165999998E-4"/>
    <n v="96.274815351284801"/>
    <n v="0.26734586412140998"/>
    <n v="3.2999704581229999E-2"/>
    <n v="1.1776802176E-4"/>
    <n v="1.4536637550000001E-5"/>
    <n v="4.2409837111479998E-2"/>
    <n v="5400"/>
    <s v="Bays and estuaries"/>
    <n v="5400"/>
    <s v="City of Cocoa Beach           Brevard County"/>
    <s v="City of Cocoa Beach"/>
    <m/>
    <m/>
    <s v="Natural Lands"/>
    <n v="0"/>
    <n v="1"/>
    <n v="1.1776802176E-4"/>
    <n v="1.4536637550000001E-5"/>
    <n v="56.2534576972729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6.493089797575301"/>
    <n v="1.7826730808175599"/>
    <n v="4.5623242299999998E-2"/>
  </r>
  <r>
    <n v="660000"/>
    <n v="2300000"/>
    <n v="2300000"/>
    <x v="0"/>
    <x v="0"/>
    <s v="BR3-5, BR-7"/>
    <s v="62-304.520 (10), F.A.C."/>
    <n v="0.59"/>
    <n v="0.64"/>
    <s v="Natural Lands"/>
    <n v="4.2874279459999996E-3"/>
    <n v="197.94314488733701"/>
    <n v="0.52851531486476"/>
    <n v="5.120870240968E-2"/>
    <n v="2.2659713308399998E-3"/>
    <n v="2.1955362179000001E-4"/>
    <n v="0.84866697111047995"/>
    <n v="3100"/>
    <s v="Herbaceous Dry Prairie"/>
    <n v="3100"/>
    <s v="City of Cocoa Beach           Brevard County"/>
    <s v="City of Cocoa Beach"/>
    <m/>
    <m/>
    <s v="Natural Lands"/>
    <n v="0"/>
    <n v="1"/>
    <n v="2.2659713308399998E-3"/>
    <n v="2.1955362179000001E-4"/>
    <n v="13.866879011156501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20.098519560173202"/>
    <n v="17.3506053188744"/>
    <n v="1.1246455000000001E-2"/>
  </r>
  <r>
    <n v="660000"/>
    <n v="2300000"/>
    <n v="2300000"/>
    <x v="0"/>
    <x v="0"/>
    <s v="BR3-5, BR-7"/>
    <s v="62-304.520 (10), F.A.C."/>
    <n v="0.59"/>
    <n v="0.64"/>
    <s v="Natural Lands"/>
    <n v="9.9932281923E-4"/>
    <n v="3097.4731421759202"/>
    <n v="7.5926117121321397"/>
    <n v="0.77714566194051005"/>
    <n v="7.5874701414800003E-3"/>
    <n v="7.7661939383999999E-4"/>
    <n v="3.0953755929284501"/>
    <n v="6120"/>
    <s v="Mangrove swamp"/>
    <n v="6120"/>
    <s v="City of Cocoa Beach           Brevard County"/>
    <s v="City of Cocoa Beach"/>
    <m/>
    <m/>
    <s v="Natural Lands"/>
    <n v="0"/>
    <n v="1"/>
    <n v="7.5874701414800003E-3"/>
    <n v="7.7661939383999999E-4"/>
    <n v="1913.5057054552101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36.969137827483202"/>
    <n v="4.0441159690531299"/>
    <n v="1.5519105477999999"/>
  </r>
  <r>
    <n v="660000"/>
    <n v="2300000"/>
    <n v="2300000"/>
    <x v="0"/>
    <x v="0"/>
    <s v="BR3-5, BR-7"/>
    <s v="62-304.520 (10), F.A.C."/>
    <n v="0.59"/>
    <n v="0.64"/>
    <s v="City of Cocoa Beach"/>
    <n v="1.367192262983E-2"/>
    <n v="3727.10644852821"/>
    <n v="8.5466419355632208"/>
    <n v="1.33808495204"/>
    <n v="0.11684902728788001"/>
    <n v="1.829419393643E-2"/>
    <n v="50.956710997418199"/>
    <n v="1300"/>
    <s v="Residential, High Density"/>
    <n v="1300"/>
    <s v="City of Cocoa Beach           Brevard County"/>
    <s v="City of Cocoa Beach"/>
    <m/>
    <m/>
    <m/>
    <n v="0"/>
    <n v="1"/>
    <n v="0.11684902728788001"/>
    <n v="1.829419393643E-2"/>
    <n v="638.69599265723696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33.570098326711403"/>
    <n v="55.3283079010831"/>
    <n v="0.51800161609999995"/>
  </r>
  <r>
    <n v="660000"/>
    <n v="2300000"/>
    <n v="2300000"/>
    <x v="0"/>
    <x v="0"/>
    <s v="BR3-5, BR-7"/>
    <s v="62-304.520 (10), F.A.C."/>
    <n v="0.59"/>
    <n v="0.64"/>
    <s v="Natural Lands"/>
    <n v="1.7233897434969999E-2"/>
    <n v="2142.6439465982398"/>
    <n v="5.1077422316491896"/>
    <n v="0.55909253642366996"/>
    <n v="8.8026305744539998E-2"/>
    <n v="9.6353434293799996E-3"/>
    <n v="36.926106015350697"/>
    <n v="3100"/>
    <s v="Herbaceous Dry Prairie"/>
    <n v="3100"/>
    <s v="City of Cocoa Beach           Brevard County"/>
    <s v="City of Cocoa Beach"/>
    <m/>
    <m/>
    <s v="Natural Lands"/>
    <n v="0"/>
    <n v="1"/>
    <n v="8.8026305744539998E-2"/>
    <n v="9.6353434293799996E-3"/>
    <n v="781.65673443558603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38.551542541767802"/>
    <n v="69.743108517722106"/>
    <n v="0.63394706769999998"/>
  </r>
  <r>
    <n v="660000"/>
    <n v="2400000"/>
    <n v="2400000"/>
    <x v="0"/>
    <x v="0"/>
    <s v="BR3-5, BR-7"/>
    <s v="62-304.520 (10), F.A.C."/>
    <n v="0.59"/>
    <n v="0.64"/>
    <s v="Natural Lands"/>
    <n v="6.6801379561600002E-3"/>
    <n v="2325.45760771288"/>
    <n v="5.7188830695948596"/>
    <n v="0.58394739872160994"/>
    <n v="3.8202927860040002E-2"/>
    <n v="3.9008491825999999E-3"/>
    <n v="15.5343776307238"/>
    <n v="6120"/>
    <s v="Mangrove swamp"/>
    <n v="6120"/>
    <s v="City of Cocoa Beach           Brevard County"/>
    <s v="City of Cocoa Beach"/>
    <m/>
    <m/>
    <s v="Natural Lands"/>
    <n v="0"/>
    <n v="1"/>
    <n v="3.8202927860040002E-2"/>
    <n v="3.9008491825999999E-3"/>
    <n v="1087.42810554325"/>
    <m/>
    <n v="-1"/>
    <n v="-1"/>
    <n v="-1"/>
    <n v="-1"/>
    <n v="0"/>
    <m/>
    <m/>
    <s v="Banana River B"/>
    <n v="-1"/>
    <m/>
    <m/>
    <n v="383"/>
    <x v="18"/>
    <s v="Minutemen/CBHS"/>
    <x v="0"/>
    <n v="1.3224320000000001"/>
    <n v="100.918281794203"/>
    <n v="27.033559190404301"/>
    <n v="0.88193682529999995"/>
  </r>
  <r>
    <n v="610000"/>
    <n v="1200000"/>
    <n v="1200000"/>
    <x v="0"/>
    <x v="0"/>
    <s v="BR3-5, BR-7"/>
    <s v="62-304.520 (10), F.A.C."/>
    <n v="0.59"/>
    <n v="0.64"/>
    <s v="City of Cocoa Beach"/>
    <n v="0.11558633629822999"/>
    <n v="3680.6896524417998"/>
    <n v="7.3752864780072001"/>
    <n v="1.01979072947466"/>
    <n v="0.85248234314271998"/>
    <n v="0.11787387421087001"/>
    <n v="425.437431976553"/>
    <n v="1750"/>
    <s v="Governmental"/>
    <n v="1750"/>
    <s v="City of Cocoa Beach           Brevard County"/>
    <s v="City of Cocoa Beach"/>
    <m/>
    <m/>
    <m/>
    <n v="0"/>
    <n v="1"/>
    <n v="0.85248234314271998"/>
    <n v="0.11787387421087001"/>
    <n v="577.33746838928596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00.82037280413201"/>
    <n v="467.76130739017901"/>
    <n v="0.46823801170000001"/>
  </r>
  <r>
    <n v="610000"/>
    <n v="1300000"/>
    <n v="1300000"/>
    <x v="0"/>
    <x v="0"/>
    <s v="BR3-5, BR-7"/>
    <s v="62-304.520 (10), F.A.C."/>
    <n v="0.59"/>
    <n v="0.64"/>
    <s v="City of Cocoa Beach"/>
    <n v="8.1091292323279995E-2"/>
    <n v="3715.2158704025601"/>
    <n v="7.3283850586095101"/>
    <n v="0.99933468914297996"/>
    <n v="0.59426821504531002"/>
    <n v="8.1037341406089994E-2"/>
    <n v="301.27165619092898"/>
    <n v="1710"/>
    <s v="Educational Facilities"/>
    <n v="1710"/>
    <s v="City of Cocoa Beach           Brevard County"/>
    <s v="City of Cocoa Beach"/>
    <m/>
    <m/>
    <m/>
    <n v="0"/>
    <n v="1"/>
    <n v="0.59426821504531002"/>
    <n v="8.1037341406089994E-2"/>
    <n v="729.232629092504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13.12809690452799"/>
    <n v="328.16481713920803"/>
    <n v="0.59142954510000001"/>
  </r>
  <r>
    <n v="610000"/>
    <n v="1300000"/>
    <n v="1300000"/>
    <x v="0"/>
    <x v="0"/>
    <s v="BR3-5, BR-7"/>
    <s v="62-304.520 (10), F.A.C."/>
    <n v="0.59"/>
    <n v="0.64"/>
    <s v="City of Cocoa Beach"/>
    <n v="0.18389267639717"/>
    <n v="3715.2158704025601"/>
    <n v="7.3283850586095101"/>
    <n v="0.99933468914297996"/>
    <n v="1.3476363420967801"/>
    <n v="0.18377033060303999"/>
    <n v="683.20098980159105"/>
    <n v="1750"/>
    <s v="Governmental"/>
    <n v="1750"/>
    <s v="City of Cocoa Beach           Brevard County"/>
    <s v="City of Cocoa Beach"/>
    <m/>
    <m/>
    <m/>
    <n v="0"/>
    <n v="1"/>
    <n v="1.3476363420967801"/>
    <n v="0.18377033060303999"/>
    <n v="1565.8919457744601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72.04581770507301"/>
    <n v="744.18725851023601"/>
    <n v="1.2699853575"/>
  </r>
  <r>
    <n v="630000"/>
    <n v="1300000"/>
    <n v="1300000"/>
    <x v="0"/>
    <x v="0"/>
    <s v="BR3-5, BR-7"/>
    <s v="62-304.520 (10), F.A.C."/>
    <n v="0.59"/>
    <n v="0.64"/>
    <s v="City of Cocoa Beach"/>
    <n v="8.7836412271020001E-2"/>
    <n v="3715.1706244669299"/>
    <n v="7.3263291874813401"/>
    <n v="0.99902539971393001"/>
    <n v="0.64351847094487002"/>
    <n v="8.7750806878499996E-2"/>
    <n v="326.32725862788999"/>
    <n v="1710"/>
    <s v="Educational Facilities"/>
    <n v="1710"/>
    <s v="City of Cocoa Beach           Brevard County"/>
    <s v="City of Cocoa Beach"/>
    <m/>
    <m/>
    <m/>
    <n v="0"/>
    <n v="1"/>
    <n v="0.64351847094487002"/>
    <n v="8.7750806878499996E-2"/>
    <n v="743.02197389463197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14.219958192617"/>
    <n v="355.461349119582"/>
    <n v="0.60261311750000002"/>
  </r>
  <r>
    <n v="630000"/>
    <n v="1300000"/>
    <n v="1300000"/>
    <x v="0"/>
    <x v="0"/>
    <s v="BR3-5, BR-7"/>
    <s v="62-304.520 (10), F.A.C."/>
    <n v="0.59"/>
    <n v="0.64"/>
    <s v="City of Cocoa Beach"/>
    <n v="0.15597728496362001"/>
    <n v="3715.1706244669299"/>
    <n v="7.3263291874813401"/>
    <n v="0.99902539971393001"/>
    <n v="1.1427409354131299"/>
    <n v="0.15582526945708"/>
    <n v="579.48222718098202"/>
    <n v="1750"/>
    <s v="Governmental"/>
    <n v="1750"/>
    <s v="City of Cocoa Beach           Brevard County"/>
    <s v="City of Cocoa Beach"/>
    <m/>
    <m/>
    <m/>
    <n v="0"/>
    <n v="1"/>
    <n v="1.1427409354131299"/>
    <n v="0.15582526945708"/>
    <n v="1552.0746486610401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25.25483046686"/>
    <n v="631.21767740357495"/>
    <n v="1.2587791149000001"/>
  </r>
  <r>
    <n v="630000"/>
    <n v="1300000"/>
    <n v="1300000"/>
    <x v="0"/>
    <x v="0"/>
    <s v="BR3-5, BR-7"/>
    <s v="62-304.520 (10), F.A.C."/>
    <n v="0.59"/>
    <n v="0.64"/>
    <s v="City of Cocoa Beach"/>
    <n v="3.4528833064109997E-2"/>
    <n v="3690.33356124593"/>
    <n v="7.42431668633788"/>
    <n v="1.0135499821043801"/>
    <n v="0.25635299147770002"/>
    <n v="3.4996698134220003E-2"/>
    <n v="127.422911487172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25635299147770002"/>
    <n v="3.4996698134220003E-2"/>
    <n v="580.90112592125695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05.357014517804"/>
    <n v="139.73322984350301"/>
    <n v="0.47112824489999999"/>
  </r>
  <r>
    <n v="630000"/>
    <n v="1300000"/>
    <n v="1300000"/>
    <x v="0"/>
    <x v="0"/>
    <s v="BR3-5, BR-7"/>
    <s v="62-304.520 (10), F.A.C."/>
    <n v="0.59"/>
    <n v="0.64"/>
    <s v="City of Cocoa Beach"/>
    <n v="1.8206248770399999E-3"/>
    <n v="3704.1730400013398"/>
    <n v="7.80162774903871"/>
    <n v="1.1285722691151201"/>
    <n v="1.420383756133E-2"/>
    <n v="2.0547067486900001E-3"/>
    <n v="6.7439095855021396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1.420383756133E-2"/>
    <n v="2.0547067486900001E-3"/>
    <n v="591.68721576991504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2.380050121925301"/>
    <n v="7.3678074764468899"/>
    <n v="0.47987608739999998"/>
  </r>
  <r>
    <n v="630000"/>
    <n v="1300000"/>
    <n v="1300000"/>
    <x v="0"/>
    <x v="0"/>
    <s v="BR3-5, BR-7"/>
    <s v="62-304.520 (10), F.A.C."/>
    <n v="0.59"/>
    <n v="0.64"/>
    <s v="City of Cocoa Beach"/>
    <n v="4.1315404141849997E-2"/>
    <n v="3717.5474665925999"/>
    <n v="7.4369205916838297"/>
    <n v="1.01566447989894"/>
    <n v="0.30725937981633"/>
    <n v="4.1962588459549997E-2"/>
    <n v="153.59197599881699"/>
    <n v="1750"/>
    <s v="Governmental"/>
    <n v="1750"/>
    <s v="City of Cocoa Beach           Brevard County"/>
    <s v="City of Cocoa Beach"/>
    <m/>
    <m/>
    <m/>
    <n v="0"/>
    <n v="1"/>
    <n v="0.30725937981633"/>
    <n v="4.1962588459549997E-2"/>
    <n v="2296.5649618799798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72.144650131639295"/>
    <n v="167.19750859553201"/>
    <n v="1.8625830996999999"/>
  </r>
  <r>
    <n v="630000"/>
    <n v="1300000"/>
    <n v="1300000"/>
    <x v="0"/>
    <x v="0"/>
    <s v="BR3-5, BR-7"/>
    <s v="62-304.520 (10), F.A.C."/>
    <n v="0.59"/>
    <n v="0.64"/>
    <s v="City of Cocoa Beach"/>
    <n v="8.482099628749E-2"/>
    <n v="3715.1253345607602"/>
    <n v="7.3242732304254199"/>
    <n v="0.99871609845649001"/>
    <n v="0.62125215248652998"/>
    <n v="8.4712094479440003E-2"/>
    <n v="315.120632210368"/>
    <n v="1710"/>
    <s v="Educational Facilities"/>
    <n v="1710"/>
    <s v="City of Cocoa Beach           Brevard County"/>
    <s v="City of Cocoa Beach"/>
    <m/>
    <m/>
    <m/>
    <n v="0"/>
    <n v="1"/>
    <n v="0.62125215248652998"/>
    <n v="8.4712094479440003E-2"/>
    <n v="756.81096679791494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01.62199308691"/>
    <n v="343.25839358042901"/>
    <n v="0.61379640449999995"/>
  </r>
  <r>
    <n v="630000"/>
    <n v="1300000"/>
    <n v="1300000"/>
    <x v="0"/>
    <x v="0"/>
    <s v="BR3-5, BR-7"/>
    <s v="62-304.520 (10), F.A.C."/>
    <n v="0.59"/>
    <n v="0.64"/>
    <s v="City of Cocoa Beach"/>
    <n v="0.13220194623661999"/>
    <n v="3715.1253345607602"/>
    <n v="7.3242732304254199"/>
    <n v="0.99871609845649001"/>
    <n v="0.96828317583101997"/>
    <n v="0.13203221195379"/>
    <n v="491.14679974191102"/>
    <n v="1750"/>
    <s v="Governmental"/>
    <n v="1750"/>
    <s v="City of Cocoa Beach           Brevard County"/>
    <s v="City of Cocoa Beach"/>
    <m/>
    <m/>
    <m/>
    <n v="0"/>
    <n v="1"/>
    <n v="0.96828317583101997"/>
    <n v="0.13203221195379"/>
    <n v="1538.25767730907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08.27470214864699"/>
    <n v="535.00229518145102"/>
    <n v="1.2475731365"/>
  </r>
  <r>
    <n v="630000"/>
    <n v="1300000"/>
    <n v="1300000"/>
    <x v="0"/>
    <x v="0"/>
    <s v="BR3-5, BR-7"/>
    <s v="62-304.520 (10), F.A.C."/>
    <n v="0.59"/>
    <n v="0.64"/>
    <s v="City of Cocoa Beach"/>
    <n v="3.6210743630770002E-2"/>
    <n v="3686.9096400429898"/>
    <n v="7.4079107349732398"/>
    <n v="1.02139727347795"/>
    <n v="0.26824595646374"/>
    <n v="3.6985554815070001E-2"/>
    <n v="133.50573976541099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26824595646374"/>
    <n v="3.6985554815070001E-2"/>
    <n v="200.04477466677599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57.130930988161801"/>
    <n v="146.539680422061"/>
    <n v="0.16224231519999999"/>
  </r>
  <r>
    <n v="630000"/>
    <n v="1300000"/>
    <n v="1300000"/>
    <x v="0"/>
    <x v="0"/>
    <s v="BR3-5, BR-7"/>
    <s v="62-304.520 (10), F.A.C."/>
    <n v="0.59"/>
    <n v="0.64"/>
    <s v="City of Cocoa Beach"/>
    <n v="2.1960468427879999E-2"/>
    <n v="3686.9096400429898"/>
    <n v="7.4079107349732398"/>
    <n v="1.02139727347795"/>
    <n v="0.16268118981193999"/>
    <n v="2.243036257653E-2"/>
    <n v="80.9662627466179"/>
    <n v="1710"/>
    <s v="Educational Facilities"/>
    <n v="1710"/>
    <s v="City of Cocoa Beach           Brevard County"/>
    <s v="City of Cocoa Beach"/>
    <m/>
    <m/>
    <m/>
    <n v="0"/>
    <n v="1"/>
    <n v="0.16268118981193999"/>
    <n v="2.243036257653E-2"/>
    <n v="202.337547317385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40.991905038903802"/>
    <n v="88.870862696287304"/>
    <n v="0.1641018226"/>
  </r>
  <r>
    <n v="630000"/>
    <n v="1300000"/>
    <n v="1300000"/>
    <x v="0"/>
    <x v="0"/>
    <s v="BR3-5, BR-7"/>
    <s v="62-304.520 (10), F.A.C."/>
    <n v="0.59"/>
    <n v="0.64"/>
    <s v="City of Cocoa Beach"/>
    <n v="0.11517556548864"/>
    <n v="3686.9096400429898"/>
    <n v="7.4079107349732398"/>
    <n v="1.02139727347795"/>
    <n v="0.85321030798996"/>
    <n v="0.11764000856138"/>
    <n v="424.64190269749901"/>
    <n v="1750"/>
    <s v="Governmental"/>
    <n v="1750"/>
    <s v="City of Cocoa Beach           Brevard County"/>
    <s v="City of Cocoa Beach"/>
    <m/>
    <m/>
    <m/>
    <n v="0"/>
    <n v="1"/>
    <n v="0.85321030798996"/>
    <n v="0.11764000856138"/>
    <n v="424.64190269749901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95.793404876016197"/>
    <n v="466.09897690128503"/>
    <n v="0.34439732579999999"/>
  </r>
  <r>
    <n v="640000"/>
    <n v="2200000"/>
    <n v="2200000"/>
    <x v="0"/>
    <x v="0"/>
    <s v="BR3-5, BR-7"/>
    <s v="62-304.520 (10), F.A.C."/>
    <n v="0.59"/>
    <n v="0.64"/>
    <s v="City of Cocoa Beach"/>
    <n v="1.0481984025440001E-2"/>
    <n v="3676.42587990948"/>
    <n v="7.6181684152992197"/>
    <n v="1.10156969718746"/>
    <n v="7.9853519632330006E-2"/>
    <n v="1.154663596883E-2"/>
    <n v="38.536237343954802"/>
    <n v="1820"/>
    <s v="Golf Course"/>
    <n v="1820"/>
    <s v="City of Cocoa Beach           Brevard County"/>
    <s v="City of Cocoa Beach"/>
    <m/>
    <m/>
    <m/>
    <n v="0"/>
    <n v="1"/>
    <n v="7.9853519632330006E-2"/>
    <n v="1.154663596883E-2"/>
    <n v="2099.5083180889201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57.981482640019998"/>
    <n v="42.419084372879702"/>
    <n v="1.7027642482000001"/>
  </r>
  <r>
    <n v="650000"/>
    <n v="2300000"/>
    <n v="2300000"/>
    <x v="0"/>
    <x v="0"/>
    <s v="BR3-5, BR-7"/>
    <s v="62-304.520 (10), F.A.C."/>
    <n v="0.59"/>
    <n v="0.64"/>
    <s v="City of Cocoa Beach"/>
    <n v="0.25091433559849002"/>
    <n v="3680.6896524417998"/>
    <n v="7.3752864780072001"/>
    <n v="1.01979072947466"/>
    <n v="1.8505651064777"/>
    <n v="0.25588011333562999"/>
    <n v="923.537798686673"/>
    <n v="1820"/>
    <s v="Golf Course"/>
    <n v="1820"/>
    <s v="City of Cocoa Beach           Brevard County"/>
    <s v="City of Cocoa Beach"/>
    <m/>
    <m/>
    <m/>
    <n v="0"/>
    <n v="1"/>
    <n v="1.8505651064777"/>
    <n v="0.25588011333562999"/>
    <n v="1681.3571087436601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40.98432332236601"/>
    <n v="1015.41429048897"/>
    <n v="1.3636310695"/>
  </r>
  <r>
    <n v="650000"/>
    <n v="2300000"/>
    <n v="2300000"/>
    <x v="0"/>
    <x v="0"/>
    <s v="BR3-5, BR-7"/>
    <s v="62-304.520 (10), F.A.C."/>
    <n v="0.59"/>
    <n v="0.64"/>
    <s v="City of Cocoa Beach"/>
    <n v="4.1027456374399997E-3"/>
    <n v="3680.6896524417998"/>
    <n v="7.3752864780072001"/>
    <n v="1.01979072947466"/>
    <n v="3.0258924422550001E-2"/>
    <n v="4.1839419664599998E-3"/>
    <n v="15.1009334143482"/>
    <n v="8340"/>
    <s v="Sewage Treatment"/>
    <n v="8340"/>
    <s v="City of Cocoa Beach           Brevard County"/>
    <s v="City of Cocoa Beach"/>
    <m/>
    <m/>
    <m/>
    <n v="0"/>
    <n v="1"/>
    <n v="3.0258924422550001E-2"/>
    <n v="4.1839419664599998E-3"/>
    <n v="15.1009334143468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42.825877829028698"/>
    <n v="16.603222532370399"/>
    <n v="1.22473101E-2"/>
  </r>
  <r>
    <n v="660000"/>
    <n v="2300000"/>
    <n v="2300000"/>
    <x v="0"/>
    <x v="0"/>
    <s v="BR3-5, BR-7"/>
    <s v="62-304.520 (10), F.A.C."/>
    <n v="0.59"/>
    <n v="0.64"/>
    <s v="City of Cocoa Beach"/>
    <n v="1.8651050566900001E-3"/>
    <n v="3675.1773709372301"/>
    <n v="7.3148523381731101"/>
    <n v="1.0173787836619399"/>
    <n v="1.3642968084880001E-2"/>
    <n v="1.8975183139799999E-3"/>
    <n v="6.8545918987787102"/>
    <n v="1820"/>
    <s v="Golf Course"/>
    <n v="1820"/>
    <s v="City of Cocoa Beach           Brevard County"/>
    <s v="City of Cocoa Beach"/>
    <m/>
    <m/>
    <m/>
    <n v="0"/>
    <n v="1"/>
    <n v="1.3642968084880001E-2"/>
    <n v="1.8975183139799999E-3"/>
    <n v="2008.86444164008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5.663805752974501"/>
    <n v="7.5478123771295396"/>
    <n v="1.6292493444"/>
  </r>
  <r>
    <n v="660000"/>
    <n v="2300000"/>
    <n v="2300000"/>
    <x v="0"/>
    <x v="0"/>
    <s v="BR3-5, BR-7"/>
    <s v="62-304.520 (10), F.A.C."/>
    <n v="0.59"/>
    <n v="0.64"/>
    <s v="City of Cocoa Beach"/>
    <n v="0.16438237423077001"/>
    <n v="3690.33356124593"/>
    <n v="7.42431668633788"/>
    <n v="1.0135499821043801"/>
    <n v="1.2204268039413899"/>
    <n v="0.16660975245988"/>
    <n v="606.62579250112503"/>
    <n v="1820"/>
    <s v="Golf Course"/>
    <n v="1820"/>
    <s v="City of Cocoa Beach           Brevard County"/>
    <s v="City of Cocoa Beach"/>
    <m/>
    <m/>
    <m/>
    <n v="0"/>
    <n v="1"/>
    <n v="1.2204268039413899"/>
    <n v="0.16660975245988"/>
    <n v="1015.04382166656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34.49621928131401"/>
    <n v="665.23186688518103"/>
    <n v="0.82323099889999996"/>
  </r>
  <r>
    <n v="660000"/>
    <n v="2300000"/>
    <n v="2300000"/>
    <x v="0"/>
    <x v="0"/>
    <s v="BR3-5, BR-7"/>
    <s v="62-304.520 (10), F.A.C."/>
    <n v="0.59"/>
    <n v="0.64"/>
    <s v="City of Cocoa Beach"/>
    <n v="2.035884889006E-2"/>
    <n v="3704.1730400013398"/>
    <n v="7.80162774903871"/>
    <n v="1.1285722691151201"/>
    <n v="0.15883216043924001"/>
    <n v="2.297643228843E-2"/>
    <n v="75.412699184051107"/>
    <n v="1820"/>
    <s v="Golf Course"/>
    <n v="1820"/>
    <s v="City of Cocoa Beach           Brevard County"/>
    <s v="City of Cocoa Beach"/>
    <m/>
    <m/>
    <m/>
    <n v="0"/>
    <n v="1"/>
    <n v="0.15883216043924001"/>
    <n v="2.297643228843E-2"/>
    <n v="703.32269128388805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35.962860775143596"/>
    <n v="82.389338383444496"/>
    <n v="0.57041580800000002"/>
  </r>
  <r>
    <n v="660000"/>
    <n v="2400000"/>
    <n v="2400000"/>
    <x v="0"/>
    <x v="0"/>
    <s v="BR3-5, BR-7"/>
    <s v="62-304.520 (10), F.A.C."/>
    <n v="0.59"/>
    <n v="0.64"/>
    <s v="City of Cocoa Beach"/>
    <n v="0.36342676041146998"/>
    <n v="3686.9096400429898"/>
    <n v="7.4079107349732398"/>
    <n v="1.02139727347795"/>
    <n v="2.6922329998287302"/>
    <n v="0.37120310219321001"/>
    <n v="1339.9216264106699"/>
    <n v="1820"/>
    <s v="Golf Course"/>
    <n v="1820"/>
    <s v="City of Cocoa Beach           Brevard County"/>
    <s v="City of Cocoa Beach"/>
    <m/>
    <m/>
    <m/>
    <n v="0"/>
    <n v="1"/>
    <n v="2.6922329998287302"/>
    <n v="0.37120310219321001"/>
    <n v="1364.5095552074299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166.80381220096501"/>
    <n v="1470.7359194432099"/>
    <n v="1.1066581955999999"/>
  </r>
  <r>
    <n v="660000"/>
    <n v="2400000"/>
    <n v="2400000"/>
    <x v="0"/>
    <x v="0"/>
    <s v="BR3-5, BR-7"/>
    <s v="62-304.520 (10), F.A.C."/>
    <n v="0.59"/>
    <n v="0.64"/>
    <s v="City of Cocoa Beach"/>
    <n v="2.3354183428439999E-2"/>
    <n v="3686.9096400429898"/>
    <n v="7.4079107349732398"/>
    <n v="1.02139727347795"/>
    <n v="0.17300570612610999"/>
    <n v="2.3853899278110002E-2"/>
    <n v="86.104764017666099"/>
    <n v="8340"/>
    <s v="Sewage Treatment"/>
    <n v="8340"/>
    <s v="City of Cocoa Beach           Brevard County"/>
    <s v="City of Cocoa Beach"/>
    <m/>
    <m/>
    <m/>
    <n v="0"/>
    <n v="1"/>
    <n v="0.17300570612610999"/>
    <n v="2.3853899278110002E-2"/>
    <n v="86.104764017665104"/>
    <m/>
    <n v="-1"/>
    <n v="-1"/>
    <n v="-1"/>
    <n v="-1"/>
    <n v="0"/>
    <m/>
    <m/>
    <s v="Banana River B"/>
    <n v="-1"/>
    <m/>
    <m/>
    <n v="382"/>
    <x v="19"/>
    <s v="Minutemen/PW Complex Swale"/>
    <x v="0"/>
    <n v="1.931305"/>
    <n v="71.192653621720595"/>
    <n v="94.511027197309105"/>
    <n v="6.9833547499999996E-2"/>
  </r>
  <r>
    <n v="610000"/>
    <n v="1200000"/>
    <n v="1200000"/>
    <x v="0"/>
    <x v="0"/>
    <s v="BR3-5, BR-7"/>
    <s v="62-304.520 (10), F.A.C."/>
    <n v="0.59"/>
    <n v="0.64"/>
    <s v="City of Cocoa Beach"/>
    <n v="4.1269449694629999E-2"/>
    <n v="3680.6896524417998"/>
    <n v="7.3752864780072001"/>
    <n v="1.01979072947466"/>
    <n v="0.30437401428763999"/>
    <n v="4.2086202209110003E-2"/>
    <n v="151.900036453014"/>
    <n v="1750"/>
    <s v="Governmental"/>
    <n v="1750"/>
    <s v="City of Cocoa Beach           Brevard County"/>
    <s v="City of Cocoa Beach"/>
    <m/>
    <m/>
    <m/>
    <n v="0"/>
    <n v="1"/>
    <n v="0.30437401428763999"/>
    <n v="4.2086202209110003E-2"/>
    <n v="577.33746838928596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54.782272226669903"/>
    <n v="167.01153754564899"/>
    <n v="0.46823801170000001"/>
  </r>
  <r>
    <n v="610000"/>
    <n v="1300000"/>
    <n v="1300000"/>
    <x v="0"/>
    <x v="0"/>
    <s v="BR3-5, BR-7"/>
    <s v="62-304.520 (10), F.A.C."/>
    <n v="0.59"/>
    <n v="0.64"/>
    <s v="City of Cocoa Beach"/>
    <n v="0.19935477586382999"/>
    <n v="3715.1148271556499"/>
    <n v="7.4331420370538703"/>
    <n v="1.0163822678559"/>
    <n v="1.48183236476092"/>
    <n v="0.20262065920038999"/>
    <n v="740.62588367602496"/>
    <n v="1750"/>
    <s v="Governmental"/>
    <n v="1750"/>
    <s v="City of Cocoa Beach           Brevard County"/>
    <s v="City of Cocoa Beach"/>
    <m/>
    <m/>
    <m/>
    <n v="0"/>
    <n v="1"/>
    <n v="1.48183236476092"/>
    <n v="0.20262065920038999"/>
    <n v="2122.3291195653901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151.19566942639801"/>
    <n v="806.76015504067402"/>
    <n v="1.7212726031000001"/>
  </r>
  <r>
    <n v="620000"/>
    <n v="1300000"/>
    <n v="1300000"/>
    <x v="0"/>
    <x v="0"/>
    <s v="BR3-5, BR-7"/>
    <s v="62-304.520 (10), F.A.C."/>
    <n v="0.59"/>
    <n v="0.64"/>
    <s v="City of Cocoa Beach"/>
    <n v="0.19774795211848001"/>
    <n v="3713.3526205113899"/>
    <n v="7.43038198462434"/>
    <n v="1.01687541390026"/>
    <n v="1.4693428209175401"/>
    <n v="0.20108503065840999"/>
    <n v="734.30787619993498"/>
    <n v="1750"/>
    <s v="Governmental"/>
    <n v="1750"/>
    <s v="City of Cocoa Beach           Brevard County"/>
    <s v="City of Cocoa Beach"/>
    <m/>
    <m/>
    <m/>
    <n v="0"/>
    <n v="1"/>
    <n v="1.4693428209175401"/>
    <n v="0.20108503065840999"/>
    <n v="1999.5924009907201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151.351227277362"/>
    <n v="800.257570047135"/>
    <n v="1.6217294412000001"/>
  </r>
  <r>
    <n v="620000"/>
    <n v="1300000"/>
    <n v="1300000"/>
    <x v="0"/>
    <x v="0"/>
    <s v="BR3-5, BR-7"/>
    <s v="62-304.520 (10), F.A.C."/>
    <n v="0.59"/>
    <n v="0.64"/>
    <s v="City of Cocoa Beach"/>
    <n v="7.6724149886360005E-2"/>
    <n v="3718.51530162672"/>
    <n v="7.4391836521730097"/>
    <n v="1.0163804134016701"/>
    <n v="0.57076504156148999"/>
    <n v="7.7980923179389997E-2"/>
    <n v="285.29992535673898"/>
    <n v="1750"/>
    <s v="Governmental"/>
    <n v="1750"/>
    <s v="City of Cocoa Beach           Brevard County"/>
    <s v="City of Cocoa Beach"/>
    <m/>
    <m/>
    <m/>
    <n v="0"/>
    <n v="1"/>
    <n v="0.57076504156148999"/>
    <n v="7.7980923179389997E-2"/>
    <n v="2240.35244038566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77.495297330910105"/>
    <n v="310.49161872080498"/>
    <n v="1.8169930579"/>
  </r>
  <r>
    <n v="630000"/>
    <n v="1300000"/>
    <n v="1300000"/>
    <x v="0"/>
    <x v="0"/>
    <s v="BR3-5, BR-7"/>
    <s v="62-304.520 (10), F.A.C."/>
    <n v="0.59"/>
    <n v="0.64"/>
    <s v="City of Cocoa Beach"/>
    <n v="0.14168937359554001"/>
    <n v="3710.0535729364801"/>
    <n v="7.4247575533859296"/>
    <n v="1.01719172125013"/>
    <n v="1.05200924683802"/>
    <n v="0.14412525781050001"/>
    <n v="525.67516675527304"/>
    <n v="1750"/>
    <s v="Governmental"/>
    <n v="1750"/>
    <s v="City of Cocoa Beach           Brevard County"/>
    <s v="City of Cocoa Beach"/>
    <m/>
    <m/>
    <m/>
    <n v="0"/>
    <n v="1"/>
    <n v="1.05200924683802"/>
    <n v="0.14412525781050001"/>
    <n v="1846.0950526444999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105.622157148787"/>
    <n v="573.39655152095202"/>
    <n v="1.4972384855"/>
  </r>
  <r>
    <n v="630000"/>
    <n v="1300000"/>
    <n v="1300000"/>
    <x v="0"/>
    <x v="0"/>
    <s v="BR3-5, BR-7"/>
    <s v="62-304.520 (10), F.A.C."/>
    <n v="0.59"/>
    <n v="0.64"/>
    <s v="City of Cocoa Beach"/>
    <n v="6.1876157197520001E-2"/>
    <n v="3683.4750397530302"/>
    <n v="7.3209833546697904"/>
    <n v="1.00983813406475"/>
    <n v="0.45299431689399"/>
    <n v="6.2484903127439997E-2"/>
    <n v="227.91928059291001"/>
    <n v="1750"/>
    <s v="Governmental"/>
    <n v="1750"/>
    <s v="City of Cocoa Beach           Brevard County"/>
    <s v="City of Cocoa Beach"/>
    <m/>
    <m/>
    <m/>
    <n v="0"/>
    <n v="1"/>
    <n v="0.45299431689399"/>
    <n v="6.2484903127439997E-2"/>
    <n v="658.63273464351596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72.180977289183602"/>
    <n v="250.403924148226"/>
    <n v="0.53417091210000001"/>
  </r>
  <r>
    <n v="630000"/>
    <n v="1300000"/>
    <n v="1300000"/>
    <x v="0"/>
    <x v="0"/>
    <s v="BR3-5, BR-7"/>
    <s v="62-304.520 (10), F.A.C."/>
    <n v="0.59"/>
    <n v="0.64"/>
    <s v="City of Cocoa Beach"/>
    <n v="2.2300826335210001E-2"/>
    <n v="3717.5474665925999"/>
    <n v="7.4369205916838297"/>
    <n v="1.01566447989894"/>
    <n v="0.16584947458393001"/>
    <n v="2.265015718107E-2"/>
    <n v="82.904380445403703"/>
    <n v="1750"/>
    <s v="Governmental"/>
    <n v="1750"/>
    <s v="City of Cocoa Beach           Brevard County"/>
    <s v="City of Cocoa Beach"/>
    <m/>
    <m/>
    <m/>
    <n v="0"/>
    <n v="1"/>
    <n v="0.16584947458393001"/>
    <n v="2.265015718107E-2"/>
    <n v="2296.5649618799798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52.088784465844299"/>
    <n v="90.248242279496196"/>
    <n v="1.8625830996999999"/>
  </r>
  <r>
    <n v="650000"/>
    <n v="2300000"/>
    <n v="2300000"/>
    <x v="0"/>
    <x v="0"/>
    <s v="BR3-5, BR-7"/>
    <s v="62-304.520 (10), F.A.C."/>
    <n v="0.59"/>
    <n v="0.64"/>
    <s v="City of Cocoa Beach"/>
    <n v="1.7769028980290001E-2"/>
    <n v="3680.6896524417998"/>
    <n v="7.3752864780072001"/>
    <n v="1.01979072947466"/>
    <n v="0.13105167916568999"/>
    <n v="1.8120691025869998E-2"/>
    <n v="65.402281101713996"/>
    <n v="1820"/>
    <s v="Golf Course"/>
    <n v="1820"/>
    <s v="City of Cocoa Beach           Brevard County"/>
    <s v="City of Cocoa Beach"/>
    <m/>
    <m/>
    <m/>
    <n v="0"/>
    <n v="1"/>
    <n v="0.13105167916568999"/>
    <n v="1.8120691025869998E-2"/>
    <n v="1681.3571087436601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37.794803120731501"/>
    <n v="71.908709048723793"/>
    <n v="1.3636310695"/>
  </r>
  <r>
    <n v="650000"/>
    <n v="2300000"/>
    <n v="2300000"/>
    <x v="0"/>
    <x v="0"/>
    <s v="BR3-5, BR-7"/>
    <s v="62-304.520 (10), F.A.C."/>
    <n v="0.59"/>
    <n v="0.64"/>
    <s v="City of Cocoa Beach"/>
    <n v="9.0857712175399993E-3"/>
    <n v="3716.5796068137602"/>
    <n v="7.4358835574097402"/>
    <n v="1.0165660103107601"/>
    <n v="6.7560736802929997E-2"/>
    <n v="9.2362861972099999E-3"/>
    <n v="33.7679920193032"/>
    <n v="1820"/>
    <s v="Golf Course"/>
    <n v="1820"/>
    <s v="City of Cocoa Beach           Brevard County"/>
    <s v="City of Cocoa Beach"/>
    <m/>
    <m/>
    <m/>
    <n v="0"/>
    <n v="1"/>
    <n v="6.7560736802929997E-2"/>
    <n v="9.2362861972099999E-3"/>
    <n v="145.95866014950599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39.815501229127698"/>
    <n v="36.768811604179703"/>
    <n v="0.1183768533"/>
  </r>
  <r>
    <n v="650000"/>
    <n v="2300000"/>
    <n v="2300000"/>
    <x v="0"/>
    <x v="0"/>
    <s v="BR3-5, BR-7"/>
    <s v="62-304.520 (10), F.A.C."/>
    <n v="0.59"/>
    <n v="0.64"/>
    <s v="City of Cocoa Beach"/>
    <n v="1.094803122967E-2"/>
    <n v="3715.1148271556499"/>
    <n v="7.4331420370538703"/>
    <n v="1.0163822678559"/>
    <n v="8.1378271156300003E-2"/>
    <n v="1.112738480977E-2"/>
    <n v="40.6731931495436"/>
    <n v="1820"/>
    <s v="Golf Course"/>
    <n v="1820"/>
    <s v="City of Cocoa Beach           Brevard County"/>
    <s v="City of Cocoa Beach"/>
    <m/>
    <m/>
    <m/>
    <n v="0"/>
    <n v="1"/>
    <n v="8.1378271156300003E-2"/>
    <n v="1.112738480977E-2"/>
    <n v="172.732444192646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59.760185954288403"/>
    <n v="44.305110494460799"/>
    <n v="0.1400911956"/>
  </r>
  <r>
    <n v="660000"/>
    <n v="2300000"/>
    <n v="2300000"/>
    <x v="0"/>
    <x v="0"/>
    <s v="BR3-5, BR-7"/>
    <s v="62-304.520 (10), F.A.C."/>
    <n v="0.59"/>
    <n v="0.64"/>
    <s v="City of Cocoa Beach"/>
    <n v="4.4953966913840002E-2"/>
    <n v="3713.3526205113899"/>
    <n v="7.43038198462434"/>
    <n v="1.01687541390026"/>
    <n v="0.33402514589402998"/>
    <n v="4.5712583711969998E-2"/>
    <n v="166.929930841909"/>
    <n v="1820"/>
    <s v="Golf Course"/>
    <n v="1820"/>
    <s v="City of Cocoa Beach           Brevard County"/>
    <s v="City of Cocoa Beach"/>
    <m/>
    <m/>
    <m/>
    <n v="0"/>
    <n v="1"/>
    <n v="0.33402514589402998"/>
    <n v="4.5712583711969998E-2"/>
    <n v="294.38101029613898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111.076075153042"/>
    <n v="181.92224971765199"/>
    <n v="0.23875183320000001"/>
  </r>
  <r>
    <n v="660000"/>
    <n v="2300000"/>
    <n v="2300000"/>
    <x v="0"/>
    <x v="0"/>
    <s v="BR3-5, BR-7"/>
    <s v="62-304.520 (10), F.A.C."/>
    <n v="0.59"/>
    <n v="0.64"/>
    <s v="City of Cocoa Beach"/>
    <n v="1.0001873956969999E-2"/>
    <n v="3718.51530162672"/>
    <n v="7.4391836521730097"/>
    <n v="1.0163804134016701"/>
    <n v="7.4405777231809994E-2"/>
    <n v="1.0165708787180001E-2"/>
    <n v="37.192121353949602"/>
    <n v="1820"/>
    <s v="Golf Course"/>
    <n v="1820"/>
    <s v="City of Cocoa Beach           Brevard County"/>
    <s v="City of Cocoa Beach"/>
    <m/>
    <m/>
    <m/>
    <n v="0"/>
    <n v="1"/>
    <n v="7.4405777231809994E-2"/>
    <n v="1.0165708787180001E-2"/>
    <n v="56.810403696577097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61.509801681884802"/>
    <n v="40.476147858813903"/>
    <n v="4.6074942200000003E-2"/>
  </r>
  <r>
    <n v="660000"/>
    <n v="2300000"/>
    <n v="2300000"/>
    <x v="0"/>
    <x v="0"/>
    <s v="BR3-5, BR-7"/>
    <s v="62-304.520 (10), F.A.C."/>
    <n v="0.59"/>
    <n v="0.64"/>
    <s v="City of Cocoa Beach"/>
    <n v="2.80471033988E-2"/>
    <n v="3710.0535729364801"/>
    <n v="7.4247575533859296"/>
    <n v="1.01719172125013"/>
    <n v="0.20824294281089001"/>
    <n v="2.852928138231E-2"/>
    <n v="104.056256175266"/>
    <n v="1820"/>
    <s v="Golf Course"/>
    <n v="1820"/>
    <s v="City of Cocoa Beach           Brevard County"/>
    <s v="City of Cocoa Beach"/>
    <m/>
    <m/>
    <m/>
    <n v="0"/>
    <n v="1"/>
    <n v="0.20824294281089001"/>
    <n v="2.852928138231E-2"/>
    <n v="445.84110348693503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102.066684150922"/>
    <n v="113.50260051918301"/>
    <n v="0.36159051380000001"/>
  </r>
  <r>
    <n v="660000"/>
    <n v="2300000"/>
    <n v="2300000"/>
    <x v="0"/>
    <x v="0"/>
    <s v="BR3-5, BR-7"/>
    <s v="62-304.520 (10), F.A.C."/>
    <n v="0.59"/>
    <n v="0.64"/>
    <s v="City of Cocoa Beach"/>
    <n v="2.6335418341340001E-2"/>
    <n v="3683.4750397530302"/>
    <n v="7.3209833546697904"/>
    <n v="1.00983813406475"/>
    <n v="0.19280115931524"/>
    <n v="2.6594509717629999E-2"/>
    <n v="97.005856121794807"/>
    <n v="1820"/>
    <s v="Golf Course"/>
    <n v="1820"/>
    <s v="City of Cocoa Beach           Brevard County"/>
    <s v="City of Cocoa Beach"/>
    <m/>
    <m/>
    <m/>
    <n v="0"/>
    <n v="1"/>
    <n v="0.19280115931524"/>
    <n v="2.6594509717629999E-2"/>
    <n v="1616.8838443043101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67.144786224014695"/>
    <n v="106.57565685125699"/>
    <n v="1.3113413173999999"/>
  </r>
  <r>
    <n v="660000"/>
    <n v="2400000"/>
    <n v="2400000"/>
    <x v="0"/>
    <x v="0"/>
    <s v="BR3-5, BR-7"/>
    <s v="62-304.520 (10), F.A.C."/>
    <n v="0.59"/>
    <n v="0.64"/>
    <s v="City of Cocoa Beach"/>
    <n v="2.501018304755E-2"/>
    <n v="3711.67387540969"/>
    <n v="7.4275199509244496"/>
    <n v="1.01703636976274"/>
    <n v="0.18576363356195"/>
    <n v="2.5436265773780001E-2"/>
    <n v="92.8296430368095"/>
    <n v="1820"/>
    <s v="Golf Course"/>
    <n v="1820"/>
    <s v="City of Cocoa Beach           Brevard County"/>
    <s v="City of Cocoa Beach"/>
    <m/>
    <m/>
    <m/>
    <n v="0"/>
    <n v="1"/>
    <n v="0.18576363356195"/>
    <n v="2.5436265773780001E-2"/>
    <n v="371.48490258846903"/>
    <m/>
    <n v="-1"/>
    <n v="-1"/>
    <n v="-1"/>
    <n v="-1"/>
    <n v="0"/>
    <m/>
    <m/>
    <s v="Banana River B"/>
    <n v="-1"/>
    <m/>
    <m/>
    <n v="381"/>
    <x v="20"/>
    <s v="Tom Warriner/PW Complex Swale"/>
    <x v="0"/>
    <n v="0.91311399999999998"/>
    <n v="66.306876830894893"/>
    <n v="101.21261989137901"/>
    <n v="0.3012854036"/>
  </r>
  <r>
    <n v="830000"/>
    <n v="2400000"/>
    <n v="2400000"/>
    <x v="0"/>
    <x v="0"/>
    <s v="BR3-5, BR-7"/>
    <s v="62-304.520 (10), F.A.C."/>
    <n v="0.59"/>
    <n v="0.64"/>
    <s v="City of Cocoa Beach"/>
    <n v="1.141926888449E-2"/>
    <n v="3680.3107570770098"/>
    <n v="9.4514290477657497"/>
    <n v="1.3753687498487099"/>
    <n v="0.10792840963915"/>
    <n v="1.5705705569850001E-2"/>
    <n v="42.026458113558"/>
    <n v="1400"/>
    <s v="Commercial and Services"/>
    <n v="1400"/>
    <s v="City of Cocoa Beach           Brevard County"/>
    <s v="City of Cocoa Beach"/>
    <m/>
    <m/>
    <m/>
    <n v="0"/>
    <n v="1"/>
    <n v="0.10792840963915"/>
    <n v="1.5705705569850001E-2"/>
    <n v="265.1582820272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43.310880939348898"/>
    <n v="46.212141624325398"/>
    <n v="0.21505132360000001"/>
  </r>
  <r>
    <n v="830000"/>
    <n v="2400000"/>
    <n v="2400000"/>
    <x v="0"/>
    <x v="0"/>
    <s v="BR3-5, BR-7"/>
    <s v="62-304.520 (10), F.A.C."/>
    <n v="0.59"/>
    <n v="0.64"/>
    <s v="City of Cocoa Beach"/>
    <n v="0.18441408319809999"/>
    <n v="3727.4170305191101"/>
    <n v="10.9461150020689"/>
    <n v="1.9008747929865899"/>
    <n v="2.0186177626875299"/>
    <n v="0.35054808222299999"/>
    <n v="687.38819438017299"/>
    <n v="1400"/>
    <s v="Commercial and Services"/>
    <n v="1400"/>
    <s v="City of Cocoa Beach           Brevard County"/>
    <s v="City of Cocoa Beach"/>
    <m/>
    <m/>
    <m/>
    <n v="0"/>
    <n v="1"/>
    <n v="2.0186177626875299"/>
    <n v="0.35054808222299999"/>
    <n v="687.388194380172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96.684563353827"/>
    <n v="746.29731697124805"/>
    <n v="0.55749245290000005"/>
  </r>
  <r>
    <n v="830000"/>
    <n v="2400000"/>
    <n v="2400000"/>
    <x v="0"/>
    <x v="0"/>
    <s v="BR3-5, BR-7"/>
    <s v="62-304.520 (10), F.A.C."/>
    <n v="0.59"/>
    <n v="0.64"/>
    <s v="City of Cocoa Beach"/>
    <n v="0.31349619631310999"/>
    <n v="3727.4170305191101"/>
    <n v="10.9461150020689"/>
    <n v="1.9008747929865899"/>
    <n v="3.4315654175545598"/>
    <n v="0.59591701726877999"/>
    <n v="1168.53106114047"/>
    <n v="1300"/>
    <s v="Residential, High Density"/>
    <n v="1300"/>
    <s v="City of Cocoa Beach           Brevard County"/>
    <s v="City of Cocoa Beach"/>
    <m/>
    <m/>
    <m/>
    <n v="0"/>
    <n v="1"/>
    <n v="3.4315654175545598"/>
    <n v="0.59591701726877999"/>
    <n v="1615.27382339655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58.56055731448299"/>
    <n v="1268.6740954477"/>
    <n v="1.3100355421000001"/>
  </r>
  <r>
    <n v="830000"/>
    <n v="2400000"/>
    <n v="2400000"/>
    <x v="0"/>
    <x v="0"/>
    <s v="BR3-5, BR-7"/>
    <s v="62-304.520 (10), F.A.C."/>
    <n v="0.59"/>
    <n v="0.64"/>
    <s v="City of Cocoa Beach"/>
    <n v="6.0481601283390002E-2"/>
    <n v="3827.9816825064099"/>
    <n v="9.4399913936842701"/>
    <n v="1.26946749418379"/>
    <n v="0.57094579559152003"/>
    <n v="7.6779426825449998E-2"/>
    <n v="231.522461841504"/>
    <n v="1400"/>
    <s v="Commercial and Services"/>
    <n v="1400"/>
    <s v="City of Cocoa Beach           Brevard County"/>
    <s v="City of Cocoa Beach"/>
    <m/>
    <m/>
    <m/>
    <n v="0"/>
    <n v="1"/>
    <n v="0.57094579559152003"/>
    <n v="7.6779426825449998E-2"/>
    <n v="686.43400865086005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64.575681417129303"/>
    <n v="244.760356590756"/>
    <n v="0.55671857960000004"/>
  </r>
  <r>
    <n v="830000"/>
    <n v="2400000"/>
    <n v="2400000"/>
    <x v="0"/>
    <x v="0"/>
    <s v="BR3-5, BR-7"/>
    <s v="62-304.520 (10), F.A.C."/>
    <n v="0.59"/>
    <n v="0.64"/>
    <s v="City of Cocoa Beach"/>
    <n v="1.3175852718529999E-2"/>
    <n v="3827.9816825064099"/>
    <n v="9.4399913936842701"/>
    <n v="1.26946749418379"/>
    <n v="0.12437993626739"/>
    <n v="1.6726316734330001E-2"/>
    <n v="50.436922857942797"/>
    <n v="1410"/>
    <s v="Retail Sales and Services"/>
    <n v="1410"/>
    <s v="City of Cocoa Beach           Brevard County"/>
    <s v="City of Cocoa Beach"/>
    <m/>
    <m/>
    <m/>
    <n v="0"/>
    <n v="1"/>
    <n v="0.12437993626739"/>
    <n v="1.6726316734330001E-2"/>
    <n v="251.387073893377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32.521477185422903"/>
    <n v="53.320784194588903"/>
    <n v="0.20388246060000001"/>
  </r>
  <r>
    <n v="830000"/>
    <n v="2400000"/>
    <n v="2400000"/>
    <x v="0"/>
    <x v="0"/>
    <s v="BR3-5, BR-7"/>
    <s v="62-304.520 (10), F.A.C."/>
    <n v="0.59"/>
    <n v="0.64"/>
    <s v="City of Cocoa Beach"/>
    <n v="4.7248112086899999E-3"/>
    <n v="3154.21484539635"/>
    <n v="6.2677532949262798"/>
    <n v="0.85137594893183999"/>
    <n v="2.9613951021190001E-2"/>
    <n v="4.0225906263199997E-3"/>
    <n v="14.903069656157699"/>
    <n v="1400"/>
    <s v="Commercial and Services"/>
    <n v="1400"/>
    <s v="City of Cocoa Beach           Brevard County"/>
    <s v="City of Cocoa Beach"/>
    <m/>
    <m/>
    <m/>
    <n v="0"/>
    <n v="1"/>
    <n v="2.9613951021190001E-2"/>
    <n v="4.0225906263199997E-3"/>
    <n v="14.9030696561586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94.027922317008006"/>
    <n v="19.120632584532"/>
    <n v="1.2086836700000001E-2"/>
  </r>
  <r>
    <n v="830000"/>
    <n v="2400000"/>
    <n v="2400000"/>
    <x v="0"/>
    <x v="0"/>
    <s v="BR3-5, BR-7"/>
    <s v="62-304.520 (10), F.A.C."/>
    <n v="0.59"/>
    <n v="0.64"/>
    <s v="Natural Lands"/>
    <n v="0.40956310268030999"/>
    <n v="3154.21484539635"/>
    <n v="6.2677532949262798"/>
    <n v="0.85137594893183999"/>
    <n v="2.5670404863047902"/>
    <n v="0.34869217519191997"/>
    <n v="1291.85001860085"/>
    <n v="3100"/>
    <s v="Herbaceous Dry Prairie"/>
    <n v="3100"/>
    <s v="City of Cocoa Beach           Brevard County"/>
    <s v="City of Cocoa Beach"/>
    <m/>
    <m/>
    <s v="Natural Lands"/>
    <n v="0"/>
    <n v="1"/>
    <n v="2.5670404863047902"/>
    <n v="0.34869217519191997"/>
    <n v="1933.65558699166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65.70510152446101"/>
    <n v="1657.4430724599099"/>
    <n v="1.5682527064"/>
  </r>
  <r>
    <n v="830000"/>
    <n v="2400000"/>
    <n v="2400000"/>
    <x v="0"/>
    <x v="0"/>
    <s v="BR3-5, BR-7"/>
    <s v="62-304.520 (10), F.A.C."/>
    <n v="0.59"/>
    <n v="0.64"/>
    <s v="City of Cocoa Beach"/>
    <n v="3.976534699308E-2"/>
    <n v="3709.5246221340299"/>
    <n v="10.6846795340232"/>
    <n v="2.0041620728937501"/>
    <n v="0.42487998918031999"/>
    <n v="7.9696200258990005E-2"/>
    <n v="147.51053377854501"/>
    <n v="1400"/>
    <s v="Commercial and Services"/>
    <n v="1400"/>
    <s v="City of Cocoa Beach           Brevard County"/>
    <s v="City of Cocoa Beach"/>
    <m/>
    <m/>
    <m/>
    <n v="0"/>
    <n v="1"/>
    <n v="0.42487998918031999"/>
    <n v="7.9696200258990005E-2"/>
    <n v="162.44148873869301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20.70323996443599"/>
    <n v="160.92464986792299"/>
    <n v="0.13174492190000001"/>
  </r>
  <r>
    <n v="830000"/>
    <n v="2400000"/>
    <n v="2400000"/>
    <x v="0"/>
    <x v="0"/>
    <s v="BR3-5, BR-7"/>
    <s v="62-304.520 (10), F.A.C."/>
    <n v="0.59"/>
    <n v="0.64"/>
    <s v="Natural Lands"/>
    <n v="2.5463569534000001E-4"/>
    <n v="3709.5246221340299"/>
    <n v="10.6846795340232"/>
    <n v="2.0041620728937501"/>
    <n v="2.72070080271E-3"/>
    <n v="5.1033120302000005E-4"/>
    <n v="0.94457738156761994"/>
    <n v="3100"/>
    <s v="Herbaceous Dry Prairie"/>
    <n v="3100"/>
    <s v="City of Cocoa Beach           Brevard County"/>
    <s v="City of Cocoa Beach"/>
    <m/>
    <m/>
    <s v="Natural Lands"/>
    <n v="0"/>
    <n v="1"/>
    <n v="2.72070080271E-3"/>
    <n v="5.1033120302000005E-4"/>
    <n v="36.8572049879362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30.107938874808799"/>
    <n v="1.0304740990901899"/>
    <n v="2.9892299300000001E-2"/>
  </r>
  <r>
    <n v="830000"/>
    <n v="2400000"/>
    <n v="2400000"/>
    <x v="0"/>
    <x v="0"/>
    <s v="BR3-5, BR-7"/>
    <s v="62-304.520 (10), F.A.C."/>
    <n v="0.59"/>
    <n v="0.64"/>
    <s v="City of Cocoa Beach"/>
    <n v="1.5589643164149999E-2"/>
    <n v="3709.5246221340299"/>
    <n v="10.6846795340232"/>
    <n v="2.0041620728937501"/>
    <n v="0.16657034125879999"/>
    <n v="3.1244171559550001E-2"/>
    <n v="57.8301651677276"/>
    <n v="1300"/>
    <s v="Residential, High Density"/>
    <n v="1300"/>
    <s v="City of Cocoa Beach           Brevard County"/>
    <s v="City of Cocoa Beach"/>
    <m/>
    <m/>
    <m/>
    <n v="0"/>
    <n v="1"/>
    <n v="0.16657034125879999"/>
    <n v="3.1244171559550001E-2"/>
    <n v="2092.3100483090502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95.929032665234203"/>
    <n v="63.089047561797798"/>
    <n v="1.6969262354000001"/>
  </r>
  <r>
    <n v="830000"/>
    <n v="2400000"/>
    <n v="2400000"/>
    <x v="0"/>
    <x v="0"/>
    <s v="BR3-5, BR-7"/>
    <s v="62-304.520 (10), F.A.C."/>
    <n v="0.59"/>
    <n v="0.64"/>
    <s v="City of Cocoa Beach"/>
    <n v="1.8825528061249999E-2"/>
    <n v="3168.9879080915698"/>
    <n v="6.3906807529597502"/>
    <n v="0.86706830527921996"/>
    <n v="0.12030793984535"/>
    <n v="1.632301871205E-2"/>
    <n v="59.657870789549399"/>
    <n v="1400"/>
    <s v="Commercial and Services"/>
    <n v="1400"/>
    <s v="City of Cocoa Beach           Brevard County"/>
    <s v="City of Cocoa Beach"/>
    <m/>
    <m/>
    <m/>
    <n v="0"/>
    <n v="1"/>
    <n v="0.12030793984535"/>
    <n v="1.632301871205E-2"/>
    <n v="59.6578707895493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03.06194951755199"/>
    <n v="76.184209139752895"/>
    <n v="4.8384323399999998E-2"/>
  </r>
  <r>
    <n v="830000"/>
    <n v="2400000"/>
    <n v="2400000"/>
    <x v="0"/>
    <x v="0"/>
    <s v="BR3-5, BR-7"/>
    <s v="62-304.520 (10), F.A.C."/>
    <n v="0.59"/>
    <n v="0.64"/>
    <s v="Natural Lands"/>
    <n v="0.41041673941939999"/>
    <n v="3168.9879080915698"/>
    <n v="6.3906807529597502"/>
    <n v="0.86706830527921996"/>
    <n v="2.6228423573000801"/>
    <n v="0.35585934670660002"/>
    <n v="1300.6056844984601"/>
    <n v="3100"/>
    <s v="Herbaceous Dry Prairie"/>
    <n v="3100"/>
    <s v="City of Cocoa Beach           Brevard County"/>
    <s v="City of Cocoa Beach"/>
    <m/>
    <m/>
    <s v="Natural Lands"/>
    <n v="0"/>
    <n v="1"/>
    <n v="2.6228423573000801"/>
    <n v="0.35585934670660002"/>
    <n v="1898.0270435073801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65.83659883626399"/>
    <n v="1660.89761777988"/>
    <n v="1.5393568885"/>
  </r>
  <r>
    <n v="830000"/>
    <n v="2400000"/>
    <n v="2400000"/>
    <x v="0"/>
    <x v="0"/>
    <s v="BR3-5, BR-7"/>
    <s v="62-304.520 (10), F.A.C."/>
    <n v="0.59"/>
    <n v="0.64"/>
    <s v="City of Cocoa Beach"/>
    <n v="4.5802875041900002E-3"/>
    <n v="3712.06764069561"/>
    <n v="10.6500961765539"/>
    <n v="2.0409906917150198"/>
    <n v="4.8780502435960001E-2"/>
    <n v="9.3483241614400001E-3"/>
    <n v="17.0023370294121"/>
    <n v="1400"/>
    <s v="Commercial and Services"/>
    <n v="1400"/>
    <s v="City of Cocoa Beach           Brevard County"/>
    <s v="City of Cocoa Beach"/>
    <m/>
    <m/>
    <m/>
    <n v="0"/>
    <n v="1"/>
    <n v="4.8780502435960001E-2"/>
    <n v="9.3483241614400001E-3"/>
    <n v="22.7155945145871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44.869679139963402"/>
    <n v="18.535765902798499"/>
    <n v="1.8423028800000001E-2"/>
  </r>
  <r>
    <n v="830000"/>
    <n v="2400000"/>
    <n v="2400000"/>
    <x v="0"/>
    <x v="0"/>
    <s v="BR3-5, BR-7"/>
    <s v="62-304.520 (10), F.A.C."/>
    <n v="0.59"/>
    <n v="0.64"/>
    <s v="City of Cocoa Beach"/>
    <n v="0.17808182607344"/>
    <n v="3712.06764069561"/>
    <n v="10.6500961765539"/>
    <n v="2.0409906917150198"/>
    <n v="1.89658857497855"/>
    <n v="0.36346334937951003"/>
    <n v="661.05178396322401"/>
    <n v="1300"/>
    <s v="Residential, High Density"/>
    <n v="1300"/>
    <s v="City of Cocoa Beach           Brevard County"/>
    <s v="City of Cocoa Beach"/>
    <m/>
    <m/>
    <m/>
    <n v="0"/>
    <n v="1"/>
    <n v="1.89658857497855"/>
    <n v="0.36346334937951003"/>
    <n v="2241.4673530106802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03.8954051556"/>
    <n v="720.671581558046"/>
    <n v="1.8178972855"/>
  </r>
  <r>
    <n v="830000"/>
    <n v="2400000"/>
    <n v="2400000"/>
    <x v="0"/>
    <x v="0"/>
    <s v="BR3-5, BR-7"/>
    <s v="62-304.520 (10), F.A.C."/>
    <n v="0.59"/>
    <n v="0.64"/>
    <s v="City of Cocoa Beach"/>
    <n v="0.14901547997426001"/>
    <n v="3728.1702516338401"/>
    <n v="10.316633501461901"/>
    <n v="1.7843931991009501"/>
    <n v="1.53733809293896"/>
    <n v="0.26590220902683998"/>
    <n v="555.55507947300396"/>
    <n v="1400"/>
    <s v="Commercial and Services"/>
    <n v="1400"/>
    <s v="City of Cocoa Beach           Brevard County"/>
    <s v="City of Cocoa Beach"/>
    <m/>
    <m/>
    <m/>
    <n v="0"/>
    <n v="1"/>
    <n v="1.53733809293896"/>
    <n v="0.26590220902683998"/>
    <n v="555.55507947300396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24.154485657775"/>
    <n v="603.04425217088396"/>
    <n v="0.4505718406"/>
  </r>
  <r>
    <n v="830000"/>
    <n v="2400000"/>
    <n v="2400000"/>
    <x v="0"/>
    <x v="0"/>
    <s v="BR3-5, BR-7"/>
    <s v="62-304.520 (10), F.A.C."/>
    <n v="0.59"/>
    <n v="0.64"/>
    <s v="City of Cocoa Beach"/>
    <n v="0.10144316794823"/>
    <n v="3728.1702516338401"/>
    <n v="10.316633501461901"/>
    <n v="1.7843931991009501"/>
    <n v="1.04655198494918"/>
    <n v="0.18101449898208"/>
    <n v="378.19740097610099"/>
    <n v="1300"/>
    <s v="Residential, High Density"/>
    <n v="1300"/>
    <s v="City of Cocoa Beach           Brevard County"/>
    <s v="City of Cocoa Beach"/>
    <m/>
    <m/>
    <m/>
    <n v="0"/>
    <n v="1"/>
    <n v="1.04655198494918"/>
    <n v="0.18101449898208"/>
    <n v="649.27508216403305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82.211987048014905"/>
    <n v="410.52593571991099"/>
    <n v="0.52658157520000004"/>
  </r>
  <r>
    <n v="830000"/>
    <n v="2400000"/>
    <n v="2400000"/>
    <x v="0"/>
    <x v="0"/>
    <s v="BR3-5, BR-7"/>
    <s v="62-304.520 (10), F.A.C."/>
    <n v="0.59"/>
    <n v="0.64"/>
    <s v="City of Cocoa Beach"/>
    <n v="1.832374162547E-2"/>
    <n v="3728.1702516338401"/>
    <n v="10.316633501461901"/>
    <n v="1.7843931991009501"/>
    <n v="0.18903932672552001"/>
    <n v="3.2696759938579997E-2"/>
    <n v="68.3140284267281"/>
    <n v="1300"/>
    <s v="Residential, High Density"/>
    <n v="1300"/>
    <s v="City of Cocoa Beach           Brevard County"/>
    <s v="City of Cocoa Beach"/>
    <m/>
    <m/>
    <m/>
    <n v="0"/>
    <n v="1"/>
    <n v="0.18903932672552001"/>
    <n v="3.2696759938579997E-2"/>
    <n v="424.46271923789402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64.900445723076302"/>
    <n v="74.153551479460901"/>
    <n v="0.3442520026"/>
  </r>
  <r>
    <n v="830000"/>
    <n v="2400000"/>
    <n v="2400000"/>
    <x v="0"/>
    <x v="0"/>
    <s v="BR3-5, BR-7"/>
    <s v="62-304.520 (10), F.A.C."/>
    <n v="0.59"/>
    <n v="0.64"/>
    <s v="City of Cocoa Beach"/>
    <n v="0.17628575282525999"/>
    <n v="3728.1702516338401"/>
    <n v="10.316633501461901"/>
    <n v="1.7843931991009501"/>
    <n v="1.8186755034276101"/>
    <n v="0.31456309843980002"/>
    <n v="657.22329947004403"/>
    <n v="1300"/>
    <s v="Residential, High Density"/>
    <n v="1300"/>
    <s v="City of Cocoa Beach           Brevard County"/>
    <s v="City of Cocoa Beach"/>
    <m/>
    <m/>
    <m/>
    <n v="0"/>
    <n v="1"/>
    <n v="1.8186755034276101"/>
    <n v="0.31456309843980002"/>
    <n v="657.22329947004403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08.016352759828"/>
    <n v="713.403130998557"/>
    <n v="0.53302781789999998"/>
  </r>
  <r>
    <n v="830000"/>
    <n v="2400000"/>
    <n v="2400000"/>
    <x v="0"/>
    <x v="0"/>
    <s v="BR3-5, BR-7"/>
    <s v="62-304.520 (10), F.A.C."/>
    <n v="0.59"/>
    <n v="0.64"/>
    <s v="City of Cocoa Beach"/>
    <n v="2.1582764820010002E-2"/>
    <n v="3716.95001769685"/>
    <n v="10.7270278505581"/>
    <n v="2.04233713088608"/>
    <n v="0.23151891931631"/>
    <n v="4.4079281979090001E-2"/>
    <n v="80.222058079690697"/>
    <n v="1400"/>
    <s v="Commercial and Services"/>
    <n v="1400"/>
    <s v="City of Cocoa Beach           Brevard County"/>
    <s v="City of Cocoa Beach"/>
    <m/>
    <m/>
    <m/>
    <n v="0"/>
    <n v="1"/>
    <n v="0.23151891931631"/>
    <n v="4.4079281979090001E-2"/>
    <n v="83.133599496977894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03.7367518594"/>
    <n v="87.342350425013393"/>
    <n v="6.7423843900000002E-2"/>
  </r>
  <r>
    <n v="830000"/>
    <n v="2400000"/>
    <n v="2400000"/>
    <x v="0"/>
    <x v="0"/>
    <s v="BR3-5, BR-7"/>
    <s v="62-304.520 (10), F.A.C."/>
    <n v="0.59"/>
    <n v="0.64"/>
    <s v="City of Cocoa Beach"/>
    <n v="0.18956702565012001"/>
    <n v="3716.95001769685"/>
    <n v="10.7270278505581"/>
    <n v="2.04233713088608"/>
    <n v="2.0334907636963502"/>
    <n v="0.38715977527688"/>
    <n v="704.61115934497195"/>
    <n v="1300"/>
    <s v="Residential, High Density"/>
    <n v="1300"/>
    <s v="City of Cocoa Beach           Brevard County"/>
    <s v="City of Cocoa Beach"/>
    <m/>
    <m/>
    <m/>
    <n v="0"/>
    <n v="1"/>
    <n v="2.0334907636963502"/>
    <n v="0.38715977527688"/>
    <n v="2213.0622810596801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19.338783657194"/>
    <n v="767.15053522747303"/>
    <n v="1.7948599197999999"/>
  </r>
  <r>
    <n v="830000"/>
    <n v="2400000"/>
    <n v="2400000"/>
    <x v="0"/>
    <x v="0"/>
    <s v="BR3-5, BR-7"/>
    <s v="62-304.520 (10), F.A.C."/>
    <n v="0.59"/>
    <n v="0.64"/>
    <s v="City of Cocoa Beach"/>
    <n v="3.7534791961320001E-2"/>
    <n v="3678.6124716397198"/>
    <n v="9.4568743075524804"/>
    <n v="1.3727246577533101"/>
    <n v="0.35496180973838998"/>
    <n v="5.1524934448949997E-2"/>
    <n v="138.07595382933599"/>
    <n v="1400"/>
    <s v="Commercial and Services"/>
    <n v="1400"/>
    <s v="City of Cocoa Beach           Brevard County"/>
    <s v="City of Cocoa Beach"/>
    <m/>
    <m/>
    <m/>
    <n v="0"/>
    <n v="1"/>
    <n v="0.35496180973838998"/>
    <n v="5.1524934448949997E-2"/>
    <n v="255.973034273043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05.395083400678"/>
    <n v="151.89791391213899"/>
    <n v="0.2076018121"/>
  </r>
  <r>
    <n v="830000"/>
    <n v="2400000"/>
    <n v="2400000"/>
    <x v="0"/>
    <x v="0"/>
    <s v="BR3-5, BR-7"/>
    <s v="62-304.520 (10), F.A.C."/>
    <n v="0.59"/>
    <n v="0.64"/>
    <s v="City of Cocoa Beach"/>
    <n v="2.2323082756120001E-2"/>
    <n v="3723.77006709128"/>
    <n v="10.5610853279089"/>
    <n v="1.94635099170262"/>
    <n v="0.23575598176943"/>
    <n v="4.3448554260239997E-2"/>
    <n v="83.126027372467306"/>
    <n v="1400"/>
    <s v="Commercial and Services"/>
    <n v="1400"/>
    <s v="City of Cocoa Beach           Brevard County"/>
    <s v="City of Cocoa Beach"/>
    <m/>
    <m/>
    <m/>
    <n v="0"/>
    <n v="1"/>
    <n v="0.23575598176943"/>
    <n v="4.3448554260239997E-2"/>
    <n v="207.77573048288301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45.562420965274299"/>
    <n v="90.338310819398004"/>
    <n v="0.16851235240000001"/>
  </r>
  <r>
    <n v="830000"/>
    <n v="2400000"/>
    <n v="2400000"/>
    <x v="0"/>
    <x v="0"/>
    <s v="BR3-5, BR-7"/>
    <s v="62-304.520 (10), F.A.C."/>
    <n v="0.59"/>
    <n v="0.64"/>
    <s v="City of Cocoa Beach"/>
    <n v="2.9144205963530002E-2"/>
    <n v="3723.77006709128"/>
    <n v="10.5610853279089"/>
    <n v="1.94635099170262"/>
    <n v="0.30779444599501998"/>
    <n v="5.6724854179500003E-2"/>
    <n v="108.526321796147"/>
    <n v="1300"/>
    <s v="Residential, High Density"/>
    <n v="1300"/>
    <s v="City of Cocoa Beach           Brevard County"/>
    <s v="City of Cocoa Beach"/>
    <m/>
    <m/>
    <m/>
    <n v="0"/>
    <n v="1"/>
    <n v="0.30779444599501998"/>
    <n v="5.6724854179500003E-2"/>
    <n v="1880.5118061420901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47.871625679585797"/>
    <n v="117.942417079273"/>
    <n v="1.5251515054"/>
  </r>
  <r>
    <n v="830000"/>
    <n v="2400000"/>
    <n v="2400000"/>
    <x v="0"/>
    <x v="0"/>
    <s v="BR3-5, BR-7"/>
    <s v="62-304.520 (10), F.A.C."/>
    <n v="0.59"/>
    <n v="0.64"/>
    <s v="City of Cocoa Beach"/>
    <n v="0.19775769463303999"/>
    <n v="3809.54365992574"/>
    <n v="9.72479848294366"/>
    <n v="1.41041245697254"/>
    <n v="1.9231537287578599"/>
    <n v="0.27891991597261001"/>
    <n v="753.36657179084398"/>
    <n v="1400"/>
    <s v="Commercial and Services"/>
    <n v="1400"/>
    <s v="City of Cocoa Beach           Brevard County"/>
    <s v="City of Cocoa Beach"/>
    <m/>
    <m/>
    <m/>
    <n v="0"/>
    <n v="1"/>
    <n v="1.9231537287578599"/>
    <n v="0.27891991597261001"/>
    <n v="1675.64397517215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41.658752909979"/>
    <n v="800.29699660475296"/>
    <n v="1.3589975468"/>
  </r>
  <r>
    <n v="830000"/>
    <n v="2400000"/>
    <n v="2400000"/>
    <x v="0"/>
    <x v="0"/>
    <s v="BR3-5, BR-7"/>
    <s v="62-304.520 (10), F.A.C."/>
    <n v="0.59"/>
    <n v="0.64"/>
    <s v="City of Cocoa Beach"/>
    <n v="5.0718602054089998E-2"/>
    <n v="3809.54365992574"/>
    <n v="9.72479848294366"/>
    <n v="1.41041245697254"/>
    <n v="0.49322818431269"/>
    <n v="7.153414813733E-2"/>
    <n v="193.214728895478"/>
    <n v="1300"/>
    <s v="Residential, High Density"/>
    <n v="1300"/>
    <s v="City of Cocoa Beach           Brevard County"/>
    <s v="City of Cocoa Beach"/>
    <m/>
    <m/>
    <m/>
    <n v="0"/>
    <n v="1"/>
    <n v="0.49322818431269"/>
    <n v="7.153414813733E-2"/>
    <n v="386.10174969521103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59.992067388719299"/>
    <n v="205.25090045776599"/>
    <n v="0.31314010520000002"/>
  </r>
  <r>
    <n v="830000"/>
    <n v="2400000"/>
    <n v="2400000"/>
    <x v="0"/>
    <x v="0"/>
    <s v="BR3-5, BR-7"/>
    <s v="62-304.520 (10), F.A.C."/>
    <n v="0.59"/>
    <n v="0.64"/>
    <s v="City of Cocoa Beach"/>
    <n v="1.1118799705930001E-2"/>
    <n v="3809.54365992574"/>
    <n v="9.72479848294366"/>
    <n v="1.41041245697254"/>
    <n v="0.10812808651247"/>
    <n v="1.5682093611830001E-2"/>
    <n v="42.357552925744102"/>
    <n v="1410"/>
    <s v="Retail Sales and Services"/>
    <n v="1410"/>
    <s v="City of Cocoa Beach           Brevard County"/>
    <s v="City of Cocoa Beach"/>
    <m/>
    <m/>
    <m/>
    <n v="0"/>
    <n v="1"/>
    <n v="0.10812808651247"/>
    <n v="1.5682093611830001E-2"/>
    <n v="286.24793418922798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27.283793605622598"/>
    <n v="44.996185999358701"/>
    <n v="0.23215566439999999"/>
  </r>
  <r>
    <n v="830000"/>
    <n v="2400000"/>
    <n v="2400000"/>
    <x v="0"/>
    <x v="0"/>
    <s v="BR3-5, BR-7"/>
    <s v="62-304.520 (10), F.A.C."/>
    <n v="0.59"/>
    <n v="0.64"/>
    <s v="City of Cocoa Beach"/>
    <n v="0.13419930964169999"/>
    <n v="3726.0521091268702"/>
    <n v="10.4691651002166"/>
    <n v="1.8409298235926601"/>
    <n v="1.40495472897409"/>
    <n v="0.24705151142496001"/>
    <n v="500.03362073384199"/>
    <n v="1400"/>
    <s v="Commercial and Services"/>
    <n v="1400"/>
    <s v="City of Cocoa Beach           Brevard County"/>
    <s v="City of Cocoa Beach"/>
    <m/>
    <m/>
    <m/>
    <n v="0"/>
    <n v="1"/>
    <n v="1.40495472897409"/>
    <n v="0.24705151142496001"/>
    <n v="500.033620733841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22.06813960887899"/>
    <n v="543.08533810517702"/>
    <n v="0.4055422715"/>
  </r>
  <r>
    <n v="830000"/>
    <n v="2400000"/>
    <n v="2400000"/>
    <x v="0"/>
    <x v="0"/>
    <s v="BR3-5, BR-7"/>
    <s v="62-304.520 (10), F.A.C."/>
    <n v="0.59"/>
    <n v="0.64"/>
    <s v="Natural Lands"/>
    <n v="3.9594021561000002E-4"/>
    <n v="3726.0521091268702"/>
    <n v="10.4691651002166"/>
    <n v="1.8409298235926601"/>
    <n v="4.14516348703E-3"/>
    <n v="7.2889815126999996E-4"/>
    <n v="1.4752938754617899"/>
    <n v="3100"/>
    <s v="Herbaceous Dry Prairie"/>
    <n v="3100"/>
    <s v="City of Cocoa Beach           Brevard County"/>
    <s v="City of Cocoa Beach"/>
    <m/>
    <m/>
    <s v="Natural Lands"/>
    <n v="0"/>
    <n v="1"/>
    <n v="4.14516348703E-3"/>
    <n v="7.2889815126999996E-4"/>
    <n v="1.4752938754632801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23.319450019699801"/>
    <n v="1.60231320442939"/>
    <n v="1.1965076000000001E-3"/>
  </r>
  <r>
    <n v="830000"/>
    <n v="2400000"/>
    <n v="2400000"/>
    <x v="0"/>
    <x v="0"/>
    <s v="BR3-5, BR-7"/>
    <s v="62-304.520 (10), F.A.C."/>
    <n v="0.59"/>
    <n v="0.64"/>
    <s v="City of Cocoa Beach"/>
    <n v="2.4984461951279999E-2"/>
    <n v="3726.0521091268702"/>
    <n v="10.4691651002166"/>
    <n v="1.8409298235926601"/>
    <n v="0.26156645710809001"/>
    <n v="4.5994641132529997E-2"/>
    <n v="93.0934071489894"/>
    <n v="1300"/>
    <s v="Residential, High Density"/>
    <n v="1300"/>
    <s v="City of Cocoa Beach           Brevard County"/>
    <s v="City of Cocoa Beach"/>
    <m/>
    <m/>
    <m/>
    <n v="0"/>
    <n v="1"/>
    <n v="0.26156645710809001"/>
    <n v="4.5994641132529997E-2"/>
    <n v="295.862186329879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49.977817676364303"/>
    <n v="101.10853030777101"/>
    <n v="0.2399531114"/>
  </r>
  <r>
    <n v="830000"/>
    <n v="2400000"/>
    <n v="2400000"/>
    <x v="0"/>
    <x v="0"/>
    <s v="BR3-5, BR-7"/>
    <s v="62-304.520 (10), F.A.C."/>
    <n v="0.59"/>
    <n v="0.64"/>
    <s v="City of Cocoa Beach"/>
    <n v="0.18226547009019001"/>
    <n v="3726.0521091268702"/>
    <n v="10.4691651002166"/>
    <n v="1.8409298235926601"/>
    <n v="1.9081672984428"/>
    <n v="0.33553793970015999"/>
    <n v="679.13063925055405"/>
    <n v="1300"/>
    <s v="Residential, High Density"/>
    <n v="1300"/>
    <s v="City of Cocoa Beach           Brevard County"/>
    <s v="City of Cocoa Beach"/>
    <m/>
    <m/>
    <m/>
    <n v="0"/>
    <n v="1"/>
    <n v="1.9081672984428"/>
    <n v="0.33553793970015999"/>
    <n v="779.953986317606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116.208789084277"/>
    <n v="737.60218821624198"/>
    <n v="0.63256608780000001"/>
  </r>
  <r>
    <n v="830000"/>
    <n v="2400000"/>
    <n v="2400000"/>
    <x v="0"/>
    <x v="0"/>
    <s v="BR3-5, BR-7"/>
    <s v="62-304.520 (10), F.A.C."/>
    <n v="0.59"/>
    <n v="0.64"/>
    <s v="City of Cocoa Beach"/>
    <n v="0.13151318540494"/>
    <n v="3726.0521091268702"/>
    <n v="10.4691651002166"/>
    <n v="1.8409298235926601"/>
    <n v="1.3768332508597201"/>
    <n v="0.24210654520762001"/>
    <n v="490.02498185606999"/>
    <n v="1300"/>
    <s v="Residential, High Density"/>
    <n v="1300"/>
    <s v="City of Cocoa Beach           Brevard County"/>
    <s v="City of Cocoa Beach"/>
    <m/>
    <m/>
    <m/>
    <n v="0"/>
    <n v="1"/>
    <n v="1.3768332508597201"/>
    <n v="0.24210654520762001"/>
    <n v="723.78702555227301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92.446067691147704"/>
    <n v="532.21497898626501"/>
    <n v="0.5870129972"/>
  </r>
  <r>
    <n v="830000"/>
    <n v="2400000"/>
    <n v="2400000"/>
    <x v="0"/>
    <x v="0"/>
    <s v="BR3-5, BR-7"/>
    <s v="62-304.520 (10), F.A.C."/>
    <n v="0.59"/>
    <n v="0.64"/>
    <s v="City of Cocoa Beach"/>
    <n v="1.4038651445099999E-3"/>
    <n v="3613.21810978137"/>
    <n v="8.8455341181885494"/>
    <n v="1.2927688336509899"/>
    <n v="1.2417937033129999E-2"/>
    <n v="1.81487310547E-3"/>
    <n v="5.0724709638488203"/>
    <n v="1400"/>
    <s v="Commercial and Services"/>
    <n v="1400"/>
    <s v="City of Cocoa Beach           Brevard County"/>
    <s v="City of Cocoa Beach"/>
    <m/>
    <m/>
    <m/>
    <n v="0"/>
    <n v="1"/>
    <n v="1.2417937033129999E-2"/>
    <n v="1.81487310547E-3"/>
    <n v="10.258360122157001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9.5822909853397"/>
    <n v="5.6812406762608996"/>
    <n v="8.3198378999999999E-3"/>
  </r>
  <r>
    <n v="830000"/>
    <n v="2400000"/>
    <n v="2400000"/>
    <x v="0"/>
    <x v="0"/>
    <s v="BR3-5, BR-7"/>
    <s v="62-304.520 (10), F.A.C."/>
    <n v="0.59"/>
    <n v="0.64"/>
    <s v="Natural Lands"/>
    <n v="1.5176586271760001E-2"/>
    <n v="3613.21810978137"/>
    <n v="8.8455341181885494"/>
    <n v="1.2927688336509899"/>
    <n v="0.13424501166455999"/>
    <n v="1.961981773335E-2"/>
    <n v="54.836316361815101"/>
    <n v="3100"/>
    <s v="Herbaceous Dry Prairie"/>
    <n v="3100"/>
    <s v="City of Cocoa Beach           Brevard County"/>
    <s v="City of Cocoa Beach"/>
    <m/>
    <m/>
    <s v="Natural Lands"/>
    <n v="0"/>
    <n v="1"/>
    <n v="0.13424501166455999"/>
    <n v="1.961981773335E-2"/>
    <n v="239.96953088777599"/>
    <m/>
    <n v="-1"/>
    <n v="-1"/>
    <n v="-1"/>
    <n v="-1"/>
    <n v="0"/>
    <m/>
    <m/>
    <s v="Banana River B"/>
    <n v="-1"/>
    <m/>
    <m/>
    <n v="384"/>
    <x v="21"/>
    <s v="Shepard Drive Swale"/>
    <x v="0"/>
    <n v="3.1595430000000002"/>
    <n v="67.907035099950903"/>
    <n v="61.417465624014902"/>
    <n v="0.1946224906"/>
  </r>
  <r>
    <n v="830000"/>
    <n v="1400000"/>
    <n v="1400000"/>
    <x v="0"/>
    <x v="0"/>
    <s v="BR3-5, BR-7"/>
    <s v="62-304.520 (10), F.A.C."/>
    <n v="0.59"/>
    <n v="0.64"/>
    <s v="City of Cocoa Beach"/>
    <n v="9.9892676005380002E-2"/>
    <n v="3738.0522189773901"/>
    <n v="10.031727283422301"/>
    <n v="1.7737854510925599"/>
    <n v="1.0020960832972401"/>
    <n v="0.17718817536904"/>
    <n v="373.404039201503"/>
    <n v="1750"/>
    <s v="Governmental"/>
    <n v="1750"/>
    <s v="City of Cocoa Beach           Brevard County"/>
    <s v="City of Cocoa Beach"/>
    <m/>
    <m/>
    <m/>
    <n v="0"/>
    <n v="1"/>
    <n v="1.0020960832972401"/>
    <n v="0.17718817536904"/>
    <n v="373.4040392015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037572026415504"/>
    <n v="404.251317443098"/>
    <n v="0.30284188090000003"/>
  </r>
  <r>
    <n v="830000"/>
    <n v="1400000"/>
    <n v="1400000"/>
    <x v="0"/>
    <x v="0"/>
    <s v="BR3-5, BR-7"/>
    <s v="62-304.520 (10), F.A.C."/>
    <n v="0.59"/>
    <n v="0.64"/>
    <s v="City of Cocoa Beach"/>
    <n v="1.683027844628E-2"/>
    <n v="3725.3697802829201"/>
    <n v="9.3186513251612002"/>
    <n v="1.55432291213632"/>
    <n v="0.15683549654632001"/>
    <n v="2.6159687406689999E-2"/>
    <n v="62.699010717544503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15683549654632001"/>
    <n v="2.6159687406689999E-2"/>
    <n v="62.699010717545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96570275257599"/>
    <n v="68.109720421138107"/>
    <n v="5.0850779200000001E-2"/>
  </r>
  <r>
    <n v="830000"/>
    <n v="1400000"/>
    <n v="1400000"/>
    <x v="0"/>
    <x v="0"/>
    <s v="BR3-5, BR-7"/>
    <s v="62-304.520 (10), F.A.C."/>
    <n v="0.59"/>
    <n v="0.64"/>
    <s v="City of Cocoa Beach"/>
    <n v="3.7332616234370002E-2"/>
    <n v="3725.3697802829201"/>
    <n v="9.3186513251612002"/>
    <n v="1.55432291213632"/>
    <n v="0.34788963374421999"/>
    <n v="5.8026940783080003E-2"/>
    <n v="139.077800338451"/>
    <n v="1750"/>
    <s v="Governmental"/>
    <n v="1750"/>
    <s v="City of Cocoa Beach           Brevard County"/>
    <s v="City of Cocoa Beach"/>
    <m/>
    <m/>
    <m/>
    <n v="0"/>
    <n v="1"/>
    <n v="0.34788963374421999"/>
    <n v="5.8026940783080003E-2"/>
    <n v="868.609288268881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201005315787"/>
    <n v="151.079737773088"/>
    <n v="0.70446819810000005"/>
  </r>
  <r>
    <n v="830000"/>
    <n v="1400000"/>
    <n v="1400000"/>
    <x v="0"/>
    <x v="0"/>
    <s v="BR3-5, BR-7"/>
    <s v="62-304.520 (10), F.A.C."/>
    <n v="0.59"/>
    <n v="0.64"/>
    <s v="City of Cocoa Beach"/>
    <n v="6.8018241011150005E-2"/>
    <n v="3725.3697802829201"/>
    <n v="9.3186513251612002"/>
    <n v="1.55432291213632"/>
    <n v="0.63383827173375995"/>
    <n v="0.10572231044685"/>
    <n v="253.39309957096799"/>
    <n v="1750"/>
    <s v="Governmental"/>
    <n v="1750"/>
    <s v="City of Cocoa Beach           Brevard County"/>
    <s v="City of Cocoa Beach"/>
    <m/>
    <m/>
    <m/>
    <n v="0"/>
    <n v="1"/>
    <n v="0.63383827173375995"/>
    <n v="0.10572231044685"/>
    <n v="253.39309957096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6.558248743496407"/>
    <n v="275.26005547635498"/>
    <n v="0.2055094076"/>
  </r>
  <r>
    <n v="830000"/>
    <n v="1400000"/>
    <n v="1400000"/>
    <x v="0"/>
    <x v="0"/>
    <s v="BR3-5, BR-7"/>
    <s v="62-304.520 (10), F.A.C."/>
    <n v="0.59"/>
    <n v="0.64"/>
    <s v="City of Cocoa Beach"/>
    <n v="4.1185261126860002E-2"/>
    <n v="3743.6912227973398"/>
    <n v="10.2396116376063"/>
    <n v="1.4718028344476599"/>
    <n v="0.42172107913248003"/>
    <n v="6.0616584063980003E-2"/>
    <n v="154.184900589253"/>
    <n v="1720"/>
    <s v="Religious"/>
    <n v="1720"/>
    <s v="City of Cocoa Beach           Brevard County"/>
    <s v="City of Cocoa Beach"/>
    <m/>
    <m/>
    <m/>
    <n v="0"/>
    <n v="1"/>
    <n v="0.42172107913248003"/>
    <n v="6.0616584063980003E-2"/>
    <n v="154.18490058925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7.808508352991097"/>
    <n v="166.67083849946701"/>
    <n v="0.12504858120000001"/>
  </r>
  <r>
    <n v="830000"/>
    <n v="1400000"/>
    <n v="1400000"/>
    <x v="0"/>
    <x v="0"/>
    <s v="BR3-5, BR-7"/>
    <s v="62-304.520 (10), F.A.C."/>
    <n v="0.59"/>
    <n v="0.64"/>
    <s v="City of Cocoa Beach"/>
    <n v="3.5838214311649998E-2"/>
    <n v="3746.5678660132098"/>
    <n v="10.035655865858001"/>
    <n v="1.76393448973801"/>
    <n v="0.35965998567867002"/>
    <n v="6.3216262274950002E-2"/>
    <n v="134.270302115356"/>
    <n v="1750"/>
    <s v="Governmental"/>
    <n v="1750"/>
    <s v="City of Cocoa Beach           Brevard County"/>
    <s v="City of Cocoa Beach"/>
    <m/>
    <m/>
    <m/>
    <n v="0"/>
    <n v="1"/>
    <n v="0.35965998567867002"/>
    <n v="6.3216262274950002E-2"/>
    <n v="576.494651327339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7.048620774698904"/>
    <n v="145.032107754484"/>
    <n v="0.46755446169999998"/>
  </r>
  <r>
    <n v="830000"/>
    <n v="1400000"/>
    <n v="1400000"/>
    <x v="0"/>
    <x v="0"/>
    <s v="BR3-5, BR-7"/>
    <s v="62-304.520 (10), F.A.C."/>
    <n v="0.59"/>
    <n v="0.64"/>
    <s v="City of Cocoa Beach"/>
    <n v="1.05013284688E-2"/>
    <n v="3743.9656146775001"/>
    <n v="10.3355993703754"/>
    <n v="1.8688019530939901"/>
    <n v="0.10853752391029001"/>
    <n v="1.962490315258E-2"/>
    <n v="39.316612695643599"/>
    <n v="1750"/>
    <s v="Governmental"/>
    <n v="1750"/>
    <s v="City of Cocoa Beach           Brevard County"/>
    <s v="City of Cocoa Beach"/>
    <m/>
    <m/>
    <m/>
    <n v="0"/>
    <n v="1"/>
    <n v="0.10853752391029001"/>
    <n v="1.962490315258E-2"/>
    <n v="39.316612695644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3.980469574927902"/>
    <n v="42.497368557720499"/>
    <n v="3.1886952699999999E-2"/>
  </r>
  <r>
    <n v="830000"/>
    <n v="1400000"/>
    <n v="1400000"/>
    <x v="0"/>
    <x v="0"/>
    <s v="BR3-5, BR-7"/>
    <s v="62-304.520 (10), F.A.C."/>
    <n v="0.59"/>
    <n v="0.64"/>
    <s v="City of Cocoa Beach"/>
    <n v="0.20742490619717999"/>
    <n v="3736.5092208547999"/>
    <n v="9.8363693235521197"/>
    <n v="1.73784562923548"/>
    <n v="2.0403079842586802"/>
    <n v="0.36047246662936"/>
    <n v="775.04507464073095"/>
    <n v="1750"/>
    <s v="Governmental"/>
    <n v="1750"/>
    <s v="City of Cocoa Beach           Brevard County"/>
    <s v="City of Cocoa Beach"/>
    <m/>
    <m/>
    <m/>
    <n v="0"/>
    <n v="1"/>
    <n v="2.0403079842586802"/>
    <n v="0.36047246662936"/>
    <n v="775.045074640730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3.60064732387801"/>
    <n v="839.41881380980396"/>
    <n v="0.62858481320000004"/>
  </r>
  <r>
    <n v="830000"/>
    <n v="1400000"/>
    <n v="1400000"/>
    <x v="0"/>
    <x v="0"/>
    <s v="BR3-5, BR-7"/>
    <s v="62-304.520 (10), F.A.C."/>
    <n v="0.59"/>
    <n v="0.64"/>
    <s v="City of Cocoa Beach"/>
    <n v="7.2023702547309998E-2"/>
    <n v="3751.4570212149702"/>
    <n v="10.473616096886399"/>
    <n v="1.96311956250272"/>
    <n v="0.75434861035690004"/>
    <n v="0.14139113943449999"/>
    <n v="270.19382461501601"/>
    <n v="1750"/>
    <s v="Governmental"/>
    <n v="1750"/>
    <s v="City of Cocoa Beach           Brevard County"/>
    <s v="City of Cocoa Beach"/>
    <m/>
    <m/>
    <m/>
    <n v="0"/>
    <n v="1"/>
    <n v="0.75434861035690004"/>
    <n v="0.14139113943449999"/>
    <n v="270.19382461501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9.02019778352"/>
    <n v="291.46958321861899"/>
    <n v="0.21913529979999999"/>
  </r>
  <r>
    <n v="830000"/>
    <n v="1400000"/>
    <n v="1400000"/>
    <x v="0"/>
    <x v="0"/>
    <s v="BR3-5, BR-7"/>
    <s v="62-304.520 (10), F.A.C."/>
    <n v="0.59"/>
    <n v="0.64"/>
    <s v="City of Cocoa Beach"/>
    <n v="4.1228115068420002E-2"/>
    <n v="3731.60908466193"/>
    <n v="9.5740476763338407"/>
    <n v="1.6444983809815299"/>
    <n v="0.39471993927042998"/>
    <n v="6.7799568480929995E-2"/>
    <n v="153.84720873280301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39471993927042998"/>
    <n v="6.7799568480929995E-2"/>
    <n v="160.07988833074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281490051864"/>
    <n v="166.844262248083"/>
    <n v="0.1298295931"/>
  </r>
  <r>
    <n v="830000"/>
    <n v="1400000"/>
    <n v="1400000"/>
    <x v="0"/>
    <x v="0"/>
    <s v="BR3-5, BR-7"/>
    <s v="62-304.520 (10), F.A.C."/>
    <n v="0.59"/>
    <n v="0.64"/>
    <s v="City of Cocoa Beach"/>
    <n v="2.6404694602600001E-3"/>
    <n v="3731.60908466193"/>
    <n v="9.5740476763338407"/>
    <n v="1.6444983809815299"/>
    <n v="2.52799805005E-2"/>
    <n v="4.3422477524399997E-3"/>
    <n v="9.8531998257047402"/>
    <n v="1750"/>
    <s v="Governmental"/>
    <n v="1750"/>
    <s v="City of Cocoa Beach           Brevard County"/>
    <s v="City of Cocoa Beach"/>
    <m/>
    <m/>
    <m/>
    <n v="0"/>
    <n v="1"/>
    <n v="2.52799805005E-2"/>
    <n v="4.3422477524399997E-3"/>
    <n v="102.838203504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.840904741800401"/>
    <n v="10.6856007934306"/>
    <n v="8.3404869000000006E-2"/>
  </r>
  <r>
    <n v="830000"/>
    <n v="1400000"/>
    <n v="1400000"/>
    <x v="0"/>
    <x v="0"/>
    <s v="BR3-5, BR-7"/>
    <s v="62-304.520 (10), F.A.C."/>
    <n v="0.59"/>
    <n v="0.64"/>
    <s v="City of Cocoa Beach"/>
    <n v="3.4567959887950001E-2"/>
    <n v="3731.60908466193"/>
    <n v="9.5740476763338407"/>
    <n v="1.6444983809815299"/>
    <n v="0.33095529604091001"/>
    <n v="5.684695406958E-2"/>
    <n v="128.99411315613699"/>
    <n v="1750"/>
    <s v="Governmental"/>
    <n v="1750"/>
    <s v="City of Cocoa Beach           Brevard County"/>
    <s v="City of Cocoa Beach"/>
    <m/>
    <m/>
    <m/>
    <n v="0"/>
    <n v="1"/>
    <n v="0.33095529604091001"/>
    <n v="5.684695406958E-2"/>
    <n v="128.99411315613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9.834560932319597"/>
    <n v="139.89157048185299"/>
    <n v="0.1046180966"/>
  </r>
  <r>
    <n v="830000"/>
    <n v="1400000"/>
    <n v="1400000"/>
    <x v="0"/>
    <x v="0"/>
    <s v="BR3-5, BR-7"/>
    <s v="62-304.520 (10), F.A.C."/>
    <n v="0.59"/>
    <n v="0.64"/>
    <s v="City of Cocoa Beach"/>
    <n v="4.6038502198999997E-3"/>
    <n v="3731.60908466193"/>
    <n v="9.5740476763338407"/>
    <n v="1.6444983809815299"/>
    <n v="4.4077481500050003E-2"/>
    <n v="7.5710242329100003E-3"/>
    <n v="17.179769305012801"/>
    <n v="1720"/>
    <s v="Religious"/>
    <n v="1720"/>
    <s v="City of Cocoa Beach           Brevard County"/>
    <s v="City of Cocoa Beach"/>
    <m/>
    <m/>
    <m/>
    <n v="0"/>
    <n v="1"/>
    <n v="4.4077481500050003E-2"/>
    <n v="7.5710242329100003E-3"/>
    <n v="592.741972205222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5.326131529921398"/>
    <n v="18.631120830182599"/>
    <n v="0.48073152650000001"/>
  </r>
  <r>
    <n v="830000"/>
    <n v="1400000"/>
    <n v="1400000"/>
    <x v="0"/>
    <x v="0"/>
    <s v="BR3-5, BR-7"/>
    <s v="62-304.520 (10), F.A.C."/>
    <n v="0.59"/>
    <n v="0.64"/>
    <s v="City of Cocoa Beach"/>
    <n v="0.31761231636601001"/>
    <n v="3739.8317794580598"/>
    <n v="9.7171496630633598"/>
    <n v="1.28887736527674"/>
    <n v="3.0862864129607801"/>
    <n v="0.40936332549727"/>
    <n v="1187.8166342929001"/>
    <n v="1720"/>
    <s v="Religious"/>
    <n v="1720"/>
    <s v="City of Cocoa Beach           Brevard County"/>
    <s v="City of Cocoa Beach"/>
    <m/>
    <m/>
    <m/>
    <n v="0"/>
    <n v="1"/>
    <n v="3.0862864129607801"/>
    <n v="0.40936332549727"/>
    <n v="1187.8166342929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4.14501941047001"/>
    <n v="1285.33144231914"/>
    <n v="0.96335493449999998"/>
  </r>
  <r>
    <n v="830000"/>
    <n v="1400000"/>
    <n v="1400000"/>
    <x v="0"/>
    <x v="0"/>
    <s v="BR3-5, BR-7"/>
    <s v="62-304.520 (10), F.A.C."/>
    <n v="0.59"/>
    <n v="0.64"/>
    <s v="City of Cocoa Beach"/>
    <n v="1.939076260082E-2"/>
    <n v="3744.1712752133199"/>
    <n v="10.1547726207202"/>
    <n v="1.83599284092211"/>
    <n v="0.19690878515370999"/>
    <n v="3.560130131513E-2"/>
    <n v="72.602336334478593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19690878515370999"/>
    <n v="3.560130131513E-2"/>
    <n v="112.55853275274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1.489098110721002"/>
    <n v="78.471632166371094"/>
    <n v="9.1288347699999994E-2"/>
  </r>
  <r>
    <n v="830000"/>
    <n v="1400000"/>
    <n v="1400000"/>
    <x v="0"/>
    <x v="0"/>
    <s v="BR3-5, BR-7"/>
    <s v="62-304.520 (10), F.A.C."/>
    <n v="0.59"/>
    <n v="0.64"/>
    <s v="City of Cocoa Beach"/>
    <n v="5.9932927018000002E-4"/>
    <n v="3764.71334164167"/>
    <n v="9.0145507135374405"/>
    <n v="1.57031124068599"/>
    <n v="5.4026841001499999E-3"/>
    <n v="9.4113348983000005E-4"/>
    <n v="2.2563028994867702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5.4026841001499999E-3"/>
    <n v="9.4113348983000005E-4"/>
    <n v="2.256302899487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.5195481913041"/>
    <n v="2.4253995061645499"/>
    <n v="1.8299294E-3"/>
  </r>
  <r>
    <n v="830000"/>
    <n v="1400000"/>
    <n v="1400000"/>
    <x v="0"/>
    <x v="0"/>
    <s v="BR3-5, BR-7"/>
    <s v="62-304.520 (10), F.A.C."/>
    <n v="0.59"/>
    <n v="0.64"/>
    <s v="City of Cocoa Beach"/>
    <n v="1.506828761996E-2"/>
    <n v="3764.71334164167"/>
    <n v="9.0145507135374405"/>
    <n v="1.57031124068599"/>
    <n v="0.13583384291635001"/>
    <n v="2.3661901427520001E-2"/>
    <n v="56.727783438579998"/>
    <n v="1750"/>
    <s v="Governmental"/>
    <n v="1750"/>
    <s v="City of Cocoa Beach           Brevard County"/>
    <s v="City of Cocoa Beach"/>
    <m/>
    <m/>
    <m/>
    <n v="0"/>
    <n v="1"/>
    <n v="0.13583384291635001"/>
    <n v="2.3661901427520001E-2"/>
    <n v="264.831906933242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5.512900065108099"/>
    <n v="60.979196529428897"/>
    <n v="0.2147866236"/>
  </r>
  <r>
    <n v="830000"/>
    <n v="1400000"/>
    <n v="1400000"/>
    <x v="0"/>
    <x v="0"/>
    <s v="BR3-5, BR-7"/>
    <s v="62-304.520 (10), F.A.C."/>
    <n v="0.59"/>
    <n v="0.64"/>
    <s v="City of Cocoa Beach"/>
    <n v="3.7901846107990002E-2"/>
    <n v="3741.3885173263602"/>
    <n v="10.171654278638099"/>
    <n v="1.40566575626124"/>
    <n v="0.38552447513267002"/>
    <n v="5.327732717309E-2"/>
    <n v="141.80553181392301"/>
    <n v="1720"/>
    <s v="Religious"/>
    <n v="1720"/>
    <s v="City of Cocoa Beach           Brevard County"/>
    <s v="City of Cocoa Beach"/>
    <m/>
    <m/>
    <m/>
    <n v="0"/>
    <n v="1"/>
    <n v="0.38552447513267002"/>
    <n v="5.327732717309E-2"/>
    <n v="141.80553181392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5.650025493685703"/>
    <n v="153.38332934295499"/>
    <n v="0.1150085416"/>
  </r>
  <r>
    <n v="830000"/>
    <n v="1400000"/>
    <n v="1400000"/>
    <x v="0"/>
    <x v="0"/>
    <s v="BR3-5, BR-7"/>
    <s v="62-304.520 (10), F.A.C."/>
    <n v="0.59"/>
    <n v="0.64"/>
    <s v="City of Cocoa Beach"/>
    <n v="0.27705211346579001"/>
    <n v="3746.1884029951998"/>
    <n v="9.9616729857328892"/>
    <n v="1.3204131774750001"/>
    <n v="2.7599025543523901"/>
    <n v="0.36582326146753003"/>
    <n v="1037.88941449086"/>
    <n v="1720"/>
    <s v="Religious"/>
    <n v="1720"/>
    <s v="City of Cocoa Beach           Brevard County"/>
    <s v="City of Cocoa Beach"/>
    <m/>
    <m/>
    <m/>
    <n v="0"/>
    <n v="1"/>
    <n v="2.7599025543523901"/>
    <n v="0.36582326146753003"/>
    <n v="1037.8894144908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5.46213569019099"/>
    <n v="1121.1901247185299"/>
    <n v="0.84175946030000004"/>
  </r>
  <r>
    <n v="830000"/>
    <n v="2400000"/>
    <n v="2400000"/>
    <x v="0"/>
    <x v="0"/>
    <s v="BR3-5, BR-7"/>
    <s v="62-304.520 (10), F.A.C."/>
    <n v="0.59"/>
    <n v="0.64"/>
    <s v="City of Cocoa Beach"/>
    <n v="0.16382312745117"/>
    <n v="3760.62007455296"/>
    <n v="10.816069931956701"/>
    <n v="2.0836205434409401"/>
    <n v="1.7719224029837299"/>
    <n v="0.34134523384799997"/>
    <n v="616.07654176892299"/>
    <n v="1300"/>
    <s v="Residential, High Density"/>
    <n v="1300"/>
    <s v="City of Cocoa Beach           Brevard County"/>
    <s v="City of Cocoa Beach"/>
    <m/>
    <m/>
    <m/>
    <n v="0"/>
    <n v="1"/>
    <n v="1.7719224029837299"/>
    <n v="0.34134523384799997"/>
    <n v="833.706954119227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6.647841287437"/>
    <n v="662.96867546342503"/>
    <n v="0.67616135779999997"/>
  </r>
  <r>
    <n v="830000"/>
    <n v="2400000"/>
    <n v="2400000"/>
    <x v="0"/>
    <x v="0"/>
    <s v="BR3-5, BR-7"/>
    <s v="62-304.520 (10), F.A.C."/>
    <n v="0.59"/>
    <n v="0.64"/>
    <s v="City of Cocoa Beach"/>
    <n v="0.30311169408839"/>
    <n v="3760.62007455296"/>
    <n v="10.816069931956701"/>
    <n v="2.0836205434409401"/>
    <n v="3.2784772804539899"/>
    <n v="0.63156975275977001"/>
    <n v="1139.8879216205801"/>
    <n v="1300"/>
    <s v="Residential, High Density"/>
    <n v="1300"/>
    <s v="City of Cocoa Beach           Brevard County"/>
    <s v="City of Cocoa Beach"/>
    <m/>
    <m/>
    <m/>
    <n v="0"/>
    <n v="1"/>
    <n v="3.2784772804539899"/>
    <n v="0.63156975275977001"/>
    <n v="1139.8879216205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9.18033779316301"/>
    <n v="1226.6495059261699"/>
    <n v="0.92448331029999997"/>
  </r>
  <r>
    <n v="830000"/>
    <n v="2400000"/>
    <n v="2400000"/>
    <x v="0"/>
    <x v="0"/>
    <s v="BR3-5, BR-7"/>
    <s v="62-304.520 (10), F.A.C."/>
    <n v="0.59"/>
    <n v="0.64"/>
    <s v="City of Cocoa Beach"/>
    <n v="2.142264393611E-2"/>
    <n v="3738.0522189773901"/>
    <n v="10.031727283422301"/>
    <n v="1.7737854510925599"/>
    <n v="0.21490612165692999"/>
    <n v="3.7999174137810003E-2"/>
    <n v="80.078961701745897"/>
    <n v="1200"/>
    <s v="Residential, Medium Density-Two-five dwellingunits per acre"/>
    <n v="1200"/>
    <s v="City of Cocoa Beach           Brevard County"/>
    <s v="City of Cocoa Beach"/>
    <m/>
    <m/>
    <m/>
    <n v="0"/>
    <n v="1"/>
    <n v="0.21490612165692999"/>
    <n v="3.7999174137810003E-2"/>
    <n v="80.078961701745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9.692639656144401"/>
    <n v="86.694364197642898"/>
    <n v="6.4946440999999994E-2"/>
  </r>
  <r>
    <n v="830000"/>
    <n v="2400000"/>
    <n v="2400000"/>
    <x v="0"/>
    <x v="0"/>
    <s v="BR3-5, BR-7"/>
    <s v="62-304.520 (10), F.A.C."/>
    <n v="0.59"/>
    <n v="0.64"/>
    <s v="FDOT District 5"/>
    <n v="4.9790223368190001E-2"/>
    <n v="3738.0522189773901"/>
    <n v="10.031727283422301"/>
    <n v="1.7737854510925599"/>
    <n v="0.49948194221038"/>
    <n v="8.8317173817139993E-2"/>
    <n v="186.11845494484999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49948194221038"/>
    <n v="8.8317173817139993E-2"/>
    <n v="186.11845494484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9.29552031910001"/>
    <n v="201.49388521029701"/>
    <n v="0.15094765199999999"/>
  </r>
  <r>
    <n v="830000"/>
    <n v="2400000"/>
    <n v="2400000"/>
    <x v="0"/>
    <x v="0"/>
    <s v="BR3-5, BR-7"/>
    <s v="62-304.520 (10), F.A.C."/>
    <n v="0.59"/>
    <n v="0.64"/>
    <s v="City of Cocoa Beach"/>
    <n v="1.78195855353E-3"/>
    <n v="3738.0522189773901"/>
    <n v="10.031727283422301"/>
    <n v="1.7737854510925599"/>
    <n v="1.7876122239370001E-2"/>
    <n v="3.1608121567E-3"/>
    <n v="6.6610541251485502"/>
    <n v="1300"/>
    <s v="Residential, High Density"/>
    <n v="1300"/>
    <s v="City of Cocoa Beach           Brevard County"/>
    <s v="City of Cocoa Beach"/>
    <m/>
    <m/>
    <m/>
    <n v="0"/>
    <n v="1"/>
    <n v="1.7876122239370001E-2"/>
    <n v="3.1608121567E-3"/>
    <n v="6.66105412514855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51716747666499"/>
    <n v="7.21133041680348"/>
    <n v="5.4023148000000003E-3"/>
  </r>
  <r>
    <n v="830000"/>
    <n v="2400000"/>
    <n v="2400000"/>
    <x v="0"/>
    <x v="0"/>
    <s v="BR3-5, BR-7"/>
    <s v="62-304.520 (10), F.A.C."/>
    <n v="0.59"/>
    <n v="0.64"/>
    <s v="FDOT District 5"/>
    <n v="0.159649763183"/>
    <n v="3738.0522189773901"/>
    <n v="10.031727283422301"/>
    <n v="1.7737854510925599"/>
    <n v="1.60156288511483"/>
    <n v="0.28318442720437997"/>
    <n v="596.7791515254350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60156288511483"/>
    <n v="0.28318442720437997"/>
    <n v="596.779151525435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6.057402157271"/>
    <n v="646.07966947177204"/>
    <n v="0.48400580009999999"/>
  </r>
  <r>
    <n v="830000"/>
    <n v="2400000"/>
    <n v="2400000"/>
    <x v="0"/>
    <x v="0"/>
    <s v="BR3-5, BR-7"/>
    <s v="62-304.520 (10), F.A.C."/>
    <n v="0.59"/>
    <n v="0.64"/>
    <s v="City of Cocoa Beach"/>
    <n v="7.10605201608E-3"/>
    <n v="3738.0522189773901"/>
    <n v="10.031727283422301"/>
    <n v="1.7737854510925599"/>
    <n v="7.1285975887129996E-2"/>
    <n v="1.260461168083E-2"/>
    <n v="26.5627935068803"/>
    <n v="1210"/>
    <s v="Fixed Single Family Units"/>
    <n v="1210"/>
    <s v="City of Cocoa Beach           Brevard County"/>
    <s v="City of Cocoa Beach"/>
    <m/>
    <m/>
    <m/>
    <n v="0"/>
    <n v="1"/>
    <n v="7.1285975887129996E-2"/>
    <n v="1.260461168083E-2"/>
    <n v="26.56279350687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1.809163542733302"/>
    <n v="28.757172239184399"/>
    <n v="2.1543222599999998E-2"/>
  </r>
  <r>
    <n v="830000"/>
    <n v="2400000"/>
    <n v="2400000"/>
    <x v="0"/>
    <x v="0"/>
    <s v="BR3-5, BR-7"/>
    <s v="62-304.520 (10), F.A.C."/>
    <n v="0.59"/>
    <n v="0.64"/>
    <s v="FDOT District 5"/>
    <n v="2.2342614723000001E-4"/>
    <n v="3738.0522189773901"/>
    <n v="10.031727283422301"/>
    <n v="1.7737854510925599"/>
    <n v="2.2413501770300001E-3"/>
    <n v="3.9631004934999998E-4"/>
    <n v="0.83517860544561995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2413501770300001E-3"/>
    <n v="3.9631004934999998E-4"/>
    <n v="0.83517860544500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.754176993611001"/>
    <n v="0.90417353886534002"/>
    <n v="6.773549E-4"/>
  </r>
  <r>
    <n v="830000"/>
    <n v="2400000"/>
    <n v="2400000"/>
    <x v="0"/>
    <x v="0"/>
    <s v="BR3-5, BR-7"/>
    <s v="62-304.520 (10), F.A.C."/>
    <n v="0.59"/>
    <n v="0.64"/>
    <s v="City of Cocoa Beach"/>
    <n v="2.001483107029E-2"/>
    <n v="3738.0522189773901"/>
    <n v="10.031727283422301"/>
    <n v="1.7737854510925599"/>
    <n v="0.20078332692094999"/>
    <n v="3.5502016158560003E-2"/>
    <n v="74.81648369477"/>
    <n v="1210"/>
    <s v="Fixed Single Family Units"/>
    <n v="1210"/>
    <s v="City of Cocoa Beach           Brevard County"/>
    <s v="City of Cocoa Beach"/>
    <m/>
    <m/>
    <m/>
    <n v="0"/>
    <n v="1"/>
    <n v="0.20078332692094999"/>
    <n v="3.5502016158560003E-2"/>
    <n v="74.8164836947693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6500984276555"/>
    <n v="80.997147660069402"/>
    <n v="6.0678413399999999E-2"/>
  </r>
  <r>
    <n v="830000"/>
    <n v="2400000"/>
    <n v="2400000"/>
    <x v="0"/>
    <x v="0"/>
    <s v="BR3-5, BR-7"/>
    <s v="62-304.520 (10), F.A.C."/>
    <n v="0.59"/>
    <n v="0.64"/>
    <s v="FDOT District 5"/>
    <n v="5.5991256504000001E-4"/>
    <n v="3738.0522189773901"/>
    <n v="10.031727283422301"/>
    <n v="1.7737854510925599"/>
    <n v="5.6168901550800003E-3"/>
    <n v="9.9316476175000004E-4"/>
    <n v="2.09298240619604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6168901550800003E-3"/>
    <n v="9.9316476175000004E-4"/>
    <n v="2.09298240619445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470767878217401"/>
    <n v="2.2658857598290401"/>
    <n v="1.6974715E-3"/>
  </r>
  <r>
    <n v="830000"/>
    <n v="2400000"/>
    <n v="2400000"/>
    <x v="0"/>
    <x v="0"/>
    <s v="BR3-5, BR-7"/>
    <s v="62-304.520 (10), F.A.C."/>
    <n v="0.59"/>
    <n v="0.64"/>
    <s v="City of Cocoa Beach"/>
    <n v="2.2293300651159999E-2"/>
    <n v="3738.0522189773901"/>
    <n v="10.031727283422301"/>
    <n v="1.7737854510925599"/>
    <n v="0.22364031237984999"/>
    <n v="3.9543532351869998E-2"/>
    <n v="83.333521967428595"/>
    <n v="1210"/>
    <s v="Fixed Single Family Units"/>
    <n v="1210"/>
    <s v="City of Cocoa Beach           Brevard County"/>
    <s v="City of Cocoa Beach"/>
    <m/>
    <m/>
    <m/>
    <n v="0"/>
    <n v="1"/>
    <n v="0.22364031237984999"/>
    <n v="3.9543532351869998E-2"/>
    <n v="83.3335219674285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613664236917003"/>
    <n v="90.217786916673205"/>
    <n v="6.7585987E-2"/>
  </r>
  <r>
    <n v="830000"/>
    <n v="2400000"/>
    <n v="2400000"/>
    <x v="0"/>
    <x v="0"/>
    <s v="BR3-5, BR-7"/>
    <s v="62-304.520 (10), F.A.C."/>
    <n v="0.59"/>
    <n v="0.64"/>
    <s v="FDOT District 5"/>
    <n v="5.2516354791999999E-4"/>
    <n v="3738.0522189773901"/>
    <n v="10.031727283422301"/>
    <n v="1.7737854510925599"/>
    <n v="5.2682974919899999E-3"/>
    <n v="9.3152746075000003E-4"/>
    <n v="1.96308876565455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2682974919899999E-3"/>
    <n v="9.3152746075000003E-4"/>
    <n v="1.9630887656547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664258897614499"/>
    <n v="2.1252614767389701"/>
    <n v="1.5921239000000001E-3"/>
  </r>
  <r>
    <n v="830000"/>
    <n v="2400000"/>
    <n v="2400000"/>
    <x v="0"/>
    <x v="0"/>
    <s v="BR3-5, BR-7"/>
    <s v="62-304.520 (10), F.A.C."/>
    <n v="0.59"/>
    <n v="0.64"/>
    <s v="City of Cocoa Beach"/>
    <n v="0.23450339873191001"/>
    <n v="3738.0522189773901"/>
    <n v="10.031727283422301"/>
    <n v="1.7737854510925599"/>
    <n v="2.3524741431141698"/>
    <n v="0.41595871690241998"/>
    <n v="876.58594998755905"/>
    <n v="1300"/>
    <s v="Residential, High Density"/>
    <n v="1300"/>
    <s v="City of Cocoa Beach           Brevard County"/>
    <s v="City of Cocoa Beach"/>
    <m/>
    <m/>
    <m/>
    <n v="0"/>
    <n v="1"/>
    <n v="2.3524741431141698"/>
    <n v="0.41595871690241998"/>
    <n v="876.585949987559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4.035774912774"/>
    <n v="949.00158523286098"/>
    <n v="0.71093751009999995"/>
  </r>
  <r>
    <n v="830000"/>
    <n v="2400000"/>
    <n v="2400000"/>
    <x v="0"/>
    <x v="0"/>
    <s v="BR3-5, BR-7"/>
    <s v="62-304.520 (10), F.A.C."/>
    <n v="0.59"/>
    <n v="0.64"/>
    <s v="City of Cocoa Beach"/>
    <n v="6.1851085447199999E-3"/>
    <n v="3768.66542927504"/>
    <n v="10.136910725021099"/>
    <n v="1.85697628508424"/>
    <n v="6.2697893142469999E-2"/>
    <n v="1.1485599888230001E-2"/>
    <n v="23.309604748830001"/>
    <n v="1300"/>
    <s v="Residential, High Density"/>
    <n v="1300"/>
    <s v="City of Cocoa Beach           Brevard County"/>
    <s v="City of Cocoa Beach"/>
    <m/>
    <m/>
    <m/>
    <n v="0"/>
    <n v="1"/>
    <n v="6.2697893142469999E-2"/>
    <n v="1.1485599888230001E-2"/>
    <n v="31.873671295631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9.271190147358"/>
    <n v="25.030246237472401"/>
    <n v="2.5850503899999999E-2"/>
  </r>
  <r>
    <n v="830000"/>
    <n v="2400000"/>
    <n v="2400000"/>
    <x v="0"/>
    <x v="0"/>
    <s v="BR3-5, BR-7"/>
    <s v="62-304.520 (10), F.A.C."/>
    <n v="0.59"/>
    <n v="0.64"/>
    <s v="FDOT District 5"/>
    <n v="0.20723748960888999"/>
    <n v="3768.66542927504"/>
    <n v="10.136910725021099"/>
    <n v="1.85697628508424"/>
    <n v="2.10074793104291"/>
    <n v="0.38483510358410999"/>
    <n v="781.0087627388029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10074793104291"/>
    <n v="0.38483510358410999"/>
    <n v="892.55793943311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6.37283532908501"/>
    <n v="838.660365785826"/>
    <n v="0.72389127289999999"/>
  </r>
  <r>
    <n v="830000"/>
    <n v="2400000"/>
    <n v="2400000"/>
    <x v="0"/>
    <x v="0"/>
    <s v="BR3-5, BR-7"/>
    <s v="62-304.520 (10), F.A.C."/>
    <n v="0.59"/>
    <n v="0.64"/>
    <s v="City of Cocoa Beach"/>
    <n v="5.4112535192500002E-3"/>
    <n v="3768.66542927504"/>
    <n v="10.136910725021099"/>
    <n v="1.85697628508424"/>
    <n v="5.4853393835139999E-2"/>
    <n v="1.004856945783E-2"/>
    <n v="20.393204067059202"/>
    <n v="1210"/>
    <s v="Fixed Single Family Units"/>
    <n v="1210"/>
    <s v="City of Cocoa Beach           Brevard County"/>
    <s v="City of Cocoa Beach"/>
    <m/>
    <m/>
    <m/>
    <n v="0"/>
    <n v="1"/>
    <n v="5.4853393835139999E-2"/>
    <n v="1.004856945783E-2"/>
    <n v="20.393204067058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3.847480764900901"/>
    <n v="21.898566057630401"/>
    <n v="1.6539500499999998E-2"/>
  </r>
  <r>
    <n v="830000"/>
    <n v="2400000"/>
    <n v="2400000"/>
    <x v="0"/>
    <x v="0"/>
    <s v="BR3-5, BR-7"/>
    <s v="62-304.520 (10), F.A.C."/>
    <n v="0.59"/>
    <n v="0.64"/>
    <s v="City of Cocoa Beach"/>
    <n v="1.358774182429E-2"/>
    <n v="3768.66542927504"/>
    <n v="10.136910725021099"/>
    <n v="1.85697628508424"/>
    <n v="0.13773772582749"/>
    <n v="2.5232114335550001E-2"/>
    <n v="51.2076528751276"/>
    <n v="1210"/>
    <s v="Fixed Single Family Units"/>
    <n v="1210"/>
    <s v="City of Cocoa Beach           Brevard County"/>
    <s v="City of Cocoa Beach"/>
    <m/>
    <m/>
    <m/>
    <n v="0"/>
    <n v="1"/>
    <n v="0.13773772582749"/>
    <n v="2.5232114335550001E-2"/>
    <n v="51.207652875128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186291866445302"/>
    <n v="54.987640267554298"/>
    <n v="4.1530943100000002E-2"/>
  </r>
  <r>
    <n v="830000"/>
    <n v="2400000"/>
    <n v="2400000"/>
    <x v="0"/>
    <x v="0"/>
    <s v="BR3-5, BR-7"/>
    <s v="62-304.520 (10), F.A.C."/>
    <n v="0.59"/>
    <n v="0.64"/>
    <s v="City of Cocoa Beach"/>
    <n v="1.507880706464E-2"/>
    <n v="3768.66542927504"/>
    <n v="10.136910725021099"/>
    <n v="1.85697628508424"/>
    <n v="0.15285252105406999"/>
    <n v="2.8000987126390001E-2"/>
    <n v="56.826978899217004"/>
    <n v="1210"/>
    <s v="Fixed Single Family Units"/>
    <n v="1210"/>
    <s v="City of Cocoa Beach           Brevard County"/>
    <s v="City of Cocoa Beach"/>
    <m/>
    <m/>
    <m/>
    <n v="0"/>
    <n v="1"/>
    <n v="0.15285252105406999"/>
    <n v="2.8000987126390001E-2"/>
    <n v="56.826978899216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1.151963436990101"/>
    <n v="61.021767211668198"/>
    <n v="4.6088385199999998E-2"/>
  </r>
  <r>
    <n v="830000"/>
    <n v="2400000"/>
    <n v="2400000"/>
    <x v="0"/>
    <x v="0"/>
    <s v="BR3-5, BR-7"/>
    <s v="62-304.520 (10), F.A.C."/>
    <n v="0.59"/>
    <n v="0.64"/>
    <s v="City of Cocoa Beach"/>
    <n v="3.6544708863500003E-2"/>
    <n v="3768.66542927504"/>
    <n v="10.136910725021099"/>
    <n v="1.85697628508424"/>
    <n v="0.37045045122128001"/>
    <n v="6.7862657704839999E-2"/>
    <n v="137.72478091682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7045045122128001"/>
    <n v="6.7862657704839999E-2"/>
    <n v="137.72478091682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6.553231122490899"/>
    <n v="147.89118976902799"/>
    <n v="0.1116989302"/>
  </r>
  <r>
    <n v="830000"/>
    <n v="2400000"/>
    <n v="2400000"/>
    <x v="0"/>
    <x v="0"/>
    <s v="BR3-5, BR-7"/>
    <s v="62-304.520 (10), F.A.C."/>
    <n v="0.59"/>
    <n v="0.64"/>
    <s v="City of Cocoa Beach"/>
    <n v="5.4506469402199999E-3"/>
    <n v="3768.66542927504"/>
    <n v="10.136910725021099"/>
    <n v="1.85697628508424"/>
    <n v="5.5252721426639999E-2"/>
    <n v="1.012172210635E-2"/>
    <n v="20.5416646907983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5.5252721426639999E-2"/>
    <n v="1.012172210635E-2"/>
    <n v="55.628547456845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3.280289712347201"/>
    <n v="22.057985576273499"/>
    <n v="4.5116421300000001E-2"/>
  </r>
  <r>
    <n v="830000"/>
    <n v="2400000"/>
    <n v="2400000"/>
    <x v="0"/>
    <x v="0"/>
    <s v="BR3-5, BR-7"/>
    <s v="62-304.520 (10), F.A.C."/>
    <n v="0.59"/>
    <n v="0.64"/>
    <s v="City of Cocoa Beach"/>
    <n v="5.2392392381570001E-2"/>
    <n v="3768.66542927504"/>
    <n v="10.136910725021099"/>
    <n v="1.85697628508424"/>
    <n v="0.53109700424230999"/>
    <n v="9.7291430171409995E-2"/>
    <n v="197.449397925457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3109700424230999"/>
    <n v="9.7291430171409995E-2"/>
    <n v="493.10898689561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8.137033107325806"/>
    <n v="212.02448959428"/>
    <n v="0.39992618559999998"/>
  </r>
  <r>
    <n v="830000"/>
    <n v="2400000"/>
    <n v="2400000"/>
    <x v="0"/>
    <x v="0"/>
    <s v="BR3-5, BR-7"/>
    <s v="62-304.520 (10), F.A.C."/>
    <n v="0.59"/>
    <n v="0.64"/>
    <s v="City of Cocoa Beach"/>
    <n v="0.15624151856724999"/>
    <n v="3768.66542927504"/>
    <n v="10.136910725021099"/>
    <n v="1.85697628508424"/>
    <n v="1.5838063252579899"/>
    <n v="0.29013679472493997"/>
    <n v="588.822009641844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5838063252579899"/>
    <n v="0.29013679472493997"/>
    <n v="588.82200964184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029431503537"/>
    <n v="632.286992859419"/>
    <n v="0.47755231930000003"/>
  </r>
  <r>
    <n v="830000"/>
    <n v="2400000"/>
    <n v="2400000"/>
    <x v="0"/>
    <x v="0"/>
    <s v="BR3-5, BR-7"/>
    <s v="62-304.520 (10), F.A.C."/>
    <n v="0.59"/>
    <n v="0.64"/>
    <s v="City of Cocoa Beach"/>
    <n v="0.16245526061557999"/>
    <n v="3753.1338398532598"/>
    <n v="10.606148617632501"/>
    <n v="1.9874967626948099"/>
    <n v="1.7230246378051299"/>
    <n v="0.32287930455621999"/>
    <n v="609.71633607853698"/>
    <n v="1300"/>
    <s v="Residential, High Density"/>
    <n v="1300"/>
    <s v="City of Cocoa Beach           Brevard County"/>
    <s v="City of Cocoa Beach"/>
    <m/>
    <m/>
    <m/>
    <n v="0"/>
    <n v="1"/>
    <n v="1.7230246378051299"/>
    <n v="0.32287930455621999"/>
    <n v="609.716336078536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6.319122761483"/>
    <n v="657.43311477484997"/>
    <n v="0.494498245"/>
  </r>
  <r>
    <n v="830000"/>
    <n v="2400000"/>
    <n v="2400000"/>
    <x v="0"/>
    <x v="0"/>
    <s v="BR3-5, BR-7"/>
    <s v="62-304.520 (10), F.A.C."/>
    <n v="0.59"/>
    <n v="0.64"/>
    <s v="City of Cocoa Beach"/>
    <n v="8.1654622103689997E-2"/>
    <n v="3753.1338398532598"/>
    <n v="10.606148617632501"/>
    <n v="1.9874967626948099"/>
    <n v="0.86604105734845005"/>
    <n v="0.16228829709017001"/>
    <n v="306.46072539782301"/>
    <n v="1210"/>
    <s v="Fixed Single Family Units"/>
    <n v="1210"/>
    <s v="City of Cocoa Beach           Brevard County"/>
    <s v="City of Cocoa Beach"/>
    <m/>
    <m/>
    <m/>
    <n v="0"/>
    <n v="1"/>
    <n v="0.86604105734845005"/>
    <n v="0.16228829709017001"/>
    <n v="306.460725397821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1378813555649"/>
    <n v="330.444531878997"/>
    <n v="0.24854884460000001"/>
  </r>
  <r>
    <n v="830000"/>
    <n v="2400000"/>
    <n v="2400000"/>
    <x v="0"/>
    <x v="0"/>
    <s v="BR3-5, BR-7"/>
    <s v="62-304.520 (10), F.A.C."/>
    <n v="0.59"/>
    <n v="0.64"/>
    <s v="City of Cocoa Beach"/>
    <n v="0.18184388233911"/>
    <n v="3753.1338398532598"/>
    <n v="10.606148617632501"/>
    <n v="1.9874967626948099"/>
    <n v="1.9286632412959299"/>
    <n v="0.36141412746483997"/>
    <n v="682.48442837722405"/>
    <n v="1300"/>
    <s v="Residential, High Density"/>
    <n v="1300"/>
    <s v="City of Cocoa Beach           Brevard County"/>
    <s v="City of Cocoa Beach"/>
    <m/>
    <m/>
    <m/>
    <n v="0"/>
    <n v="1"/>
    <n v="1.9286632412959299"/>
    <n v="0.36141412746483997"/>
    <n v="682.484428377224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0.010073922917"/>
    <n v="735.89608311819302"/>
    <n v="0.55351535149999997"/>
  </r>
  <r>
    <n v="830000"/>
    <n v="2400000"/>
    <n v="2400000"/>
    <x v="0"/>
    <x v="0"/>
    <s v="BR3-5, BR-7"/>
    <s v="62-304.520 (10), F.A.C."/>
    <n v="0.59"/>
    <n v="0.64"/>
    <s v="City of Cocoa Beach"/>
    <n v="0.14856750331572999"/>
    <n v="3753.1338398532598"/>
    <n v="10.606148617632501"/>
    <n v="1.9874967626948099"/>
    <n v="1.57572901991725"/>
    <n v="0.29527743188166"/>
    <n v="557.593724196778"/>
    <n v="1300"/>
    <s v="Residential, High Density"/>
    <n v="1300"/>
    <s v="City of Cocoa Beach           Brevard County"/>
    <s v="City of Cocoa Beach"/>
    <m/>
    <m/>
    <m/>
    <n v="0"/>
    <n v="1"/>
    <n v="1.57572901991725"/>
    <n v="0.29527743188166"/>
    <n v="557.59372419677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2.21560711145101"/>
    <n v="601.231354953194"/>
    <n v="0.45222524269999997"/>
  </r>
  <r>
    <n v="830000"/>
    <n v="2400000"/>
    <n v="2400000"/>
    <x v="0"/>
    <x v="0"/>
    <s v="BR3-5, BR-7"/>
    <s v="62-304.520 (10), F.A.C."/>
    <n v="0.59"/>
    <n v="0.64"/>
    <s v="City of Cocoa Beach"/>
    <n v="1.1762684454730001E-2"/>
    <n v="3753.1338398532598"/>
    <n v="10.606148617632501"/>
    <n v="1.9874967626948099"/>
    <n v="0.12475677946926"/>
    <n v="2.337829727439E-2"/>
    <n v="44.146929074593103"/>
    <n v="1300"/>
    <s v="Residential, High Density"/>
    <n v="1300"/>
    <s v="City of Cocoa Beach           Brevard County"/>
    <s v="City of Cocoa Beach"/>
    <m/>
    <m/>
    <m/>
    <n v="0"/>
    <n v="1"/>
    <n v="0.12475677946926"/>
    <n v="2.337829727439E-2"/>
    <n v="44.146929074593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963227542842802"/>
    <n v="47.601895130322099"/>
    <n v="3.58044842E-2"/>
  </r>
  <r>
    <n v="830000"/>
    <n v="2400000"/>
    <n v="2400000"/>
    <x v="0"/>
    <x v="0"/>
    <s v="BR3-5, BR-7"/>
    <s v="62-304.520 (10), F.A.C."/>
    <n v="0.59"/>
    <n v="0.64"/>
    <s v="City of Cocoa Beach"/>
    <n v="3.1479500700959999E-2"/>
    <n v="3753.1338398532598"/>
    <n v="10.606148617632501"/>
    <n v="1.9874967626948099"/>
    <n v="0.33387626284331001"/>
    <n v="6.2565405734409996E-2"/>
    <n v="118.14677934248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0.33387626284331001"/>
    <n v="6.2565405734409996E-2"/>
    <n v="118.14677934247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2.680621630651302"/>
    <n v="127.39301958564801"/>
    <n v="9.5820583400000006E-2"/>
  </r>
  <r>
    <n v="830000"/>
    <n v="2400000"/>
    <n v="2400000"/>
    <x v="0"/>
    <x v="0"/>
    <s v="BR3-5, BR-7"/>
    <s v="62-304.520 (10), F.A.C."/>
    <n v="0.59"/>
    <n v="0.64"/>
    <s v="City of Cocoa Beach"/>
    <n v="9.9435880899999993E-7"/>
    <n v="3754.9419571742701"/>
    <n v="10.573213638594"/>
    <n v="1.9829423717950501"/>
    <n v="1.0513568120000001E-5"/>
    <n v="1.9717562151340002E-6"/>
    <n v="3.7337596123899999E-3"/>
    <n v="1100"/>
    <s v="Residential, Low Density-Less than two dwelling units/acre"/>
    <n v="1100"/>
    <s v="City of Cocoa Beach           Brevard County"/>
    <s v="City of Cocoa Beach"/>
    <m/>
    <m/>
    <m/>
    <n v="0"/>
    <n v="1"/>
    <n v="1.0513568120000001E-5"/>
    <n v="1.9717562151340002E-6"/>
    <n v="3.7337596117399999E-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.1839441519888201"/>
    <n v="4.02402733167E-3"/>
    <n v="3.0281911E-6"/>
  </r>
  <r>
    <n v="830000"/>
    <n v="2400000"/>
    <n v="2400000"/>
    <x v="0"/>
    <x v="0"/>
    <s v="BR3-5, BR-7"/>
    <s v="62-304.520 (10), F.A.C."/>
    <n v="0.59"/>
    <n v="0.64"/>
    <s v="City of Cocoa Beach"/>
    <n v="6.4726809317770001E-2"/>
    <n v="3754.9419571742701"/>
    <n v="10.573213638594"/>
    <n v="1.9829423717950501"/>
    <n v="0.68437038306138998"/>
    <n v="0.12834953278731001"/>
    <n v="243.04541206133899"/>
    <n v="1200"/>
    <s v="Residential, Medium Density-Two-five dwellingunits per acre"/>
    <n v="1200"/>
    <s v="City of Cocoa Beach           Brevard County"/>
    <s v="City of Cocoa Beach"/>
    <m/>
    <m/>
    <m/>
    <n v="0"/>
    <n v="1"/>
    <n v="0.68437038306138998"/>
    <n v="0.12834953278731001"/>
    <n v="243.04541206134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0.004222073598"/>
    <n v="261.940103989107"/>
    <n v="0.19711712249999999"/>
  </r>
  <r>
    <n v="830000"/>
    <n v="2400000"/>
    <n v="2400000"/>
    <x v="0"/>
    <x v="0"/>
    <s v="BR3-5, BR-7"/>
    <s v="62-304.520 (10), F.A.C."/>
    <n v="0.59"/>
    <n v="0.64"/>
    <s v="City of Cocoa Beach"/>
    <n v="0.13718562270168"/>
    <n v="3754.9419571742701"/>
    <n v="10.573213638594"/>
    <n v="1.9829423717950501"/>
    <n v="1.45049289696852"/>
    <n v="0.27203118405625998"/>
    <n v="515.12405060365097"/>
    <n v="1300"/>
    <s v="Residential, High Density"/>
    <n v="1300"/>
    <s v="City of Cocoa Beach           Brevard County"/>
    <s v="City of Cocoa Beach"/>
    <m/>
    <m/>
    <m/>
    <n v="0"/>
    <n v="1"/>
    <n v="1.45049289696852"/>
    <n v="0.27203118405625998"/>
    <n v="515.124050603650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2.821829531137"/>
    <n v="555.17051829127297"/>
    <n v="0.4177810629"/>
  </r>
  <r>
    <n v="830000"/>
    <n v="2400000"/>
    <n v="2400000"/>
    <x v="0"/>
    <x v="0"/>
    <s v="BR3-5, BR-7"/>
    <s v="62-304.520 (10), F.A.C."/>
    <n v="0.59"/>
    <n v="0.64"/>
    <s v="FDOT District 5"/>
    <n v="4.2921576261800001E-2"/>
    <n v="3754.9419571742701"/>
    <n v="10.573213638594"/>
    <n v="1.9829423717950501"/>
    <n v="0.45381899552124"/>
    <n v="8.5111012233759997E-2"/>
    <n v="161.168027573495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45381899552124"/>
    <n v="8.5111012233759997E-2"/>
    <n v="161.16802757349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00633280077101"/>
    <n v="173.69745655460301"/>
    <n v="0.1307121067"/>
  </r>
  <r>
    <n v="830000"/>
    <n v="2400000"/>
    <n v="2400000"/>
    <x v="0"/>
    <x v="0"/>
    <s v="BR3-5, BR-7"/>
    <s v="62-304.520 (10), F.A.C."/>
    <n v="0.59"/>
    <n v="0.64"/>
    <s v="City of Cocoa Beach"/>
    <n v="1.8805761952400001E-3"/>
    <n v="3754.9419571742701"/>
    <n v="10.573213638594"/>
    <n v="1.9829423717950501"/>
    <n v="1.9883733875950001E-2"/>
    <n v="3.7290742209300002E-3"/>
    <n v="7.0614544591810997"/>
    <n v="1210"/>
    <s v="Fixed Single Family Units"/>
    <n v="1210"/>
    <s v="City of Cocoa Beach           Brevard County"/>
    <s v="City of Cocoa Beach"/>
    <m/>
    <m/>
    <m/>
    <n v="0"/>
    <n v="1"/>
    <n v="1.9883733875950001E-2"/>
    <n v="3.7290742209300002E-3"/>
    <n v="7.06145445918215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5.4956608064455"/>
    <n v="7.6104218535328201"/>
    <n v="5.7270515000000001E-3"/>
  </r>
  <r>
    <n v="830000"/>
    <n v="2400000"/>
    <n v="2400000"/>
    <x v="0"/>
    <x v="0"/>
    <s v="BR3-5, BR-7"/>
    <s v="62-304.520 (10), F.A.C."/>
    <n v="0.59"/>
    <n v="0.64"/>
    <s v="City of Cocoa Beach"/>
    <n v="0.35396333356711002"/>
    <n v="3754.9419571742701"/>
    <n v="10.573213638594"/>
    <n v="1.9829423717950501"/>
    <n v="3.7425299460340602"/>
    <n v="0.70188889219205997"/>
    <n v="1329.11177251244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3.7425299460340602"/>
    <n v="0.70188889219205997"/>
    <n v="1329.1117725124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5.456665686946"/>
    <n v="1432.4387897402"/>
    <n v="1.0779495316000001"/>
  </r>
  <r>
    <n v="830000"/>
    <n v="2400000"/>
    <n v="2400000"/>
    <x v="0"/>
    <x v="0"/>
    <s v="BR3-5, BR-7"/>
    <s v="62-304.520 (10), F.A.C."/>
    <n v="0.59"/>
    <n v="0.64"/>
    <s v="City of Cocoa Beach"/>
    <n v="1.7084548625330001E-2"/>
    <n v="3754.9419571742701"/>
    <n v="10.573213638594"/>
    <n v="1.9829423717950501"/>
    <n v="0.18063858253456999"/>
    <n v="3.387767537216E-2"/>
    <n v="64.151488452639398"/>
    <n v="1300"/>
    <s v="Residential, High Density"/>
    <n v="1300"/>
    <s v="City of Cocoa Beach           Brevard County"/>
    <s v="City of Cocoa Beach"/>
    <m/>
    <m/>
    <m/>
    <n v="0"/>
    <n v="1"/>
    <n v="0.18063858253456999"/>
    <n v="3.387767537216E-2"/>
    <n v="64.1514884526383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1.699072541727503"/>
    <n v="69.138715328224805"/>
    <n v="5.2028782199999998E-2"/>
  </r>
  <r>
    <n v="830000"/>
    <n v="2400000"/>
    <n v="2400000"/>
    <x v="0"/>
    <x v="0"/>
    <s v="BR3-5, BR-7"/>
    <s v="62-304.520 (10), F.A.C."/>
    <n v="0.59"/>
    <n v="0.64"/>
    <s v="City of Cocoa Beach"/>
    <n v="0.14658563034916999"/>
    <n v="3740.8351881386102"/>
    <n v="10.2416389965632"/>
    <n v="1.81992387374906"/>
    <n v="1.5012771081198699"/>
    <n v="0.26677468822101003"/>
    <n v="548.35268408565798"/>
    <n v="1200"/>
    <s v="Residential, Medium Density-Two-five dwellingunits per acre"/>
    <n v="1200"/>
    <s v="City of Cocoa Beach           Brevard County"/>
    <s v="City of Cocoa Beach"/>
    <m/>
    <m/>
    <m/>
    <n v="0"/>
    <n v="1"/>
    <n v="1.5012771081198699"/>
    <n v="0.26677468822101003"/>
    <n v="548.35268408565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3.768275747142"/>
    <n v="593.21099961009497"/>
    <n v="0.44473048180000002"/>
  </r>
  <r>
    <n v="830000"/>
    <n v="2400000"/>
    <n v="2400000"/>
    <x v="0"/>
    <x v="0"/>
    <s v="BR3-5, BR-7"/>
    <s v="62-304.520 (10), F.A.C."/>
    <n v="0.59"/>
    <n v="0.64"/>
    <s v="City of Cocoa Beach"/>
    <n v="0.17714055078294"/>
    <n v="3740.8351881386102"/>
    <n v="10.2416389965632"/>
    <n v="1.81992387374906"/>
    <n v="1.8142095727712699"/>
    <n v="0.32238231737892997"/>
    <n v="662.65360561508396"/>
    <n v="1300"/>
    <s v="Residential, High Density"/>
    <n v="1300"/>
    <s v="City of Cocoa Beach           Brevard County"/>
    <s v="City of Cocoa Beach"/>
    <m/>
    <m/>
    <m/>
    <n v="0"/>
    <n v="1"/>
    <n v="1.8142095727712699"/>
    <n v="0.32238231737892997"/>
    <n v="662.653605615083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61.38511763031198"/>
    <n v="716.86237560342295"/>
    <n v="0.53743195909999997"/>
  </r>
  <r>
    <n v="830000"/>
    <n v="2400000"/>
    <n v="2400000"/>
    <x v="0"/>
    <x v="0"/>
    <s v="BR3-5, BR-7"/>
    <s v="62-304.520 (10), F.A.C."/>
    <n v="0.59"/>
    <n v="0.64"/>
    <s v="FDOT District 5"/>
    <n v="3.6596713149499999E-3"/>
    <n v="3740.8351881386102"/>
    <n v="10.2416389965632"/>
    <n v="1.81992387374906"/>
    <n v="3.748103245388E-2"/>
    <n v="6.6603231961599998E-3"/>
    <n v="13.6902272320200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748103245388E-2"/>
    <n v="6.6603231961599998E-3"/>
    <n v="13.690227232019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625527681466"/>
    <n v="14.810164364814"/>
    <n v="1.1103185099999999E-2"/>
  </r>
  <r>
    <n v="830000"/>
    <n v="2400000"/>
    <n v="2400000"/>
    <x v="0"/>
    <x v="0"/>
    <s v="BR3-5, BR-7"/>
    <s v="62-304.520 (10), F.A.C."/>
    <n v="0.59"/>
    <n v="0.64"/>
    <s v="City of Cocoa Beach"/>
    <n v="7.6455756776860007E-2"/>
    <n v="3740.8351881386102"/>
    <n v="10.2416389965632"/>
    <n v="1.81992387374906"/>
    <n v="0.78303226011770999"/>
    <n v="0.13914365704376999"/>
    <n v="286.00838528667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78303226011770999"/>
    <n v="0.13914365704376999"/>
    <n v="286.008385286669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1.334047665168995"/>
    <n v="309.405470341914"/>
    <n v="0.23196138299999999"/>
  </r>
  <r>
    <n v="830000"/>
    <n v="2400000"/>
    <n v="2400000"/>
    <x v="0"/>
    <x v="0"/>
    <s v="BR3-5, BR-7"/>
    <s v="62-304.520 (10), F.A.C."/>
    <n v="0.59"/>
    <n v="0.64"/>
    <s v="City of Cocoa Beach"/>
    <n v="1.407052343E-4"/>
    <n v="3740.8351881386102"/>
    <n v="10.2416389965632"/>
    <n v="1.81992387374906"/>
    <n v="1.4410522146999999E-3"/>
    <n v="2.5607281506999998E-4"/>
    <n v="0.52635509165465"/>
    <n v="1210"/>
    <s v="Fixed Single Family Units"/>
    <n v="1210"/>
    <s v="City of Cocoa Beach           Brevard County"/>
    <s v="City of Cocoa Beach"/>
    <m/>
    <m/>
    <m/>
    <n v="0"/>
    <n v="1"/>
    <n v="1.4410522146999999E-3"/>
    <n v="2.5607281506999998E-4"/>
    <n v="0.52635509165450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4.45326540768"/>
    <n v="0.56941388112446001"/>
    <n v="4.2688980000000001E-4"/>
  </r>
  <r>
    <n v="830000"/>
    <n v="2400000"/>
    <n v="2400000"/>
    <x v="0"/>
    <x v="0"/>
    <s v="BR3-5, BR-7"/>
    <s v="62-304.520 (10), F.A.C."/>
    <n v="0.59"/>
    <n v="0.64"/>
    <s v="City of Cocoa Beach"/>
    <n v="1.0073372613E-4"/>
    <n v="3740.8351881386102"/>
    <n v="10.2416389965632"/>
    <n v="1.81992387374906"/>
    <n v="1.03167845786E-3"/>
    <n v="1.8332771308E-4"/>
    <n v="0.37682826736185998"/>
    <n v="1210"/>
    <s v="Fixed Single Family Units"/>
    <n v="1210"/>
    <s v="City of Cocoa Beach           Brevard County"/>
    <s v="City of Cocoa Beach"/>
    <m/>
    <m/>
    <m/>
    <n v="0"/>
    <n v="1"/>
    <n v="1.03167845786E-3"/>
    <n v="1.8332771308E-4"/>
    <n v="0.3768282673606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.960454641273799"/>
    <n v="0.40765492656442998"/>
    <n v="3.0561899999999998E-4"/>
  </r>
  <r>
    <n v="830000"/>
    <n v="2400000"/>
    <n v="2400000"/>
    <x v="0"/>
    <x v="0"/>
    <s v="BR3-5, BR-7"/>
    <s v="62-304.520 (10), F.A.C."/>
    <n v="0.59"/>
    <n v="0.64"/>
    <s v="City of Cocoa Beach"/>
    <n v="4.5095613536559997E-2"/>
    <n v="3749.4891758630802"/>
    <n v="10.4669379274203"/>
    <n v="1.8553381376214599"/>
    <n v="0.47201298768619998"/>
    <n v="8.3667611633830005E-2"/>
    <n v="169.08551483426999"/>
    <n v="1400"/>
    <s v="Commercial and Services"/>
    <n v="1400"/>
    <s v="City of Cocoa Beach           Brevard County"/>
    <s v="City of Cocoa Beach"/>
    <m/>
    <m/>
    <m/>
    <n v="0"/>
    <n v="1"/>
    <n v="0.47201298768619998"/>
    <n v="8.3667611633830005E-2"/>
    <n v="169.08551483426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255079743262996"/>
    <n v="182.49547326253099"/>
    <n v="0.13713342649999999"/>
  </r>
  <r>
    <n v="830000"/>
    <n v="2400000"/>
    <n v="2400000"/>
    <x v="0"/>
    <x v="0"/>
    <s v="BR3-5, BR-7"/>
    <s v="62-304.520 (10), F.A.C."/>
    <n v="0.59"/>
    <n v="0.64"/>
    <s v="City of Cocoa Beach"/>
    <n v="4.5511915810699998E-3"/>
    <n v="3749.4891758630802"/>
    <n v="10.4669379274203"/>
    <n v="1.8553381376214599"/>
    <n v="4.763703977488E-2"/>
    <n v="8.4439993119799998E-3"/>
    <n v="17.064643570512398"/>
    <n v="1300"/>
    <s v="Residential, High Density"/>
    <n v="1300"/>
    <s v="City of Cocoa Beach           Brevard County"/>
    <s v="City of Cocoa Beach"/>
    <m/>
    <m/>
    <m/>
    <n v="0"/>
    <n v="1"/>
    <n v="4.763703977488E-2"/>
    <n v="8.4439993119799998E-3"/>
    <n v="17.064643570514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9.102951845084299"/>
    <n v="18.418018879439799"/>
    <n v="1.3839938E-2"/>
  </r>
  <r>
    <n v="830000"/>
    <n v="2400000"/>
    <n v="2400000"/>
    <x v="0"/>
    <x v="0"/>
    <s v="BR3-5, BR-7"/>
    <s v="62-304.520 (10), F.A.C."/>
    <n v="0.59"/>
    <n v="0.64"/>
    <s v="City of Cocoa Beach"/>
    <n v="4.5431722800859997E-2"/>
    <n v="3749.4891758630802"/>
    <n v="10.4669379274203"/>
    <n v="1.8553381376214599"/>
    <n v="0.47553102249243001"/>
    <n v="8.4291207970289994E-2"/>
    <n v="170.34575288265901"/>
    <n v="1300"/>
    <s v="Residential, High Density"/>
    <n v="1300"/>
    <s v="City of Cocoa Beach           Brevard County"/>
    <s v="City of Cocoa Beach"/>
    <m/>
    <m/>
    <m/>
    <n v="0"/>
    <n v="1"/>
    <n v="0.47553102249243001"/>
    <n v="8.4291207970289994E-2"/>
    <n v="170.34575288266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4.357118519384201"/>
    <n v="183.85565919738201"/>
    <n v="0.1381555173"/>
  </r>
  <r>
    <n v="830000"/>
    <n v="2400000"/>
    <n v="2400000"/>
    <x v="0"/>
    <x v="0"/>
    <s v="BR3-5, BR-7"/>
    <s v="62-304.520 (10), F.A.C."/>
    <n v="0.59"/>
    <n v="0.64"/>
    <s v="City of Cocoa Beach"/>
    <n v="5.3320789832769999E-2"/>
    <n v="3749.4891758630802"/>
    <n v="10.4669379274203"/>
    <n v="1.8553381376214599"/>
    <n v="0.55810539742071996"/>
    <n v="9.8928094904849995E-2"/>
    <n v="199.92572432647501"/>
    <n v="1300"/>
    <s v="Residential, High Density"/>
    <n v="1300"/>
    <s v="City of Cocoa Beach           Brevard County"/>
    <s v="City of Cocoa Beach"/>
    <m/>
    <m/>
    <m/>
    <n v="0"/>
    <n v="1"/>
    <n v="0.55810539742071996"/>
    <n v="9.8928094904849995E-2"/>
    <n v="199.92572432647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8.858697319198399"/>
    <n v="215.78158078222401"/>
    <n v="0.16214576180000001"/>
  </r>
  <r>
    <n v="830000"/>
    <n v="2400000"/>
    <n v="2400000"/>
    <x v="0"/>
    <x v="0"/>
    <s v="BR3-5, BR-7"/>
    <s v="62-304.520 (10), F.A.C."/>
    <n v="0.59"/>
    <n v="0.64"/>
    <s v="City of Cocoa Beach"/>
    <n v="0.25758404017605002"/>
    <n v="3749.4891758630802"/>
    <n v="10.4669379274203"/>
    <n v="1.8553381376214599"/>
    <n v="2.6961161596169001"/>
    <n v="0.47790549338124999"/>
    <n v="965.80857051520104"/>
    <n v="1300"/>
    <s v="Residential, High Density"/>
    <n v="1300"/>
    <s v="City of Cocoa Beach           Brevard County"/>
    <s v="City of Cocoa Beach"/>
    <m/>
    <m/>
    <m/>
    <n v="0"/>
    <n v="1"/>
    <n v="2.6961161596169001"/>
    <n v="0.47790549338124999"/>
    <n v="965.808570515201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9.417649374181"/>
    <n v="1042.4056272942"/>
    <n v="0.78329973279999998"/>
  </r>
  <r>
    <n v="830000"/>
    <n v="2400000"/>
    <n v="2400000"/>
    <x v="0"/>
    <x v="0"/>
    <s v="BR3-5, BR-7"/>
    <s v="62-304.520 (10), F.A.C."/>
    <n v="0.59"/>
    <n v="0.64"/>
    <s v="City of Cocoa Beach"/>
    <n v="5.1300381770619997E-2"/>
    <n v="3749.4891758630802"/>
    <n v="10.4669379274203"/>
    <n v="1.8553381376214599"/>
    <n v="0.53695791164609996"/>
    <n v="9.5179554773580005E-2"/>
    <n v="192.35022616660601"/>
    <n v="1300"/>
    <s v="Residential, High Density"/>
    <n v="1300"/>
    <s v="City of Cocoa Beach           Brevard County"/>
    <s v="City of Cocoa Beach"/>
    <m/>
    <m/>
    <m/>
    <n v="0"/>
    <n v="1"/>
    <n v="0.53695791164609996"/>
    <n v="9.5179554773580005E-2"/>
    <n v="192.35022616660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7.753276069699602"/>
    <n v="207.60527944002999"/>
    <n v="0.15600180550000001"/>
  </r>
  <r>
    <n v="830000"/>
    <n v="2400000"/>
    <n v="2400000"/>
    <x v="0"/>
    <x v="0"/>
    <s v="BR3-5, BR-7"/>
    <s v="62-304.520 (10), F.A.C."/>
    <n v="0.59"/>
    <n v="0.64"/>
    <s v="City of Cocoa Beach"/>
    <n v="0.13845057317861001"/>
    <n v="3749.4891758630802"/>
    <n v="10.4669379274203"/>
    <n v="1.8553381376214599"/>
    <n v="1.4491535554763"/>
    <n v="0.25687262859382998"/>
    <n v="519.11892552525001"/>
    <n v="1210"/>
    <s v="Fixed Single Family Units"/>
    <n v="1210"/>
    <s v="City of Cocoa Beach           Brevard County"/>
    <s v="City of Cocoa Beach"/>
    <m/>
    <m/>
    <m/>
    <n v="0"/>
    <n v="1"/>
    <n v="1.4491535554763"/>
    <n v="0.25687262859382998"/>
    <n v="519.11892552525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3.64245463214201"/>
    <n v="560.28959125282995"/>
    <n v="0.4210210264"/>
  </r>
  <r>
    <n v="830000"/>
    <n v="2400000"/>
    <n v="2400000"/>
    <x v="0"/>
    <x v="0"/>
    <s v="BR3-5, BR-7"/>
    <s v="62-304.520 (10), F.A.C."/>
    <n v="0.59"/>
    <n v="0.64"/>
    <s v="City of Cocoa Beach"/>
    <n v="2.2029140791330001E-2"/>
    <n v="3749.4891758630802"/>
    <n v="10.4669379274203"/>
    <n v="1.8553381376214599"/>
    <n v="0.23057764925727001"/>
    <n v="4.0871505049190002E-2"/>
    <n v="82.598024950663302"/>
    <n v="1210"/>
    <s v="Fixed Single Family Units"/>
    <n v="1210"/>
    <s v="City of Cocoa Beach           Brevard County"/>
    <s v="City of Cocoa Beach"/>
    <m/>
    <m/>
    <m/>
    <n v="0"/>
    <n v="1"/>
    <n v="0.23057764925727001"/>
    <n v="4.0871505049190002E-2"/>
    <n v="82.59802495066219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0.131032896086197"/>
    <n v="89.148769891354604"/>
    <n v="6.6989476800000003E-2"/>
  </r>
  <r>
    <n v="830000"/>
    <n v="2400000"/>
    <n v="2400000"/>
    <x v="0"/>
    <x v="0"/>
    <s v="BR3-5, BR-7"/>
    <s v="62-304.520 (10), F.A.C."/>
    <n v="0.59"/>
    <n v="0.64"/>
    <s v="City of Cocoa Beach"/>
    <n v="0.23118921417982"/>
    <n v="3760.5279827173199"/>
    <n v="10.7911587513842"/>
    <n v="2.0715936115170899"/>
    <n v="2.4947995118222099"/>
    <n v="0.47893009914656998"/>
    <n v="869.39350922564302"/>
    <n v="1300"/>
    <s v="Residential, High Density"/>
    <n v="1300"/>
    <s v="City of Cocoa Beach           Brevard County"/>
    <s v="City of Cocoa Beach"/>
    <m/>
    <m/>
    <m/>
    <n v="0"/>
    <n v="1"/>
    <n v="2.4947995118222099"/>
    <n v="0.47893009914656998"/>
    <n v="1219.1027583031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9.803059617679"/>
    <n v="935.589556193215"/>
    <n v="0.98872892000000001"/>
  </r>
  <r>
    <n v="830000"/>
    <n v="2400000"/>
    <n v="2400000"/>
    <x v="0"/>
    <x v="0"/>
    <s v="BR3-5, BR-7"/>
    <s v="62-304.520 (10), F.A.C."/>
    <n v="0.59"/>
    <n v="0.64"/>
    <s v="City of Cocoa Beach"/>
    <n v="0.21436915041849"/>
    <n v="3760.5279827173199"/>
    <n v="10.7911587513842"/>
    <n v="2.0715936115170899"/>
    <n v="2.3132915335653701"/>
    <n v="0.44408576251330001"/>
    <n v="806.14118878009799"/>
    <n v="1300"/>
    <s v="Residential, High Density"/>
    <n v="1300"/>
    <s v="City of Cocoa Beach           Brevard County"/>
    <s v="City of Cocoa Beach"/>
    <m/>
    <m/>
    <m/>
    <n v="0"/>
    <n v="1"/>
    <n v="2.3132915335653701"/>
    <n v="0.44408576251330001"/>
    <n v="806.14118878009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8.21102546711001"/>
    <n v="867.52117313552606"/>
    <n v="0.65380469490000004"/>
  </r>
  <r>
    <n v="830000"/>
    <n v="2400000"/>
    <n v="2400000"/>
    <x v="0"/>
    <x v="0"/>
    <s v="BR3-5, BR-7"/>
    <s v="62-304.520 (10), F.A.C."/>
    <n v="0.59"/>
    <n v="0.64"/>
    <s v="City of Cocoa Beach"/>
    <n v="3.6376224989360002E-2"/>
    <n v="3760.5279827173199"/>
    <n v="10.7911587513842"/>
    <n v="2.0715936115170899"/>
    <n v="0.39254161863635001"/>
    <n v="7.5356755299079994E-2"/>
    <n v="136.793811978143"/>
    <n v="1300"/>
    <s v="Residential, High Density"/>
    <n v="1300"/>
    <s v="City of Cocoa Beach           Brevard County"/>
    <s v="City of Cocoa Beach"/>
    <m/>
    <m/>
    <m/>
    <n v="0"/>
    <n v="1"/>
    <n v="0.39254161863635001"/>
    <n v="7.5356755299079994E-2"/>
    <n v="136.79381197814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4.403797583416804"/>
    <n v="147.20935972089501"/>
    <n v="0.1109438864"/>
  </r>
  <r>
    <n v="830000"/>
    <n v="2400000"/>
    <n v="2400000"/>
    <x v="0"/>
    <x v="0"/>
    <s v="BR3-5, BR-7"/>
    <s v="62-304.520 (10), F.A.C."/>
    <n v="0.59"/>
    <n v="0.64"/>
    <s v="City of Cocoa Beach"/>
    <n v="0.15875086696056001"/>
    <n v="3756.13833029027"/>
    <n v="10.616176695976799"/>
    <n v="1.46091542478254"/>
    <n v="1.6853272542928099"/>
    <n v="0.23192159024028"/>
    <n v="596.29021635737001"/>
    <n v="1200"/>
    <s v="Residential, Medium Density-Two-five dwellingunits per acre"/>
    <n v="1200"/>
    <s v="City of Cocoa Beach           Brevard County"/>
    <s v="City of Cocoa Beach"/>
    <m/>
    <m/>
    <m/>
    <n v="0"/>
    <n v="1"/>
    <n v="1.6853272542928099"/>
    <n v="0.23192159024028"/>
    <n v="596.29021635737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5.72906789070601"/>
    <n v="642.44196552090898"/>
    <n v="0.48360925900000001"/>
  </r>
  <r>
    <n v="830000"/>
    <n v="2400000"/>
    <n v="2400000"/>
    <x v="0"/>
    <x v="0"/>
    <s v="BR3-5, BR-7"/>
    <s v="62-304.520 (10), F.A.C."/>
    <n v="0.59"/>
    <n v="0.64"/>
    <s v="City of Cocoa Beach"/>
    <n v="0.20864020083432"/>
    <n v="3756.13833029027"/>
    <n v="10.616176695976799"/>
    <n v="1.46091542478254"/>
    <n v="2.21496123794129"/>
    <n v="0.30480568762859001"/>
    <n v="783.68145559327195"/>
    <n v="1400"/>
    <s v="Commercial and Services"/>
    <n v="1400"/>
    <s v="City of Cocoa Beach           Brevard County"/>
    <s v="City of Cocoa Beach"/>
    <m/>
    <m/>
    <m/>
    <n v="0"/>
    <n v="1"/>
    <n v="2.21496123794129"/>
    <n v="0.30480568762859001"/>
    <n v="783.681455593271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33.821325814841"/>
    <n v="844.33693671722006"/>
    <n v="0.63558917729999997"/>
  </r>
  <r>
    <n v="830000"/>
    <n v="2400000"/>
    <n v="2400000"/>
    <x v="0"/>
    <x v="0"/>
    <s v="BR3-5, BR-7"/>
    <s v="62-304.520 (10), F.A.C."/>
    <n v="0.59"/>
    <n v="0.64"/>
    <s v="FDOT District 5"/>
    <n v="4.7938706856999998E-3"/>
    <n v="3756.13833029027"/>
    <n v="10.616176695976799"/>
    <n v="1.46091542478254"/>
    <n v="5.0892578257149997E-2"/>
    <n v="7.0034396291600003E-3"/>
    <n v="18.0064414330464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5.0892578257149997E-2"/>
    <n v="7.0034396291600003E-3"/>
    <n v="18.006441433047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80912538056"/>
    <n v="19.400106372617099"/>
    <n v="1.4603764300000001E-2"/>
  </r>
  <r>
    <n v="830000"/>
    <n v="2400000"/>
    <n v="2400000"/>
    <x v="0"/>
    <x v="0"/>
    <s v="BR3-5, BR-7"/>
    <s v="62-304.520 (10), F.A.C."/>
    <n v="0.59"/>
    <n v="0.64"/>
    <s v="City of Cocoa Beach"/>
    <n v="0.19007730874202999"/>
    <n v="3725.3697802829201"/>
    <n v="9.3186513251612002"/>
    <n v="1.55432291213632"/>
    <n v="1.77126416499206"/>
    <n v="0.29544151605496"/>
    <n v="708.10826190509397"/>
    <n v="1300"/>
    <s v="Residential, High Density"/>
    <n v="1300"/>
    <s v="City of Cocoa Beach           Brevard County"/>
    <s v="City of Cocoa Beach"/>
    <m/>
    <m/>
    <m/>
    <n v="0"/>
    <n v="1"/>
    <n v="1.77126416499206"/>
    <n v="0.29544151605496"/>
    <n v="708.108261905093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1.612381847877"/>
    <n v="769.21557763522299"/>
    <n v="0.57429704940000004"/>
  </r>
  <r>
    <n v="830000"/>
    <n v="2400000"/>
    <n v="2400000"/>
    <x v="0"/>
    <x v="0"/>
    <s v="BR3-5, BR-7"/>
    <s v="62-304.520 (10), F.A.C."/>
    <n v="0.59"/>
    <n v="0.64"/>
    <s v="City of Cocoa Beach"/>
    <n v="0.10967714964102"/>
    <n v="3725.3697802829201"/>
    <n v="9.3186513251612002"/>
    <n v="1.55432291213632"/>
    <n v="1.02204311584227"/>
    <n v="0.17047370662485001"/>
    <n v="408.587938860257"/>
    <n v="1300"/>
    <s v="Residential, High Density"/>
    <n v="1300"/>
    <s v="City of Cocoa Beach           Brevard County"/>
    <s v="City of Cocoa Beach"/>
    <m/>
    <m/>
    <m/>
    <n v="0"/>
    <n v="1"/>
    <n v="1.02204311584227"/>
    <n v="0.17047370662485001"/>
    <n v="408.58793886025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2.043565501656204"/>
    <n v="443.84767741532301"/>
    <n v="0.3313770794"/>
  </r>
  <r>
    <n v="830000"/>
    <n v="2400000"/>
    <n v="2400000"/>
    <x v="0"/>
    <x v="0"/>
    <s v="BR3-5, BR-7"/>
    <s v="62-304.520 (10), F.A.C."/>
    <n v="0.59"/>
    <n v="0.64"/>
    <s v="City of Cocoa Beach"/>
    <n v="0.10480424507202001"/>
    <n v="3748.7521775473701"/>
    <n v="10.4394903858674"/>
    <n v="1.90991138928883"/>
    <n v="1.0941029088274901"/>
    <n v="0.20016682130887001"/>
    <n v="392.88514192995802"/>
    <n v="1210"/>
    <s v="Fixed Single Family Units"/>
    <n v="1210"/>
    <s v="City of Cocoa Beach           Brevard County"/>
    <s v="City of Cocoa Beach"/>
    <m/>
    <m/>
    <m/>
    <n v="0"/>
    <n v="1"/>
    <n v="1.0941029088274901"/>
    <n v="0.20016682130887001"/>
    <n v="392.885141929958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9.908384800683706"/>
    <n v="424.12773226450201"/>
    <n v="0.31864163979999999"/>
  </r>
  <r>
    <n v="830000"/>
    <n v="2400000"/>
    <n v="2400000"/>
    <x v="0"/>
    <x v="0"/>
    <s v="BR3-5, BR-7"/>
    <s v="62-304.520 (10), F.A.C."/>
    <n v="0.59"/>
    <n v="0.64"/>
    <s v="City of Cocoa Beach"/>
    <n v="1.012365513022E-2"/>
    <n v="3748.7521775473701"/>
    <n v="10.4394903858674"/>
    <n v="1.90991138928883"/>
    <n v="0.10568580040182"/>
    <n v="1.933528423444E-2"/>
    <n v="37.9510742141696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0568580040182"/>
    <n v="1.933528423444E-2"/>
    <n v="37.9510742141702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193663510103999"/>
    <n v="40.968978781914601"/>
    <n v="3.0779460000000002E-2"/>
  </r>
  <r>
    <n v="830000"/>
    <n v="2400000"/>
    <n v="2400000"/>
    <x v="0"/>
    <x v="0"/>
    <s v="BR3-5, BR-7"/>
    <s v="62-304.520 (10), F.A.C."/>
    <n v="0.59"/>
    <n v="0.64"/>
    <s v="City of Cocoa Beach"/>
    <n v="4.344508285557E-2"/>
    <n v="3748.7521775473701"/>
    <n v="10.4394903858674"/>
    <n v="1.90991138928883"/>
    <n v="0.45354452478403001"/>
    <n v="8.2976258554460003E-2"/>
    <n v="162.864848958577"/>
    <n v="1210"/>
    <s v="Fixed Single Family Units"/>
    <n v="1210"/>
    <s v="City of Cocoa Beach           Brevard County"/>
    <s v="City of Cocoa Beach"/>
    <m/>
    <m/>
    <m/>
    <n v="0"/>
    <n v="1"/>
    <n v="0.45354452478403001"/>
    <n v="8.2976258554460003E-2"/>
    <n v="162.86484895857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3.930105509880498"/>
    <n v="175.81601257580101"/>
    <n v="0.13208827980000001"/>
  </r>
  <r>
    <n v="830000"/>
    <n v="2400000"/>
    <n v="2400000"/>
    <x v="0"/>
    <x v="0"/>
    <s v="BR3-5, BR-7"/>
    <s v="62-304.520 (10), F.A.C."/>
    <n v="0.59"/>
    <n v="0.64"/>
    <s v="City of Cocoa Beach"/>
    <n v="8.6861858077389997E-2"/>
    <n v="3748.7521775473701"/>
    <n v="10.4394903858674"/>
    <n v="1.90991138928883"/>
    <n v="0.90679353229753001"/>
    <n v="0.16589845203680001"/>
    <n v="325.623579613441"/>
    <n v="1300"/>
    <s v="Residential, High Density"/>
    <n v="1300"/>
    <s v="City of Cocoa Beach           Brevard County"/>
    <s v="City of Cocoa Beach"/>
    <m/>
    <m/>
    <m/>
    <n v="0"/>
    <n v="1"/>
    <n v="0.90679353229753001"/>
    <n v="0.16589845203680001"/>
    <n v="325.62357961344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797430692192293"/>
    <n v="351.51746822209901"/>
    <n v="0.26409049439999999"/>
  </r>
  <r>
    <n v="830000"/>
    <n v="2400000"/>
    <n v="2400000"/>
    <x v="0"/>
    <x v="0"/>
    <s v="BR3-5, BR-7"/>
    <s v="62-304.520 (10), F.A.C."/>
    <n v="0.59"/>
    <n v="0.64"/>
    <s v="City of Cocoa Beach"/>
    <n v="0.37252861246364999"/>
    <n v="3748.7521775473701"/>
    <n v="10.4394903858674"/>
    <n v="1.90991138928883"/>
    <n v="3.8890088682748201"/>
    <n v="0.71149663978028999"/>
    <n v="1396.5174471718101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3.8890088682748201"/>
    <n v="0.71149663978028999"/>
    <n v="1396.5174471718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5.32387303711599"/>
    <n v="1507.56980787628"/>
    <n v="1.1326175565000001"/>
  </r>
  <r>
    <n v="830000"/>
    <n v="2400000"/>
    <n v="2400000"/>
    <x v="0"/>
    <x v="0"/>
    <s v="BR3-5, BR-7"/>
    <s v="62-304.520 (10), F.A.C."/>
    <n v="0.59"/>
    <n v="0.64"/>
    <s v="City of Cocoa Beach"/>
    <n v="8.0992306359010002E-2"/>
    <n v="3761.2322543089099"/>
    <n v="10.817398721102901"/>
    <n v="2.0838262658173798"/>
    <n v="0.87612607122718"/>
    <n v="0.16877389532004"/>
    <n v="304.63087502839602"/>
    <n v="1300"/>
    <s v="Residential, High Density"/>
    <n v="1300"/>
    <s v="City of Cocoa Beach           Brevard County"/>
    <s v="City of Cocoa Beach"/>
    <m/>
    <m/>
    <m/>
    <n v="0"/>
    <n v="1"/>
    <n v="0.87612607122718"/>
    <n v="0.16877389532004"/>
    <n v="420.591500960412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139988852587"/>
    <n v="327.76423515396999"/>
    <n v="0.3411123284"/>
  </r>
  <r>
    <n v="830000"/>
    <n v="2400000"/>
    <n v="2400000"/>
    <x v="0"/>
    <x v="0"/>
    <s v="BR3-5, BR-7"/>
    <s v="62-304.520 (10), F.A.C."/>
    <n v="0.59"/>
    <n v="0.64"/>
    <s v="City of Cocoa Beach"/>
    <n v="0.15586364776910999"/>
    <n v="3761.2322543089099"/>
    <n v="10.817398721102901"/>
    <n v="2.0838262658173798"/>
    <n v="1.6860392240440101"/>
    <n v="0.32479276310737998"/>
    <n v="586.239379263418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6860392240440101"/>
    <n v="0.32479276310737998"/>
    <n v="586.239379263418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14942250708199"/>
    <n v="630.75780399311498"/>
    <n v="0.47545772850000001"/>
  </r>
  <r>
    <n v="830000"/>
    <n v="2400000"/>
    <n v="2400000"/>
    <x v="0"/>
    <x v="0"/>
    <s v="BR3-5, BR-7"/>
    <s v="62-304.520 (10), F.A.C."/>
    <n v="0.59"/>
    <n v="0.64"/>
    <s v="City of Cocoa Beach"/>
    <n v="3.0074443862900001E-2"/>
    <n v="3761.2322543089099"/>
    <n v="10.817398721102901"/>
    <n v="2.0838262658173798"/>
    <n v="0.32532725058043999"/>
    <n v="6.2669916051360006E-2"/>
    <n v="113.116968287552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2532725058043999"/>
    <n v="6.2669916051360006E-2"/>
    <n v="113.11696828755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8.905020228050304"/>
    <n v="121.706956296697"/>
    <n v="9.1741255699999996E-2"/>
  </r>
  <r>
    <n v="830000"/>
    <n v="2400000"/>
    <n v="2400000"/>
    <x v="0"/>
    <x v="0"/>
    <s v="BR3-5, BR-7"/>
    <s v="62-304.520 (10), F.A.C."/>
    <n v="0.59"/>
    <n v="0.64"/>
    <s v="City of Cocoa Beach"/>
    <n v="8.3448654200999998E-3"/>
    <n v="3761.2322543089099"/>
    <n v="10.817398721102901"/>
    <n v="2.0838262658173798"/>
    <n v="9.0269736523180003E-2"/>
    <n v="1.738924974712E-2"/>
    <n v="31.3869769759546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9.0269736523180003E-2"/>
    <n v="1.738924974712E-2"/>
    <n v="31.386976975953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2.2639651168463"/>
    <n v="33.770472219402201"/>
    <n v="2.54557802E-2"/>
  </r>
  <r>
    <n v="830000"/>
    <n v="2400000"/>
    <n v="2400000"/>
    <x v="0"/>
    <x v="0"/>
    <s v="BR3-5, BR-7"/>
    <s v="62-304.520 (10), F.A.C."/>
    <n v="0.59"/>
    <n v="0.64"/>
    <s v="City of Cocoa Beach"/>
    <n v="4.13016724119E-3"/>
    <n v="3761.2322543089099"/>
    <n v="10.817398721102901"/>
    <n v="2.0838262658173798"/>
    <n v="4.467766583281E-2"/>
    <n v="8.6065509794100003E-3"/>
    <n v="15.5345182432614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4.467766583281E-2"/>
    <n v="8.6065509794100003E-3"/>
    <n v="15.534518243261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3.932194682462601"/>
    <n v="16.714193825603701"/>
    <n v="1.2598960500000001E-2"/>
  </r>
  <r>
    <n v="830000"/>
    <n v="2400000"/>
    <n v="2400000"/>
    <x v="0"/>
    <x v="0"/>
    <s v="BR3-5, BR-7"/>
    <s v="62-304.520 (10), F.A.C."/>
    <n v="0.59"/>
    <n v="0.64"/>
    <s v="City of Cocoa Beach"/>
    <n v="0.30752753507125002"/>
    <n v="3761.2322543089099"/>
    <n v="10.817398721102901"/>
    <n v="2.0838262658173798"/>
    <n v="3.32664796458368"/>
    <n v="0.64083395504354002"/>
    <n v="1156.682483998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3.32664796458368"/>
    <n v="0.64083395504354002"/>
    <n v="1156.682483998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2.58647483589399"/>
    <n v="1244.51978036792"/>
    <n v="0.93810420439999997"/>
  </r>
  <r>
    <n v="830000"/>
    <n v="2400000"/>
    <n v="2400000"/>
    <x v="0"/>
    <x v="0"/>
    <s v="BR3-5, BR-7"/>
    <s v="62-304.520 (10), F.A.C."/>
    <n v="0.59"/>
    <n v="0.64"/>
    <s v="City of Cocoa Beach"/>
    <n v="7.6845929783370001E-2"/>
    <n v="3735.4318310728399"/>
    <n v="10.0442411722833"/>
    <n v="1.7282402188057"/>
    <n v="0.77185905185252002"/>
    <n v="0.13280822650313001"/>
    <n v="287.05273220118897"/>
    <n v="1200"/>
    <s v="Residential, Medium Density-Two-five dwellingunits per acre"/>
    <n v="1200"/>
    <s v="City of Cocoa Beach           Brevard County"/>
    <s v="City of Cocoa Beach"/>
    <m/>
    <m/>
    <m/>
    <n v="0"/>
    <n v="1"/>
    <n v="0.77185905185252002"/>
    <n v="0.13280822650313001"/>
    <n v="320.061395340420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394056752663"/>
    <n v="310.98444447912999"/>
    <n v="0.25957939610000003"/>
  </r>
  <r>
    <n v="830000"/>
    <n v="2400000"/>
    <n v="2400000"/>
    <x v="0"/>
    <x v="0"/>
    <s v="BR3-5, BR-7"/>
    <s v="62-304.520 (10), F.A.C."/>
    <n v="0.59"/>
    <n v="0.64"/>
    <s v="City of Cocoa Beach"/>
    <n v="0.10643146768771"/>
    <n v="3735.4318310728399"/>
    <n v="10.0442411722833"/>
    <n v="1.7282402188057"/>
    <n v="1.0690233297755201"/>
    <n v="0.18393914300443001"/>
    <n v="397.567492228503"/>
    <n v="1300"/>
    <s v="Residential, High Density"/>
    <n v="1300"/>
    <s v="City of Cocoa Beach           Brevard County"/>
    <s v="City of Cocoa Beach"/>
    <m/>
    <m/>
    <m/>
    <n v="0"/>
    <n v="1"/>
    <n v="1.0690233297755201"/>
    <n v="0.18393914300443001"/>
    <n v="443.606573548792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9.17342605485899"/>
    <n v="430.71286855749901"/>
    <n v="0.35977824289999999"/>
  </r>
  <r>
    <n v="830000"/>
    <n v="2400000"/>
    <n v="2400000"/>
    <x v="0"/>
    <x v="0"/>
    <s v="BR3-5, BR-7"/>
    <s v="62-304.520 (10), F.A.C."/>
    <n v="0.59"/>
    <n v="0.64"/>
    <s v="FDOT District 5"/>
    <n v="2.646044954668E-2"/>
    <n v="3735.4318310728399"/>
    <n v="10.0442411722833"/>
    <n v="1.7282402188057"/>
    <n v="0.26577513677393"/>
    <n v="4.5730013114249998E-2"/>
    <n v="98.841205501180497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6577513677393"/>
    <n v="4.5730013114249998E-2"/>
    <n v="115.56825888445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4.913673345506695"/>
    <n v="107.08164018759101"/>
    <n v="9.3729325899999993E-2"/>
  </r>
  <r>
    <n v="830000"/>
    <n v="2400000"/>
    <n v="2400000"/>
    <x v="0"/>
    <x v="0"/>
    <s v="BR3-5, BR-7"/>
    <s v="62-304.520 (10), F.A.C."/>
    <n v="0.59"/>
    <n v="0.64"/>
    <s v="City of Cocoa Beach"/>
    <n v="2.2566247676320001E-2"/>
    <n v="3735.4318310728399"/>
    <n v="10.0442411722833"/>
    <n v="1.7282402188057"/>
    <n v="0.22666083401452"/>
    <n v="3.8999896821759999E-2"/>
    <n v="84.294679878032994"/>
    <n v="1210"/>
    <s v="Fixed Single Family Units"/>
    <n v="1210"/>
    <s v="City of Cocoa Beach           Brevard County"/>
    <s v="City of Cocoa Beach"/>
    <m/>
    <m/>
    <m/>
    <n v="0"/>
    <n v="1"/>
    <n v="0.22666083401452"/>
    <n v="3.8999896821759999E-2"/>
    <n v="106.09124379037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4753233800405"/>
    <n v="91.322364338422602"/>
    <n v="8.6043182300000007E-2"/>
  </r>
  <r>
    <n v="830000"/>
    <n v="2400000"/>
    <n v="2400000"/>
    <x v="0"/>
    <x v="0"/>
    <s v="BR3-5, BR-7"/>
    <s v="62-304.520 (10), F.A.C."/>
    <n v="0.59"/>
    <n v="0.64"/>
    <s v="City of Cocoa Beach"/>
    <n v="2.912797937311E-2"/>
    <n v="3735.4318310728399"/>
    <n v="10.0442411722833"/>
    <n v="1.7282402188057"/>
    <n v="0.29256844968485002"/>
    <n v="5.0340145445150003E-2"/>
    <n v="108.805581325163"/>
    <n v="1210"/>
    <s v="Fixed Single Family Units"/>
    <n v="1210"/>
    <s v="City of Cocoa Beach           Brevard County"/>
    <s v="City of Cocoa Beach"/>
    <m/>
    <m/>
    <m/>
    <n v="0"/>
    <n v="1"/>
    <n v="0.29256844968485002"/>
    <n v="5.0340145445150003E-2"/>
    <n v="108.80558132516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7.571052541980698"/>
    <n v="117.876750397621"/>
    <n v="8.8244591499999997E-2"/>
  </r>
  <r>
    <n v="830000"/>
    <n v="2400000"/>
    <n v="2400000"/>
    <x v="0"/>
    <x v="0"/>
    <s v="BR3-5, BR-7"/>
    <s v="62-304.520 (10), F.A.C."/>
    <n v="0.59"/>
    <n v="0.64"/>
    <s v="City of Cocoa Beach"/>
    <n v="7.9336329323559995E-2"/>
    <n v="3762.2370508283402"/>
    <n v="10.810426147228"/>
    <n v="2.07963578494806"/>
    <n v="0.85765952894457997"/>
    <n v="0.16499066950770999"/>
    <n v="298.48207765784298"/>
    <n v="1300"/>
    <s v="Residential, High Density"/>
    <n v="1300"/>
    <s v="City of Cocoa Beach           Brevard County"/>
    <s v="City of Cocoa Beach"/>
    <m/>
    <m/>
    <m/>
    <n v="0"/>
    <n v="1"/>
    <n v="0.85765952894457997"/>
    <n v="0.16499066950770999"/>
    <n v="624.74811398779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016884996393"/>
    <n v="321.06273385271697"/>
    <n v="0.50668946800000003"/>
  </r>
  <r>
    <n v="830000"/>
    <n v="2400000"/>
    <n v="2400000"/>
    <x v="0"/>
    <x v="0"/>
    <s v="BR3-5, BR-7"/>
    <s v="62-304.520 (10), F.A.C."/>
    <n v="0.59"/>
    <n v="0.64"/>
    <s v="City of Cocoa Beach"/>
    <n v="0.32233156589945"/>
    <n v="3762.2370508283402"/>
    <n v="10.810426147228"/>
    <n v="2.07963578494806"/>
    <n v="3.4845415880764201"/>
    <n v="0.67033225906284"/>
    <n v="1212.6877598784399"/>
    <n v="1300"/>
    <s v="Residential, High Density"/>
    <n v="1300"/>
    <s v="City of Cocoa Beach           Brevard County"/>
    <s v="City of Cocoa Beach"/>
    <m/>
    <m/>
    <m/>
    <n v="0"/>
    <n v="1"/>
    <n v="3.4845415880764201"/>
    <n v="0.67033225906284"/>
    <n v="1212.6877598784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4.49107987910199"/>
    <n v="1304.4295676024501"/>
    <n v="0.98352616370000001"/>
  </r>
  <r>
    <n v="830000"/>
    <n v="2400000"/>
    <n v="2400000"/>
    <x v="0"/>
    <x v="0"/>
    <s v="BR3-5, BR-7"/>
    <s v="62-304.520 (10), F.A.C."/>
    <n v="0.59"/>
    <n v="0.64"/>
    <s v="City of Cocoa Beach"/>
    <n v="0.12526599850956999"/>
    <n v="3762.2370508283402"/>
    <n v="10.810426147228"/>
    <n v="2.07963578494806"/>
    <n v="1.3541788256464999"/>
    <n v="0.26050765313774998"/>
    <n v="471.280380801715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3541788256464999"/>
    <n v="0.26050765313774998"/>
    <n v="471.28038080171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200415813338"/>
    <n v="506.933510576804"/>
    <n v="0.38222253109999998"/>
  </r>
  <r>
    <n v="830000"/>
    <n v="2400000"/>
    <n v="2400000"/>
    <x v="0"/>
    <x v="0"/>
    <s v="BR3-5, BR-7"/>
    <s v="62-304.520 (10), F.A.C."/>
    <n v="0.59"/>
    <n v="0.64"/>
    <s v="City of Cocoa Beach"/>
    <n v="3.9761594827629997E-2"/>
    <n v="3736.8698226248298"/>
    <n v="8.8277531000026901"/>
    <n v="1.4137729276198401"/>
    <n v="0.35100554200071998"/>
    <n v="5.6213866326300002E-2"/>
    <n v="148.583903810832"/>
    <n v="1400"/>
    <s v="Commercial and Services"/>
    <n v="1400"/>
    <s v="City of Cocoa Beach           Brevard County"/>
    <s v="City of Cocoa Beach"/>
    <m/>
    <m/>
    <m/>
    <n v="0"/>
    <n v="1"/>
    <n v="0.35100554200071998"/>
    <n v="5.6213866326300002E-2"/>
    <n v="148.58390381083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40266483012201"/>
    <n v="160.909465393088"/>
    <n v="0.1205060047"/>
  </r>
  <r>
    <n v="830000"/>
    <n v="2400000"/>
    <n v="2400000"/>
    <x v="0"/>
    <x v="0"/>
    <s v="BR3-5, BR-7"/>
    <s v="62-304.520 (10), F.A.C."/>
    <n v="0.59"/>
    <n v="0.64"/>
    <s v="City of Cocoa Beach"/>
    <n v="4.2594580494500003E-3"/>
    <n v="3736.8698226248298"/>
    <n v="8.8277531000026901"/>
    <n v="1.4137729276198401"/>
    <n v="3.760144400044E-2"/>
    <n v="6.0219064766500003E-3"/>
    <n v="15.917040245759701"/>
    <n v="1410"/>
    <s v="Retail Sales and Services"/>
    <n v="1410"/>
    <s v="City of Cocoa Beach           Brevard County"/>
    <s v="City of Cocoa Beach"/>
    <m/>
    <m/>
    <m/>
    <n v="0"/>
    <n v="1"/>
    <n v="3.760144400044E-2"/>
    <n v="6.0219064766500003E-3"/>
    <n v="15.917040245758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3.3792550850645"/>
    <n v="17.2374151633956"/>
    <n v="1.29091973E-2"/>
  </r>
  <r>
    <n v="830000"/>
    <n v="2400000"/>
    <n v="2400000"/>
    <x v="0"/>
    <x v="0"/>
    <s v="BR3-5, BR-7"/>
    <s v="62-304.520 (10), F.A.C."/>
    <n v="0.59"/>
    <n v="0.64"/>
    <s v="City of Cocoa Beach"/>
    <n v="2.5181866658399998E-3"/>
    <n v="3736.8698226248298"/>
    <n v="8.8277531000026901"/>
    <n v="1.4137729276198401"/>
    <n v="2.2229930145750001E-2"/>
    <n v="3.56014413485E-3"/>
    <n v="9.4101357593137394"/>
    <n v="1300"/>
    <s v="Residential, High Density"/>
    <n v="1300"/>
    <s v="City of Cocoa Beach           Brevard County"/>
    <s v="City of Cocoa Beach"/>
    <m/>
    <m/>
    <m/>
    <n v="0"/>
    <n v="1"/>
    <n v="2.2229930145750001E-2"/>
    <n v="3.56014413485E-3"/>
    <n v="9.41013575931513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3.907483494593897"/>
    <n v="10.1907398814581"/>
    <n v="7.6319025E-3"/>
  </r>
  <r>
    <n v="830000"/>
    <n v="2400000"/>
    <n v="2400000"/>
    <x v="0"/>
    <x v="0"/>
    <s v="BR3-5, BR-7"/>
    <s v="62-304.520 (10), F.A.C."/>
    <n v="0.59"/>
    <n v="0.64"/>
    <s v="City of Cocoa Beach"/>
    <n v="4.9370685041000002E-4"/>
    <n v="3736.8698226248298"/>
    <n v="8.8277531000026901"/>
    <n v="1.4137729276198401"/>
    <n v="4.3583221791900001E-3"/>
    <n v="6.9798937929E-4"/>
    <n v="1.84491823052028"/>
    <n v="1410"/>
    <s v="Retail Sales and Services"/>
    <n v="1410"/>
    <s v="City of Cocoa Beach           Brevard County"/>
    <s v="City of Cocoa Beach"/>
    <m/>
    <m/>
    <m/>
    <n v="0"/>
    <n v="1"/>
    <n v="4.3583221791900001E-3"/>
    <n v="6.9798937929E-4"/>
    <n v="1.8449182305191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.8654308748905"/>
    <n v="1.99796073836338"/>
    <n v="1.4962840000000001E-3"/>
  </r>
  <r>
    <n v="830000"/>
    <n v="2400000"/>
    <n v="2400000"/>
    <x v="0"/>
    <x v="0"/>
    <s v="BR3-5, BR-7"/>
    <s v="62-304.520 (10), F.A.C."/>
    <n v="0.59"/>
    <n v="0.64"/>
    <s v="City of Cocoa Beach"/>
    <n v="0.17180617338116999"/>
    <n v="3736.8698226248298"/>
    <n v="8.8277531000026901"/>
    <n v="1.4137729276198401"/>
    <n v="1.5166624796652901"/>
    <n v="0.24289491672426999"/>
    <n v="642.01730464877403"/>
    <n v="1300"/>
    <s v="Residential, High Density"/>
    <n v="1300"/>
    <s v="City of Cocoa Beach           Brevard County"/>
    <s v="City of Cocoa Beach"/>
    <m/>
    <m/>
    <m/>
    <n v="0"/>
    <n v="1"/>
    <n v="1.5166624796652901"/>
    <n v="0.24289491672426999"/>
    <n v="642.01730464877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1.64232106236901"/>
    <n v="695.27491615558699"/>
    <n v="0.52069529979999996"/>
  </r>
  <r>
    <n v="830000"/>
    <n v="2400000"/>
    <n v="2400000"/>
    <x v="0"/>
    <x v="0"/>
    <s v="BR3-5, BR-7"/>
    <s v="62-304.520 (10), F.A.C."/>
    <n v="0.59"/>
    <n v="0.64"/>
    <s v="City of Cocoa Beach"/>
    <n v="3.6442454156599999E-3"/>
    <n v="3736.8698226248298"/>
    <n v="8.8277531000026901"/>
    <n v="1.4137729276198401"/>
    <n v="3.2170498765289997E-2"/>
    <n v="5.1521355102599996E-3"/>
    <n v="13.6180707200299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3.2170498765289997E-2"/>
    <n v="5.1521355102599996E-3"/>
    <n v="13.618070720029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7.699844541704202"/>
    <n v="14.747737965177301"/>
    <n v="1.1044663999999999E-2"/>
  </r>
  <r>
    <n v="830000"/>
    <n v="2400000"/>
    <n v="2400000"/>
    <x v="0"/>
    <x v="0"/>
    <s v="BR3-5, BR-7"/>
    <s v="62-304.520 (10), F.A.C."/>
    <n v="0.59"/>
    <n v="0.64"/>
    <s v="City of Cocoa Beach"/>
    <n v="1.15295175251E-3"/>
    <n v="3736.8698226248298"/>
    <n v="8.8277531000026901"/>
    <n v="1.4137729276198401"/>
    <n v="1.017797340742E-2"/>
    <n v="1.6300119745499999E-3"/>
    <n v="4.3084306109194497"/>
    <n v="1410"/>
    <s v="Retail Sales and Services"/>
    <n v="1410"/>
    <s v="City of Cocoa Beach           Brevard County"/>
    <s v="City of Cocoa Beach"/>
    <m/>
    <m/>
    <m/>
    <n v="0"/>
    <n v="1"/>
    <n v="1.017797340742E-2"/>
    <n v="1.6300119745499999E-3"/>
    <n v="4.30843061091934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.7123527172980495"/>
    <n v="4.6658302043865802"/>
    <n v="3.4942664999999999E-3"/>
  </r>
  <r>
    <n v="830000"/>
    <n v="2400000"/>
    <n v="2400000"/>
    <x v="0"/>
    <x v="0"/>
    <s v="BR3-5, BR-7"/>
    <s v="62-304.520 (10), F.A.C."/>
    <n v="0.59"/>
    <n v="0.64"/>
    <s v="City of Cocoa Beach"/>
    <n v="0.39412713667917998"/>
    <n v="3736.8698226248298"/>
    <n v="8.8277531000026901"/>
    <n v="1.4137729276198401"/>
    <n v="3.4792570526148499"/>
    <n v="0.55720627587735005"/>
    <n v="1472.8018033339699"/>
    <n v="8310"/>
    <s v="Electrical power facilities"/>
    <n v="8310"/>
    <s v="City of Cocoa Beach           Brevard County"/>
    <s v="City of Cocoa Beach"/>
    <m/>
    <m/>
    <m/>
    <n v="0"/>
    <n v="1"/>
    <n v="3.4792570526148499"/>
    <n v="0.55720627587735005"/>
    <n v="1472.8018033339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1.40754175933199"/>
    <n v="1594.9759343122701"/>
    <n v="1.1944864584999999"/>
  </r>
  <r>
    <n v="830000"/>
    <n v="2400000"/>
    <n v="2400000"/>
    <x v="0"/>
    <x v="0"/>
    <s v="BR3-5, BR-7"/>
    <s v="62-304.520 (10), F.A.C."/>
    <n v="0.59"/>
    <n v="0.64"/>
    <s v="FDOT District 5"/>
    <n v="7.4617564709619999E-2"/>
    <n v="3733.2403783509999"/>
    <n v="9.4902920631084307"/>
    <n v="1.52641600015278"/>
    <n v="0.70814248213220998"/>
    <n v="0.11389744466520001"/>
    <n v="278.56530550818297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70814248213220998"/>
    <n v="0.11389744466520001"/>
    <n v="278.56530550818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309651064243"/>
    <n v="301.96657096898599"/>
    <n v="0.225924822"/>
  </r>
  <r>
    <n v="830000"/>
    <n v="2400000"/>
    <n v="2400000"/>
    <x v="0"/>
    <x v="0"/>
    <s v="BR3-5, BR-7"/>
    <s v="62-304.520 (10), F.A.C."/>
    <n v="0.59"/>
    <n v="0.64"/>
    <s v="City of Cocoa Beach"/>
    <n v="1.78209522995E-3"/>
    <n v="3733.2403783509999"/>
    <n v="9.4902920631084307"/>
    <n v="1.52641600015278"/>
    <n v="1.691260421653E-2"/>
    <n v="2.7202186727899999E-3"/>
    <n v="6.6529898705309902"/>
    <n v="1300"/>
    <s v="Residential, High Density"/>
    <n v="1300"/>
    <s v="City of Cocoa Beach           Brevard County"/>
    <s v="City of Cocoa Beach"/>
    <m/>
    <m/>
    <m/>
    <n v="0"/>
    <n v="1"/>
    <n v="1.691260421653E-2"/>
    <n v="2.7202186727899999E-3"/>
    <n v="6.65298987053251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517186547344"/>
    <n v="7.2118835266694203"/>
    <n v="5.3957744E-3"/>
  </r>
  <r>
    <n v="830000"/>
    <n v="2400000"/>
    <n v="2400000"/>
    <x v="0"/>
    <x v="0"/>
    <s v="BR3-5, BR-7"/>
    <s v="62-304.520 (10), F.A.C."/>
    <n v="0.59"/>
    <n v="0.64"/>
    <s v="FDOT District 5"/>
    <n v="0.14953555978648"/>
    <n v="3733.2403783509999"/>
    <n v="9.4902920631084307"/>
    <n v="1.52641600015278"/>
    <n v="1.4191361361941099"/>
    <n v="0.22825347104988"/>
    <n v="558.2521897942109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4191361361941099"/>
    <n v="0.22825347104988"/>
    <n v="558.252189794210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4.43696105213699"/>
    <n v="605.14894049909901"/>
    <n v="0.45275927799999999"/>
  </r>
  <r>
    <n v="830000"/>
    <n v="2400000"/>
    <n v="2400000"/>
    <x v="0"/>
    <x v="0"/>
    <s v="BR3-5, BR-7"/>
    <s v="62-304.520 (10), F.A.C."/>
    <n v="0.59"/>
    <n v="0.64"/>
    <s v="City of Cocoa Beach"/>
    <n v="8.7389823039260003E-2"/>
    <n v="3733.2403783509999"/>
    <n v="9.4902920631084307"/>
    <n v="1.52641600015278"/>
    <n v="0.82935494398602005"/>
    <n v="0.13339322413766"/>
    <n v="326.247216027148"/>
    <n v="1300"/>
    <s v="Residential, High Density"/>
    <n v="1300"/>
    <s v="City of Cocoa Beach           Brevard County"/>
    <s v="City of Cocoa Beach"/>
    <m/>
    <m/>
    <m/>
    <n v="0"/>
    <n v="1"/>
    <n v="0.82935494398602005"/>
    <n v="0.13339322413766"/>
    <n v="326.24721602714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3427069658416"/>
    <n v="353.65406661886499"/>
    <n v="0.26459628229999999"/>
  </r>
  <r>
    <n v="830000"/>
    <n v="2400000"/>
    <n v="2400000"/>
    <x v="0"/>
    <x v="0"/>
    <s v="BR3-5, BR-7"/>
    <s v="62-304.520 (10), F.A.C."/>
    <n v="0.59"/>
    <n v="0.64"/>
    <s v="City of Cocoa Beach"/>
    <n v="7.8367061975159996E-2"/>
    <n v="3733.2403783509999"/>
    <n v="9.4902920631084307"/>
    <n v="1.52641600015278"/>
    <n v="0.74372630627199998"/>
    <n v="0.11962073728385"/>
    <n v="292.56308009841001"/>
    <n v="1210"/>
    <s v="Fixed Single Family Units"/>
    <n v="1210"/>
    <s v="City of Cocoa Beach           Brevard County"/>
    <s v="City of Cocoa Beach"/>
    <m/>
    <m/>
    <m/>
    <n v="0"/>
    <n v="1"/>
    <n v="0.74372630627199998"/>
    <n v="0.11962073728385"/>
    <n v="292.56308009840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1.427613775920094"/>
    <n v="317.140248058802"/>
    <n v="0.2372774372"/>
  </r>
  <r>
    <n v="830000"/>
    <n v="2400000"/>
    <n v="2400000"/>
    <x v="0"/>
    <x v="0"/>
    <s v="BR3-5, BR-7"/>
    <s v="62-304.520 (10), F.A.C."/>
    <n v="0.59"/>
    <n v="0.64"/>
    <s v="City of Cocoa Beach"/>
    <n v="4.3222902310810003E-2"/>
    <n v="3733.2403783509999"/>
    <n v="9.4902920631084307"/>
    <n v="1.52641600015278"/>
    <n v="0.41019796674482001"/>
    <n v="6.5976129660259994E-2"/>
    <n v="161.36148417624801"/>
    <n v="1210"/>
    <s v="Fixed Single Family Units"/>
    <n v="1210"/>
    <s v="City of Cocoa Beach           Brevard County"/>
    <s v="City of Cocoa Beach"/>
    <m/>
    <m/>
    <m/>
    <n v="0"/>
    <n v="1"/>
    <n v="0.41019796674482001"/>
    <n v="6.5976129660259994E-2"/>
    <n v="161.36148417624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3.6430744624246"/>
    <n v="174.91687981128101"/>
    <n v="0.13086900579999999"/>
  </r>
  <r>
    <n v="830000"/>
    <n v="2400000"/>
    <n v="2400000"/>
    <x v="0"/>
    <x v="0"/>
    <s v="BR3-5, BR-7"/>
    <s v="62-304.520 (10), F.A.C."/>
    <n v="0.59"/>
    <n v="0.64"/>
    <s v="City of Cocoa Beach"/>
    <n v="3.2299464373840001E-2"/>
    <n v="3733.2403783509999"/>
    <n v="9.4902920631084307"/>
    <n v="1.52641600015278"/>
    <n v="0.30653135038969997"/>
    <n v="4.9302419216590003E-2"/>
    <n v="120.58166459952901"/>
    <n v="1210"/>
    <s v="Fixed Single Family Units"/>
    <n v="1210"/>
    <s v="City of Cocoa Beach           Brevard County"/>
    <s v="City of Cocoa Beach"/>
    <m/>
    <m/>
    <m/>
    <n v="0"/>
    <n v="1"/>
    <n v="0.30653135038969997"/>
    <n v="4.9302419216590003E-2"/>
    <n v="120.5816645995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2685899529802"/>
    <n v="130.71129484135599"/>
    <n v="9.7795348399999996E-2"/>
  </r>
  <r>
    <n v="830000"/>
    <n v="2400000"/>
    <n v="2400000"/>
    <x v="0"/>
    <x v="0"/>
    <s v="BR3-5, BR-7"/>
    <s v="62-304.520 (10), F.A.C."/>
    <n v="0.59"/>
    <n v="0.64"/>
    <s v="FDOT District 5"/>
    <n v="3.4002548931E-4"/>
    <n v="3733.2403783509999"/>
    <n v="9.4902920631084307"/>
    <n v="1.52641600015278"/>
    <n v="3.2269412024900001E-3"/>
    <n v="5.1902034734E-4"/>
    <n v="1.2693968863755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2269412024900001E-3"/>
    <n v="5.1902034734E-4"/>
    <n v="1.2693968863752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.410248402516501"/>
    <n v="1.37603433520965"/>
    <n v="1.029519E-3"/>
  </r>
  <r>
    <n v="830000"/>
    <n v="2400000"/>
    <n v="2400000"/>
    <x v="0"/>
    <x v="0"/>
    <s v="BR3-5, BR-7"/>
    <s v="62-304.520 (10), F.A.C."/>
    <n v="0.59"/>
    <n v="0.64"/>
    <s v="City of Cocoa Beach"/>
    <n v="8.1464330934029994E-2"/>
    <n v="3733.2403783509999"/>
    <n v="9.4902920631084307"/>
    <n v="1.52641600015278"/>
    <n v="0.77312029328971998"/>
    <n v="0.12434845817945001"/>
    <n v="304.12592963829201"/>
    <n v="1210"/>
    <s v="Fixed Single Family Units"/>
    <n v="1210"/>
    <s v="City of Cocoa Beach           Brevard County"/>
    <s v="City of Cocoa Beach"/>
    <m/>
    <m/>
    <m/>
    <n v="0"/>
    <n v="1"/>
    <n v="0.77312029328971998"/>
    <n v="0.12434845817945001"/>
    <n v="304.12592963829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4.621540887747798"/>
    <n v="329.67445083692098"/>
    <n v="0.24665525520000001"/>
  </r>
  <r>
    <n v="830000"/>
    <n v="2400000"/>
    <n v="2400000"/>
    <x v="0"/>
    <x v="0"/>
    <s v="BR3-5, BR-7"/>
    <s v="62-304.520 (10), F.A.C."/>
    <n v="0.59"/>
    <n v="0.64"/>
    <s v="FDOT District 5"/>
    <n v="8.1454755207999998E-4"/>
    <n v="3733.2403783509999"/>
    <n v="9.4902920631084307"/>
    <n v="1.52641600015278"/>
    <n v="7.7302941685499999E-3"/>
    <n v="1.24333841638E-3"/>
    <n v="3.0409018115232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7.7302941685499999E-3"/>
    <n v="1.24333841638E-3"/>
    <n v="3.0409018115247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105476772898299"/>
    <n v="3.29635699249889"/>
    <n v="2.4662626000000001E-3"/>
  </r>
  <r>
    <n v="830000"/>
    <n v="2400000"/>
    <n v="2400000"/>
    <x v="0"/>
    <x v="0"/>
    <s v="BR3-5, BR-7"/>
    <s v="62-304.520 (10), F.A.C."/>
    <n v="0.59"/>
    <n v="0.64"/>
    <s v="City of Cocoa Beach"/>
    <n v="6.7302690204200002E-2"/>
    <n v="3733.2403783509999"/>
    <n v="9.4902920631084307"/>
    <n v="1.52641600015278"/>
    <n v="0.63872218667077996"/>
    <n v="0.10273190318102"/>
    <n v="251.25712064197501"/>
    <n v="1210"/>
    <s v="Fixed Single Family Units"/>
    <n v="1210"/>
    <s v="City of Cocoa Beach           Brevard County"/>
    <s v="City of Cocoa Beach"/>
    <m/>
    <m/>
    <m/>
    <n v="0"/>
    <n v="1"/>
    <n v="0.63872218667077996"/>
    <n v="0.10273190318102"/>
    <n v="251.25712064197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6.115247525065499"/>
    <n v="272.36432409767201"/>
    <n v="0.2037770646"/>
  </r>
  <r>
    <n v="830000"/>
    <n v="2400000"/>
    <n v="2400000"/>
    <x v="0"/>
    <x v="0"/>
    <s v="BR3-5, BR-7"/>
    <s v="62-304.520 (10), F.A.C."/>
    <n v="0.59"/>
    <n v="0.64"/>
    <s v="FDOT District 5"/>
    <n v="6.2738806313000002E-4"/>
    <n v="3733.2403783509999"/>
    <n v="9.4902920631084307"/>
    <n v="1.52641600015278"/>
    <n v="5.9540959560599998E-3"/>
    <n v="9.5765517787000005E-4"/>
    <n v="2.34219045019474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9540959560599998E-3"/>
    <n v="9.5765517787000005E-4"/>
    <n v="2.34219045019372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5.577303015398499"/>
    <n v="2.5389494126379102"/>
    <n v="1.8995867E-3"/>
  </r>
  <r>
    <n v="830000"/>
    <n v="2400000"/>
    <n v="2400000"/>
    <x v="0"/>
    <x v="0"/>
    <s v="BR3-5, BR-7"/>
    <s v="62-304.520 (10), F.A.C."/>
    <n v="0.59"/>
    <n v="0.64"/>
    <s v="City of Cocoa Beach"/>
    <n v="8.0992049728570006E-2"/>
    <n v="3762.0395043854701"/>
    <n v="10.8194896652906"/>
    <n v="2.0842022104801199"/>
    <n v="0.87629264500904003"/>
    <n v="0.16880380907560999"/>
    <n v="304.69529062005898"/>
    <n v="1300"/>
    <s v="Residential, High Density"/>
    <n v="1300"/>
    <s v="City of Cocoa Beach           Brevard County"/>
    <s v="City of Cocoa Beach"/>
    <m/>
    <m/>
    <m/>
    <n v="0"/>
    <n v="1"/>
    <n v="0.87629264500904003"/>
    <n v="0.16880380907560999"/>
    <n v="533.540244098448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139974430075"/>
    <n v="327.76319660743201"/>
    <n v="0.43271714849999998"/>
  </r>
  <r>
    <n v="830000"/>
    <n v="2400000"/>
    <n v="2400000"/>
    <x v="0"/>
    <x v="0"/>
    <s v="BR3-5, BR-7"/>
    <s v="62-304.520 (10), F.A.C."/>
    <n v="0.59"/>
    <n v="0.64"/>
    <s v="City of Cocoa Beach"/>
    <n v="9.4845399144830006E-2"/>
    <n v="3762.0395043854701"/>
    <n v="10.8194896652906"/>
    <n v="2.0842022104801199"/>
    <n v="1.0261788158479499"/>
    <n v="0.19767699055154"/>
    <n v="356.81213839209198"/>
    <n v="1300"/>
    <s v="Residential, High Density"/>
    <n v="1300"/>
    <s v="City of Cocoa Beach           Brevard County"/>
    <s v="City of Cocoa Beach"/>
    <m/>
    <m/>
    <m/>
    <n v="0"/>
    <n v="1"/>
    <n v="1.0261788158479499"/>
    <n v="0.19767699055154"/>
    <n v="356.81213839209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7.699532988237195"/>
    <n v="383.82571266438401"/>
    <n v="0.2893853515"/>
  </r>
  <r>
    <n v="830000"/>
    <n v="2400000"/>
    <n v="2400000"/>
    <x v="0"/>
    <x v="0"/>
    <s v="BR3-5, BR-7"/>
    <s v="62-304.520 (10), F.A.C."/>
    <n v="0.59"/>
    <n v="0.64"/>
    <s v="City of Cocoa Beach"/>
    <n v="6.049748114635E-2"/>
    <n v="3762.0395043854701"/>
    <n v="10.8194896652906"/>
    <n v="2.0842022104801199"/>
    <n v="0.65455187203910004"/>
    <n v="0.12608898393371001"/>
    <n v="227.593913988402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65455187203910004"/>
    <n v="0.12608898393371001"/>
    <n v="227.59391398840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0.655904579841902"/>
    <n v="244.82462011615101"/>
    <n v="0.18458549390000001"/>
  </r>
  <r>
    <n v="830000"/>
    <n v="2400000"/>
    <n v="2400000"/>
    <x v="0"/>
    <x v="0"/>
    <s v="BR3-5, BR-7"/>
    <s v="62-304.520 (10), F.A.C."/>
    <n v="0.59"/>
    <n v="0.64"/>
    <s v="City of Cocoa Beach"/>
    <n v="2.9864315028230001E-2"/>
    <n v="3762.0395043854701"/>
    <n v="10.8194896652906"/>
    <n v="2.0842022104801199"/>
    <n v="0.32311664780900001"/>
    <n v="6.224327139632E-2"/>
    <n v="112.350732907644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2311664780900001"/>
    <n v="6.224327139632E-2"/>
    <n v="112.35073290764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4.205147976046597"/>
    <n v="120.856595072603"/>
    <n v="9.1119815800000004E-2"/>
  </r>
  <r>
    <n v="830000"/>
    <n v="2400000"/>
    <n v="2400000"/>
    <x v="0"/>
    <x v="0"/>
    <s v="BR3-5, BR-7"/>
    <s v="62-304.520 (10), F.A.C."/>
    <n v="0.59"/>
    <n v="0.64"/>
    <s v="City of Cocoa Beach"/>
    <n v="0.29073418458330003"/>
    <n v="3762.0395043854701"/>
    <n v="10.8194896652906"/>
    <n v="2.0842022104801199"/>
    <n v="3.14559550544582"/>
    <n v="0.60594883017067003"/>
    <n v="1093.7534876776999"/>
    <n v="1300"/>
    <s v="Residential, High Density"/>
    <n v="1300"/>
    <s v="City of Cocoa Beach           Brevard County"/>
    <s v="City of Cocoa Beach"/>
    <m/>
    <m/>
    <m/>
    <n v="0"/>
    <n v="1"/>
    <n v="3.14559550544582"/>
    <n v="0.60594883017067003"/>
    <n v="1093.7534876776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8.136670395267"/>
    <n v="1176.5595020921801"/>
    <n v="0.88706689999999999"/>
  </r>
  <r>
    <n v="830000"/>
    <n v="2400000"/>
    <n v="2400000"/>
    <x v="0"/>
    <x v="0"/>
    <s v="BR3-5, BR-7"/>
    <s v="62-304.520 (10), F.A.C."/>
    <n v="0.59"/>
    <n v="0.64"/>
    <s v="FDOT District 5"/>
    <n v="7.8338729684999996E-4"/>
    <n v="3758.71801339082"/>
    <n v="10.783414843210499"/>
    <n v="2.0681531183242901"/>
    <n v="8.4475902048299998E-3"/>
    <n v="1.62016488083E-3"/>
    <n v="2.9445319441316302"/>
    <n v="1400"/>
    <s v="Commercial and Services"/>
    <n v="1400"/>
    <s v="FDOT District 5                                 City of Cocoa Beach           Brevard County"/>
    <s v="FDOT District 5"/>
    <m/>
    <m/>
    <m/>
    <n v="0"/>
    <n v="1"/>
    <n v="8.4475902048299998E-3"/>
    <n v="1.62016488083E-3"/>
    <n v="2.94453194413335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.768016004810899"/>
    <n v="3.1702559134858399"/>
    <n v="2.3881038000000002E-3"/>
  </r>
  <r>
    <n v="830000"/>
    <n v="2400000"/>
    <n v="2400000"/>
    <x v="0"/>
    <x v="0"/>
    <s v="BR3-5, BR-7"/>
    <s v="62-304.520 (10), F.A.C."/>
    <n v="0.59"/>
    <n v="0.64"/>
    <s v="City of Cocoa Beach"/>
    <n v="0.12066794945792"/>
    <n v="3758.71801339082"/>
    <n v="10.783414843210499"/>
    <n v="2.0681531183242901"/>
    <n v="1.3012125572844"/>
    <n v="0.24955979595321001"/>
    <n v="453.55679526644701"/>
    <n v="1300"/>
    <s v="Residential, High Density"/>
    <n v="1300"/>
    <s v="City of Cocoa Beach           Brevard County"/>
    <s v="City of Cocoa Beach"/>
    <m/>
    <m/>
    <m/>
    <n v="0"/>
    <n v="1"/>
    <n v="1.3012125572844"/>
    <n v="0.24955979595321001"/>
    <n v="453.55679526644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7.83051473332199"/>
    <n v="488.32586624165401"/>
    <n v="0.36784817130000003"/>
  </r>
  <r>
    <n v="830000"/>
    <n v="2400000"/>
    <n v="2400000"/>
    <x v="0"/>
    <x v="0"/>
    <s v="BR3-5, BR-7"/>
    <s v="62-304.520 (10), F.A.C."/>
    <n v="0.59"/>
    <n v="0.64"/>
    <s v="FDOT District 5"/>
    <n v="0.22694347357954001"/>
    <n v="3758.71801339082"/>
    <n v="10.783414843210499"/>
    <n v="2.0681531183242901"/>
    <n v="2.4472256215674402"/>
    <n v="0.46935385256688"/>
    <n v="853.016522164928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4472256215674402"/>
    <n v="0.46935385256688"/>
    <n v="853.01652216492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7.08235438032099"/>
    <n v="918.40765357715497"/>
    <n v="0.69182199690000001"/>
  </r>
  <r>
    <n v="830000"/>
    <n v="2400000"/>
    <n v="2400000"/>
    <x v="0"/>
    <x v="0"/>
    <s v="BR3-5, BR-7"/>
    <s v="62-304.520 (10), F.A.C."/>
    <n v="0.59"/>
    <n v="0.64"/>
    <s v="City of Cocoa Beach"/>
    <n v="2.1473894000650001E-2"/>
    <n v="3758.71801339082"/>
    <n v="10.783414843210499"/>
    <n v="2.0681531183242901"/>
    <n v="0.23156190730817999"/>
    <n v="4.441130084001E-2"/>
    <n v="80.714312197903297"/>
    <n v="1300"/>
    <s v="Residential, High Density"/>
    <n v="1300"/>
    <s v="City of Cocoa Beach           Brevard County"/>
    <s v="City of Cocoa Beach"/>
    <m/>
    <m/>
    <m/>
    <n v="0"/>
    <n v="1"/>
    <n v="0.23156190730817999"/>
    <n v="4.441130084001E-2"/>
    <n v="80.7143121979044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9.710902847067601"/>
    <n v="86.901765850484793"/>
    <n v="6.5461729299999993E-2"/>
  </r>
  <r>
    <n v="830000"/>
    <n v="2400000"/>
    <n v="2400000"/>
    <x v="0"/>
    <x v="0"/>
    <s v="BR3-5, BR-7"/>
    <s v="62-304.520 (10), F.A.C."/>
    <n v="0.59"/>
    <n v="0.64"/>
    <s v="FDOT District 5"/>
    <n v="1.4582983314000001E-4"/>
    <n v="3758.71801339082"/>
    <n v="10.783414843210499"/>
    <n v="2.0681531183242901"/>
    <n v="1.57254358732E-3"/>
    <n v="3.0159842416000002E-4"/>
    <n v="0.54813322073563997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57254358732E-3"/>
    <n v="3.0159842416000002E-4"/>
    <n v="0.54813322073655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.7720728557073198"/>
    <n v="0.59015239684538001"/>
    <n v="4.4455249999999998E-4"/>
  </r>
  <r>
    <n v="830000"/>
    <n v="2400000"/>
    <n v="2400000"/>
    <x v="0"/>
    <x v="0"/>
    <s v="BR3-5, BR-7"/>
    <s v="62-304.520 (10), F.A.C."/>
    <n v="0.59"/>
    <n v="0.64"/>
    <s v="City of Cocoa Beach"/>
    <n v="1.2115922693280001E-2"/>
    <n v="3758.71801339082"/>
    <n v="10.783414843210499"/>
    <n v="2.0681531183242901"/>
    <n v="0.13065102060997999"/>
    <n v="2.505758329949E-2"/>
    <n v="45.540336876108498"/>
    <n v="1210"/>
    <s v="Fixed Single Family Units"/>
    <n v="1210"/>
    <s v="City of Cocoa Beach           Brevard County"/>
    <s v="City of Cocoa Beach"/>
    <m/>
    <m/>
    <m/>
    <n v="0"/>
    <n v="1"/>
    <n v="0.13065102060997999"/>
    <n v="2.505758329949E-2"/>
    <n v="45.5403368761092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4.770364641951801"/>
    <n v="49.0313995646313"/>
    <n v="3.6934579799999999E-2"/>
  </r>
  <r>
    <n v="830000"/>
    <n v="2400000"/>
    <n v="2400000"/>
    <x v="0"/>
    <x v="0"/>
    <s v="BR3-5, BR-7"/>
    <s v="62-304.520 (10), F.A.C."/>
    <n v="0.59"/>
    <n v="0.64"/>
    <s v="City of Cocoa Beach"/>
    <n v="0.23563299680649999"/>
    <n v="3758.71801339082"/>
    <n v="10.783414843210499"/>
    <n v="2.0681531183242901"/>
    <n v="2.5409283553133899"/>
    <n v="0.48732511712546001"/>
    <n v="885.67798964585404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5409283553133899"/>
    <n v="0.48732511712546001"/>
    <n v="885.677989645854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3.536247457427"/>
    <n v="953.57290645574301"/>
    <n v="0.71831142709999996"/>
  </r>
  <r>
    <n v="830000"/>
    <n v="2400000"/>
    <n v="2400000"/>
    <x v="0"/>
    <x v="0"/>
    <s v="BR3-5, BR-7"/>
    <s v="62-304.520 (10), F.A.C."/>
    <n v="0.59"/>
    <n v="0.64"/>
    <s v="City of Cocoa Beach"/>
    <n v="4.4689083029700004E-3"/>
    <n v="3741.4473852154501"/>
    <n v="10.259968708689399"/>
    <n v="1.82835640792127"/>
    <n v="4.585085935055E-2"/>
    <n v="8.1707571321600007E-3"/>
    <n v="16.720185284944598"/>
    <n v="1300"/>
    <s v="Residential, High Density"/>
    <n v="1300"/>
    <s v="City of Cocoa Beach           Brevard County"/>
    <s v="City of Cocoa Beach"/>
    <m/>
    <m/>
    <m/>
    <n v="0"/>
    <n v="1"/>
    <n v="4.585085935055E-2"/>
    <n v="8.1707571321600007E-3"/>
    <n v="16.720185284946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8.145849957658498"/>
    <n v="18.085030267025001"/>
    <n v="1.3560572E-2"/>
  </r>
  <r>
    <n v="830000"/>
    <n v="2400000"/>
    <n v="2400000"/>
    <x v="0"/>
    <x v="0"/>
    <s v="BR3-5, BR-7"/>
    <s v="62-304.520 (10), F.A.C."/>
    <n v="0.59"/>
    <n v="0.64"/>
    <s v="City of Cocoa Beach"/>
    <n v="4.6976002657200004E-3"/>
    <n v="3741.4473852154501"/>
    <n v="10.259968708689399"/>
    <n v="1.82835640792127"/>
    <n v="4.8197231732239998E-2"/>
    <n v="8.5888875476800002E-3"/>
    <n v="17.5758242309767"/>
    <n v="1300"/>
    <s v="Residential, High Density"/>
    <n v="1300"/>
    <s v="City of Cocoa Beach           Brevard County"/>
    <s v="City of Cocoa Beach"/>
    <m/>
    <m/>
    <m/>
    <n v="0"/>
    <n v="1"/>
    <n v="4.8197231732239998E-2"/>
    <n v="8.5888875476800002E-3"/>
    <n v="17.5758242309777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0.95184197704199"/>
    <n v="19.010513805210099"/>
    <n v="1.42545209E-2"/>
  </r>
  <r>
    <n v="830000"/>
    <n v="2400000"/>
    <n v="2400000"/>
    <x v="0"/>
    <x v="0"/>
    <s v="BR3-5, BR-7"/>
    <s v="62-304.520 (10), F.A.C."/>
    <n v="0.59"/>
    <n v="0.64"/>
    <s v="FDOT District 5"/>
    <n v="0.23676480013137"/>
    <n v="3741.4473852154501"/>
    <n v="10.259968708689399"/>
    <n v="1.82835640792127"/>
    <n v="2.4291994406670101"/>
    <n v="0.43289043949039002"/>
    <n v="885.843042362587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4291994406670101"/>
    <n v="0.43289043949039002"/>
    <n v="885.84304236258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8.24722267017901"/>
    <n v="958.15315200990506"/>
    <n v="0.7184452898"/>
  </r>
  <r>
    <n v="830000"/>
    <n v="2400000"/>
    <n v="2400000"/>
    <x v="0"/>
    <x v="0"/>
    <s v="BR3-5, BR-7"/>
    <s v="62-304.520 (10), F.A.C."/>
    <n v="0.59"/>
    <n v="0.64"/>
    <s v="City of Cocoa Beach"/>
    <n v="4.7775357747279999E-2"/>
    <n v="3741.4473852154501"/>
    <n v="10.259968708689399"/>
    <n v="1.82835640792127"/>
    <n v="0.49017367553361002"/>
    <n v="8.7350381477979994E-2"/>
    <n v="178.748987321318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49017367553361002"/>
    <n v="8.7350381477979994E-2"/>
    <n v="178.74898732131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2.119934143471895"/>
    <n v="193.34001333206601"/>
    <n v="0.14497079260000001"/>
  </r>
  <r>
    <n v="830000"/>
    <n v="2400000"/>
    <n v="2400000"/>
    <x v="0"/>
    <x v="0"/>
    <s v="BR3-5, BR-7"/>
    <s v="62-304.520 (10), F.A.C."/>
    <n v="0.59"/>
    <n v="0.64"/>
    <s v="City of Cocoa Beach"/>
    <n v="4.0326419399899997E-2"/>
    <n v="3741.4473852154501"/>
    <n v="10.259968708689399"/>
    <n v="1.82835640792127"/>
    <n v="0.41374780117650001"/>
    <n v="7.3731067318329999E-2"/>
    <n v="150.879176418871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41374780117650001"/>
    <n v="7.3731067318329999E-2"/>
    <n v="150.87917641887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3.905689401727201"/>
    <n v="163.19522934089599"/>
    <n v="0.1223675397"/>
  </r>
  <r>
    <n v="830000"/>
    <n v="2400000"/>
    <n v="2400000"/>
    <x v="0"/>
    <x v="0"/>
    <s v="BR3-5, BR-7"/>
    <s v="62-304.520 (10), F.A.C."/>
    <n v="0.59"/>
    <n v="0.64"/>
    <s v="City of Cocoa Beach"/>
    <n v="6.6450878652089998E-2"/>
    <n v="3741.4473852154501"/>
    <n v="10.259968708689399"/>
    <n v="1.82835640792127"/>
    <n v="0.68178393563544004"/>
    <n v="0.12149588979556"/>
    <n v="248.622466178161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68178393563544004"/>
    <n v="0.12149588979556"/>
    <n v="248.62246617816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5.011664680021497"/>
    <n v="268.91716504736502"/>
    <n v="0.20164028079999999"/>
  </r>
  <r>
    <n v="830000"/>
    <n v="2400000"/>
    <n v="2400000"/>
    <x v="0"/>
    <x v="0"/>
    <s v="BR3-5, BR-7"/>
    <s v="62-304.520 (10), F.A.C."/>
    <n v="0.59"/>
    <n v="0.64"/>
    <s v="City of Cocoa Beach"/>
    <n v="0.21727948928360999"/>
    <n v="3741.4473852154501"/>
    <n v="10.259968708689399"/>
    <n v="1.82835640792127"/>
    <n v="2.2292807610899299"/>
    <n v="0.39726434654156001"/>
    <n v="812.93977704113399"/>
    <n v="1210"/>
    <s v="Fixed Single Family Units"/>
    <n v="1210"/>
    <s v="City of Cocoa Beach           Brevard County"/>
    <s v="City of Cocoa Beach"/>
    <m/>
    <m/>
    <m/>
    <n v="0"/>
    <n v="1"/>
    <n v="2.2292807610899299"/>
    <n v="0.39726434654156001"/>
    <n v="812.93977704113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8.656121742907"/>
    <n v="879.29889666319298"/>
    <n v="0.65931855399999995"/>
  </r>
  <r>
    <n v="830000"/>
    <n v="2400000"/>
    <n v="2400000"/>
    <x v="0"/>
    <x v="0"/>
    <s v="BR3-5, BR-7"/>
    <s v="62-304.520 (10), F.A.C."/>
    <n v="0.59"/>
    <n v="0.64"/>
    <s v="City of Cocoa Beach"/>
    <n v="1.474449023843E-2"/>
    <n v="3777.7388730708099"/>
    <n v="9.8672962632328094"/>
    <n v="1.7833472465904301"/>
    <n v="0.14548825343294999"/>
    <n v="2.6294546069080001E-2"/>
    <n v="55.700833937337698"/>
    <n v="1300"/>
    <s v="Residential, High Density"/>
    <n v="1300"/>
    <s v="City of Cocoa Beach           Brevard County"/>
    <s v="City of Cocoa Beach"/>
    <m/>
    <m/>
    <m/>
    <n v="0"/>
    <n v="1"/>
    <n v="0.14548825343294999"/>
    <n v="2.6294546069080001E-2"/>
    <n v="287.94234279392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872203230529"/>
    <n v="59.668835016413297"/>
    <n v="0.23352988059999999"/>
  </r>
  <r>
    <n v="830000"/>
    <n v="2400000"/>
    <n v="2400000"/>
    <x v="0"/>
    <x v="0"/>
    <s v="BR3-5, BR-7"/>
    <s v="62-304.520 (10), F.A.C."/>
    <n v="0.59"/>
    <n v="0.64"/>
    <s v="FDOT District 5"/>
    <n v="0.11741359172054"/>
    <n v="3777.7388730708099"/>
    <n v="9.8672962632328094"/>
    <n v="1.7833472465904301"/>
    <n v="1.1585546948368799"/>
    <n v="0.20938920550713"/>
    <n v="443.557889669571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1585546948368799"/>
    <n v="0.20938920550713"/>
    <n v="715.93146247276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9.519478387289"/>
    <n v="475.15594773134399"/>
    <n v="0.58064189980000003"/>
  </r>
  <r>
    <n v="830000"/>
    <n v="2400000"/>
    <n v="2400000"/>
    <x v="0"/>
    <x v="0"/>
    <s v="BR3-5, BR-7"/>
    <s v="62-304.520 (10), F.A.C."/>
    <n v="0.59"/>
    <n v="0.64"/>
    <s v="City of Cocoa Beach"/>
    <n v="3.3267406104799998E-3"/>
    <n v="3777.7388730708099"/>
    <n v="9.8672962632328094"/>
    <n v="1.7833472465904301"/>
    <n v="3.2825935194589997E-2"/>
    <n v="5.9327337078300003E-3"/>
    <n v="12.567557324856301"/>
    <n v="1210"/>
    <s v="Fixed Single Family Units"/>
    <n v="1210"/>
    <s v="City of Cocoa Beach           Brevard County"/>
    <s v="City of Cocoa Beach"/>
    <m/>
    <m/>
    <m/>
    <n v="0"/>
    <n v="1"/>
    <n v="3.2825935194589997E-2"/>
    <n v="5.9327337078300003E-3"/>
    <n v="12.567557324857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.716295766570299"/>
    <n v="13.462841605205099"/>
    <n v="1.0192666100000001E-2"/>
  </r>
  <r>
    <n v="830000"/>
    <n v="2400000"/>
    <n v="2400000"/>
    <x v="0"/>
    <x v="0"/>
    <s v="BR3-5, BR-7"/>
    <s v="62-304.520 (10), F.A.C."/>
    <n v="0.59"/>
    <n v="0.64"/>
    <s v="City of Cocoa Beach"/>
    <n v="1.684156982743E-2"/>
    <n v="3777.7388730708099"/>
    <n v="9.8672962632328094"/>
    <n v="1.7833472465904301"/>
    <n v="0.16618075902523999"/>
    <n v="3.0034367180020002E-2"/>
    <n v="63.6230530206453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6618075902523999"/>
    <n v="3.0034367180020002E-2"/>
    <n v="63.623053020646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0.352505100938103"/>
    <n v="68.155415019462893"/>
    <n v="5.1600205199999999E-2"/>
  </r>
  <r>
    <n v="830000"/>
    <n v="2400000"/>
    <n v="2400000"/>
    <x v="0"/>
    <x v="0"/>
    <s v="BR3-5, BR-7"/>
    <s v="62-304.520 (10), F.A.C."/>
    <n v="0.59"/>
    <n v="0.64"/>
    <s v="City of Cocoa Beach"/>
    <n v="1.790673533447E-2"/>
    <n v="3777.7388730708099"/>
    <n v="9.8672962632328094"/>
    <n v="1.7833472465904301"/>
    <n v="0.17669106265251"/>
    <n v="3.1933927154149999E-2"/>
    <n v="67.64697016281799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7669106265251"/>
    <n v="3.1933927154149999E-2"/>
    <n v="67.64697016281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0.370379883308203"/>
    <n v="72.465986892518401"/>
    <n v="5.48637228E-2"/>
  </r>
  <r>
    <n v="830000"/>
    <n v="2400000"/>
    <n v="2400000"/>
    <x v="0"/>
    <x v="0"/>
    <s v="BR3-5, BR-7"/>
    <s v="62-304.520 (10), F.A.C."/>
    <n v="0.59"/>
    <n v="0.64"/>
    <s v="City of Cocoa Beach"/>
    <n v="1.1421878476599999E-3"/>
    <n v="3777.7388730708099"/>
    <n v="9.8672962632328094"/>
    <n v="1.7833472465904301"/>
    <n v="1.127030588113E-2"/>
    <n v="2.03691755321E-3"/>
    <n v="4.3148874324580397"/>
    <n v="1300"/>
    <s v="Residential, High Density"/>
    <n v="1300"/>
    <s v="City of Cocoa Beach           Brevard County"/>
    <s v="City of Cocoa Beach"/>
    <m/>
    <m/>
    <m/>
    <n v="0"/>
    <n v="1"/>
    <n v="1.127030588113E-2"/>
    <n v="2.03691755321E-3"/>
    <n v="4.31488743245702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.6471707357511"/>
    <n v="4.62227022689307"/>
    <n v="3.4995031999999998E-3"/>
  </r>
  <r>
    <n v="830000"/>
    <n v="2400000"/>
    <n v="2400000"/>
    <x v="0"/>
    <x v="0"/>
    <s v="BR3-5, BR-7"/>
    <s v="62-304.520 (10), F.A.C."/>
    <n v="0.59"/>
    <n v="0.64"/>
    <s v="City of Cocoa Beach"/>
    <n v="3.1687210194730003E-2"/>
    <n v="3756.5087152749502"/>
    <n v="10.731421619887399"/>
    <n v="2.04574033894882"/>
    <n v="0.34004881255766001"/>
    <n v="6.4823804124109999E-2"/>
    <n v="119.03328125925999"/>
    <n v="1200"/>
    <s v="Residential, Medium Density-Two-five dwellingunits per acre"/>
    <n v="1200"/>
    <s v="City of Cocoa Beach           Brevard County"/>
    <s v="City of Cocoa Beach"/>
    <m/>
    <m/>
    <m/>
    <n v="0"/>
    <n v="1"/>
    <n v="0.34004881255766001"/>
    <n v="6.4823804124109999E-2"/>
    <n v="119.03328125925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20916181052699"/>
    <n v="128.23359008448901"/>
    <n v="9.6539563100000003E-2"/>
  </r>
  <r>
    <n v="830000"/>
    <n v="2400000"/>
    <n v="2400000"/>
    <x v="0"/>
    <x v="0"/>
    <s v="BR3-5, BR-7"/>
    <s v="62-304.520 (10), F.A.C."/>
    <n v="0.59"/>
    <n v="0.64"/>
    <s v="City of Cocoa Beach"/>
    <n v="0.17163911631980999"/>
    <n v="3756.5087152749502"/>
    <n v="10.731421619887399"/>
    <n v="2.04574033894882"/>
    <n v="1.8419317236927799"/>
    <n v="0.35112906399695998"/>
    <n v="644.76383633745695"/>
    <n v="1300"/>
    <s v="Residential, High Density"/>
    <n v="1300"/>
    <s v="City of Cocoa Beach           Brevard County"/>
    <s v="City of Cocoa Beach"/>
    <m/>
    <m/>
    <m/>
    <n v="0"/>
    <n v="1"/>
    <n v="1.8419317236927799"/>
    <n v="0.35112906399695998"/>
    <n v="644.763836337456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00.71495747836801"/>
    <n v="694.59886021388195"/>
    <n v="0.52292281939999996"/>
  </r>
  <r>
    <n v="830000"/>
    <n v="2400000"/>
    <n v="2400000"/>
    <x v="0"/>
    <x v="0"/>
    <s v="BR3-5, BR-7"/>
    <s v="62-304.520 (10), F.A.C."/>
    <n v="0.59"/>
    <n v="0.64"/>
    <s v="FDOT District 5"/>
    <n v="5.3421895988859998E-2"/>
    <n v="3756.5087152749502"/>
    <n v="10.731421619887399"/>
    <n v="2.04574033894882"/>
    <n v="0.5732928895903"/>
    <n v="0.10928732760755"/>
    <n v="200.679817868690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5732928895903"/>
    <n v="0.10928732760755"/>
    <n v="200.679817868689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9.652962226767"/>
    <n v="216.19074287932901"/>
    <n v="0.16275735429999999"/>
  </r>
  <r>
    <n v="830000"/>
    <n v="2400000"/>
    <n v="2400000"/>
    <x v="0"/>
    <x v="0"/>
    <s v="BR3-5, BR-7"/>
    <s v="62-304.520 (10), F.A.C."/>
    <n v="0.59"/>
    <n v="0.64"/>
    <s v="City of Cocoa Beach"/>
    <n v="0.36101522898521998"/>
    <n v="3756.5087152749502"/>
    <n v="10.731421619887399"/>
    <n v="2.04574033894882"/>
    <n v="3.87420663344066"/>
    <n v="0.73854341690991998"/>
    <n v="1356.15685402997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3.87420663344066"/>
    <n v="0.73854341690991998"/>
    <n v="1356.15685402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4.48446233079"/>
    <n v="1460.9767980030599"/>
    <n v="1.0998839042999999"/>
  </r>
  <r>
    <n v="830000"/>
    <n v="2400000"/>
    <n v="2400000"/>
    <x v="0"/>
    <x v="0"/>
    <s v="BR3-5, BR-7"/>
    <s v="62-304.520 (10), F.A.C."/>
    <n v="0.59"/>
    <n v="0.64"/>
    <s v="City of Cocoa Beach"/>
    <n v="0.32235283546034998"/>
    <n v="3778.2816775415799"/>
    <n v="9.7984706664496404"/>
    <n v="1.7632746418069201"/>
    <n v="3.1585648025051798"/>
    <n v="0.56839658048179997"/>
    <n v="1217.9398119234399"/>
    <n v="1300"/>
    <s v="Residential, High Density"/>
    <n v="1300"/>
    <s v="City of Cocoa Beach           Brevard County"/>
    <s v="City of Cocoa Beach"/>
    <m/>
    <m/>
    <m/>
    <n v="0"/>
    <n v="1"/>
    <n v="3.1585648025051798"/>
    <n v="0.56839658048179997"/>
    <n v="1217.9398119234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7.45818675736001"/>
    <n v="1304.5156424616"/>
    <n v="0.98778573550000004"/>
  </r>
  <r>
    <n v="830000"/>
    <n v="2400000"/>
    <n v="2400000"/>
    <x v="0"/>
    <x v="0"/>
    <s v="BR3-5, BR-7"/>
    <s v="62-304.520 (10), F.A.C."/>
    <n v="0.59"/>
    <n v="0.64"/>
    <s v="City of Cocoa Beach"/>
    <n v="0.24969591077348"/>
    <n v="3778.2816775415799"/>
    <n v="9.7984706664496404"/>
    <n v="1.7632746418069201"/>
    <n v="2.4466380572464099"/>
    <n v="0.44028246762975998"/>
    <n v="943.42148463251203"/>
    <n v="1300"/>
    <s v="Residential, High Density"/>
    <n v="1300"/>
    <s v="City of Cocoa Beach           Brevard County"/>
    <s v="City of Cocoa Beach"/>
    <m/>
    <m/>
    <m/>
    <n v="0"/>
    <n v="1"/>
    <n v="2.4466380572464099"/>
    <n v="0.44028246762975998"/>
    <n v="943.421484632512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8.473112366077"/>
    <n v="1010.48350016069"/>
    <n v="0.76514313430000003"/>
  </r>
  <r>
    <n v="830000"/>
    <n v="2400000"/>
    <n v="2400000"/>
    <x v="0"/>
    <x v="0"/>
    <s v="BR3-5, BR-7"/>
    <s v="62-304.520 (10), F.A.C."/>
    <n v="0.59"/>
    <n v="0.64"/>
    <s v="City of Cocoa Beach"/>
    <n v="4.5714707249959997E-2"/>
    <n v="3778.2816775415799"/>
    <n v="9.7984706664496404"/>
    <n v="1.7632746418069201"/>
    <n v="0.44793421801409"/>
    <n v="8.0607584051479997E-2"/>
    <n v="172.72304079671201"/>
    <n v="1300"/>
    <s v="Residential, High Density"/>
    <n v="1300"/>
    <s v="City of Cocoa Beach           Brevard County"/>
    <s v="City of Cocoa Beach"/>
    <m/>
    <m/>
    <m/>
    <n v="0"/>
    <n v="1"/>
    <n v="0.44793421801409"/>
    <n v="8.0607584051479997E-2"/>
    <n v="172.72304079671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4.500754980064499"/>
    <n v="185.00085663265"/>
    <n v="0.14008356920000001"/>
  </r>
  <r>
    <n v="830000"/>
    <n v="2400000"/>
    <n v="2400000"/>
    <x v="0"/>
    <x v="0"/>
    <s v="BR3-5, BR-7"/>
    <s v="62-304.520 (10), F.A.C."/>
    <n v="0.59"/>
    <n v="0.64"/>
    <s v="City of Cocoa Beach"/>
    <n v="2.916858394915E-2"/>
    <n v="2365.8964729934901"/>
    <n v="6.6479893454949197"/>
    <n v="0.92303951773994997"/>
    <n v="0.19391243531714"/>
    <n v="2.692375566158E-2"/>
    <n v="69.009849887515699"/>
    <n v="1400"/>
    <s v="Commercial and Services"/>
    <n v="1400"/>
    <s v="City of Cocoa Beach           Brevard County"/>
    <s v="City of Cocoa Beach"/>
    <m/>
    <m/>
    <m/>
    <n v="0"/>
    <n v="1"/>
    <n v="0.19391243531714"/>
    <n v="2.692375566158E-2"/>
    <n v="400.46961239008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736379559114"/>
    <n v="118.04107128694299"/>
    <n v="0.32479287299999998"/>
  </r>
  <r>
    <n v="830000"/>
    <n v="2400000"/>
    <n v="2400000"/>
    <x v="0"/>
    <x v="0"/>
    <s v="BR3-5, BR-7"/>
    <s v="62-304.520 (10), F.A.C."/>
    <n v="0.59"/>
    <n v="0.64"/>
    <s v="City of Cocoa Beach"/>
    <n v="3.915856245774E-2"/>
    <n v="3734.2478507076298"/>
    <n v="10.036262974184099"/>
    <n v="1.72523240886408"/>
    <n v="0.39300563051694998"/>
    <n v="6.7557621036630003E-2"/>
    <n v="146.22777769463801"/>
    <n v="1200"/>
    <s v="Residential, Medium Density-Two-five dwellingunits per acre"/>
    <n v="1200"/>
    <s v="City of Cocoa Beach           Brevard County"/>
    <s v="City of Cocoa Beach"/>
    <m/>
    <m/>
    <m/>
    <n v="0"/>
    <n v="1"/>
    <n v="0.39300563051694998"/>
    <n v="6.7557621036630003E-2"/>
    <n v="146.22777769463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5.800112319930697"/>
    <n v="158.46907997407999"/>
    <n v="0.1185951157"/>
  </r>
  <r>
    <n v="830000"/>
    <n v="2400000"/>
    <n v="2400000"/>
    <x v="0"/>
    <x v="0"/>
    <s v="BR3-5, BR-7"/>
    <s v="62-304.520 (10), F.A.C."/>
    <n v="0.59"/>
    <n v="0.64"/>
    <s v="FDOT District 5"/>
    <n v="6.5266187123330002E-2"/>
    <n v="3734.2478507076298"/>
    <n v="10.036262974184099"/>
    <n v="1.72523240886408"/>
    <n v="0.65502861729205997"/>
    <n v="0.11259934122815"/>
    <n v="243.72011898918001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65502861729205997"/>
    <n v="0.11259934122815"/>
    <n v="243.720118989179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8.7069939347992"/>
    <n v="264.12288852560999"/>
    <n v="0.19766433010000001"/>
  </r>
  <r>
    <n v="830000"/>
    <n v="2400000"/>
    <n v="2400000"/>
    <x v="0"/>
    <x v="0"/>
    <s v="BR3-5, BR-7"/>
    <s v="62-304.520 (10), F.A.C."/>
    <n v="0.59"/>
    <n v="0.64"/>
    <s v="City of Cocoa Beach"/>
    <n v="3.1604553108919999E-2"/>
    <n v="3734.2478507076298"/>
    <n v="10.036262974184099"/>
    <n v="1.72523240886408"/>
    <n v="0.31719160618272002"/>
    <n v="5.452519929118E-2"/>
    <n v="118.01923451957001"/>
    <n v="1390"/>
    <s v="High Density Under Construction"/>
    <n v="1390"/>
    <s v="City of Cocoa Beach           Brevard County"/>
    <s v="City of Cocoa Beach"/>
    <m/>
    <m/>
    <m/>
    <n v="0"/>
    <n v="1"/>
    <n v="0.31719160618272002"/>
    <n v="5.452519929118E-2"/>
    <n v="118.01923451957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4.946465186663602"/>
    <n v="127.899088725928"/>
    <n v="9.5717140699999995E-2"/>
  </r>
  <r>
    <n v="830000"/>
    <n v="2400000"/>
    <n v="2400000"/>
    <x v="0"/>
    <x v="0"/>
    <s v="BR3-5, BR-7"/>
    <s v="62-304.520 (10), F.A.C."/>
    <n v="0.59"/>
    <n v="0.64"/>
    <s v="FDOT District 5"/>
    <n v="7.3334163135400001E-3"/>
    <n v="3734.2478507076298"/>
    <n v="10.036262974184099"/>
    <n v="1.72523240886408"/>
    <n v="7.3600094621949996E-2"/>
    <n v="1.265184749182E-2"/>
    <n v="27.384794107214599"/>
    <n v="1390"/>
    <s v="High Density Under Construction"/>
    <n v="1390"/>
    <s v="FDOT District 5                                 City of Cocoa Beach           Brevard County"/>
    <s v="FDOT District 5"/>
    <m/>
    <m/>
    <m/>
    <n v="0"/>
    <n v="1"/>
    <n v="7.3600094621949996E-2"/>
    <n v="1.265184749182E-2"/>
    <n v="27.384794107213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2.487064086754199"/>
    <n v="29.6772829066173"/>
    <n v="2.22098898E-2"/>
  </r>
  <r>
    <n v="830000"/>
    <n v="2400000"/>
    <n v="2400000"/>
    <x v="0"/>
    <x v="0"/>
    <s v="BR3-5, BR-7"/>
    <s v="62-304.520 (10), F.A.C."/>
    <n v="0.59"/>
    <n v="0.64"/>
    <s v="City of Cocoa Beach"/>
    <n v="3.5420431633899997E-2"/>
    <n v="3734.2478507076298"/>
    <n v="10.036262974184099"/>
    <n v="1.72523240886408"/>
    <n v="0.35548876653694"/>
    <n v="6.1108476590759998E-2"/>
    <n v="132.26867070003101"/>
    <n v="1300"/>
    <s v="Residential, High Density"/>
    <n v="1300"/>
    <s v="City of Cocoa Beach           Brevard County"/>
    <s v="City of Cocoa Beach"/>
    <m/>
    <m/>
    <m/>
    <n v="0"/>
    <n v="1"/>
    <n v="0.35548876653694"/>
    <n v="6.1108476590759998E-2"/>
    <n v="132.26867070003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3.17954069841601"/>
    <n v="143.34140124183199"/>
    <n v="0.10727386110000001"/>
  </r>
  <r>
    <n v="830000"/>
    <n v="2400000"/>
    <n v="2400000"/>
    <x v="0"/>
    <x v="0"/>
    <s v="BR3-5, BR-7"/>
    <s v="62-304.520 (10), F.A.C."/>
    <n v="0.59"/>
    <n v="0.64"/>
    <s v="FDOT District 5"/>
    <n v="0.15436774382043"/>
    <n v="3734.2478507076298"/>
    <n v="10.036262974184099"/>
    <n v="1.72523240886408"/>
    <n v="1.54927527171334"/>
    <n v="0.26632023452223003"/>
    <n v="576.447415580033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54927527171334"/>
    <n v="0.26632023452223003"/>
    <n v="576.447415580033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7.783409122248"/>
    <n v="624.70409549111105"/>
    <n v="0.46751615210000003"/>
  </r>
  <r>
    <n v="830000"/>
    <n v="2400000"/>
    <n v="2400000"/>
    <x v="0"/>
    <x v="0"/>
    <s v="BR3-5, BR-7"/>
    <s v="62-304.520 (10), F.A.C."/>
    <n v="0.59"/>
    <n v="0.64"/>
    <s v="City of Cocoa Beach"/>
    <n v="4.2787071706249999E-2"/>
    <n v="3734.2478507076298"/>
    <n v="10.036262974184099"/>
    <n v="1.72523240886408"/>
    <n v="0.42942230353928001"/>
    <n v="7.3817642788030005E-2"/>
    <n v="159.77753055717"/>
    <n v="1210"/>
    <s v="Fixed Single Family Units"/>
    <n v="1210"/>
    <s v="City of Cocoa Beach           Brevard County"/>
    <s v="City of Cocoa Beach"/>
    <m/>
    <m/>
    <m/>
    <n v="0"/>
    <n v="1"/>
    <n v="0.42942230353928001"/>
    <n v="7.3817642788030005E-2"/>
    <n v="159.777530557172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3.029849599612398"/>
    <n v="173.15313593016501"/>
    <n v="0.12958437189999999"/>
  </r>
  <r>
    <n v="830000"/>
    <n v="2400000"/>
    <n v="2400000"/>
    <x v="0"/>
    <x v="0"/>
    <s v="BR3-5, BR-7"/>
    <s v="62-304.520 (10), F.A.C."/>
    <n v="0.59"/>
    <n v="0.64"/>
    <s v="City of Cocoa Beach"/>
    <n v="7.7598447977150001E-2"/>
    <n v="3734.2478507076298"/>
    <n v="10.036262974184099"/>
    <n v="1.72523240886408"/>
    <n v="0.77879843028724005"/>
    <n v="0.13387535732773001"/>
    <n v="289.771837576927"/>
    <n v="1300"/>
    <s v="Residential, High Density"/>
    <n v="1300"/>
    <s v="City of Cocoa Beach           Brevard County"/>
    <s v="City of Cocoa Beach"/>
    <m/>
    <m/>
    <m/>
    <n v="0"/>
    <n v="1"/>
    <n v="0.77879843028724005"/>
    <n v="0.13387535732773001"/>
    <n v="289.77183757692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3.3442573758104"/>
    <n v="314.02977756460803"/>
    <n v="0.2350136558"/>
  </r>
  <r>
    <n v="830000"/>
    <n v="2400000"/>
    <n v="2400000"/>
    <x v="0"/>
    <x v="0"/>
    <s v="BR3-5, BR-7"/>
    <s v="62-304.520 (10), F.A.C."/>
    <n v="0.59"/>
    <n v="0.64"/>
    <s v="City of Cocoa Beach"/>
    <n v="2.292259509992E-2"/>
    <n v="3734.2478507076298"/>
    <n v="10.036262974184099"/>
    <n v="1.72523240886408"/>
    <n v="0.23005719247359999"/>
    <n v="3.954680396166E-2"/>
    <n v="85.5986514845399"/>
    <n v="1210"/>
    <s v="Fixed Single Family Units"/>
    <n v="1210"/>
    <s v="City of Cocoa Beach           Brevard County"/>
    <s v="City of Cocoa Beach"/>
    <m/>
    <m/>
    <m/>
    <n v="0"/>
    <n v="1"/>
    <n v="0.23005719247359999"/>
    <n v="3.954680396166E-2"/>
    <n v="85.5986514845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4.296126960687403"/>
    <n v="92.764451198210196"/>
    <n v="6.9423075000000001E-2"/>
  </r>
  <r>
    <n v="830000"/>
    <n v="2400000"/>
    <n v="2400000"/>
    <x v="0"/>
    <x v="0"/>
    <s v="BR3-5, BR-7"/>
    <s v="62-304.520 (10), F.A.C."/>
    <n v="0.59"/>
    <n v="0.64"/>
    <s v="FDOT District 5"/>
    <n v="1.8719755064999999E-4"/>
    <n v="3734.2478507076298"/>
    <n v="10.036262974184099"/>
    <n v="1.72523240886408"/>
    <n v="1.8787638464600001E-3"/>
    <n v="3.2295928123999998E-4"/>
    <n v="0.699042051179959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8787638464600001E-3"/>
    <n v="3.2295928123999998E-4"/>
    <n v="0.6990420511786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.8164240464901"/>
    <n v="0.75756161011221002"/>
    <n v="5.6694410000000003E-4"/>
  </r>
  <r>
    <n v="830000"/>
    <n v="2400000"/>
    <n v="2400000"/>
    <x v="0"/>
    <x v="0"/>
    <s v="BR3-5, BR-7"/>
    <s v="62-304.520 (10), F.A.C."/>
    <n v="0.59"/>
    <n v="0.64"/>
    <s v="City of Cocoa Beach"/>
    <n v="0.13393216357990001"/>
    <n v="3734.2478507076298"/>
    <n v="10.036262974184099"/>
    <n v="1.72523240886408"/>
    <n v="1.34417841438934"/>
    <n v="0.23106410919733"/>
    <n v="500.13589398887098"/>
    <n v="1210"/>
    <s v="Fixed Single Family Units"/>
    <n v="1210"/>
    <s v="City of Cocoa Beach           Brevard County"/>
    <s v="City of Cocoa Beach"/>
    <m/>
    <m/>
    <m/>
    <n v="0"/>
    <n v="1"/>
    <n v="1.34417841438934"/>
    <n v="0.23106410919733"/>
    <n v="500.13589398887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6.674138699303398"/>
    <n v="542.00423634925403"/>
    <n v="0.40562521820000003"/>
  </r>
  <r>
    <n v="830000"/>
    <n v="2400000"/>
    <n v="2400000"/>
    <x v="0"/>
    <x v="0"/>
    <s v="BR3-5, BR-7"/>
    <s v="62-304.520 (10), F.A.C."/>
    <n v="0.59"/>
    <n v="0.64"/>
    <s v="FDOT District 5"/>
    <n v="1.0833736877699999E-3"/>
    <n v="3734.2478507076298"/>
    <n v="10.036262974184099"/>
    <n v="1.72523240886408"/>
    <n v="1.0873023229849999E-2"/>
    <n v="1.86907139706E-3"/>
    <n v="4.0455858650981904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0873023229849999E-2"/>
    <n v="1.86907139706E-3"/>
    <n v="4.04558586509916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1.325138923943904"/>
    <n v="4.38425776624464"/>
    <n v="3.2810915E-3"/>
  </r>
  <r>
    <n v="830000"/>
    <n v="2400000"/>
    <n v="2400000"/>
    <x v="0"/>
    <x v="0"/>
    <s v="BR3-5, BR-7"/>
    <s v="62-304.520 (10), F.A.C."/>
    <n v="0.59"/>
    <n v="0.64"/>
    <s v="City of Cocoa Beach"/>
    <n v="6.10170965439E-3"/>
    <n v="3734.2478507076298"/>
    <n v="10.036262974184099"/>
    <n v="1.72523240886408"/>
    <n v="6.1238362683569997E-2"/>
    <n v="1.052686724523E-2"/>
    <n v="22.785296162547802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6.1238362683569997E-2"/>
    <n v="1.052686724523E-2"/>
    <n v="22.785296162549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3.300055323303202"/>
    <n v="24.692742902489599"/>
    <n v="1.8479558900000002E-2"/>
  </r>
  <r>
    <n v="830000"/>
    <n v="2400000"/>
    <n v="2400000"/>
    <x v="0"/>
    <x v="0"/>
    <s v="BR3-5, BR-7"/>
    <s v="62-304.520 (10), F.A.C."/>
    <n v="0.59"/>
    <n v="0.64"/>
    <s v="City of Cocoa Beach"/>
    <n v="0.45307599987898001"/>
    <n v="3779.8564062927298"/>
    <n v="11.6128504088834"/>
    <n v="1.53319680449746"/>
    <n v="5.2615038104499003"/>
    <n v="0.69465467520893998"/>
    <n v="1712.5622206800499"/>
    <n v="1400"/>
    <s v="Commercial and Services"/>
    <n v="1400"/>
    <s v="City of Cocoa Beach           Brevard County"/>
    <s v="City of Cocoa Beach"/>
    <m/>
    <m/>
    <m/>
    <n v="0"/>
    <n v="1"/>
    <n v="5.2615038104499003"/>
    <n v="0.69465467520893998"/>
    <n v="1712.5622206800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3.34505775402101"/>
    <n v="1833.5335199455601"/>
    <n v="1.3889393516999999"/>
  </r>
  <r>
    <n v="830000"/>
    <n v="2400000"/>
    <n v="2400000"/>
    <x v="0"/>
    <x v="0"/>
    <s v="BR3-5, BR-7"/>
    <s v="62-304.520 (10), F.A.C."/>
    <n v="0.59"/>
    <n v="0.64"/>
    <s v="FDOT District 5"/>
    <n v="0.16468745390399001"/>
    <n v="3779.8564062927298"/>
    <n v="11.6128504088834"/>
    <n v="1.53319680449746"/>
    <n v="1.9124907664070201"/>
    <n v="0.25249827806642999"/>
    <n v="622.49492767507002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9124907664070201"/>
    <n v="0.25249827806642999"/>
    <n v="622.49492767507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6.69902760366701"/>
    <n v="666.46648052010005"/>
    <n v="0.50486206619999996"/>
  </r>
  <r>
    <n v="830000"/>
    <n v="2400000"/>
    <n v="2400000"/>
    <x v="0"/>
    <x v="0"/>
    <s v="BR3-5, BR-7"/>
    <s v="62-304.520 (10), F.A.C."/>
    <n v="0.59"/>
    <n v="0.64"/>
    <s v="City of Cocoa Beach"/>
    <n v="9.5885091530200001E-2"/>
    <n v="3732.0426686706601"/>
    <n v="9.9427544770995198"/>
    <n v="1.6815567378901699"/>
    <n v="0.95336192309907997"/>
    <n v="0.16123622172582999"/>
    <n v="357.84725288013198"/>
    <n v="1200"/>
    <s v="Residential, Medium Density-Two-five dwellingunits per acre"/>
    <n v="1200"/>
    <s v="City of Cocoa Beach           Brevard County"/>
    <s v="City of Cocoa Beach"/>
    <m/>
    <m/>
    <m/>
    <n v="0"/>
    <n v="1"/>
    <n v="0.95336192309907997"/>
    <n v="0.16123622172582999"/>
    <n v="357.847252880131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3.44625290662"/>
    <n v="388.033198471437"/>
    <n v="0.29022486040000001"/>
  </r>
  <r>
    <n v="830000"/>
    <n v="2400000"/>
    <n v="2400000"/>
    <x v="0"/>
    <x v="0"/>
    <s v="BR3-5, BR-7"/>
    <s v="62-304.520 (10), F.A.C."/>
    <n v="0.59"/>
    <n v="0.64"/>
    <s v="City of Cocoa Beach"/>
    <n v="0.1095178424898"/>
    <n v="3732.0426686706601"/>
    <n v="9.9427544770995198"/>
    <n v="1.6815567378901699"/>
    <n v="1.0889090187377799"/>
    <n v="0.18416046595791999"/>
    <n v="408.725261152705"/>
    <n v="1300"/>
    <s v="Residential, High Density"/>
    <n v="1300"/>
    <s v="City of Cocoa Beach           Brevard County"/>
    <s v="City of Cocoa Beach"/>
    <m/>
    <m/>
    <m/>
    <n v="0"/>
    <n v="1"/>
    <n v="1.0889090187377799"/>
    <n v="0.18416046595791999"/>
    <n v="408.7252611527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7.16855882177499"/>
    <n v="443.20298424725701"/>
    <n v="0.33148845189999998"/>
  </r>
  <r>
    <n v="830000"/>
    <n v="2400000"/>
    <n v="2400000"/>
    <x v="0"/>
    <x v="0"/>
    <s v="BR3-5, BR-7"/>
    <s v="62-304.520 (10), F.A.C."/>
    <n v="0.59"/>
    <n v="0.64"/>
    <s v="FDOT District 5"/>
    <n v="2.9658542216E-3"/>
    <n v="3732.0426686706601"/>
    <n v="9.9427544770995198"/>
    <n v="1.6815567378901699"/>
    <n v="2.948876034029E-2"/>
    <n v="4.9872521499399998E-3"/>
    <n v="11.0686945040905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948876034029E-2"/>
    <n v="4.9872521499399998E-3"/>
    <n v="11.068694504092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2.474422721070098"/>
    <n v="12.002386204610101"/>
    <n v="8.9770434000000007E-3"/>
  </r>
  <r>
    <n v="830000"/>
    <n v="2400000"/>
    <n v="2400000"/>
    <x v="0"/>
    <x v="0"/>
    <s v="BR3-5, BR-7"/>
    <s v="62-304.520 (10), F.A.C."/>
    <n v="0.59"/>
    <n v="0.64"/>
    <s v="City of Cocoa Beach"/>
    <n v="2.4307288675450001E-2"/>
    <n v="3732.0426686706601"/>
    <n v="9.9427544770995198"/>
    <n v="1.6815567378901699"/>
    <n v="0.24168140330405999"/>
    <n v="4.0874085052050001E-2"/>
    <n v="90.715838496504503"/>
    <n v="1210"/>
    <s v="Fixed Single Family Units"/>
    <n v="1210"/>
    <s v="City of Cocoa Beach           Brevard County"/>
    <s v="City of Cocoa Beach"/>
    <m/>
    <m/>
    <m/>
    <n v="0"/>
    <n v="1"/>
    <n v="0.24168140330405999"/>
    <n v="4.0874085052050001E-2"/>
    <n v="90.7158384965055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0.063352901273902"/>
    <n v="98.368107287409003"/>
    <n v="7.35732672E-2"/>
  </r>
  <r>
    <n v="830000"/>
    <n v="2400000"/>
    <n v="2400000"/>
    <x v="0"/>
    <x v="0"/>
    <s v="BR3-5, BR-7"/>
    <s v="62-304.520 (10), F.A.C."/>
    <n v="0.59"/>
    <n v="0.64"/>
    <s v="City of Cocoa Beach"/>
    <n v="2.010001445901E-2"/>
    <n v="3732.0426686706601"/>
    <n v="9.9427544770995198"/>
    <n v="1.6815567378901699"/>
    <n v="0.19984950875217"/>
    <n v="3.3799314745249998E-2"/>
    <n v="75.014111601956202"/>
    <n v="1210"/>
    <s v="Fixed Single Family Units"/>
    <n v="1210"/>
    <s v="City of Cocoa Beach           Brevard County"/>
    <s v="City of Cocoa Beach"/>
    <m/>
    <m/>
    <m/>
    <n v="0"/>
    <n v="1"/>
    <n v="0.19984950875217"/>
    <n v="3.3799314745249998E-2"/>
    <n v="75.0141116019546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3.479142288174799"/>
    <n v="81.341872603812206"/>
    <n v="6.0838695499999998E-2"/>
  </r>
  <r>
    <n v="830000"/>
    <n v="2400000"/>
    <n v="2400000"/>
    <x v="0"/>
    <x v="0"/>
    <s v="BR3-5, BR-7"/>
    <s v="62-304.520 (10), F.A.C."/>
    <n v="0.59"/>
    <n v="0.64"/>
    <s v="City of Cocoa Beach"/>
    <n v="0.12087581394827"/>
    <n v="3743.6912227973398"/>
    <n v="10.2396116376063"/>
    <n v="1.4718028344476599"/>
    <n v="1.2377213912098399"/>
    <n v="0.17790536558523001"/>
    <n v="452.52172372662199"/>
    <n v="1200"/>
    <s v="Residential, Medium Density-Two-five dwellingunits per acre"/>
    <n v="1200"/>
    <s v="City of Cocoa Beach           Brevard County"/>
    <s v="City of Cocoa Beach"/>
    <m/>
    <m/>
    <m/>
    <n v="0"/>
    <n v="1"/>
    <n v="1.2377213912098399"/>
    <n v="0.17790536558523001"/>
    <n v="452.52172372662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2.44762457203601"/>
    <n v="489.16706398938402"/>
    <n v="0.36700869730000002"/>
  </r>
  <r>
    <n v="830000"/>
    <n v="2400000"/>
    <n v="2400000"/>
    <x v="0"/>
    <x v="0"/>
    <s v="BR3-5, BR-7"/>
    <s v="62-304.520 (10), F.A.C."/>
    <n v="0.59"/>
    <n v="0.64"/>
    <s v="City of Cocoa Beach"/>
    <n v="3.5808352592799999E-3"/>
    <n v="3743.6912227973398"/>
    <n v="10.2396116376063"/>
    <n v="1.4718028344476599"/>
    <n v="3.6666362393320003E-2"/>
    <n v="5.2702834843E-3"/>
    <n v="13.405541530468399"/>
    <n v="1300"/>
    <s v="Residential, High Density"/>
    <n v="1300"/>
    <s v="City of Cocoa Beach           Brevard County"/>
    <s v="City of Cocoa Beach"/>
    <m/>
    <m/>
    <m/>
    <n v="0"/>
    <n v="1"/>
    <n v="3.6666362393320003E-2"/>
    <n v="5.2702834843E-3"/>
    <n v="134.65168977424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7.6357952794577"/>
    <n v="14.4911261665948"/>
    <n v="0.10920656099999999"/>
  </r>
  <r>
    <n v="830000"/>
    <n v="2400000"/>
    <n v="2400000"/>
    <x v="0"/>
    <x v="0"/>
    <s v="BR3-5, BR-7"/>
    <s v="62-304.520 (10), F.A.C."/>
    <n v="0.59"/>
    <n v="0.64"/>
    <s v="City of Cocoa Beach"/>
    <n v="6.7604489350750002E-2"/>
    <n v="3743.6912227973398"/>
    <n v="10.2396116376063"/>
    <n v="1.4718028344476599"/>
    <n v="0.69224371591039002"/>
    <n v="9.9500479047820001E-2"/>
    <n v="253.09033340410599"/>
    <n v="1400"/>
    <s v="Commercial and Services"/>
    <n v="1400"/>
    <s v="City of Cocoa Beach           Brevard County"/>
    <s v="City of Cocoa Beach"/>
    <m/>
    <m/>
    <m/>
    <n v="0"/>
    <n v="1"/>
    <n v="0.69224371591039002"/>
    <n v="9.9500479047820001E-2"/>
    <n v="287.763715243806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00.08776291803301"/>
    <n v="273.58566191216198"/>
    <n v="0.2333850083"/>
  </r>
  <r>
    <n v="830000"/>
    <n v="2400000"/>
    <n v="2400000"/>
    <x v="0"/>
    <x v="0"/>
    <s v="BR3-5, BR-7"/>
    <s v="62-304.520 (10), F.A.C."/>
    <n v="0.59"/>
    <n v="0.64"/>
    <s v="FDOT District 5"/>
    <n v="6.4760569228510007E-2"/>
    <n v="3743.6912227973398"/>
    <n v="10.2396116376063"/>
    <n v="1.4718028344476599"/>
    <n v="0.66312307833035"/>
    <n v="9.531478935097E-2"/>
    <n v="242.44357460416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66312307833035"/>
    <n v="9.531478935097E-2"/>
    <n v="244.808448825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8.819343216641"/>
    <n v="262.076725500713"/>
    <n v="0.19854699819999999"/>
  </r>
  <r>
    <n v="830000"/>
    <n v="2400000"/>
    <n v="2400000"/>
    <x v="0"/>
    <x v="0"/>
    <s v="BR3-5, BR-7"/>
    <s v="62-304.520 (10), F.A.C."/>
    <n v="0.59"/>
    <n v="0.64"/>
    <s v="FDOT District 5"/>
    <n v="4.4098190158750002E-2"/>
    <n v="3753.6642463209801"/>
    <n v="10.6148698419462"/>
    <n v="1.99133584753139"/>
    <n v="0.46809654880052998"/>
    <n v="8.7814306874370002E-2"/>
    <n v="165.529799726367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46809654880052998"/>
    <n v="8.7814306874370002E-2"/>
    <n v="165.52979972636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535182119103"/>
    <n v="178.459044060157"/>
    <n v="0.13424963479999999"/>
  </r>
  <r>
    <n v="830000"/>
    <n v="2400000"/>
    <n v="2400000"/>
    <x v="0"/>
    <x v="0"/>
    <s v="BR3-5, BR-7"/>
    <s v="62-304.520 (10), F.A.C."/>
    <n v="0.59"/>
    <n v="0.64"/>
    <s v="City of Cocoa Beach"/>
    <n v="1.7810974057300001E-3"/>
    <n v="3753.6642463209801"/>
    <n v="10.6148698419462"/>
    <n v="1.99133584753139"/>
    <n v="1.8906117137689998E-2"/>
    <n v="3.54676311198E-3"/>
    <n v="6.68564165111877"/>
    <n v="1300"/>
    <s v="Residential, High Density"/>
    <n v="1300"/>
    <s v="City of Cocoa Beach           Brevard County"/>
    <s v="City of Cocoa Beach"/>
    <m/>
    <m/>
    <m/>
    <n v="0"/>
    <n v="1"/>
    <n v="1.8906117137689998E-2"/>
    <n v="3.54676311198E-3"/>
    <n v="6.6856416511178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517057218535"/>
    <n v="7.2078454753135599"/>
    <n v="5.4222560000000003E-3"/>
  </r>
  <r>
    <n v="830000"/>
    <n v="2400000"/>
    <n v="2400000"/>
    <x v="0"/>
    <x v="0"/>
    <s v="BR3-5, BR-7"/>
    <s v="62-304.520 (10), F.A.C."/>
    <n v="0.59"/>
    <n v="0.64"/>
    <s v="FDOT District 5"/>
    <n v="0.16131703413407"/>
    <n v="3753.6642463209801"/>
    <n v="10.6148698419462"/>
    <n v="1.99133584753139"/>
    <n v="1.71235932062199"/>
    <n v="0.32123639288861999"/>
    <n v="605.529983351614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71235932062199"/>
    <n v="0.32123639288861999"/>
    <n v="605.52998335161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6.350987536989"/>
    <n v="652.82687562799595"/>
    <n v="0.49110298730000002"/>
  </r>
  <r>
    <n v="830000"/>
    <n v="2400000"/>
    <n v="2400000"/>
    <x v="0"/>
    <x v="0"/>
    <s v="BR3-5, BR-7"/>
    <s v="62-304.520 (10), F.A.C."/>
    <n v="0.59"/>
    <n v="0.64"/>
    <s v="City of Cocoa Beach"/>
    <n v="3.5938569709299999E-3"/>
    <n v="3753.6642463209801"/>
    <n v="10.6148698419462"/>
    <n v="1.99133584753139"/>
    <n v="3.8148323976990001E-2"/>
    <n v="7.1565762171099997E-3"/>
    <n v="13.490132418171299"/>
    <n v="1210"/>
    <s v="Fixed Single Family Units"/>
    <n v="1210"/>
    <s v="City of Cocoa Beach           Brevard County"/>
    <s v="City of Cocoa Beach"/>
    <m/>
    <m/>
    <m/>
    <n v="0"/>
    <n v="1"/>
    <n v="3.8148323976990001E-2"/>
    <n v="7.1565762171099997E-3"/>
    <n v="13.490132418170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4.906197167850902"/>
    <n v="14.5438231639944"/>
    <n v="1.09409022E-2"/>
  </r>
  <r>
    <n v="830000"/>
    <n v="2400000"/>
    <n v="2400000"/>
    <x v="0"/>
    <x v="0"/>
    <s v="BR3-5, BR-7"/>
    <s v="62-304.520 (10), F.A.C."/>
    <n v="0.59"/>
    <n v="0.64"/>
    <s v="FDOT District 5"/>
    <n v="3.8077930988999998E-4"/>
    <n v="3753.6642463209801"/>
    <n v="10.6148698419462"/>
    <n v="1.99133584753139"/>
    <n v="4.0419228130200002E-3"/>
    <n v="7.5825948978000004E-4"/>
    <n v="1.42931768128412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4.0419228130200002E-3"/>
    <n v="7.5825948978000004E-4"/>
    <n v="1.4293176812829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2.4969522494318"/>
    <n v="1.5409591957562201"/>
    <n v="1.1592194999999999E-3"/>
  </r>
  <r>
    <n v="830000"/>
    <n v="2400000"/>
    <n v="2400000"/>
    <x v="0"/>
    <x v="0"/>
    <s v="BR3-5, BR-7"/>
    <s v="62-304.520 (10), F.A.C."/>
    <n v="0.59"/>
    <n v="0.64"/>
    <s v="City of Cocoa Beach"/>
    <n v="8.5114726963700007E-3"/>
    <n v="3753.6642463209801"/>
    <n v="10.6148698419462"/>
    <n v="1.99133584753139"/>
    <n v="9.0348174835240005E-2"/>
    <n v="1.694920069556E-2"/>
    <n v="31.9492107439013"/>
    <n v="1210"/>
    <s v="Fixed Single Family Units"/>
    <n v="1210"/>
    <s v="City of Cocoa Beach           Brevard County"/>
    <s v="City of Cocoa Beach"/>
    <m/>
    <m/>
    <m/>
    <n v="0"/>
    <n v="1"/>
    <n v="9.0348174835240005E-2"/>
    <n v="1.694920069556E-2"/>
    <n v="31.9492107438997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5.1287327677842"/>
    <n v="34.444707945385503"/>
    <n v="2.5911768599999999E-2"/>
  </r>
  <r>
    <n v="830000"/>
    <n v="2400000"/>
    <n v="2400000"/>
    <x v="0"/>
    <x v="0"/>
    <s v="BR3-5, BR-7"/>
    <s v="62-304.520 (10), F.A.C."/>
    <n v="0.59"/>
    <n v="0.64"/>
    <s v="FDOT District 5"/>
    <n v="5.4779775338000003E-4"/>
    <n v="3753.6642463209801"/>
    <n v="10.6148698419462"/>
    <n v="1.99133584753139"/>
    <n v="5.81480185189E-3"/>
    <n v="1.09084930351E-3"/>
    <n v="2.05624884109623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81480185189E-3"/>
    <n v="1.09084930351E-3"/>
    <n v="2.0562488410967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0.859877082125699"/>
    <n v="2.2168588564628999"/>
    <n v="1.6676795E-3"/>
  </r>
  <r>
    <n v="830000"/>
    <n v="2400000"/>
    <n v="2400000"/>
    <x v="0"/>
    <x v="0"/>
    <s v="BR3-5, BR-7"/>
    <s v="62-304.520 (10), F.A.C."/>
    <n v="0.59"/>
    <n v="0.64"/>
    <s v="City of Cocoa Beach"/>
    <n v="1.166453530565E-2"/>
    <n v="3753.6642463209801"/>
    <n v="10.6148698419462"/>
    <n v="1.99133584753139"/>
    <n v="0.12381752403632"/>
    <n v="2.322800729894E-2"/>
    <n v="43.784749126789698"/>
    <n v="1210"/>
    <s v="Fixed Single Family Units"/>
    <n v="1210"/>
    <s v="City of Cocoa Beach           Brevard County"/>
    <s v="City of Cocoa Beach"/>
    <m/>
    <m/>
    <m/>
    <n v="0"/>
    <n v="1"/>
    <n v="0.12381752403632"/>
    <n v="2.322800729894E-2"/>
    <n v="43.7847491267885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5.753243477153397"/>
    <n v="47.204699616004099"/>
    <n v="3.5510745400000002E-2"/>
  </r>
  <r>
    <n v="830000"/>
    <n v="2400000"/>
    <n v="2400000"/>
    <x v="0"/>
    <x v="0"/>
    <s v="BR3-5, BR-7"/>
    <s v="62-304.520 (10), F.A.C."/>
    <n v="0.59"/>
    <n v="0.64"/>
    <s v="FDOT District 5"/>
    <n v="5.2405096819000004E-4"/>
    <n v="3753.6642463209801"/>
    <n v="10.6148698419462"/>
    <n v="1.99133584753139"/>
    <n v="5.5627328179100001E-3"/>
    <n v="1.0435614788900001E-3"/>
    <n v="1.96711138255596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5627328179100001E-3"/>
    <n v="1.0435614788900001E-3"/>
    <n v="1.9671113825571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6352389838809"/>
    <n v="2.12075902629803"/>
    <n v="1.5953864E-3"/>
  </r>
  <r>
    <n v="830000"/>
    <n v="2400000"/>
    <n v="2400000"/>
    <x v="0"/>
    <x v="0"/>
    <s v="BR3-5, BR-7"/>
    <s v="62-304.520 (10), F.A.C."/>
    <n v="0.59"/>
    <n v="0.64"/>
    <s v="City of Cocoa Beach"/>
    <n v="8.81788471207E-3"/>
    <n v="3753.6642463209801"/>
    <n v="10.6148698419462"/>
    <n v="1.99133584753139"/>
    <n v="9.3600698499970006E-2"/>
    <n v="1.7559369926550002E-2"/>
    <n v="33.099378571900097"/>
    <n v="1210"/>
    <s v="Fixed Single Family Units"/>
    <n v="1210"/>
    <s v="City of Cocoa Beach           Brevard County"/>
    <s v="City of Cocoa Beach"/>
    <m/>
    <m/>
    <m/>
    <n v="0"/>
    <n v="1"/>
    <n v="9.3600698499970006E-2"/>
    <n v="1.7559369926550002E-2"/>
    <n v="33.0993785718998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5.876665143859299"/>
    <n v="35.684713379047302"/>
    <n v="2.6844589299999999E-2"/>
  </r>
  <r>
    <n v="830000"/>
    <n v="2400000"/>
    <n v="2400000"/>
    <x v="0"/>
    <x v="0"/>
    <s v="BR3-5, BR-7"/>
    <s v="62-304.520 (10), F.A.C."/>
    <n v="0.59"/>
    <n v="0.64"/>
    <s v="FDOT District 5"/>
    <n v="3.2464345199000001E-4"/>
    <n v="3753.6642463209801"/>
    <n v="10.6148698419462"/>
    <n v="1.99133584753139"/>
    <n v="3.44604798792E-3"/>
    <n v="6.4647414361000005E-4"/>
    <n v="1.21860251854084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44604798792E-3"/>
    <n v="6.4647414361000005E-4"/>
    <n v="1.21860251854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.4006335035955"/>
    <n v="1.3137854386811201"/>
    <n v="9.883232E-4"/>
  </r>
  <r>
    <n v="830000"/>
    <n v="2400000"/>
    <n v="2400000"/>
    <x v="0"/>
    <x v="0"/>
    <s v="BR3-5, BR-7"/>
    <s v="62-304.520 (10), F.A.C."/>
    <n v="0.59"/>
    <n v="0.64"/>
    <s v="City of Cocoa Beach"/>
    <n v="0.28768526236726"/>
    <n v="3753.6642463209801"/>
    <n v="10.6148698419462"/>
    <n v="1.99133584753139"/>
    <n v="3.0537416154746202"/>
    <n v="0.57287797575840005"/>
    <n v="1079.8738835414499"/>
    <n v="1300"/>
    <s v="Residential, High Density"/>
    <n v="1300"/>
    <s v="City of Cocoa Beach           Brevard County"/>
    <s v="City of Cocoa Beach"/>
    <m/>
    <m/>
    <m/>
    <n v="0"/>
    <n v="1"/>
    <n v="3.0537416154746202"/>
    <n v="0.57287797575840005"/>
    <n v="1079.8738835414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7.239941728395"/>
    <n v="1164.22095164077"/>
    <n v="0.87581012449999995"/>
  </r>
  <r>
    <n v="830000"/>
    <n v="2400000"/>
    <n v="2400000"/>
    <x v="0"/>
    <x v="0"/>
    <s v="BR3-5, BR-7"/>
    <s v="62-304.520 (10), F.A.C."/>
    <n v="0.59"/>
    <n v="0.64"/>
    <s v="City of Cocoa Beach"/>
    <n v="8.8516848433599998E-2"/>
    <n v="3753.6642463209801"/>
    <n v="10.6148698419462"/>
    <n v="1.99133584753139"/>
    <n v="0.93959482494195001"/>
    <n v="0.17626677339633001"/>
    <n v="332.26252916222103"/>
    <n v="1300"/>
    <s v="Residential, High Density"/>
    <n v="1300"/>
    <s v="City of Cocoa Beach           Brevard County"/>
    <s v="City of Cocoa Beach"/>
    <m/>
    <m/>
    <m/>
    <n v="0"/>
    <n v="1"/>
    <n v="0.93959482494195001"/>
    <n v="0.17626677339633001"/>
    <n v="332.262529162221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2.913998132223497"/>
    <n v="358.21497657412499"/>
    <n v="0.2694748817"/>
  </r>
  <r>
    <n v="830000"/>
    <n v="2400000"/>
    <n v="2400000"/>
    <x v="0"/>
    <x v="0"/>
    <s v="BR3-5, BR-7"/>
    <s v="62-304.520 (10), F.A.C."/>
    <n v="0.59"/>
    <n v="0.64"/>
    <s v="City of Cocoa Beach"/>
    <n v="8.0991921828469995E-2"/>
    <n v="3761.2322547292601"/>
    <n v="10.8173987223118"/>
    <n v="2.08382626605027"/>
    <n v="0.87612191170488996"/>
    <n v="0.16877309404405999"/>
    <n v="304.62942875375899"/>
    <n v="1300"/>
    <s v="Residential, High Density"/>
    <n v="1300"/>
    <s v="City of Cocoa Beach           Brevard County"/>
    <s v="City of Cocoa Beach"/>
    <m/>
    <m/>
    <m/>
    <n v="0"/>
    <n v="1"/>
    <n v="0.87612191170488996"/>
    <n v="0.16877309404405999"/>
    <n v="477.00766593812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14001630306301"/>
    <n v="327.76267901407101"/>
    <n v="0.3868675312"/>
  </r>
  <r>
    <n v="830000"/>
    <n v="2400000"/>
    <n v="2400000"/>
    <x v="0"/>
    <x v="0"/>
    <s v="BR3-5, BR-7"/>
    <s v="62-304.520 (10), F.A.C."/>
    <n v="0.59"/>
    <n v="0.64"/>
    <s v="City of Cocoa Beach"/>
    <n v="5.2442674855639998E-2"/>
    <n v="3761.2322547292601"/>
    <n v="10.8173987223118"/>
    <n v="2.08382626605027"/>
    <n v="0.56729332397801002"/>
    <n v="0.10928142332611"/>
    <n v="197.249080191312"/>
    <n v="1300"/>
    <s v="Residential, High Density"/>
    <n v="1300"/>
    <s v="City of Cocoa Beach           Brevard County"/>
    <s v="City of Cocoa Beach"/>
    <m/>
    <m/>
    <m/>
    <n v="0"/>
    <n v="1"/>
    <n v="0.56729332397801002"/>
    <n v="0.10928142332611"/>
    <n v="197.24908019131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9.219337700633403"/>
    <n v="212.22797554738099"/>
    <n v="0.1599749231"/>
  </r>
  <r>
    <n v="830000"/>
    <n v="2400000"/>
    <n v="2400000"/>
    <x v="0"/>
    <x v="0"/>
    <s v="BR3-5, BR-7"/>
    <s v="62-304.520 (10), F.A.C."/>
    <n v="0.59"/>
    <n v="0.64"/>
    <s v="City of Cocoa Beach"/>
    <n v="7.4684193701400003E-2"/>
    <n v="3761.2322547292601"/>
    <n v="10.8173987223118"/>
    <n v="2.08382626605027"/>
    <n v="0.80788870152245995"/>
    <n v="0.15562888449376999"/>
    <n v="280.90459826816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80788870152245995"/>
    <n v="0.15562888449376999"/>
    <n v="280.904598268169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084621883866006"/>
    <n v="302.23620893229298"/>
    <n v="0.22782205859999999"/>
  </r>
  <r>
    <n v="830000"/>
    <n v="2400000"/>
    <n v="2400000"/>
    <x v="0"/>
    <x v="0"/>
    <s v="BR3-5, BR-7"/>
    <s v="62-304.520 (10), F.A.C."/>
    <n v="0.59"/>
    <n v="0.64"/>
    <s v="City of Cocoa Beach"/>
    <n v="5.2878242908650001E-2"/>
    <n v="3761.2322547292601"/>
    <n v="10.8173987223118"/>
    <n v="2.08382626605027"/>
    <n v="0.57200503727819996"/>
    <n v="0.11018907147564"/>
    <n v="198.88735280144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7200503727819996"/>
    <n v="0.11018907147564"/>
    <n v="198.88735280144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6.333969361999493"/>
    <n v="213.990656920124"/>
    <n v="0.16130361139999999"/>
  </r>
  <r>
    <n v="830000"/>
    <n v="2400000"/>
    <n v="2400000"/>
    <x v="0"/>
    <x v="0"/>
    <s v="BR3-5, BR-7"/>
    <s v="62-304.520 (10), F.A.C."/>
    <n v="0.59"/>
    <n v="0.64"/>
    <s v="City of Cocoa Beach"/>
    <n v="5.2828926467289997E-2"/>
    <n v="3761.2322547292601"/>
    <n v="10.8173987223118"/>
    <n v="2.08382626605027"/>
    <n v="0.57147156166838997"/>
    <n v="0.11008630457978"/>
    <n v="198.701862211498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7147156166838997"/>
    <n v="0.11008630457978"/>
    <n v="198.701862211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6.318051599793904"/>
    <n v="213.791080362657"/>
    <n v="0.1611531729"/>
  </r>
  <r>
    <n v="830000"/>
    <n v="2400000"/>
    <n v="2400000"/>
    <x v="0"/>
    <x v="0"/>
    <s v="BR3-5, BR-7"/>
    <s v="62-304.520 (10), F.A.C."/>
    <n v="0.59"/>
    <n v="0.64"/>
    <s v="City of Cocoa Beach"/>
    <n v="2.972531496901E-2"/>
    <n v="3761.2322547292601"/>
    <n v="10.8173987223118"/>
    <n v="2.08382626605027"/>
    <n v="0.32155058416611998"/>
    <n v="6.1942392099039997E-2"/>
    <n v="111.80381344343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2155058416611998"/>
    <n v="6.1942392099039997E-2"/>
    <n v="111.80381344343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8.658103558523898"/>
    <n v="120.29408179021399"/>
    <n v="9.0676247700000004E-2"/>
  </r>
  <r>
    <n v="830000"/>
    <n v="2400000"/>
    <n v="2400000"/>
    <x v="0"/>
    <x v="0"/>
    <s v="BR3-5, BR-7"/>
    <s v="62-304.520 (10), F.A.C."/>
    <n v="0.59"/>
    <n v="0.64"/>
    <s v="City of Cocoa Beach"/>
    <n v="0.17880890496697999"/>
    <n v="3761.2322547292601"/>
    <n v="10.8173987223118"/>
    <n v="2.08382626605027"/>
    <n v="1.93424722012787"/>
    <n v="0.37260669277389002"/>
    <n v="672.541820794649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93424722012787"/>
    <n v="0.37260669277389002"/>
    <n v="672.54182079464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5.37234824534499"/>
    <n v="723.61396544796105"/>
    <n v="0.54545159840000002"/>
  </r>
  <r>
    <n v="830000"/>
    <n v="2400000"/>
    <n v="2400000"/>
    <x v="0"/>
    <x v="0"/>
    <s v="BR3-5, BR-7"/>
    <s v="62-304.520 (10), F.A.C."/>
    <n v="0.59"/>
    <n v="0.64"/>
    <s v="City of Cocoa Beach"/>
    <n v="4.9573017904569999E-2"/>
    <n v="3761.2322547292601"/>
    <n v="10.8173987223118"/>
    <n v="2.08382626605027"/>
    <n v="0.53625110054203995"/>
    <n v="0.10330155679692"/>
    <n v="186.45563390693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3625110054203995"/>
    <n v="0.10330155679692"/>
    <n v="186.455633906940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9.8974334421086"/>
    <n v="200.61488588486"/>
    <n v="0.15122111429999999"/>
  </r>
  <r>
    <n v="830000"/>
    <n v="2400000"/>
    <n v="2400000"/>
    <x v="0"/>
    <x v="0"/>
    <s v="BR3-5, BR-7"/>
    <s v="62-304.520 (10), F.A.C."/>
    <n v="0.59"/>
    <n v="0.64"/>
    <s v="City of Cocoa Beach"/>
    <n v="6.5637630701700003E-3"/>
    <n v="3763.12416624753"/>
    <n v="10.7038603260537"/>
    <n v="2.048110078154"/>
    <n v="7.0257603116479994E-2"/>
    <n v="1.344330929464E-2"/>
    <n v="24.7002554309062"/>
    <n v="1300"/>
    <s v="Residential, High Density"/>
    <n v="1300"/>
    <s v="City of Cocoa Beach           Brevard County"/>
    <s v="City of Cocoa Beach"/>
    <m/>
    <m/>
    <m/>
    <n v="0"/>
    <n v="1"/>
    <n v="7.0257603116479994E-2"/>
    <n v="1.344330929464E-2"/>
    <n v="24.700255430907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4.105083614263506"/>
    <n v="26.562606735659099"/>
    <n v="2.0032648399999999E-2"/>
  </r>
  <r>
    <n v="830000"/>
    <n v="2400000"/>
    <n v="2400000"/>
    <x v="0"/>
    <x v="0"/>
    <s v="BR3-5, BR-7"/>
    <s v="62-304.520 (10), F.A.C."/>
    <n v="0.59"/>
    <n v="0.64"/>
    <s v="City of Cocoa Beach"/>
    <n v="0.53319981271711003"/>
    <n v="3763.12416624753"/>
    <n v="10.7038603260537"/>
    <n v="2.048110078154"/>
    <n v="5.70729632120206"/>
    <n v="1.09205191009575"/>
    <n v="2006.4971006744499"/>
    <n v="1300"/>
    <s v="Residential, High Density"/>
    <n v="1300"/>
    <s v="City of Cocoa Beach           Brevard County"/>
    <s v="City of Cocoa Beach"/>
    <m/>
    <m/>
    <m/>
    <n v="0"/>
    <n v="1"/>
    <n v="5.70729632120206"/>
    <n v="1.09205191009575"/>
    <n v="2006.4971006744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11.20995641149599"/>
    <n v="2157.7830865167398"/>
    <n v="1.6273293598"/>
  </r>
  <r>
    <n v="830000"/>
    <n v="2400000"/>
    <n v="2400000"/>
    <x v="0"/>
    <x v="0"/>
    <s v="BR3-5, BR-7"/>
    <s v="62-304.520 (10), F.A.C."/>
    <n v="0.59"/>
    <n v="0.64"/>
    <s v="City of Cocoa Beach"/>
    <n v="2.7737762133399999E-2"/>
    <n v="3763.12416624753"/>
    <n v="10.7038603260537"/>
    <n v="2.048110078154"/>
    <n v="0.29690113163328002"/>
    <n v="5.6809990170859997E-2"/>
    <n v="104.380643001846"/>
    <n v="1300"/>
    <s v="Residential, High Density"/>
    <n v="1300"/>
    <s v="City of Cocoa Beach           Brevard County"/>
    <s v="City of Cocoa Beach"/>
    <m/>
    <m/>
    <m/>
    <n v="0"/>
    <n v="1"/>
    <n v="0.29690113163328002"/>
    <n v="5.6809990170859997E-2"/>
    <n v="104.38064300184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2.530060663938997"/>
    <n v="112.25074083257699"/>
    <n v="8.4655833700000002E-2"/>
  </r>
  <r>
    <n v="830000"/>
    <n v="2400000"/>
    <n v="2400000"/>
    <x v="0"/>
    <x v="0"/>
    <s v="BR3-5, BR-7"/>
    <s v="62-304.520 (10), F.A.C."/>
    <n v="0.59"/>
    <n v="0.64"/>
    <s v="City of Cocoa Beach"/>
    <n v="5.02621155631E-2"/>
    <n v="3763.12416624753"/>
    <n v="10.7038603260537"/>
    <n v="2.048110078154"/>
    <n v="0.53799866467942004"/>
    <n v="0.10294234543413"/>
    <n v="189.14258172223899"/>
    <n v="1300"/>
    <s v="Residential, High Density"/>
    <n v="1300"/>
    <s v="City of Cocoa Beach           Brevard County"/>
    <s v="City of Cocoa Beach"/>
    <m/>
    <m/>
    <m/>
    <n v="0"/>
    <n v="1"/>
    <n v="0.53799866467942004"/>
    <n v="0.10294234543413"/>
    <n v="189.14258172224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731814933666"/>
    <n v="203.40356516995499"/>
    <n v="0.15340030960000001"/>
  </r>
  <r>
    <n v="830000"/>
    <n v="2400000"/>
    <n v="2400000"/>
    <x v="0"/>
    <x v="0"/>
    <s v="BR3-5, BR-7"/>
    <s v="62-304.520 (10), F.A.C."/>
    <n v="0.59"/>
    <n v="0.64"/>
    <s v="City of Cocoa Beach"/>
    <n v="5.592529271169E-2"/>
    <n v="3736.5451476027401"/>
    <n v="9.8570122895771597"/>
    <n v="1.66619383769896"/>
    <n v="0.55125629755733996"/>
    <n v="9.318237808773E-2"/>
    <n v="208.96738111013499"/>
    <n v="1200"/>
    <s v="Residential, Medium Density-Two-five dwellingunits per acre"/>
    <n v="1200"/>
    <s v="City of Cocoa Beach           Brevard County"/>
    <s v="City of Cocoa Beach"/>
    <m/>
    <m/>
    <m/>
    <n v="0"/>
    <n v="1"/>
    <n v="0.55125629755733996"/>
    <n v="9.318237808773E-2"/>
    <n v="208.96738111013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1.844301726132997"/>
    <n v="226.321629984911"/>
    <n v="0.16947881679999999"/>
  </r>
  <r>
    <n v="830000"/>
    <n v="2400000"/>
    <n v="2400000"/>
    <x v="0"/>
    <x v="0"/>
    <s v="BR3-5, BR-7"/>
    <s v="62-304.520 (10), F.A.C."/>
    <n v="0.59"/>
    <n v="0.64"/>
    <s v="City of Cocoa Beach"/>
    <n v="3.2073175801490002E-2"/>
    <n v="3736.5451476027401"/>
    <n v="9.8570122895771597"/>
    <n v="1.66619383769896"/>
    <n v="0.31614568804110998"/>
    <n v="5.3440127875879997E-2"/>
    <n v="119.84286940928899"/>
    <n v="1390"/>
    <s v="High Density Under Construction"/>
    <n v="1390"/>
    <s v="City of Cocoa Beach           Brevard County"/>
    <s v="City of Cocoa Beach"/>
    <m/>
    <m/>
    <m/>
    <n v="0"/>
    <n v="1"/>
    <n v="0.31614568804110998"/>
    <n v="5.3440127875879997E-2"/>
    <n v="119.84286940928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4.359638084650101"/>
    <n v="129.795537479047"/>
    <n v="9.7196163299999999E-2"/>
  </r>
  <r>
    <n v="830000"/>
    <n v="2400000"/>
    <n v="2400000"/>
    <x v="0"/>
    <x v="0"/>
    <s v="BR3-5, BR-7"/>
    <s v="62-304.520 (10), F.A.C."/>
    <n v="0.59"/>
    <n v="0.64"/>
    <s v="City of Cocoa Beach"/>
    <n v="6.5337214228480003E-2"/>
    <n v="3736.5451476027401"/>
    <n v="9.8570122895771597"/>
    <n v="1.66619383769896"/>
    <n v="0.64402972361694"/>
    <n v="0.10886446371991999"/>
    <n v="244.13545078333701"/>
    <n v="1300"/>
    <s v="Residential, High Density"/>
    <n v="1300"/>
    <s v="City of Cocoa Beach           Brevard County"/>
    <s v="City of Cocoa Beach"/>
    <m/>
    <m/>
    <m/>
    <n v="0"/>
    <n v="1"/>
    <n v="0.64402972361694"/>
    <n v="0.10886446371991999"/>
    <n v="244.13545078333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8.361208642119195"/>
    <n v="264.410325022282"/>
    <n v="0.1980011766"/>
  </r>
  <r>
    <n v="830000"/>
    <n v="2400000"/>
    <n v="2400000"/>
    <x v="0"/>
    <x v="0"/>
    <s v="BR3-5, BR-7"/>
    <s v="62-304.520 (10), F.A.C."/>
    <n v="0.59"/>
    <n v="0.64"/>
    <s v="City of Cocoa Beach"/>
    <n v="0.16835613205153999"/>
    <n v="3736.5451476027401"/>
    <n v="9.8570122895771597"/>
    <n v="1.66619383769896"/>
    <n v="1.65948846265772"/>
    <n v="0.28051394976311"/>
    <n v="629.070288286356"/>
    <n v="1300"/>
    <s v="Residential, High Density"/>
    <n v="1300"/>
    <s v="City of Cocoa Beach           Brevard County"/>
    <s v="City of Cocoa Beach"/>
    <m/>
    <m/>
    <m/>
    <n v="0"/>
    <n v="1"/>
    <n v="1.65948846265772"/>
    <n v="0.28051394976311"/>
    <n v="629.07028828635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732455825112"/>
    <n v="681.313094243205"/>
    <n v="0.51019488099999999"/>
  </r>
  <r>
    <n v="830000"/>
    <n v="2400000"/>
    <n v="2400000"/>
    <x v="0"/>
    <x v="0"/>
    <s v="BR3-5, BR-7"/>
    <s v="62-304.520 (10), F.A.C."/>
    <n v="0.59"/>
    <n v="0.64"/>
    <s v="City of Cocoa Beach"/>
    <n v="4.7124525758769999E-2"/>
    <n v="3736.5451476027401"/>
    <n v="9.8570122895771597"/>
    <n v="1.66619383769896"/>
    <n v="0.46450702954473999"/>
    <n v="7.8518594423750004E-2"/>
    <n v="176.08291805703101"/>
    <n v="1210"/>
    <s v="Fixed Single Family Units"/>
    <n v="1210"/>
    <s v="City of Cocoa Beach           Brevard County"/>
    <s v="City of Cocoa Beach"/>
    <m/>
    <m/>
    <m/>
    <n v="0"/>
    <n v="1"/>
    <n v="0.46450702954473999"/>
    <n v="7.8518594423750004E-2"/>
    <n v="176.08291805703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1.156639302238801"/>
    <n v="190.706189719452"/>
    <n v="0.1428085305"/>
  </r>
  <r>
    <n v="830000"/>
    <n v="2400000"/>
    <n v="2400000"/>
    <x v="0"/>
    <x v="0"/>
    <s v="BR3-5, BR-7"/>
    <s v="62-304.520 (10), F.A.C."/>
    <n v="0.59"/>
    <n v="0.64"/>
    <s v="City of Cocoa Beach"/>
    <n v="0.20925737334229"/>
    <n v="3736.5451476027401"/>
    <n v="9.8570122895771597"/>
    <n v="1.66619383769896"/>
    <n v="2.0626525007196101"/>
    <n v="0.34866334595600001"/>
    <n v="781.89962296223996"/>
    <n v="1210"/>
    <s v="Fixed Single Family Units"/>
    <n v="1210"/>
    <s v="City of Cocoa Beach           Brevard County"/>
    <s v="City of Cocoa Beach"/>
    <m/>
    <m/>
    <m/>
    <n v="0"/>
    <n v="1"/>
    <n v="2.0626525007196101"/>
    <n v="0.34866334595600001"/>
    <n v="781.899622962239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6.5738504495"/>
    <n v="846.83454524481294"/>
    <n v="0.63414405760000003"/>
  </r>
  <r>
    <n v="830000"/>
    <n v="2400000"/>
    <n v="2400000"/>
    <x v="0"/>
    <x v="0"/>
    <s v="BR3-5, BR-7"/>
    <s v="62-304.520 (10), F.A.C."/>
    <n v="0.59"/>
    <n v="0.64"/>
    <s v="City of Cocoa Beach"/>
    <n v="3.9689739773620003E-2"/>
    <n v="3736.5451476027401"/>
    <n v="9.8570122895771597"/>
    <n v="1.66619383769896"/>
    <n v="0.39122225271875999"/>
    <n v="6.6130799830690007E-2"/>
    <n v="148.30250456076101"/>
    <n v="1300"/>
    <s v="Residential, High Density"/>
    <n v="1300"/>
    <s v="City of Cocoa Beach           Brevard County"/>
    <s v="City of Cocoa Beach"/>
    <m/>
    <m/>
    <m/>
    <n v="0"/>
    <n v="1"/>
    <n v="0.39122225271875999"/>
    <n v="6.6130799830690007E-2"/>
    <n v="148.30250456076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7.344799732007402"/>
    <n v="160.618678306286"/>
    <n v="0.1202777815"/>
  </r>
  <r>
    <n v="830000"/>
    <n v="2400000"/>
    <n v="2400000"/>
    <x v="0"/>
    <x v="0"/>
    <s v="BR3-5, BR-7"/>
    <s v="62-304.520 (10), F.A.C."/>
    <n v="0.59"/>
    <n v="0.64"/>
    <s v="City of Cocoa Beach"/>
    <n v="4.466840404538E-2"/>
    <n v="2240.08209311362"/>
    <n v="6.4464406966650998"/>
    <n v="0.88509513281274999"/>
    <n v="0.28795221769326002"/>
    <n v="3.9535787011080001E-2"/>
    <n v="100.06089203003501"/>
    <n v="1400"/>
    <s v="Commercial and Services"/>
    <n v="1400"/>
    <s v="City of Cocoa Beach           Brevard County"/>
    <s v="City of Cocoa Beach"/>
    <m/>
    <m/>
    <m/>
    <n v="0"/>
    <n v="1"/>
    <n v="0.28795221769326002"/>
    <n v="3.9535787011080001E-2"/>
    <n v="446.33649354198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7.009349344038"/>
    <n v="180.76661778943199"/>
    <n v="0.36199228999999999"/>
  </r>
  <r>
    <n v="830000"/>
    <n v="2400000"/>
    <n v="2400000"/>
    <x v="0"/>
    <x v="0"/>
    <s v="BR3-5, BR-7"/>
    <s v="62-304.520 (10), F.A.C."/>
    <n v="0.59"/>
    <n v="0.64"/>
    <s v="City of Cocoa Beach"/>
    <n v="6.5748096607700004E-3"/>
    <n v="3746.5678660132098"/>
    <n v="10.035655865858001"/>
    <n v="1.76393448973801"/>
    <n v="6.5982527139000005E-2"/>
    <n v="1.1597533524090001E-2"/>
    <n v="24.632970600194099"/>
    <n v="1400"/>
    <s v="Commercial and Services"/>
    <n v="1400"/>
    <s v="City of Cocoa Beach           Brevard County"/>
    <s v="City of Cocoa Beach"/>
    <m/>
    <m/>
    <m/>
    <n v="0"/>
    <n v="1"/>
    <n v="6.5982527139000005E-2"/>
    <n v="1.1597533524090001E-2"/>
    <n v="25.485227314517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9.199497045323"/>
    <n v="26.607310701742598"/>
    <n v="2.0669284100000001E-2"/>
  </r>
  <r>
    <n v="830000"/>
    <n v="2400000"/>
    <n v="2400000"/>
    <x v="0"/>
    <x v="0"/>
    <s v="BR3-5, BR-7"/>
    <s v="62-304.520 (10), F.A.C."/>
    <n v="0.59"/>
    <n v="0.64"/>
    <s v="City of Cocoa Beach"/>
    <n v="3.9548636699590002E-2"/>
    <n v="3746.5678660132098"/>
    <n v="10.035655865858001"/>
    <n v="1.76393448973801"/>
    <n v="0.39689650788092001"/>
    <n v="6.9761204296519996E-2"/>
    <n v="148.171651403314"/>
    <n v="1410"/>
    <s v="Retail Sales and Services"/>
    <n v="1410"/>
    <s v="City of Cocoa Beach           Brevard County"/>
    <s v="City of Cocoa Beach"/>
    <m/>
    <m/>
    <m/>
    <n v="0"/>
    <n v="1"/>
    <n v="0.39689650788092001"/>
    <n v="6.9761204296519996E-2"/>
    <n v="190.492800019072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8.132905131939793"/>
    <n v="160.047654424901"/>
    <n v="0.1544953771"/>
  </r>
  <r>
    <n v="830000"/>
    <n v="2400000"/>
    <n v="2400000"/>
    <x v="0"/>
    <x v="0"/>
    <s v="BR3-5, BR-7"/>
    <s v="62-304.520 (10), F.A.C."/>
    <n v="0.59"/>
    <n v="0.64"/>
    <s v="City of Cocoa Beach"/>
    <n v="0.17104305256784"/>
    <n v="3746.5678660132098"/>
    <n v="10.035655865858001"/>
    <n v="1.76393448973801"/>
    <n v="1.7165292138167301"/>
    <n v="0.30170873965449002"/>
    <n v="640.824404455489"/>
    <n v="1300"/>
    <s v="Residential, High Density"/>
    <n v="1300"/>
    <s v="City of Cocoa Beach           Brevard County"/>
    <s v="City of Cocoa Beach"/>
    <m/>
    <m/>
    <m/>
    <n v="0"/>
    <n v="1"/>
    <n v="1.7165292138167301"/>
    <n v="0.30170873965449002"/>
    <n v="640.82440445548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1.19787725055301"/>
    <n v="692.186675791075"/>
    <n v="0.5197278219"/>
  </r>
  <r>
    <n v="830000"/>
    <n v="2400000"/>
    <n v="2400000"/>
    <x v="0"/>
    <x v="0"/>
    <s v="BR3-5, BR-7"/>
    <s v="62-304.520 (10), F.A.C."/>
    <n v="0.59"/>
    <n v="0.64"/>
    <s v="City of Cocoa Beach"/>
    <n v="5.9026813785419997E-2"/>
    <n v="3746.5678660132098"/>
    <n v="10.035655865858001"/>
    <n v="1.76393448973801"/>
    <n v="0.59237279000862997"/>
    <n v="0.10411943265545"/>
    <n v="221.147963761625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9237279000862997"/>
    <n v="0.10411943265545"/>
    <n v="221.14796376162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19990848629899"/>
    <n v="238.87304046136401"/>
    <n v="0.1793576348"/>
  </r>
  <r>
    <n v="830000"/>
    <n v="2400000"/>
    <n v="2400000"/>
    <x v="0"/>
    <x v="0"/>
    <s v="BR3-5, BR-7"/>
    <s v="62-304.520 (10), F.A.C."/>
    <n v="0.59"/>
    <n v="0.64"/>
    <s v="City of Cocoa Beach"/>
    <n v="0.17617378278142001"/>
    <n v="3746.5678660132098"/>
    <n v="10.035655865858001"/>
    <n v="1.76393448973801"/>
    <n v="1.7680194565807801"/>
    <n v="0.31075901163575997"/>
    <n v="660.04703340287097"/>
    <n v="1300"/>
    <s v="Residential, High Density"/>
    <n v="1300"/>
    <s v="City of Cocoa Beach           Brevard County"/>
    <s v="City of Cocoa Beach"/>
    <m/>
    <m/>
    <m/>
    <n v="0"/>
    <n v="1"/>
    <n v="1.7680194565807801"/>
    <n v="0.31075901163575997"/>
    <n v="660.047033402870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2.111040682123"/>
    <n v="712.95000430750599"/>
    <n v="0.53531795090000001"/>
  </r>
  <r>
    <n v="830000"/>
    <n v="2400000"/>
    <n v="2400000"/>
    <x v="0"/>
    <x v="0"/>
    <s v="BR3-5, BR-7"/>
    <s v="62-304.520 (10), F.A.C."/>
    <n v="0.59"/>
    <n v="0.64"/>
    <s v="City of Cocoa Beach"/>
    <n v="7.9827057735390006E-2"/>
    <n v="3709.0486293050399"/>
    <n v="9.3118554636098292"/>
    <n v="1.3927760784021801"/>
    <n v="0.74333802371721003"/>
    <n v="0.11118121642308"/>
    <n v="296.08243907491402"/>
    <n v="1200"/>
    <s v="Residential, Medium Density-Two-five dwellingunits per acre"/>
    <n v="1200"/>
    <s v="City of Cocoa Beach           Brevard County"/>
    <s v="City of Cocoa Beach"/>
    <m/>
    <m/>
    <m/>
    <n v="0"/>
    <n v="1"/>
    <n v="0.74333802371721003"/>
    <n v="0.11118121642308"/>
    <n v="296.082439074911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9.037360288898"/>
    <n v="323.04864127776898"/>
    <n v="0.24013174300000001"/>
  </r>
  <r>
    <n v="830000"/>
    <n v="2400000"/>
    <n v="2400000"/>
    <x v="0"/>
    <x v="0"/>
    <s v="BR3-5, BR-7"/>
    <s v="62-304.520 (10), F.A.C."/>
    <n v="0.59"/>
    <n v="0.64"/>
    <s v="City of Cocoa Beach"/>
    <n v="6.1311610769600004E-3"/>
    <n v="3709.0486293050399"/>
    <n v="9.3118554636098292"/>
    <n v="1.3927760784021801"/>
    <n v="5.709248577276E-2"/>
    <n v="8.5393344808199993E-3"/>
    <n v="22.740774588546898"/>
    <n v="1300"/>
    <s v="Residential, High Density"/>
    <n v="1300"/>
    <s v="City of Cocoa Beach           Brevard County"/>
    <s v="City of Cocoa Beach"/>
    <m/>
    <m/>
    <m/>
    <n v="0"/>
    <n v="1"/>
    <n v="5.709248577276E-2"/>
    <n v="8.5393344808199993E-3"/>
    <n v="22.7407745885463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0.980293862916099"/>
    <n v="24.8119285810638"/>
    <n v="1.8443450600000001E-2"/>
  </r>
  <r>
    <n v="830000"/>
    <n v="2400000"/>
    <n v="2400000"/>
    <x v="0"/>
    <x v="0"/>
    <s v="BR3-5, BR-7"/>
    <s v="62-304.520 (10), F.A.C."/>
    <n v="0.59"/>
    <n v="0.64"/>
    <s v="City of Cocoa Beach"/>
    <n v="2.187280456425E-2"/>
    <n v="3709.0486293050399"/>
    <n v="9.3118554636098292"/>
    <n v="1.3927760784021801"/>
    <n v="0.20367639468609"/>
    <n v="3.0463918964649998E-2"/>
    <n v="81.127295788092297"/>
    <n v="1210"/>
    <s v="Fixed Single Family Units"/>
    <n v="1210"/>
    <s v="City of Cocoa Beach           Brevard County"/>
    <s v="City of Cocoa Beach"/>
    <m/>
    <m/>
    <m/>
    <n v="0"/>
    <n v="1"/>
    <n v="0.20367639468609"/>
    <n v="3.0463918964649998E-2"/>
    <n v="81.1272957880908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2.910903012734302"/>
    <n v="88.516099626737599"/>
    <n v="6.5796671400000006E-2"/>
  </r>
  <r>
    <n v="830000"/>
    <n v="2400000"/>
    <n v="2400000"/>
    <x v="0"/>
    <x v="0"/>
    <s v="BR3-5, BR-7"/>
    <s v="62-304.520 (10), F.A.C."/>
    <n v="0.59"/>
    <n v="0.64"/>
    <s v="City of Cocoa Beach"/>
    <n v="2.1718720913280001E-2"/>
    <n v="3709.0486293050399"/>
    <n v="9.3118554636098292"/>
    <n v="1.3927760784021801"/>
    <n v="0.20224158999902"/>
    <n v="3.024931494152E-2"/>
    <n v="80.555792033693393"/>
    <n v="1210"/>
    <s v="Fixed Single Family Units"/>
    <n v="1210"/>
    <s v="City of Cocoa Beach           Brevard County"/>
    <s v="City of Cocoa Beach"/>
    <m/>
    <m/>
    <m/>
    <n v="0"/>
    <n v="1"/>
    <n v="0.20224158999902"/>
    <n v="3.024931494152E-2"/>
    <n v="80.5557920336929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3.079852021794501"/>
    <n v="87.892545214256302"/>
    <n v="6.5333164700000002E-2"/>
  </r>
  <r>
    <n v="830000"/>
    <n v="2400000"/>
    <n v="2400000"/>
    <x v="0"/>
    <x v="0"/>
    <s v="BR3-5, BR-7"/>
    <s v="62-304.520 (10), F.A.C."/>
    <n v="0.59"/>
    <n v="0.64"/>
    <s v="City of Cocoa Beach"/>
    <n v="4.7568789603800003E-3"/>
    <n v="3743.9656146775001"/>
    <n v="10.3355993703754"/>
    <n v="1.8688019530939901"/>
    <n v="4.9165195187910002E-2"/>
    <n v="8.8896646917999995E-3"/>
    <n v="17.809591260868"/>
    <n v="1200"/>
    <s v="Residential, Medium Density-Two-five dwellingunits per acre"/>
    <n v="1200"/>
    <s v="City of Cocoa Beach           Brevard County"/>
    <s v="City of Cocoa Beach"/>
    <m/>
    <m/>
    <m/>
    <n v="0"/>
    <n v="1"/>
    <n v="4.9165195187910002E-2"/>
    <n v="8.8896646917999995E-3"/>
    <n v="17.8095912608691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.831737910081699"/>
    <n v="19.2504061714186"/>
    <n v="1.44441129E-2"/>
  </r>
  <r>
    <n v="830000"/>
    <n v="2400000"/>
    <n v="2400000"/>
    <x v="0"/>
    <x v="0"/>
    <s v="BR3-5, BR-7"/>
    <s v="62-304.520 (10), F.A.C."/>
    <n v="0.59"/>
    <n v="0.64"/>
    <s v="FDOT District 5"/>
    <n v="6.8524333061730003E-2"/>
    <n v="3743.9656146775001"/>
    <n v="10.3355993703754"/>
    <n v="1.8688019530939901"/>
    <n v="0.70824005364830001"/>
    <n v="0.12805840746024"/>
    <n v="256.55274675186001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70824005364830001"/>
    <n v="0.12805840746024"/>
    <n v="256.552746751858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1.427474264616"/>
    <n v="277.308137341573"/>
    <n v="0.20807197629999999"/>
  </r>
  <r>
    <n v="830000"/>
    <n v="2400000"/>
    <n v="2400000"/>
    <x v="0"/>
    <x v="0"/>
    <s v="BR3-5, BR-7"/>
    <s v="62-304.520 (10), F.A.C."/>
    <n v="0.59"/>
    <n v="0.64"/>
    <s v="City of Cocoa Beach"/>
    <n v="1.78337787472E-3"/>
    <n v="3743.9656146775001"/>
    <n v="10.3355993703754"/>
    <n v="1.8688019530939901"/>
    <n v="1.84322792391E-2"/>
    <n v="3.3327800553800001E-3"/>
    <n v="6.6769054409320701"/>
    <n v="1300"/>
    <s v="Residential, High Density"/>
    <n v="1300"/>
    <s v="City of Cocoa Beach           Brevard County"/>
    <s v="City of Cocoa Beach"/>
    <m/>
    <m/>
    <m/>
    <n v="0"/>
    <n v="1"/>
    <n v="1.84322792391E-2"/>
    <n v="3.3327800553800001E-3"/>
    <n v="6.676905440933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517385823456"/>
    <n v="7.2170742058822803"/>
    <n v="5.4151707000000002E-3"/>
  </r>
  <r>
    <n v="830000"/>
    <n v="2400000"/>
    <n v="2400000"/>
    <x v="0"/>
    <x v="0"/>
    <s v="BR3-5, BR-7"/>
    <s v="62-304.520 (10), F.A.C."/>
    <n v="0.59"/>
    <n v="0.64"/>
    <s v="FDOT District 5"/>
    <n v="0.15566440089714001"/>
    <n v="3743.9656146775001"/>
    <n v="10.3355993703754"/>
    <n v="1.8688019530939901"/>
    <n v="1.6088848839024199"/>
    <n v="0.29090593642378998"/>
    <n v="582.802164388293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6088848839024199"/>
    <n v="0.29090593642378998"/>
    <n v="582.802164388293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5.45973666275999"/>
    <n v="629.95148050966804"/>
    <n v="0.47267004410000002"/>
  </r>
  <r>
    <n v="830000"/>
    <n v="2400000"/>
    <n v="2400000"/>
    <x v="0"/>
    <x v="0"/>
    <s v="BR3-5, BR-7"/>
    <s v="62-304.520 (10), F.A.C."/>
    <n v="0.59"/>
    <n v="0.64"/>
    <s v="City of Cocoa Beach"/>
    <n v="3.9597318987710003E-2"/>
    <n v="3743.9656146775001"/>
    <n v="10.3355993703754"/>
    <n v="1.8688019530939901"/>
    <n v="0.40926202519798999"/>
    <n v="7.3999547061530002E-2"/>
    <n v="148.25100072342499"/>
    <n v="1210"/>
    <s v="Fixed Single Family Units"/>
    <n v="1210"/>
    <s v="City of Cocoa Beach           Brevard County"/>
    <s v="City of Cocoa Beach"/>
    <m/>
    <m/>
    <m/>
    <n v="0"/>
    <n v="1"/>
    <n v="0.40926202519798999"/>
    <n v="7.3999547061530002E-2"/>
    <n v="148.25100072342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5.1648185080874"/>
    <n v="160.244664655257"/>
    <n v="0.1202360103"/>
  </r>
  <r>
    <n v="830000"/>
    <n v="2400000"/>
    <n v="2400000"/>
    <x v="0"/>
    <x v="0"/>
    <s v="BR3-5, BR-7"/>
    <s v="62-304.520 (10), F.A.C."/>
    <n v="0.59"/>
    <n v="0.64"/>
    <s v="FDOT District 5"/>
    <n v="6.8435702125999997E-4"/>
    <n v="3743.9656146775001"/>
    <n v="10.3355993703754"/>
    <n v="1.8688019530939901"/>
    <n v="7.0732399981299999E-3"/>
    <n v="1.27892773795E-3"/>
    <n v="2.5622091557905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7.0732399981299999E-3"/>
    <n v="1.27892773795E-3"/>
    <n v="2.562209155791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8.786859452968301"/>
    <n v="2.7694946067344999"/>
    <n v="2.0780285000000002E-3"/>
  </r>
  <r>
    <n v="830000"/>
    <n v="2400000"/>
    <n v="2400000"/>
    <x v="0"/>
    <x v="0"/>
    <s v="BR3-5, BR-7"/>
    <s v="62-304.520 (10), F.A.C."/>
    <n v="0.59"/>
    <n v="0.64"/>
    <s v="City of Cocoa Beach"/>
    <n v="2.0238277918909999E-2"/>
    <n v="3743.9656146775001"/>
    <n v="10.3355993703754"/>
    <n v="1.8688019530939901"/>
    <n v="0.2091747325162"/>
    <n v="3.7821333302120001E-2"/>
    <n v="75.771416628697295"/>
    <n v="1210"/>
    <s v="Fixed Single Family Units"/>
    <n v="1210"/>
    <s v="City of Cocoa Beach           Brevard County"/>
    <s v="City of Cocoa Beach"/>
    <m/>
    <m/>
    <m/>
    <n v="0"/>
    <n v="1"/>
    <n v="0.2091747325162"/>
    <n v="3.7821333302120001E-2"/>
    <n v="75.771416628696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6.226804734120897"/>
    <n v="81.901404974468306"/>
    <n v="6.1452892600000003E-2"/>
  </r>
  <r>
    <n v="830000"/>
    <n v="2400000"/>
    <n v="2400000"/>
    <x v="0"/>
    <x v="0"/>
    <s v="BR3-5, BR-7"/>
    <s v="62-304.520 (10), F.A.C."/>
    <n v="0.59"/>
    <n v="0.64"/>
    <s v="FDOT District 5"/>
    <n v="3.2139187987000002E-4"/>
    <n v="3743.9656146775001"/>
    <n v="10.3355993703754"/>
    <n v="1.8688019530939901"/>
    <n v="3.3217777112799999E-3"/>
    <n v="6.0061777281000003E-4"/>
    <n v="1.20328014708855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3217777112799999E-3"/>
    <n v="6.0061777281000003E-4"/>
    <n v="1.2032801470878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.365430605483201"/>
    <n v="1.30062679317854"/>
    <n v="9.7589629999999996E-4"/>
  </r>
  <r>
    <n v="830000"/>
    <n v="2400000"/>
    <n v="2400000"/>
    <x v="0"/>
    <x v="0"/>
    <s v="BR3-5, BR-7"/>
    <s v="62-304.520 (10), F.A.C."/>
    <n v="0.59"/>
    <n v="0.64"/>
    <s v="City of Cocoa Beach"/>
    <n v="0.28208855744192002"/>
    <n v="3743.9656146775001"/>
    <n v="10.3355993703754"/>
    <n v="1.8688019530939901"/>
    <n v="2.9155543166868401"/>
    <n v="0.52716764709292996"/>
    <n v="1056.12985935653"/>
    <n v="1300"/>
    <s v="Residential, High Density"/>
    <n v="1300"/>
    <s v="City of Cocoa Beach           Brevard County"/>
    <s v="City of Cocoa Beach"/>
    <m/>
    <m/>
    <m/>
    <n v="0"/>
    <n v="1"/>
    <n v="2.9155543166868401"/>
    <n v="0.52716764709292996"/>
    <n v="1056.1298593565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3.98799198091999"/>
    <n v="1141.5718903693801"/>
    <n v="0.85655300840000004"/>
  </r>
  <r>
    <n v="830000"/>
    <n v="2400000"/>
    <n v="2400000"/>
    <x v="0"/>
    <x v="0"/>
    <s v="BR3-5, BR-7"/>
    <s v="62-304.520 (10), F.A.C."/>
    <n v="0.59"/>
    <n v="0.64"/>
    <s v="City of Cocoa Beach"/>
    <n v="3.2929737191520002E-2"/>
    <n v="3743.9656146775001"/>
    <n v="10.3355993703754"/>
    <n v="1.8688019530939901"/>
    <n v="0.34034857098332999"/>
    <n v="6.1539157178390001E-2"/>
    <n v="123.287803745429"/>
    <n v="1210"/>
    <s v="Fixed Single Family Units"/>
    <n v="1210"/>
    <s v="City of Cocoa Beach           Brevard County"/>
    <s v="City of Cocoa Beach"/>
    <m/>
    <m/>
    <m/>
    <n v="0"/>
    <n v="1"/>
    <n v="0.34034857098332999"/>
    <n v="6.1539157178390001E-2"/>
    <n v="123.28780374542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1.972603674224203"/>
    <n v="133.26191844145799"/>
    <n v="9.9990108499999994E-2"/>
  </r>
  <r>
    <n v="830000"/>
    <n v="2400000"/>
    <n v="2400000"/>
    <x v="0"/>
    <x v="0"/>
    <s v="BR3-5, BR-7"/>
    <s v="62-304.520 (10), F.A.C."/>
    <n v="0.59"/>
    <n v="0.64"/>
    <s v="FDOT District 5"/>
    <n v="6.7343890180999999E-4"/>
    <n v="3743.9656146775001"/>
    <n v="10.3355993703754"/>
    <n v="1.8688019530939901"/>
    <n v="6.9603946896000003E-3"/>
    <n v="1.2585239350000001E-3"/>
    <n v="2.52133209198902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6.9603946896000003E-3"/>
    <n v="1.2585239350000001E-3"/>
    <n v="2.52133209198796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8.175868056293197"/>
    <n v="2.72531054491099"/>
    <n v="2.0448760000000002E-3"/>
  </r>
  <r>
    <n v="830000"/>
    <n v="2400000"/>
    <n v="2400000"/>
    <x v="0"/>
    <x v="0"/>
    <s v="BR3-5, BR-7"/>
    <s v="62-304.520 (10), F.A.C."/>
    <n v="0.59"/>
    <n v="0.64"/>
    <s v="City of Cocoa Beach"/>
    <n v="0.16510259419034001"/>
    <n v="3757.23175066774"/>
    <n v="10.6974885902699"/>
    <n v="2.0287047202753601"/>
    <n v="1.7661831175751299"/>
    <n v="0.33494441216365001"/>
    <n v="620.32870900955697"/>
    <n v="1300"/>
    <s v="Residential, High Density"/>
    <n v="1300"/>
    <s v="City of Cocoa Beach           Brevard County"/>
    <s v="City of Cocoa Beach"/>
    <m/>
    <m/>
    <m/>
    <n v="0"/>
    <n v="1"/>
    <n v="1.7661831175751299"/>
    <n v="0.33494441216365001"/>
    <n v="620.328709009556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6.69775471067"/>
    <n v="668.14649365407797"/>
    <n v="0.50310519789999997"/>
  </r>
  <r>
    <n v="830000"/>
    <n v="2400000"/>
    <n v="2400000"/>
    <x v="0"/>
    <x v="0"/>
    <s v="BR3-5, BR-7"/>
    <s v="62-304.520 (10), F.A.C."/>
    <n v="0.59"/>
    <n v="0.64"/>
    <s v="City of Cocoa Beach"/>
    <n v="4.692389624453E-2"/>
    <n v="3757.23175066774"/>
    <n v="10.6974885902699"/>
    <n v="2.0287047202753601"/>
    <n v="0.50196784468693001"/>
    <n v="9.5194729805000003E-2"/>
    <n v="176.303952835009"/>
    <n v="1210"/>
    <s v="Fixed Single Family Units"/>
    <n v="1210"/>
    <s v="City of Cocoa Beach           Brevard County"/>
    <s v="City of Cocoa Beach"/>
    <m/>
    <m/>
    <m/>
    <n v="0"/>
    <n v="1"/>
    <n v="0.50196784468693001"/>
    <n v="9.5194729805000003E-2"/>
    <n v="176.30395283500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3.436739770541905"/>
    <n v="189.89427088123199"/>
    <n v="0.1429877963"/>
  </r>
  <r>
    <n v="830000"/>
    <n v="2400000"/>
    <n v="2400000"/>
    <x v="0"/>
    <x v="0"/>
    <s v="BR3-5, BR-7"/>
    <s v="62-304.520 (10), F.A.C."/>
    <n v="0.59"/>
    <n v="0.64"/>
    <s v="City of Cocoa Beach"/>
    <n v="3.332492054721E-2"/>
    <n v="3757.23175066774"/>
    <n v="10.6974885902699"/>
    <n v="2.0287047202753601"/>
    <n v="0.35649295732551001"/>
    <n v="6.7606423616939998E-2"/>
    <n v="125.20944956848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5649295732551001"/>
    <n v="6.7606423616939998E-2"/>
    <n v="125.20944956848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9.442258617518199"/>
    <n v="134.86116874247901"/>
    <n v="0.1015486209"/>
  </r>
  <r>
    <n v="830000"/>
    <n v="2400000"/>
    <n v="2400000"/>
    <x v="0"/>
    <x v="0"/>
    <s v="BR3-5, BR-7"/>
    <s v="62-304.520 (10), F.A.C."/>
    <n v="0.59"/>
    <n v="0.64"/>
    <s v="City of Cocoa Beach"/>
    <n v="0.16249487702591001"/>
    <n v="3757.23175066774"/>
    <n v="10.6974885902699"/>
    <n v="2.0287047202753601"/>
    <n v="1.73828709296207"/>
    <n v="0.32965412404304001"/>
    <n v="610.5309112826299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73828709296207"/>
    <n v="0.32965412404304001"/>
    <n v="610.53091128262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5.64319640843"/>
    <n v="657.59343669943598"/>
    <n v="0.49515888990000001"/>
  </r>
  <r>
    <n v="830000"/>
    <n v="2400000"/>
    <n v="2400000"/>
    <x v="0"/>
    <x v="0"/>
    <s v="BR3-5, BR-7"/>
    <s v="62-304.520 (10), F.A.C."/>
    <n v="0.59"/>
    <n v="0.64"/>
    <s v="City of Cocoa Beach"/>
    <n v="2.916350432677E-2"/>
    <n v="3757.23175066774"/>
    <n v="10.6974885902699"/>
    <n v="2.0287047202753601"/>
    <n v="0.31197625478800001"/>
    <n v="5.9164138887500002E-2"/>
    <n v="109.574044417310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1197625478800001"/>
    <n v="5.9164138887500002E-2"/>
    <n v="109.57404441730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5.974756462951802"/>
    <n v="118.02051478451401"/>
    <n v="8.8867838099999999E-2"/>
  </r>
  <r>
    <n v="830000"/>
    <n v="2400000"/>
    <n v="2400000"/>
    <x v="0"/>
    <x v="0"/>
    <s v="BR3-5, BR-7"/>
    <s v="62-304.520 (10), F.A.C."/>
    <n v="0.59"/>
    <n v="0.64"/>
    <s v="City of Cocoa Beach"/>
    <n v="9.8216453414200003E-3"/>
    <n v="3757.23175066774"/>
    <n v="10.6974885902699"/>
    <n v="2.0287047202753601"/>
    <n v="0.10506693897756"/>
    <n v="1.9925218265010002E-2"/>
    <n v="36.9021977205961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0506693897756"/>
    <n v="1.9925218265010002E-2"/>
    <n v="36.902197720597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5.784262842766498"/>
    <n v="39.746788528477701"/>
    <n v="2.99287897E-2"/>
  </r>
  <r>
    <n v="830000"/>
    <n v="2400000"/>
    <n v="2400000"/>
    <x v="0"/>
    <x v="0"/>
    <s v="BR3-5, BR-7"/>
    <s v="62-304.520 (10), F.A.C."/>
    <n v="0.59"/>
    <n v="0.64"/>
    <s v="City of Cocoa Beach"/>
    <n v="0.15753857075697"/>
    <n v="3757.23175066774"/>
    <n v="10.6974885902699"/>
    <n v="2.0287047202753601"/>
    <n v="1.6852670632001401"/>
    <n v="0.31959924212009999"/>
    <n v="591.9089200029120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6852670632001401"/>
    <n v="0.31959924212009999"/>
    <n v="591.908920002912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23103021332"/>
    <n v="637.53597684357101"/>
    <n v="0.4800558962"/>
  </r>
  <r>
    <n v="830000"/>
    <n v="2400000"/>
    <n v="2400000"/>
    <x v="0"/>
    <x v="0"/>
    <s v="BR3-5, BR-7"/>
    <s v="62-304.520 (10), F.A.C."/>
    <n v="0.59"/>
    <n v="0.64"/>
    <s v="City of Cocoa Beach"/>
    <n v="1.3393445050609999E-2"/>
    <n v="3757.23175066774"/>
    <n v="10.6974885902699"/>
    <n v="2.0287047202753601"/>
    <n v="0.14327622561339001"/>
    <n v="2.7171345194929999E-2"/>
    <n v="50.322276995005701"/>
    <n v="1300"/>
    <s v="Residential, High Density"/>
    <n v="1300"/>
    <s v="City of Cocoa Beach           Brevard County"/>
    <s v="City of Cocoa Beach"/>
    <m/>
    <m/>
    <m/>
    <n v="0"/>
    <n v="1"/>
    <n v="0.14327622561339001"/>
    <n v="2.7171345194929999E-2"/>
    <n v="50.3222769950037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5.983142043698507"/>
    <n v="54.201349121153001"/>
    <n v="4.08128767E-2"/>
  </r>
  <r>
    <n v="830000"/>
    <n v="2400000"/>
    <n v="2400000"/>
    <x v="0"/>
    <x v="0"/>
    <s v="BR3-5, BR-7"/>
    <s v="62-304.520 (10), F.A.C."/>
    <n v="0.59"/>
    <n v="0.64"/>
    <s v="City of Cocoa Beach"/>
    <n v="4.416835196959E-2"/>
    <n v="2302.9384694763899"/>
    <n v="6.5471667265581699"/>
    <n v="0.90405995890753998"/>
    <n v="0.28917756438221998"/>
    <n v="3.9930838466640001E-2"/>
    <n v="101.716996884146"/>
    <n v="1400"/>
    <s v="Commercial and Services"/>
    <n v="1400"/>
    <s v="City of Cocoa Beach           Brevard County"/>
    <s v="City of Cocoa Beach"/>
    <m/>
    <m/>
    <m/>
    <n v="0"/>
    <n v="1"/>
    <n v="0.28917756438221998"/>
    <n v="3.9930838466640001E-2"/>
    <n v="424.35643816581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164455878236"/>
    <n v="178.74297883496499"/>
    <n v="0.34416580549999998"/>
  </r>
  <r>
    <n v="830000"/>
    <n v="2400000"/>
    <n v="2400000"/>
    <x v="0"/>
    <x v="0"/>
    <s v="BR3-5, BR-7"/>
    <s v="62-304.520 (10), F.A.C."/>
    <n v="0.59"/>
    <n v="0.64"/>
    <s v="City of Cocoa Beach"/>
    <n v="0.46068158014785998"/>
    <n v="3780.9300262900001"/>
    <n v="11.515652297658299"/>
    <n v="1.5267761409908001"/>
    <n v="5.3050488969186196"/>
    <n v="0.70335764516369004"/>
    <n v="1741.80481893977"/>
    <n v="1400"/>
    <s v="Commercial and Services"/>
    <n v="1400"/>
    <s v="City of Cocoa Beach           Brevard County"/>
    <s v="City of Cocoa Beach"/>
    <m/>
    <m/>
    <m/>
    <n v="0"/>
    <n v="1"/>
    <n v="5.3050488969186196"/>
    <n v="0.70335764516369004"/>
    <n v="1741.8048189397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4.58726276294701"/>
    <n v="1864.31221130275"/>
    <n v="1.4126559764"/>
  </r>
  <r>
    <n v="830000"/>
    <n v="2400000"/>
    <n v="2400000"/>
    <x v="0"/>
    <x v="0"/>
    <s v="BR3-5, BR-7"/>
    <s v="62-304.520 (10), F.A.C."/>
    <n v="0.59"/>
    <n v="0.64"/>
    <s v="City of Cocoa Beach"/>
    <n v="2.8457077936290001E-2"/>
    <n v="3780.9300262900001"/>
    <n v="11.515652297658299"/>
    <n v="1.5267761409908001"/>
    <n v="0.32770181492171002"/>
    <n v="4.3447587635440002E-2"/>
    <n v="107.59422042980501"/>
    <n v="1210"/>
    <s v="Fixed Single Family Units"/>
    <n v="1210"/>
    <s v="City of Cocoa Beach           Brevard County"/>
    <s v="City of Cocoa Beach"/>
    <m/>
    <m/>
    <m/>
    <n v="0"/>
    <n v="1"/>
    <n v="0.32770181492171002"/>
    <n v="4.3447587635440002E-2"/>
    <n v="107.5942204298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3.873480254713598"/>
    <n v="115.161708609226"/>
    <n v="8.7262141500000001E-2"/>
  </r>
  <r>
    <n v="830000"/>
    <n v="2400000"/>
    <n v="2400000"/>
    <x v="0"/>
    <x v="0"/>
    <s v="BR3-5, BR-7"/>
    <s v="62-304.520 (10), F.A.C."/>
    <n v="0.59"/>
    <n v="0.64"/>
    <s v="City of Cocoa Beach"/>
    <n v="4.8661717044370001E-2"/>
    <n v="3780.9300262900001"/>
    <n v="11.515652297658299"/>
    <n v="1.5267761409908001"/>
    <n v="0.56037141369008003"/>
    <n v="7.4295548562999997E-2"/>
    <n v="183.98654710391301"/>
    <n v="1410"/>
    <s v="Retail Sales and Services"/>
    <n v="1410"/>
    <s v="City of Cocoa Beach           Brevard County"/>
    <s v="City of Cocoa Beach"/>
    <m/>
    <m/>
    <m/>
    <n v="0"/>
    <n v="1"/>
    <n v="0.56037141369008003"/>
    <n v="7.4295548562999997E-2"/>
    <n v="183.98654710391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6.354920822333199"/>
    <n v="196.92698214604701"/>
    <n v="0.14921861080000001"/>
  </r>
  <r>
    <n v="830000"/>
    <n v="2400000"/>
    <n v="2400000"/>
    <x v="0"/>
    <x v="0"/>
    <s v="BR3-5, BR-7"/>
    <s v="62-304.520 (10), F.A.C."/>
    <n v="0.59"/>
    <n v="0.64"/>
    <s v="City of Cocoa Beach"/>
    <n v="7.9963078608420002E-2"/>
    <n v="3780.9300262900001"/>
    <n v="11.515652297658299"/>
    <n v="1.5267761409908001"/>
    <n v="0.92082700990490995"/>
    <n v="0.12208572057951"/>
    <n v="302.33480490517002"/>
    <n v="1410"/>
    <s v="Retail Sales and Services"/>
    <n v="1410"/>
    <s v="City of Cocoa Beach           Brevard County"/>
    <s v="City of Cocoa Beach"/>
    <m/>
    <m/>
    <m/>
    <n v="0"/>
    <n v="1"/>
    <n v="0.92082700990490995"/>
    <n v="0.12208572057951"/>
    <n v="302.33480490517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6.966486627086397"/>
    <n v="323.59909822136802"/>
    <n v="0.24520259929999999"/>
  </r>
  <r>
    <n v="830000"/>
    <n v="2400000"/>
    <n v="2400000"/>
    <x v="0"/>
    <x v="0"/>
    <s v="BR3-5, BR-7"/>
    <s v="62-304.520 (10), F.A.C."/>
    <n v="0.59"/>
    <n v="0.64"/>
    <s v="City of Cocoa Beach"/>
    <n v="0.13168449109878999"/>
    <n v="3740.9056541213699"/>
    <n v="10.1664264428072"/>
    <n v="1.7942524906450401"/>
    <n v="1.33876069241436"/>
    <n v="0.23627522613332999"/>
    <n v="492.61925731156299"/>
    <n v="1210"/>
    <s v="Fixed Single Family Units"/>
    <n v="1210"/>
    <s v="City of Cocoa Beach           Brevard County"/>
    <s v="City of Cocoa Beach"/>
    <m/>
    <m/>
    <m/>
    <n v="0"/>
    <n v="1"/>
    <n v="1.33876069241436"/>
    <n v="0.23627522613332999"/>
    <n v="492.61925731156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021049794099"/>
    <n v="532.90822853361703"/>
    <n v="0.39952900029999999"/>
  </r>
  <r>
    <n v="830000"/>
    <n v="2400000"/>
    <n v="2400000"/>
    <x v="0"/>
    <x v="0"/>
    <s v="BR3-5, BR-7"/>
    <s v="62-304.520 (10), F.A.C."/>
    <n v="0.59"/>
    <n v="0.64"/>
    <s v="City of Cocoa Beach"/>
    <n v="0.19344599241820001"/>
    <n v="3740.9056541213699"/>
    <n v="10.1664264428072"/>
    <n v="1.7942524906450401"/>
    <n v="1.9666544525755201"/>
    <n v="0.34709095370165999"/>
    <n v="723.663206804384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9666544525755201"/>
    <n v="0.34709095370165999"/>
    <n v="723.66320680438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197433235362"/>
    <n v="782.84815680515499"/>
    <n v="0.58691257649999995"/>
  </r>
  <r>
    <n v="830000"/>
    <n v="2400000"/>
    <n v="2400000"/>
    <x v="0"/>
    <x v="0"/>
    <s v="BR3-5, BR-7"/>
    <s v="62-304.520 (10), F.A.C."/>
    <n v="0.59"/>
    <n v="0.64"/>
    <s v="City of Cocoa Beach"/>
    <n v="0.17944930194070999"/>
    <n v="3740.9056541213699"/>
    <n v="10.1664264428072"/>
    <n v="1.7942524906450401"/>
    <n v="1.8243581283933701"/>
    <n v="0.32197735695163998"/>
    <n v="671.30290825815098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1.8243581283933701"/>
    <n v="0.32197735695163998"/>
    <n v="671.30290825815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4.462453684899"/>
    <n v="726.20556005397395"/>
    <n v="0.54444680310000004"/>
  </r>
  <r>
    <n v="830000"/>
    <n v="2400000"/>
    <n v="2400000"/>
    <x v="0"/>
    <x v="0"/>
    <s v="BR3-5, BR-7"/>
    <s v="62-304.520 (10), F.A.C."/>
    <n v="0.59"/>
    <n v="0.64"/>
    <s v="City of Cocoa Beach"/>
    <n v="9.8661747841360004E-2"/>
    <n v="3740.9056541213699"/>
    <n v="10.1664264428072"/>
    <n v="1.7942524906450401"/>
    <n v="1.00303740214802"/>
    <n v="0.17702408679576001"/>
    <n v="369.08429034525602"/>
    <n v="1210"/>
    <s v="Fixed Single Family Units"/>
    <n v="1210"/>
    <s v="City of Cocoa Beach           Brevard County"/>
    <s v="City of Cocoa Beach"/>
    <m/>
    <m/>
    <m/>
    <n v="0"/>
    <n v="1"/>
    <n v="1.00303740214802"/>
    <n v="0.17702408679576001"/>
    <n v="369.084290345256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0.230066674447301"/>
    <n v="399.26992789703303"/>
    <n v="0.29933843500000001"/>
  </r>
  <r>
    <n v="830000"/>
    <n v="2400000"/>
    <n v="2400000"/>
    <x v="0"/>
    <x v="0"/>
    <s v="BR3-5, BR-7"/>
    <s v="62-304.520 (10), F.A.C."/>
    <n v="0.59"/>
    <n v="0.64"/>
    <s v="City of Cocoa Beach"/>
    <n v="1.452192032281E-2"/>
    <n v="3740.9056541213699"/>
    <n v="10.1664264428072"/>
    <n v="1.7942524906450401"/>
    <n v="0.14763603477018"/>
    <n v="2.6055991708150001E-2"/>
    <n v="54.325133844311203"/>
    <n v="1300"/>
    <s v="Residential, High Density"/>
    <n v="1300"/>
    <s v="City of Cocoa Beach           Brevard County"/>
    <s v="City of Cocoa Beach"/>
    <m/>
    <m/>
    <m/>
    <n v="0"/>
    <n v="1"/>
    <n v="0.14763603477018"/>
    <n v="2.6055991708150001E-2"/>
    <n v="54.325133844309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354642351014398"/>
    <n v="58.768126523954798"/>
    <n v="4.4059313699999998E-2"/>
  </r>
  <r>
    <n v="830000"/>
    <n v="2400000"/>
    <n v="2400000"/>
    <x v="0"/>
    <x v="0"/>
    <s v="BR3-5, BR-7"/>
    <s v="62-304.520 (10), F.A.C."/>
    <n v="0.59"/>
    <n v="0.64"/>
    <s v="City of Cocoa Beach"/>
    <n v="0.30402246568626001"/>
    <n v="3736.5092208547999"/>
    <n v="9.8363693235521197"/>
    <n v="1.73784562923548"/>
    <n v="2.99047725514709"/>
    <n v="0.52834411318227004"/>
    <n v="1135.9827463837501"/>
    <n v="1300"/>
    <s v="Residential, High Density"/>
    <n v="1300"/>
    <s v="City of Cocoa Beach           Brevard County"/>
    <s v="City of Cocoa Beach"/>
    <m/>
    <m/>
    <m/>
    <n v="0"/>
    <n v="1"/>
    <n v="2.99047725514709"/>
    <n v="0.52834411318227004"/>
    <n v="1135.9827463837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5.784621304616"/>
    <n v="1230.3352678163601"/>
    <n v="0.92131609599999997"/>
  </r>
  <r>
    <n v="830000"/>
    <n v="2400000"/>
    <n v="2400000"/>
    <x v="0"/>
    <x v="0"/>
    <s v="BR3-5, BR-7"/>
    <s v="62-304.520 (10), F.A.C."/>
    <n v="0.59"/>
    <n v="0.64"/>
    <s v="City of Cocoa Beach"/>
    <n v="0.10631598984559"/>
    <n v="3736.5092208547999"/>
    <n v="9.8363693235521197"/>
    <n v="1.73784562923548"/>
    <n v="1.0457633411203"/>
    <n v="0.18476077827101001"/>
    <n v="397.25067638237402"/>
    <n v="1300"/>
    <s v="Residential, High Density"/>
    <n v="1300"/>
    <s v="City of Cocoa Beach           Brevard County"/>
    <s v="City of Cocoa Beach"/>
    <m/>
    <m/>
    <m/>
    <n v="0"/>
    <n v="1"/>
    <n v="1.0457633411203"/>
    <n v="0.18476077827101001"/>
    <n v="397.25067638237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9.366475680159894"/>
    <n v="430.24554631046402"/>
    <n v="0.32218221930000002"/>
  </r>
  <r>
    <n v="830000"/>
    <n v="2400000"/>
    <n v="2400000"/>
    <x v="0"/>
    <x v="0"/>
    <s v="BR3-5, BR-7"/>
    <s v="62-304.520 (10), F.A.C."/>
    <n v="0.59"/>
    <n v="0.64"/>
    <s v="City of Cocoa Beach"/>
    <n v="4.5248285760999998E-4"/>
    <n v="3771.5840332462699"/>
    <n v="8.3837382295178902"/>
    <n v="1.4676996566223199"/>
    <n v="3.7934978316200001E-3"/>
    <n v="6.6410893475000001E-4"/>
    <n v="1.7065771211134599"/>
    <n v="1300"/>
    <s v="Residential, High Density"/>
    <n v="1300"/>
    <s v="City of Cocoa Beach           Brevard County"/>
    <s v="City of Cocoa Beach"/>
    <m/>
    <m/>
    <m/>
    <n v="0"/>
    <n v="1"/>
    <n v="3.7934978316200001E-3"/>
    <n v="6.6410893475000001E-4"/>
    <n v="552.636395474120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4.878362150240001"/>
    <n v="1.83113315837964"/>
    <n v="0.44820470029999998"/>
  </r>
  <r>
    <n v="830000"/>
    <n v="2400000"/>
    <n v="2400000"/>
    <x v="0"/>
    <x v="0"/>
    <s v="BR3-5, BR-7"/>
    <s v="62-304.520 (10), F.A.C."/>
    <n v="0.59"/>
    <n v="0.64"/>
    <s v="City of Cocoa Beach"/>
    <n v="1.76345288737E-3"/>
    <n v="3771.5840332462699"/>
    <n v="8.3837382295178902"/>
    <n v="1.4676996566223199"/>
    <n v="1.478432738782E-2"/>
    <n v="2.5882191972600001E-3"/>
    <n v="6.65101075339805"/>
    <n v="1300"/>
    <s v="Residential, High Density"/>
    <n v="1300"/>
    <s v="City of Cocoa Beach           Brevard County"/>
    <s v="City of Cocoa Beach"/>
    <m/>
    <m/>
    <m/>
    <n v="0"/>
    <n v="1"/>
    <n v="1.478432738782E-2"/>
    <n v="2.5882191972600001E-3"/>
    <n v="1543.8993471188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0.772884019449599"/>
    <n v="7.1364406428645104"/>
    <n v="1.2521487"/>
  </r>
  <r>
    <n v="830000"/>
    <n v="2400000"/>
    <n v="2400000"/>
    <x v="0"/>
    <x v="0"/>
    <s v="BR3-5, BR-7"/>
    <s v="62-304.520 (10), F.A.C."/>
    <n v="0.59"/>
    <n v="0.64"/>
    <s v="City of Cocoa Beach"/>
    <n v="0.22707767613513999"/>
    <n v="3759.0181738356"/>
    <n v="10.793201768441399"/>
    <n v="2.0738459599658601"/>
    <n v="2.4508951756354298"/>
    <n v="0.47092412125130001"/>
    <n v="853.58911146436901"/>
    <n v="1300"/>
    <s v="Residential, High Density"/>
    <n v="1300"/>
    <s v="City of Cocoa Beach           Brevard County"/>
    <s v="City of Cocoa Beach"/>
    <m/>
    <m/>
    <m/>
    <n v="0"/>
    <n v="1"/>
    <n v="2.4508951756354298"/>
    <n v="0.47092412125130001"/>
    <n v="853.589111464369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07.86890592694499"/>
    <n v="918.95075205118303"/>
    <n v="0.69228638399999998"/>
  </r>
  <r>
    <n v="830000"/>
    <n v="2400000"/>
    <n v="2400000"/>
    <x v="0"/>
    <x v="0"/>
    <s v="BR3-5, BR-7"/>
    <s v="62-304.520 (10), F.A.C."/>
    <n v="0.59"/>
    <n v="0.64"/>
    <s v="City of Cocoa Beach"/>
    <n v="4.4048931872900004E-3"/>
    <n v="3759.0181738356"/>
    <n v="10.793201768441399"/>
    <n v="2.0738459599658601"/>
    <n v="4.7542900938870002E-2"/>
    <n v="9.1350699405399992E-3"/>
    <n v="16.558073544835199"/>
    <n v="1300"/>
    <s v="Residential, High Density"/>
    <n v="1300"/>
    <s v="City of Cocoa Beach           Brevard County"/>
    <s v="City of Cocoa Beach"/>
    <m/>
    <m/>
    <m/>
    <n v="0"/>
    <n v="1"/>
    <n v="4.7542900938870002E-2"/>
    <n v="9.1350699405399992E-3"/>
    <n v="16.558073544833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568495615534999"/>
    <n v="17.825970284977"/>
    <n v="1.3429094500000001E-2"/>
  </r>
  <r>
    <n v="830000"/>
    <n v="2400000"/>
    <n v="2400000"/>
    <x v="0"/>
    <x v="0"/>
    <s v="BR3-5, BR-7"/>
    <s v="62-304.520 (10), F.A.C."/>
    <n v="0.59"/>
    <n v="0.64"/>
    <s v="City of Cocoa Beach"/>
    <n v="1.10541183591E-3"/>
    <n v="3759.0181738356"/>
    <n v="10.793201768441399"/>
    <n v="2.0738459599658601"/>
    <n v="1.1930932982210001E-2"/>
    <n v="2.2924538699999998E-3"/>
    <n v="4.1552631807624296"/>
    <n v="1300"/>
    <s v="Residential, High Density"/>
    <n v="1300"/>
    <s v="City of Cocoa Beach           Brevard County"/>
    <s v="City of Cocoa Beach"/>
    <m/>
    <m/>
    <m/>
    <n v="0"/>
    <n v="1"/>
    <n v="1.1930932982210001E-2"/>
    <n v="2.2924538699999998E-3"/>
    <n v="4.15526318076344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4.199146785136499"/>
    <n v="4.4734429875544901"/>
    <n v="3.3700431000000001E-3"/>
  </r>
  <r>
    <n v="830000"/>
    <n v="2400000"/>
    <n v="2400000"/>
    <x v="0"/>
    <x v="0"/>
    <s v="BR3-5, BR-7"/>
    <s v="62-304.520 (10), F.A.C."/>
    <n v="0.59"/>
    <n v="0.64"/>
    <s v="City of Cocoa Beach"/>
    <n v="7.8460024598600003E-3"/>
    <n v="3759.0181738356"/>
    <n v="10.793201768441399"/>
    <n v="2.0738459599658601"/>
    <n v="8.4683487624999998E-2"/>
    <n v="1.627140050327E-2"/>
    <n v="29.4932658385876"/>
    <n v="1210"/>
    <s v="Fixed Single Family Units"/>
    <n v="1210"/>
    <s v="City of Cocoa Beach           Brevard County"/>
    <s v="City of Cocoa Beach"/>
    <m/>
    <m/>
    <m/>
    <n v="0"/>
    <n v="1"/>
    <n v="8.4683487624999998E-2"/>
    <n v="1.627140050327E-2"/>
    <n v="29.49326583858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4.060626694540503"/>
    <n v="31.751645444866199"/>
    <n v="2.39199236E-2"/>
  </r>
  <r>
    <n v="830000"/>
    <n v="2400000"/>
    <n v="2400000"/>
    <x v="0"/>
    <x v="0"/>
    <s v="BR3-5, BR-7"/>
    <s v="62-304.520 (10), F.A.C."/>
    <n v="0.59"/>
    <n v="0.64"/>
    <s v="City of Cocoa Beach"/>
    <n v="0.37732947000367001"/>
    <n v="3759.0181738356"/>
    <n v="10.793201768441399"/>
    <n v="2.0738459599658601"/>
    <n v="4.0725931029287299"/>
    <n v="0.78252319694316996"/>
    <n v="1418.38833526756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4.0725931029287299"/>
    <n v="0.78252319694316996"/>
    <n v="1418.3883352675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1.107568222227"/>
    <n v="1526.99818904515"/>
    <n v="1.1503555030999999"/>
  </r>
  <r>
    <n v="830000"/>
    <n v="2400000"/>
    <n v="2400000"/>
    <x v="0"/>
    <x v="0"/>
    <s v="BR3-5, BR-7"/>
    <s v="62-304.520 (10), F.A.C."/>
    <n v="0.59"/>
    <n v="0.64"/>
    <s v="City of Cocoa Beach"/>
    <n v="3.9388852684010003E-2"/>
    <n v="3760.9045854261699"/>
    <n v="10.8163394342525"/>
    <n v="2.08360860556455"/>
    <n v="0.42604320055604"/>
    <n v="8.2070952415720003E-2"/>
    <n v="148.137716673976"/>
    <n v="1300"/>
    <s v="Residential, High Density"/>
    <n v="1300"/>
    <s v="City of Cocoa Beach           Brevard County"/>
    <s v="City of Cocoa Beach"/>
    <m/>
    <m/>
    <m/>
    <n v="0"/>
    <n v="1"/>
    <n v="0.42604320055604"/>
    <n v="8.2070952415720003E-2"/>
    <n v="148.13771667397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713212633662"/>
    <n v="159.40103145525899"/>
    <n v="0.12014413359999999"/>
  </r>
  <r>
    <n v="830000"/>
    <n v="2400000"/>
    <n v="2400000"/>
    <x v="0"/>
    <x v="0"/>
    <s v="BR3-5, BR-7"/>
    <s v="62-304.520 (10), F.A.C."/>
    <n v="0.59"/>
    <n v="0.64"/>
    <s v="FDOT District 5"/>
    <n v="7.9460225915089999E-2"/>
    <n v="3760.9045854261699"/>
    <n v="10.8163394342525"/>
    <n v="2.08360860556455"/>
    <n v="0.85946877502006003"/>
    <n v="0.16556401051679001"/>
    <n v="298.842328003083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85946877502006003"/>
    <n v="0.16556401051679001"/>
    <n v="298.842328003083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928444666939"/>
    <n v="321.56412556985998"/>
    <n v="0.24237009570000001"/>
  </r>
  <r>
    <n v="830000"/>
    <n v="2400000"/>
    <n v="2400000"/>
    <x v="0"/>
    <x v="0"/>
    <s v="BR3-5, BR-7"/>
    <s v="62-304.520 (10), F.A.C."/>
    <n v="0.59"/>
    <n v="0.64"/>
    <s v="City of Cocoa Beach"/>
    <n v="0.29166474446869001"/>
    <n v="3760.9045854261699"/>
    <n v="10.8163394342525"/>
    <n v="2.08360860556455"/>
    <n v="3.1547448771779498"/>
    <n v="0.60771517151475996"/>
    <n v="1096.92327487948"/>
    <n v="1300"/>
    <s v="Residential, High Density"/>
    <n v="1300"/>
    <s v="City of Cocoa Beach           Brevard County"/>
    <s v="City of Cocoa Beach"/>
    <m/>
    <m/>
    <m/>
    <n v="0"/>
    <n v="1"/>
    <n v="3.1547448771779498"/>
    <n v="0.60771517151475996"/>
    <n v="1096.9232748794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8.43443039857601"/>
    <n v="1180.3253443408"/>
    <n v="0.88963769250000002"/>
  </r>
  <r>
    <n v="830000"/>
    <n v="2400000"/>
    <n v="2400000"/>
    <x v="0"/>
    <x v="0"/>
    <s v="BR3-5, BR-7"/>
    <s v="62-304.520 (10), F.A.C."/>
    <n v="0.59"/>
    <n v="0.64"/>
    <s v="City of Cocoa Beach"/>
    <n v="1.69779923263E-3"/>
    <n v="3760.9045854261699"/>
    <n v="10.8163394342525"/>
    <n v="2.08360860556455"/>
    <n v="1.8363972791349999E-2"/>
    <n v="3.5375490916300001E-3"/>
    <n v="6.3852609191349696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8363972791349999E-2"/>
    <n v="3.5375490916300001E-3"/>
    <n v="6.3852609191366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762628182650602"/>
    <n v="6.8707497285203996"/>
    <n v="5.1786382000000002E-3"/>
  </r>
  <r>
    <n v="830000"/>
    <n v="2400000"/>
    <n v="2400000"/>
    <x v="0"/>
    <x v="0"/>
    <s v="BR3-5, BR-7"/>
    <s v="62-304.520 (10), F.A.C."/>
    <n v="0.59"/>
    <n v="0.64"/>
    <s v="City of Cocoa Beach"/>
    <n v="0.20555181590957999"/>
    <n v="3760.9045854261699"/>
    <n v="10.8163394342525"/>
    <n v="2.08360860556455"/>
    <n v="2.2233182122050099"/>
    <n v="0.42828953251862001"/>
    <n v="773.06076699701998"/>
    <n v="1300"/>
    <s v="Residential, High Density"/>
    <n v="1300"/>
    <s v="City of Cocoa Beach           Brevard County"/>
    <s v="City of Cocoa Beach"/>
    <m/>
    <m/>
    <m/>
    <n v="0"/>
    <n v="1"/>
    <n v="2.2233182122050099"/>
    <n v="0.42828953251862001"/>
    <n v="773.06076699701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2.928345877393"/>
    <n v="831.83868634966996"/>
    <n v="0.62697548010000004"/>
  </r>
  <r>
    <n v="830000"/>
    <n v="2400000"/>
    <n v="2400000"/>
    <x v="0"/>
    <x v="0"/>
    <s v="BR3-5, BR-7"/>
    <s v="62-304.520 (10), F.A.C."/>
    <n v="0.59"/>
    <n v="0.64"/>
    <s v="City of Cocoa Beach"/>
    <n v="0.26825986250872003"/>
    <n v="3751.4570212149702"/>
    <n v="10.473616096886399"/>
    <n v="1.96311956250272"/>
    <n v="2.8096508141199701"/>
    <n v="0.52662618392517002"/>
    <n v="1006.36534471853"/>
    <n v="1300"/>
    <s v="Residential, High Density"/>
    <n v="1300"/>
    <s v="City of Cocoa Beach           Brevard County"/>
    <s v="City of Cocoa Beach"/>
    <m/>
    <m/>
    <m/>
    <n v="0"/>
    <n v="1"/>
    <n v="2.8096508141199701"/>
    <n v="0.52662618392517002"/>
    <n v="1006.3653447185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2.67109836614901"/>
    <n v="1085.60914746559"/>
    <n v="0.81619249370000002"/>
  </r>
  <r>
    <n v="830000"/>
    <n v="2400000"/>
    <n v="2400000"/>
    <x v="0"/>
    <x v="0"/>
    <s v="BR3-5, BR-7"/>
    <s v="62-304.520 (10), F.A.C."/>
    <n v="0.59"/>
    <n v="0.64"/>
    <s v="City of Cocoa Beach"/>
    <n v="0.27747997571790001"/>
    <n v="3751.4570212149702"/>
    <n v="10.473616096886399"/>
    <n v="1.96311956250272"/>
    <n v="2.9062187402426698"/>
    <n v="0.54472636853459"/>
    <n v="1040.95420315348"/>
    <n v="1300"/>
    <s v="Residential, High Density"/>
    <n v="1300"/>
    <s v="City of Cocoa Beach           Brevard County"/>
    <s v="City of Cocoa Beach"/>
    <m/>
    <m/>
    <m/>
    <n v="0"/>
    <n v="1"/>
    <n v="2.9062187402426698"/>
    <n v="0.54472636853459"/>
    <n v="1040.9542031534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6.593451477038"/>
    <n v="1122.9216218213801"/>
    <n v="0.84424509579999996"/>
  </r>
  <r>
    <n v="830000"/>
    <n v="2400000"/>
    <n v="2400000"/>
    <x v="0"/>
    <x v="0"/>
    <s v="BR3-5, BR-7"/>
    <s v="62-304.520 (10), F.A.C."/>
    <n v="0.59"/>
    <n v="0.64"/>
    <s v="City of Cocoa Beach"/>
    <n v="0.12394295015688001"/>
    <n v="3785.7423525956001"/>
    <n v="9.3461880355823101"/>
    <n v="1.62102380836048"/>
    <n v="1.15839411785101"/>
    <n v="0.20091447308273999"/>
    <n v="469.21607571455002"/>
    <n v="1300"/>
    <s v="Residential, High Density"/>
    <n v="1300"/>
    <s v="City of Cocoa Beach           Brevard County"/>
    <s v="City of Cocoa Beach"/>
    <m/>
    <m/>
    <m/>
    <n v="0"/>
    <n v="1"/>
    <n v="1.15839411785101"/>
    <n v="0.20091447308273999"/>
    <n v="469.51613007825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3.88031656982801"/>
    <n v="501.57932385357799"/>
    <n v="0.38079167079999998"/>
  </r>
  <r>
    <n v="830000"/>
    <n v="2400000"/>
    <n v="2400000"/>
    <x v="0"/>
    <x v="0"/>
    <s v="BR3-5, BR-7"/>
    <s v="62-304.520 (10), F.A.C."/>
    <n v="0.59"/>
    <n v="0.64"/>
    <s v="FDOT District 5"/>
    <n v="0.12773339608112999"/>
    <n v="3785.7423525956001"/>
    <n v="9.3461880355823101"/>
    <n v="1.62102380836048"/>
    <n v="1.1938203381978001"/>
    <n v="0.20705887617026"/>
    <n v="483.565727385221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1938203381978001"/>
    <n v="0.20705887617026"/>
    <n v="504.021433720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5.98604986070001"/>
    <n v="516.91871428590503"/>
    <n v="0.4087765075"/>
  </r>
  <r>
    <n v="830000"/>
    <n v="2400000"/>
    <n v="2400000"/>
    <x v="0"/>
    <x v="0"/>
    <s v="BR3-5, BR-7"/>
    <s v="62-304.520 (10), F.A.C."/>
    <n v="0.59"/>
    <n v="0.64"/>
    <s v="City of Cocoa Beach"/>
    <n v="0.34316696784012002"/>
    <n v="3785.7423525956001"/>
    <n v="9.3461880355823101"/>
    <n v="1.62102380836048"/>
    <n v="3.2073030090343901"/>
    <n v="0.55628182511170998"/>
    <n v="1299.14172416416"/>
    <n v="1300"/>
    <s v="Residential, High Density"/>
    <n v="1300"/>
    <s v="City of Cocoa Beach           Brevard County"/>
    <s v="City of Cocoa Beach"/>
    <m/>
    <m/>
    <m/>
    <n v="0"/>
    <n v="1"/>
    <n v="3.2073030090343901"/>
    <n v="0.55628182511170998"/>
    <n v="1365.1557068120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9.30971686499501"/>
    <n v="1388.74744775932"/>
    <n v="1.1071822440000001"/>
  </r>
  <r>
    <n v="830000"/>
    <n v="2400000"/>
    <n v="2400000"/>
    <x v="0"/>
    <x v="0"/>
    <s v="BR3-5, BR-7"/>
    <s v="62-304.520 (10), F.A.C."/>
    <n v="0.59"/>
    <n v="0.64"/>
    <s v="City of Cocoa Beach"/>
    <n v="0.16896207680569"/>
    <n v="3731.60908466193"/>
    <n v="9.5740476763338407"/>
    <n v="1.6444983809815299"/>
    <n v="1.6176509788300899"/>
    <n v="0.27785786175423999"/>
    <n v="630.50042077147498"/>
    <n v="1300"/>
    <s v="Residential, High Density"/>
    <n v="1300"/>
    <s v="City of Cocoa Beach           Brevard County"/>
    <s v="City of Cocoa Beach"/>
    <m/>
    <m/>
    <m/>
    <n v="0"/>
    <n v="1"/>
    <n v="1.6176509788300899"/>
    <n v="0.27785786175423999"/>
    <n v="630.50042077147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7.534672027315"/>
    <n v="683.76526566316295"/>
    <n v="0.51135476140000002"/>
  </r>
  <r>
    <n v="830000"/>
    <n v="2400000"/>
    <n v="2400000"/>
    <x v="0"/>
    <x v="0"/>
    <s v="BR3-5, BR-7"/>
    <s v="62-304.520 (10), F.A.C."/>
    <n v="0.59"/>
    <n v="0.64"/>
    <s v="City of Cocoa Beach"/>
    <n v="0.18493291562510999"/>
    <n v="3731.60908466193"/>
    <n v="9.5740476763338407"/>
    <n v="1.6444983809815299"/>
    <n v="1.7705565511182999"/>
    <n v="0.30412188033569998"/>
    <n v="690.09734799970897"/>
    <n v="1300"/>
    <s v="Residential, High Density"/>
    <n v="1300"/>
    <s v="City of Cocoa Beach           Brevard County"/>
    <s v="City of Cocoa Beach"/>
    <m/>
    <m/>
    <m/>
    <n v="0"/>
    <n v="1"/>
    <n v="1.7705565511182999"/>
    <n v="0.30412188033569998"/>
    <n v="690.097347999708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9.097514844816"/>
    <n v="748.39695731066695"/>
    <n v="0.55968965770000001"/>
  </r>
  <r>
    <n v="830000"/>
    <n v="2400000"/>
    <n v="2400000"/>
    <x v="0"/>
    <x v="0"/>
    <s v="BR3-5, BR-7"/>
    <s v="62-304.520 (10), F.A.C."/>
    <n v="0.59"/>
    <n v="0.64"/>
    <s v="City of Cocoa Beach"/>
    <n v="0.33789656494718001"/>
    <n v="3759.3619058071899"/>
    <n v="10.803647337647799"/>
    <n v="2.0785109443806502"/>
    <n v="3.6505153242920501"/>
    <n v="0.70232170831135998"/>
    <n v="1270.2754743655601"/>
    <n v="1300"/>
    <s v="Residential, High Density"/>
    <n v="1300"/>
    <s v="City of Cocoa Beach           Brevard County"/>
    <s v="City of Cocoa Beach"/>
    <m/>
    <m/>
    <m/>
    <n v="0"/>
    <n v="1"/>
    <n v="3.6505153242920501"/>
    <n v="0.70232170831135998"/>
    <n v="1270.2754743655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5.98029846395499"/>
    <n v="1367.4188839634301"/>
    <n v="1.0302315283000001"/>
  </r>
  <r>
    <n v="830000"/>
    <n v="2400000"/>
    <n v="2400000"/>
    <x v="0"/>
    <x v="0"/>
    <s v="BR3-5, BR-7"/>
    <s v="62-304.520 (10), F.A.C."/>
    <n v="0.59"/>
    <n v="0.64"/>
    <s v="City of Cocoa Beach"/>
    <n v="9.5657664059999994E-6"/>
    <n v="3759.3619058071899"/>
    <n v="10.803647337647799"/>
    <n v="2.0785109443806502"/>
    <n v="1.0334516675999999E-4"/>
    <n v="1.9882550159999999E-5"/>
    <n v="3.5961177826559998E-2"/>
    <n v="1400"/>
    <s v="Commercial and Services"/>
    <n v="1400"/>
    <s v="City of Cocoa Beach           Brevard County"/>
    <s v="City of Cocoa Beach"/>
    <m/>
    <m/>
    <m/>
    <n v="0"/>
    <n v="1"/>
    <n v="1.0334516675999999E-4"/>
    <n v="1.9882550159999999E-5"/>
    <n v="3.5961177826689998E-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0.80741000044338995"/>
    <n v="3.8711283215429999E-2"/>
    <n v="2.9165600000000001E-5"/>
  </r>
  <r>
    <n v="830000"/>
    <n v="2400000"/>
    <n v="2400000"/>
    <x v="0"/>
    <x v="0"/>
    <s v="BR3-5, BR-7"/>
    <s v="62-304.520 (10), F.A.C."/>
    <n v="0.59"/>
    <n v="0.64"/>
    <s v="FDOT District 5"/>
    <n v="8.6851064319999995E-5"/>
    <n v="3759.3619058071899"/>
    <n v="10.803647337647799"/>
    <n v="2.0785109443806502"/>
    <n v="9.3830826987999997E-4"/>
    <n v="1.8052088773000001E-4"/>
    <n v="0.326504582709729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9.3830826987999997E-4"/>
    <n v="1.8052088773000001E-4"/>
    <n v="0.32650458270824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.22619783578032"/>
    <n v="0.35147378746239"/>
    <n v="2.6480500000000001E-4"/>
  </r>
  <r>
    <n v="830000"/>
    <n v="2400000"/>
    <n v="2400000"/>
    <x v="0"/>
    <x v="0"/>
    <s v="BR3-5, BR-7"/>
    <s v="62-304.520 (10), F.A.C."/>
    <n v="0.59"/>
    <n v="0.64"/>
    <s v="City of Cocoa Beach"/>
    <n v="0.18452457715424"/>
    <n v="3759.3619058071899"/>
    <n v="10.803647337647799"/>
    <n v="2.0785109443806502"/>
    <n v="1.9935384567030801"/>
    <n v="0.38353635312230999"/>
    <n v="693.69466603885996"/>
    <n v="1300"/>
    <s v="Residential, High Density"/>
    <n v="1300"/>
    <s v="City of Cocoa Beach           Brevard County"/>
    <s v="City of Cocoa Beach"/>
    <m/>
    <m/>
    <m/>
    <n v="0"/>
    <n v="1"/>
    <n v="1.9935384567030801"/>
    <n v="0.38353635312230999"/>
    <n v="693.694666038859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7.86058093942401"/>
    <n v="746.74447014731402"/>
    <n v="0.56260719059999997"/>
  </r>
  <r>
    <n v="830000"/>
    <n v="2400000"/>
    <n v="2400000"/>
    <x v="0"/>
    <x v="0"/>
    <s v="BR3-5, BR-7"/>
    <s v="62-304.520 (10), F.A.C."/>
    <n v="0.59"/>
    <n v="0.64"/>
    <s v="FDOT District 5"/>
    <n v="8.8942461380300004E-3"/>
    <n v="3759.3619058071899"/>
    <n v="10.803647337647799"/>
    <n v="2.0785109443806502"/>
    <n v="9.6090298609610006E-2"/>
    <n v="1.8486787939920001E-2"/>
    <n v="33.43669011221650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9.6090298609610006E-2"/>
    <n v="1.8486787939920001E-2"/>
    <n v="33.4366901122176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96407340966999"/>
    <n v="35.993737106130702"/>
    <n v="2.7118159100000001E-2"/>
  </r>
  <r>
    <n v="830000"/>
    <n v="2400000"/>
    <n v="2400000"/>
    <x v="0"/>
    <x v="0"/>
    <s v="BR3-5, BR-7"/>
    <s v="62-304.520 (10), F.A.C."/>
    <n v="0.59"/>
    <n v="0.64"/>
    <s v="City of Cocoa Beach"/>
    <n v="1.2512301898029999E-2"/>
    <n v="3759.3619058071899"/>
    <n v="10.803647337647799"/>
    <n v="2.0785109443806502"/>
    <n v="0.13517849708856"/>
    <n v="2.600695643446E-2"/>
    <n v="47.0382711094355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3517849708856"/>
    <n v="2.600695643446E-2"/>
    <n v="47.0382711094363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3.6466877154594"/>
    <n v="50.635489295075601"/>
    <n v="3.81494494E-2"/>
  </r>
  <r>
    <n v="830000"/>
    <n v="2400000"/>
    <n v="2400000"/>
    <x v="0"/>
    <x v="0"/>
    <s v="BR3-5, BR-7"/>
    <s v="62-304.520 (10), F.A.C."/>
    <n v="0.59"/>
    <n v="0.64"/>
    <s v="City of Cocoa Beach"/>
    <n v="3.7934733382999999E-3"/>
    <n v="3759.3619058071899"/>
    <n v="10.803647337647799"/>
    <n v="2.0785109443806502"/>
    <n v="4.0983348131760002E-2"/>
    <n v="7.8847758508699996E-3"/>
    <n v="14.2610391587002"/>
    <n v="1210"/>
    <s v="Fixed Single Family Units"/>
    <n v="1210"/>
    <s v="City of Cocoa Beach           Brevard County"/>
    <s v="City of Cocoa Beach"/>
    <m/>
    <m/>
    <m/>
    <n v="0"/>
    <n v="1"/>
    <n v="4.0983348131760002E-2"/>
    <n v="7.8847758508699996E-3"/>
    <n v="14.261039158702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.801698316420101"/>
    <n v="15.3516419423045"/>
    <n v="1.15661307E-2"/>
  </r>
  <r>
    <n v="830000"/>
    <n v="2400000"/>
    <n v="2400000"/>
    <x v="0"/>
    <x v="0"/>
    <s v="BR3-5, BR-7"/>
    <s v="62-304.520 (10), F.A.C."/>
    <n v="0.59"/>
    <n v="0.64"/>
    <s v="City of Cocoa Beach"/>
    <n v="7.0045873177250001E-2"/>
    <n v="3759.3619058071899"/>
    <n v="10.803647337647799"/>
    <n v="2.0785109443806502"/>
    <n v="0.75675091126470995"/>
    <n v="0.14559111400763"/>
    <n v="263.327787281589"/>
    <n v="1300"/>
    <s v="Residential, High Density"/>
    <n v="1300"/>
    <s v="City of Cocoa Beach           Brevard County"/>
    <s v="City of Cocoa Beach"/>
    <m/>
    <m/>
    <m/>
    <n v="0"/>
    <n v="1"/>
    <n v="0.75675091126470995"/>
    <n v="0.14559111400763"/>
    <n v="263.32778728159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72691255674999"/>
    <n v="283.46559173000702"/>
    <n v="0.21356673749999999"/>
  </r>
  <r>
    <n v="830000"/>
    <n v="2400000"/>
    <n v="2400000"/>
    <x v="0"/>
    <x v="0"/>
    <s v="BR3-5, BR-7"/>
    <s v="62-304.520 (10), F.A.C."/>
    <n v="0.59"/>
    <n v="0.64"/>
    <s v="City of Cocoa Beach"/>
    <n v="1.5138805519700001E-3"/>
    <n v="3737.4686967357602"/>
    <n v="10.115799686661701"/>
    <n v="1.7613689011664699"/>
    <n v="1.5314112413319999E-2"/>
    <n v="2.6665021243300001E-3"/>
    <n v="5.6580811736073597"/>
    <n v="1200"/>
    <s v="Residential, Medium Density-Two-five dwellingunits per acre"/>
    <n v="1200"/>
    <s v="City of Cocoa Beach           Brevard County"/>
    <s v="City of Cocoa Beach"/>
    <m/>
    <m/>
    <m/>
    <n v="0"/>
    <n v="1"/>
    <n v="1.5314112413319999E-2"/>
    <n v="2.6665021243300001E-3"/>
    <n v="439.28566849245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9.112727019006897"/>
    <n v="6.1264572345097603"/>
    <n v="0.3562738593"/>
  </r>
  <r>
    <n v="830000"/>
    <n v="2400000"/>
    <n v="2400000"/>
    <x v="0"/>
    <x v="0"/>
    <s v="BR3-5, BR-7"/>
    <s v="62-304.520 (10), F.A.C."/>
    <n v="0.59"/>
    <n v="0.64"/>
    <s v="City of Cocoa Beach"/>
    <n v="0.11917338024557"/>
    <n v="3737.4686967357602"/>
    <n v="10.115799686661701"/>
    <n v="1.7613689011664699"/>
    <n v="1.2055340425466301"/>
    <n v="0.20990828581144"/>
    <n v="445.40677815203202"/>
    <n v="1300"/>
    <s v="Residential, High Density"/>
    <n v="1300"/>
    <s v="City of Cocoa Beach           Brevard County"/>
    <s v="City of Cocoa Beach"/>
    <m/>
    <m/>
    <m/>
    <n v="0"/>
    <n v="1"/>
    <n v="1.2055340425466301"/>
    <n v="0.20990828581144"/>
    <n v="597.84066951150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5.310690333227"/>
    <n v="482.27755922593201"/>
    <n v="0.484866723"/>
  </r>
  <r>
    <n v="830000"/>
    <n v="2400000"/>
    <n v="2400000"/>
    <x v="0"/>
    <x v="0"/>
    <s v="BR3-5, BR-7"/>
    <s v="62-304.520 (10), F.A.C."/>
    <n v="0.59"/>
    <n v="0.64"/>
    <s v="FDOT District 5"/>
    <n v="1.4944084049100001E-3"/>
    <n v="3737.4686967357602"/>
    <n v="10.115799686661701"/>
    <n v="1.7613689011664699"/>
    <n v="1.5117136074210001E-2"/>
    <n v="2.6322044900599999E-3"/>
    <n v="5.5853046335198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5117136074210001E-2"/>
    <n v="2.6322044900599999E-3"/>
    <n v="7.31935549256304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3.844893559980605"/>
    <n v="6.0476562511307499"/>
    <n v="5.9362169000000001E-3"/>
  </r>
  <r>
    <n v="830000"/>
    <n v="2400000"/>
    <n v="2400000"/>
    <x v="0"/>
    <x v="0"/>
    <s v="BR3-5, BR-7"/>
    <s v="62-304.520 (10), F.A.C."/>
    <n v="0.59"/>
    <n v="0.64"/>
    <s v="City of Cocoa Beach"/>
    <n v="1.907164774599E-2"/>
    <n v="3737.4686967357602"/>
    <n v="10.115799686661701"/>
    <n v="1.7613689011664699"/>
    <n v="0.19292496829309"/>
    <n v="3.3592207233799999E-2"/>
    <n v="71.279686445838706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9292496829309"/>
    <n v="3.3592207233799999E-2"/>
    <n v="71.2796864458378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8.620720117699904"/>
    <n v="77.180220166641604"/>
    <n v="5.7809964700000001E-2"/>
  </r>
  <r>
    <n v="830000"/>
    <n v="2400000"/>
    <n v="2400000"/>
    <x v="0"/>
    <x v="0"/>
    <s v="BR3-5, BR-7"/>
    <s v="62-304.520 (10), F.A.C."/>
    <n v="0.59"/>
    <n v="0.64"/>
    <s v="City of Cocoa Beach"/>
    <n v="2.8283456322849999E-2"/>
    <n v="3737.4686967357602"/>
    <n v="10.115799686661701"/>
    <n v="1.7613689011664699"/>
    <n v="0.28610977860839998"/>
    <n v="4.9817600384569997E-2"/>
    <n v="105.70853264214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8610977860839998"/>
    <n v="4.9817600384569997E-2"/>
    <n v="105.7085326421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3.938618085440901"/>
    <n v="114.45908686780101"/>
    <n v="8.5732792099999997E-2"/>
  </r>
  <r>
    <n v="830000"/>
    <n v="2400000"/>
    <n v="2400000"/>
    <x v="0"/>
    <x v="0"/>
    <s v="BR3-5, BR-7"/>
    <s v="62-304.520 (10), F.A.C."/>
    <n v="0.59"/>
    <n v="0.64"/>
    <s v="City of Cocoa Beach"/>
    <n v="1.17878659155E-2"/>
    <n v="3737.4686967357602"/>
    <n v="10.115799686661701"/>
    <n v="1.7613689011664699"/>
    <n v="0.11924369033444999"/>
    <n v="2.0762780434679998E-2"/>
    <n v="44.056779860510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1924369033444999"/>
    <n v="2.0762780434679998E-2"/>
    <n v="44.056779860510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3.791296234312597"/>
    <n v="47.703800886542403"/>
    <n v="3.5731370499999998E-2"/>
  </r>
  <r>
    <n v="830000"/>
    <n v="2400000"/>
    <n v="2400000"/>
    <x v="0"/>
    <x v="0"/>
    <s v="BR3-5, BR-7"/>
    <s v="62-304.520 (10), F.A.C."/>
    <n v="0.59"/>
    <n v="0.64"/>
    <s v="City of Cocoa Beach"/>
    <n v="3.637241904493E-2"/>
    <n v="3737.4686967357602"/>
    <n v="10.115799686661701"/>
    <n v="1.7613689011664699"/>
    <n v="0.36793610517787001"/>
    <n v="6.4065247765939998E-2"/>
    <n v="135.94077760499599"/>
    <n v="1210"/>
    <s v="Fixed Single Family Units"/>
    <n v="1210"/>
    <s v="City of Cocoa Beach           Brevard County"/>
    <s v="City of Cocoa Beach"/>
    <m/>
    <m/>
    <m/>
    <n v="0"/>
    <n v="1"/>
    <n v="0.36793610517787001"/>
    <n v="6.4065247765939998E-2"/>
    <n v="301.63487264474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8.622928297798801"/>
    <n v="147.19395761021599"/>
    <n v="0.24463493319999999"/>
  </r>
  <r>
    <n v="830000"/>
    <n v="2400000"/>
    <n v="2400000"/>
    <x v="0"/>
    <x v="0"/>
    <s v="BR3-5, BR-7"/>
    <s v="62-304.520 (10), F.A.C."/>
    <n v="0.59"/>
    <n v="0.64"/>
    <s v="City of Cocoa Beach"/>
    <n v="2.9933170893900001E-2"/>
    <n v="3737.4686967357602"/>
    <n v="10.115799686661701"/>
    <n v="1.7613689011664699"/>
    <n v="0.30279796074935"/>
    <n v="5.2723356325820002E-2"/>
    <n v="111.874289210011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0279796074935"/>
    <n v="5.2723356325820002E-2"/>
    <n v="111.87428921001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5.194082979273603"/>
    <n v="121.135244874797"/>
    <n v="9.0733405700000005E-2"/>
  </r>
  <r>
    <n v="830000"/>
    <n v="2400000"/>
    <n v="2400000"/>
    <x v="0"/>
    <x v="0"/>
    <s v="BR3-5, BR-7"/>
    <s v="62-304.520 (10), F.A.C."/>
    <n v="0.59"/>
    <n v="0.64"/>
    <s v="City of Cocoa Beach"/>
    <n v="3.3048957573799998E-3"/>
    <n v="3758.3587224204002"/>
    <n v="10.773029788868399"/>
    <n v="2.0645556614491798"/>
    <n v="3.5603740443399999E-2"/>
    <n v="6.8231412463999998E-3"/>
    <n v="12.4209837964543"/>
    <n v="1300"/>
    <s v="Residential, High Density"/>
    <n v="1300"/>
    <s v="City of Cocoa Beach           Brevard County"/>
    <s v="City of Cocoa Beach"/>
    <m/>
    <m/>
    <m/>
    <n v="0"/>
    <n v="1"/>
    <n v="3.5603740443399999E-2"/>
    <n v="6.8231412463999998E-3"/>
    <n v="12.420983796453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6.7948011939629"/>
    <n v="13.374438621131199"/>
    <n v="1.00737906E-2"/>
  </r>
  <r>
    <n v="830000"/>
    <n v="2400000"/>
    <n v="2400000"/>
    <x v="0"/>
    <x v="0"/>
    <s v="BR3-5, BR-7"/>
    <s v="62-304.520 (10), F.A.C."/>
    <n v="0.59"/>
    <n v="0.64"/>
    <s v="City of Cocoa Beach"/>
    <n v="6.73994113184E-3"/>
    <n v="3758.3587224204002"/>
    <n v="10.773029788868399"/>
    <n v="2.0645556614491798"/>
    <n v="7.2609586588579994E-2"/>
    <n v="1.391498362158E-2"/>
    <n v="25.331116541469601"/>
    <n v="1300"/>
    <s v="Residential, High Density"/>
    <n v="1300"/>
    <s v="City of Cocoa Beach           Brevard County"/>
    <s v="City of Cocoa Beach"/>
    <m/>
    <m/>
    <m/>
    <n v="0"/>
    <n v="1"/>
    <n v="7.2609586588579994E-2"/>
    <n v="1.391498362158E-2"/>
    <n v="25.33111654147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01.15374771875"/>
    <n v="27.275574056005802"/>
    <n v="2.05442957E-2"/>
  </r>
  <r>
    <n v="830000"/>
    <n v="2400000"/>
    <n v="2400000"/>
    <x v="0"/>
    <x v="0"/>
    <s v="BR3-5, BR-7"/>
    <s v="62-304.520 (10), F.A.C."/>
    <n v="0.59"/>
    <n v="0.64"/>
    <s v="FDOT District 5"/>
    <n v="0.23683594441717001"/>
    <n v="3758.3587224204002"/>
    <n v="10.773029788868399"/>
    <n v="2.0645556614491798"/>
    <n v="2.55144068428097"/>
    <n v="0.48896098988113001"/>
    <n v="890.114437482948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55144068428097"/>
    <n v="0.48896098988113001"/>
    <n v="890.11443748294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8.367117460033"/>
    <n v="958.44106271980002"/>
    <n v="0.72190951950000004"/>
  </r>
  <r>
    <n v="830000"/>
    <n v="2400000"/>
    <n v="2400000"/>
    <x v="0"/>
    <x v="0"/>
    <s v="BR3-5, BR-7"/>
    <s v="62-304.520 (10), F.A.C."/>
    <n v="0.59"/>
    <n v="0.64"/>
    <s v="City of Cocoa Beach"/>
    <n v="6.5188202773899997E-3"/>
    <n v="3758.3587224204002"/>
    <n v="10.773029788868399"/>
    <n v="2.0645556614491798"/>
    <n v="7.0227445036680006E-2"/>
    <n v="1.345846730967E-2"/>
    <n v="24.500065049449699"/>
    <n v="1210"/>
    <s v="Fixed Single Family Units"/>
    <n v="1210"/>
    <s v="City of Cocoa Beach           Brevard County"/>
    <s v="City of Cocoa Beach"/>
    <m/>
    <m/>
    <m/>
    <n v="0"/>
    <n v="1"/>
    <n v="7.0227445036680006E-2"/>
    <n v="1.345846730967E-2"/>
    <n v="24.500065049448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0.494185807778099"/>
    <n v="26.380729706057501"/>
    <n v="1.9870288E-2"/>
  </r>
  <r>
    <n v="830000"/>
    <n v="2400000"/>
    <n v="2400000"/>
    <x v="0"/>
    <x v="0"/>
    <s v="BR3-5, BR-7"/>
    <s v="62-304.520 (10), F.A.C."/>
    <n v="0.59"/>
    <n v="0.64"/>
    <s v="City of Cocoa Beach"/>
    <n v="6.9577749777089998E-2"/>
    <n v="3758.3587224204002"/>
    <n v="10.773029788868399"/>
    <n v="2.0645556614491798"/>
    <n v="0.74956317099105996"/>
    <n v="0.14364713721319"/>
    <n v="261.49814276112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74956317099105996"/>
    <n v="0.14364713721319"/>
    <n v="261.49814276112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6.371863422285102"/>
    <n v="281.57116354157102"/>
    <n v="0.21208284080000001"/>
  </r>
  <r>
    <n v="830000"/>
    <n v="2400000"/>
    <n v="2400000"/>
    <x v="0"/>
    <x v="0"/>
    <s v="BR3-5, BR-7"/>
    <s v="62-304.520 (10), F.A.C."/>
    <n v="0.59"/>
    <n v="0.64"/>
    <s v="City of Cocoa Beach"/>
    <n v="9.2547860411700007E-3"/>
    <n v="3758.3587224204002"/>
    <n v="10.773029788868399"/>
    <n v="2.0645556614491798"/>
    <n v="9.9702085711210003E-2"/>
    <n v="1.9107020916809998E-2"/>
    <n v="34.782805841995902"/>
    <n v="1210"/>
    <s v="Fixed Single Family Units"/>
    <n v="1210"/>
    <s v="City of Cocoa Beach           Brevard County"/>
    <s v="City of Cocoa Beach"/>
    <m/>
    <m/>
    <m/>
    <n v="0"/>
    <n v="1"/>
    <n v="9.9702085711210003E-2"/>
    <n v="1.9107020916809998E-2"/>
    <n v="34.782805841997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1.944756699473402"/>
    <n v="37.452790328680997"/>
    <n v="2.8209899300000001E-2"/>
  </r>
  <r>
    <n v="830000"/>
    <n v="2400000"/>
    <n v="2400000"/>
    <x v="0"/>
    <x v="0"/>
    <s v="BR3-5, BR-7"/>
    <s v="62-304.520 (10), F.A.C."/>
    <n v="0.59"/>
    <n v="0.64"/>
    <s v="City of Cocoa Beach"/>
    <n v="0.21692333610757999"/>
    <n v="3758.3587224204002"/>
    <n v="10.773029788868399"/>
    <n v="2.0645556614491798"/>
    <n v="2.33692156178767"/>
    <n v="0.44785030166133999"/>
    <n v="815.27571235645496"/>
    <n v="1300"/>
    <s v="Residential, High Density"/>
    <n v="1300"/>
    <s v="City of Cocoa Beach           Brevard County"/>
    <s v="City of Cocoa Beach"/>
    <m/>
    <m/>
    <m/>
    <n v="0"/>
    <n v="1"/>
    <n v="2.33692156178767"/>
    <n v="0.44785030166133999"/>
    <n v="815.275712356454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8.57757689324799"/>
    <n v="877.85759589539498"/>
    <n v="0.66121306759999998"/>
  </r>
  <r>
    <n v="830000"/>
    <n v="2400000"/>
    <n v="2400000"/>
    <x v="0"/>
    <x v="0"/>
    <s v="BR3-5, BR-7"/>
    <s v="62-304.520 (10), F.A.C."/>
    <n v="0.59"/>
    <n v="0.64"/>
    <s v="City of Cocoa Beach"/>
    <n v="6.517272256112E-2"/>
    <n v="3758.3587224204002"/>
    <n v="10.773029788868399"/>
    <n v="2.0645556614491798"/>
    <n v="0.70210768157261005"/>
    <n v="0.13455271333561"/>
    <n v="244.942470301473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70210768157261005"/>
    <n v="0.13455271333561"/>
    <n v="244.94247030147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6.581439928551106"/>
    <n v="263.74465086176502"/>
    <n v="0.1986556937"/>
  </r>
  <r>
    <n v="830000"/>
    <n v="2400000"/>
    <n v="2400000"/>
    <x v="0"/>
    <x v="0"/>
    <s v="BR3-5, BR-7"/>
    <s v="62-304.520 (10), F.A.C."/>
    <n v="0.59"/>
    <n v="0.64"/>
    <s v="City of Cocoa Beach"/>
    <n v="3.4352575971399999E-3"/>
    <n v="3758.3587224204002"/>
    <n v="10.773029788868399"/>
    <n v="2.0645556614491798"/>
    <n v="3.7008132426440001E-2"/>
    <n v="7.0922805207099997E-3"/>
    <n v="12.910930353979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3.7008132426440001E-2"/>
    <n v="7.0922805207099997E-3"/>
    <n v="12.910930353979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9.768228941403699"/>
    <n v="13.901994269592199"/>
    <n v="1.04711519E-2"/>
  </r>
  <r>
    <n v="830000"/>
    <n v="2400000"/>
    <n v="2400000"/>
    <x v="0"/>
    <x v="0"/>
    <s v="BR3-5, BR-7"/>
    <s v="62-304.520 (10), F.A.C."/>
    <n v="0.59"/>
    <n v="0.64"/>
    <s v="City of Cocoa Beach"/>
    <n v="0.30015128484133002"/>
    <n v="3739.8317794580598"/>
    <n v="9.7171496630633598"/>
    <n v="1.28887736527674"/>
    <n v="2.91661495636398"/>
    <n v="0.38685819719072001"/>
    <n v="1122.5153136947799"/>
    <n v="1400"/>
    <s v="Commercial and Services"/>
    <n v="1400"/>
    <s v="City of Cocoa Beach           Brevard County"/>
    <s v="City of Cocoa Beach"/>
    <m/>
    <m/>
    <m/>
    <n v="0"/>
    <n v="1"/>
    <n v="2.91661495636398"/>
    <n v="0.38685819719072001"/>
    <n v="1122.5153136947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8.23855375342501"/>
    <n v="1214.6691547517501"/>
    <n v="0.91039360400000002"/>
  </r>
  <r>
    <n v="830000"/>
    <n v="2400000"/>
    <n v="2400000"/>
    <x v="0"/>
    <x v="0"/>
    <s v="BR3-5, BR-7"/>
    <s v="62-304.520 (10), F.A.C."/>
    <n v="0.59"/>
    <n v="0.64"/>
    <s v="City of Cocoa Beach"/>
    <n v="0.14463444472570999"/>
    <n v="3779.8564067151701"/>
    <n v="11.612850410181199"/>
    <n v="1.5331968046688"/>
    <n v="1.6796181707593001"/>
    <n v="0.22175306849849999"/>
    <n v="546.69743252816602"/>
    <n v="1400"/>
    <s v="Commercial and Services"/>
    <n v="1400"/>
    <s v="City of Cocoa Beach           Brevard County"/>
    <s v="City of Cocoa Beach"/>
    <m/>
    <m/>
    <m/>
    <n v="0"/>
    <n v="1"/>
    <n v="1.6796181707593001"/>
    <n v="0.22175306849849999"/>
    <n v="546.697432528166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202780987346"/>
    <n v="585.31483153849695"/>
    <n v="0.44338802309999997"/>
  </r>
  <r>
    <n v="830000"/>
    <n v="2400000"/>
    <n v="2400000"/>
    <x v="0"/>
    <x v="0"/>
    <s v="BR3-5, BR-7"/>
    <s v="62-304.520 (10), F.A.C."/>
    <n v="0.59"/>
    <n v="0.64"/>
    <s v="FDOT District 5"/>
    <n v="0.18134127220428001"/>
    <n v="3779.8564067151701"/>
    <n v="11.612850410181199"/>
    <n v="1.5331968046688"/>
    <n v="2.1058890673003501"/>
    <n v="0.27803185909819"/>
    <n v="685.4439695432570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1058890673003501"/>
    <n v="0.27803185909819"/>
    <n v="685.443969543257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9.489849906709"/>
    <n v="733.86209206611102"/>
    <n v="0.55591562819999996"/>
  </r>
  <r>
    <n v="830000"/>
    <n v="2400000"/>
    <n v="2400000"/>
    <x v="0"/>
    <x v="0"/>
    <s v="BR3-5, BR-7"/>
    <s v="62-304.520 (10), F.A.C."/>
    <n v="0.59"/>
    <n v="0.64"/>
    <s v="City of Cocoa Beach"/>
    <n v="2.528001685569E-2"/>
    <n v="3779.8564067151701"/>
    <n v="11.612850410181199"/>
    <n v="1.5331968046688"/>
    <n v="0.29357305411208001"/>
    <n v="3.8759241065129998E-2"/>
    <n v="95.554833673877496"/>
    <n v="1410"/>
    <s v="Retail Sales and Services"/>
    <n v="1410"/>
    <s v="City of Cocoa Beach           Brevard County"/>
    <s v="City of Cocoa Beach"/>
    <m/>
    <m/>
    <m/>
    <n v="0"/>
    <n v="1"/>
    <n v="0.29357305411208001"/>
    <n v="3.8759241065129998E-2"/>
    <n v="95.5548336738787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234811939513804"/>
    <n v="102.304598570862"/>
    <n v="7.74978375E-2"/>
  </r>
  <r>
    <n v="830000"/>
    <n v="2400000"/>
    <n v="2400000"/>
    <x v="0"/>
    <x v="0"/>
    <s v="BR3-5, BR-7"/>
    <s v="62-304.520 (10), F.A.C."/>
    <n v="0.59"/>
    <n v="0.64"/>
    <s v="FDOT District 5"/>
    <n v="6.3552707400000005E-5"/>
    <n v="3779.8564067151701"/>
    <n v="11.612850410181199"/>
    <n v="1.5331968046688"/>
    <n v="7.3802808428999995E-4"/>
    <n v="9.7438807919999996E-5"/>
    <n v="0.24022010826022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7.3802808428999995E-4"/>
    <n v="9.7438807919999996E-5"/>
    <n v="0.24022010826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.5662134313067"/>
    <n v="0.25718868213578"/>
    <n v="1.948257E-4"/>
  </r>
  <r>
    <n v="830000"/>
    <n v="2400000"/>
    <n v="2400000"/>
    <x v="0"/>
    <x v="0"/>
    <s v="BR3-5, BR-7"/>
    <s v="62-304.520 (10), F.A.C."/>
    <n v="0.59"/>
    <n v="0.64"/>
    <s v="City of Cocoa Beach"/>
    <n v="0.26523712882361999"/>
    <n v="3779.8564067151701"/>
    <n v="11.612850410181199"/>
    <n v="1.5331968046688"/>
    <n v="3.0801591002547299"/>
    <n v="0.40666071839190998"/>
    <n v="1002.5582606827101"/>
    <n v="1410"/>
    <s v="Retail Sales and Services"/>
    <n v="1410"/>
    <s v="City of Cocoa Beach           Brevard County"/>
    <s v="City of Cocoa Beach"/>
    <m/>
    <m/>
    <m/>
    <n v="0"/>
    <n v="1"/>
    <n v="3.0801591002547299"/>
    <n v="0.40666071839190998"/>
    <n v="1002.5582606827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1.46842025520701"/>
    <n v="1073.37657823882"/>
    <n v="0.81310483430000002"/>
  </r>
  <r>
    <n v="830000"/>
    <n v="2400000"/>
    <n v="2400000"/>
    <x v="0"/>
    <x v="0"/>
    <s v="BR3-5, BR-7"/>
    <s v="62-304.520 (10), F.A.C."/>
    <n v="0.59"/>
    <n v="0.64"/>
    <s v="FDOT District 5"/>
    <n v="1.2070383511799999E-3"/>
    <n v="3779.8564067151701"/>
    <n v="11.612850410181199"/>
    <n v="1.5331968046688"/>
    <n v="1.401715581164E-2"/>
    <n v="1.85062734314E-3"/>
    <n v="4.56243164486997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401715581164E-2"/>
    <n v="1.85062734314E-3"/>
    <n v="4.5624316448714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2.013838573331299"/>
    <n v="4.8847109035696503"/>
    <n v="3.700269E-3"/>
  </r>
  <r>
    <n v="830000"/>
    <n v="2400000"/>
    <n v="2400000"/>
    <x v="0"/>
    <x v="0"/>
    <s v="BR3-5, BR-7"/>
    <s v="62-304.520 (10), F.A.C."/>
    <n v="0.59"/>
    <n v="0.64"/>
    <s v="City of Cocoa Beach"/>
    <n v="2.2220897277710001E-2"/>
    <n v="3658.0058763699899"/>
    <n v="8.6960428537051406"/>
    <n v="1.42578221936369"/>
    <n v="0.19323387497479"/>
    <n v="3.1682160236869997E-2"/>
    <n v="81.284172820099002"/>
    <n v="1100"/>
    <s v="Residential, Low Density-Less than two dwelling units/acre"/>
    <n v="1100"/>
    <s v="City of Cocoa Beach           Brevard County"/>
    <s v="City of Cocoa Beach"/>
    <m/>
    <m/>
    <m/>
    <n v="0"/>
    <n v="1"/>
    <n v="0.19323387497479"/>
    <n v="3.1682160236869997E-2"/>
    <n v="81.2841728200986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4.071129686277899"/>
    <n v="89.924780859815101"/>
    <n v="6.5923903300000003E-2"/>
  </r>
  <r>
    <n v="830000"/>
    <n v="2400000"/>
    <n v="2400000"/>
    <x v="0"/>
    <x v="0"/>
    <s v="BR3-5, BR-7"/>
    <s v="62-304.520 (10), F.A.C."/>
    <n v="0.59"/>
    <n v="0.64"/>
    <s v="City of Cocoa Beach"/>
    <n v="0.16977347269063001"/>
    <n v="3658.0058763699899"/>
    <n v="8.6960428537051406"/>
    <n v="1.42578221936369"/>
    <n v="1.47635739394011"/>
    <n v="0.24205999868193001"/>
    <n v="621.03236075408597"/>
    <n v="1300"/>
    <s v="Residential, High Density"/>
    <n v="1300"/>
    <s v="City of Cocoa Beach           Brevard County"/>
    <s v="City of Cocoa Beach"/>
    <m/>
    <m/>
    <m/>
    <n v="0"/>
    <n v="1"/>
    <n v="1.47635739394011"/>
    <n v="0.24205999868193001"/>
    <n v="706.39935959064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0.371796897496"/>
    <n v="687.04886831124895"/>
    <n v="0.57291107829999999"/>
  </r>
  <r>
    <n v="830000"/>
    <n v="2400000"/>
    <n v="2400000"/>
    <x v="0"/>
    <x v="0"/>
    <s v="BR3-5, BR-7"/>
    <s v="62-304.520 (10), F.A.C."/>
    <n v="0.59"/>
    <n v="0.64"/>
    <s v="Natural Lands"/>
    <n v="6.2611406201430006E-2"/>
    <n v="3658.0058763699899"/>
    <n v="8.6960428537051406"/>
    <n v="1.42578221936369"/>
    <n v="0.54447147145841002"/>
    <n v="8.9270229691360004E-2"/>
    <n v="229.03289181263699"/>
    <n v="4340"/>
    <s v="Hardwood Conifer Mixed"/>
    <n v="4340"/>
    <s v="City of Cocoa Beach           Brevard County"/>
    <s v="City of Cocoa Beach"/>
    <m/>
    <m/>
    <s v="Natural Lands"/>
    <n v="0"/>
    <n v="1"/>
    <n v="0.54447147145841002"/>
    <n v="8.9270229691360004E-2"/>
    <n v="252.17467248678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6.685094795241994"/>
    <n v="253.37937130177301"/>
    <n v="0.2045212267"/>
  </r>
  <r>
    <n v="830000"/>
    <n v="2400000"/>
    <n v="2400000"/>
    <x v="0"/>
    <x v="0"/>
    <s v="BR3-5, BR-7"/>
    <s v="62-304.520 (10), F.A.C."/>
    <n v="0.59"/>
    <n v="0.64"/>
    <s v="City of Cocoa Beach"/>
    <n v="1.1981537467650001E-2"/>
    <n v="3658.0058763699899"/>
    <n v="8.6960428537051406"/>
    <n v="1.42578221936369"/>
    <n v="0.104191963272"/>
    <n v="1.7083063082020001E-2"/>
    <n v="43.8285344646292"/>
    <n v="1210"/>
    <s v="Fixed Single Family Units"/>
    <n v="1210"/>
    <s v="City of Cocoa Beach           Brevard County"/>
    <s v="City of Cocoa Beach"/>
    <m/>
    <m/>
    <m/>
    <n v="0"/>
    <n v="1"/>
    <n v="0.104191963272"/>
    <n v="1.7083063082020001E-2"/>
    <n v="43.8285344646303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9.384423092829103"/>
    <n v="48.487561851206998"/>
    <n v="3.5546256700000001E-2"/>
  </r>
  <r>
    <n v="830000"/>
    <n v="2400000"/>
    <n v="2400000"/>
    <x v="0"/>
    <x v="0"/>
    <s v="BR3-5, BR-7"/>
    <s v="62-304.520 (10), F.A.C."/>
    <n v="0.59"/>
    <n v="0.64"/>
    <s v="City of Cocoa Beach"/>
    <n v="1.9524049540160002E-2"/>
    <n v="3658.0058763699899"/>
    <n v="8.6960428537051406"/>
    <n v="1.42578221936369"/>
    <n v="0.16978197147915999"/>
    <n v="2.7837042684340001E-2"/>
    <n v="71.419087948473305"/>
    <n v="1210"/>
    <s v="Fixed Single Family Units"/>
    <n v="1210"/>
    <s v="City of Cocoa Beach           Brevard County"/>
    <s v="City of Cocoa Beach"/>
    <m/>
    <m/>
    <m/>
    <n v="0"/>
    <n v="1"/>
    <n v="0.16978197147915999"/>
    <n v="2.7837042684340001E-2"/>
    <n v="71.4190879484747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1.306193279423603"/>
    <n v="79.011025272886101"/>
    <n v="5.7923023499999997E-2"/>
  </r>
  <r>
    <n v="830000"/>
    <n v="2400000"/>
    <n v="2400000"/>
    <x v="0"/>
    <x v="0"/>
    <s v="BR3-5, BR-7"/>
    <s v="62-304.520 (10), F.A.C."/>
    <n v="0.59"/>
    <n v="0.64"/>
    <s v="FDOT District 5"/>
    <n v="3.5784258510000002E-5"/>
    <n v="3658.0058763699899"/>
    <n v="8.6960428537051406"/>
    <n v="1.42578221936369"/>
    <n v="3.1118144550000001E-4"/>
    <n v="5.102055951E-5"/>
    <n v="0.1308990279147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1118144550000001E-4"/>
    <n v="5.102055951E-5"/>
    <n v="0.13089902791491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.8012781154979702"/>
    <n v="0.1448137563762"/>
    <n v="1.0616300000000001E-4"/>
  </r>
  <r>
    <n v="830000"/>
    <n v="2400000"/>
    <n v="2400000"/>
    <x v="0"/>
    <x v="0"/>
    <s v="BR3-5, BR-7"/>
    <s v="62-304.520 (10), F.A.C."/>
    <n v="0.59"/>
    <n v="0.64"/>
    <s v="City of Cocoa Beach"/>
    <n v="5.3386008827980003E-2"/>
    <n v="3658.0058763699899"/>
    <n v="8.6960428537051406"/>
    <n v="1.42578221936369"/>
    <n v="0.46424702055641998"/>
    <n v="7.6116822149730007E-2"/>
    <n v="195.286334008702"/>
    <n v="1210"/>
    <s v="Fixed Single Family Units"/>
    <n v="1210"/>
    <s v="City of Cocoa Beach           Brevard County"/>
    <s v="City of Cocoa Beach"/>
    <m/>
    <m/>
    <m/>
    <n v="0"/>
    <n v="1"/>
    <n v="0.46424702055641998"/>
    <n v="7.6116822149730007E-2"/>
    <n v="226.67847044282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9.121719027364506"/>
    <n v="216.04551269182599"/>
    <n v="0.18384304169999999"/>
  </r>
  <r>
    <n v="830000"/>
    <n v="2400000"/>
    <n v="2400000"/>
    <x v="0"/>
    <x v="0"/>
    <s v="BR3-5, BR-7"/>
    <s v="62-304.520 (10), F.A.C."/>
    <n v="0.59"/>
    <n v="0.64"/>
    <s v="FDOT District 5"/>
    <n v="7.5381361979999999E-5"/>
    <n v="3658.0058763699899"/>
    <n v="8.6960428537051406"/>
    <n v="1.42578221936369"/>
    <n v="6.5551955421999999E-4"/>
    <n v="1.0747740559E-4"/>
    <n v="0.2757454651245300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6.5551955421999999E-4"/>
    <n v="1.0747740559E-4"/>
    <n v="0.42739720511036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.199686849874102"/>
    <n v="0.30505754889283998"/>
    <n v="3.4663199999999998E-4"/>
  </r>
  <r>
    <n v="830000"/>
    <n v="2400000"/>
    <n v="2400000"/>
    <x v="0"/>
    <x v="0"/>
    <s v="BR3-5, BR-7"/>
    <s v="62-304.520 (10), F.A.C."/>
    <n v="0.59"/>
    <n v="0.64"/>
    <s v="City of Cocoa Beach"/>
    <n v="1.5576525164E-4"/>
    <n v="3658.0058763699899"/>
    <n v="8.6960428537051406"/>
    <n v="1.42578221936369"/>
    <n v="1.35454130344E-3"/>
    <n v="2.2208732618999999E-4"/>
    <n v="0.56979020585897"/>
    <n v="1210"/>
    <s v="Fixed Single Family Units"/>
    <n v="1210"/>
    <s v="City of Cocoa Beach           Brevard County"/>
    <s v="City of Cocoa Beach"/>
    <m/>
    <m/>
    <m/>
    <n v="0"/>
    <n v="1"/>
    <n v="1.35454130344E-3"/>
    <n v="2.2208732618999999E-4"/>
    <n v="64.58739117687929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.0370996174248797"/>
    <n v="0.63035960901244004"/>
    <n v="5.2382312399999999E-2"/>
  </r>
  <r>
    <n v="830000"/>
    <n v="2400000"/>
    <n v="2400000"/>
    <x v="0"/>
    <x v="0"/>
    <s v="BR3-5, BR-7"/>
    <s v="62-304.520 (10), F.A.C."/>
    <n v="0.59"/>
    <n v="0.64"/>
    <s v="City of Cocoa Beach"/>
    <n v="6.3646353502039996E-2"/>
    <n v="3658.0058763699899"/>
    <n v="8.6960428537051406"/>
    <n v="1.42578221936369"/>
    <n v="0.55347141753581997"/>
    <n v="9.0745839150540006E-2"/>
    <n v="232.818735119991"/>
    <n v="1210"/>
    <s v="Fixed Single Family Units"/>
    <n v="1210"/>
    <s v="City of Cocoa Beach           Brevard County"/>
    <s v="City of Cocoa Beach"/>
    <m/>
    <m/>
    <m/>
    <n v="0"/>
    <n v="1"/>
    <n v="0.55347141753581997"/>
    <n v="9.0745839150540006E-2"/>
    <n v="232.81873511999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2.735025204466297"/>
    <n v="257.56765443208099"/>
    <n v="0.1888229806"/>
  </r>
  <r>
    <n v="830000"/>
    <n v="2400000"/>
    <n v="2400000"/>
    <x v="0"/>
    <x v="0"/>
    <s v="BR3-5, BR-7"/>
    <s v="62-304.520 (10), F.A.C."/>
    <n v="0.59"/>
    <n v="0.64"/>
    <s v="FDOT District 5"/>
    <n v="7.2727418349999997E-5"/>
    <n v="3658.0058763699899"/>
    <n v="8.6960428537051406"/>
    <n v="1.42578221936369"/>
    <n v="6.3244074668000001E-4"/>
    <n v="1.0369345995E-4"/>
    <n v="0.2660373237267800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6.3244074668000001E-4"/>
    <n v="1.0369345995E-4"/>
    <n v="0.266037323726420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7.941267625640702"/>
    <n v="0.29431742006625"/>
    <n v="2.1576430000000001E-4"/>
  </r>
  <r>
    <n v="830000"/>
    <n v="2400000"/>
    <n v="2400000"/>
    <x v="0"/>
    <x v="0"/>
    <s v="BR3-5, BR-7"/>
    <s v="62-304.520 (10), F.A.C."/>
    <n v="0.59"/>
    <n v="0.64"/>
    <s v="City of Cocoa Beach"/>
    <n v="6.5327956271180002E-2"/>
    <n v="3658.0058763699899"/>
    <n v="8.6960428537051406"/>
    <n v="1.42578221936369"/>
    <n v="0.56809470727917"/>
    <n v="9.3143438478820006E-2"/>
    <n v="238.970047931225"/>
    <n v="1210"/>
    <s v="Fixed Single Family Units"/>
    <n v="1210"/>
    <s v="City of Cocoa Beach           Brevard County"/>
    <s v="City of Cocoa Beach"/>
    <m/>
    <m/>
    <m/>
    <n v="0"/>
    <n v="1"/>
    <n v="0.56809470727917"/>
    <n v="9.3143438478820006E-2"/>
    <n v="238.97004793122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3.710571503223207"/>
    <n v="264.372859398299"/>
    <n v="0.19381187990000001"/>
  </r>
  <r>
    <n v="830000"/>
    <n v="2400000"/>
    <n v="2400000"/>
    <x v="0"/>
    <x v="0"/>
    <s v="BR3-5, BR-7"/>
    <s v="62-304.520 (10), F.A.C."/>
    <n v="0.59"/>
    <n v="0.64"/>
    <s v="FDOT District 5"/>
    <n v="2.533568621E-5"/>
    <n v="3658.0058763699899"/>
    <n v="8.6960428537051406"/>
    <n v="1.42578221936369"/>
    <n v="2.2032021307999999E-4"/>
    <n v="3.6123170920000002E-5"/>
    <n v="9.2678089067309996E-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2032021307999999E-4"/>
    <n v="3.6123170920000002E-5"/>
    <n v="9.2678089067300004E-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7.913582391671799"/>
    <n v="0.10252988448722"/>
    <n v="7.5164699999999995E-5"/>
  </r>
  <r>
    <n v="830000"/>
    <n v="2400000"/>
    <n v="2400000"/>
    <x v="0"/>
    <x v="0"/>
    <s v="BR3-5, BR-7"/>
    <s v="62-304.520 (10), F.A.C."/>
    <n v="0.59"/>
    <n v="0.64"/>
    <s v="City of Cocoa Beach"/>
    <n v="7.4035442347859998E-2"/>
    <n v="3724.6538535115401"/>
    <n v="9.7224883935918207"/>
    <n v="1.58025729242252"/>
    <n v="0.71980872894154002"/>
    <n v="0.11699504766792999"/>
    <n v="275.75639563740299"/>
    <n v="1200"/>
    <s v="Residential, Medium Density-Two-five dwellingunits per acre"/>
    <n v="1200"/>
    <s v="City of Cocoa Beach           Brevard County"/>
    <s v="City of Cocoa Beach"/>
    <m/>
    <m/>
    <m/>
    <n v="0"/>
    <n v="1"/>
    <n v="0.71980872894154002"/>
    <n v="0.11699504766792999"/>
    <n v="275.756395637402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008563225909"/>
    <n v="299.610805350676"/>
    <n v="0.22364671180000001"/>
  </r>
  <r>
    <n v="830000"/>
    <n v="2400000"/>
    <n v="2400000"/>
    <x v="0"/>
    <x v="0"/>
    <s v="BR3-5, BR-7"/>
    <s v="62-304.520 (10), F.A.C."/>
    <n v="0.59"/>
    <n v="0.64"/>
    <s v="FDOT District 5"/>
    <n v="4.43473868077E-2"/>
    <n v="3724.6538535115401"/>
    <n v="9.7224883935918207"/>
    <n v="1.58025729242252"/>
    <n v="0.43116695352406997"/>
    <n v="7.008028140276E-2"/>
    <n v="165.1786651665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43116695352406997"/>
    <n v="7.008028140276E-2"/>
    <n v="165.178665166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871162097547"/>
    <n v="179.467507119434"/>
    <n v="0.1339648541"/>
  </r>
  <r>
    <n v="830000"/>
    <n v="2400000"/>
    <n v="2400000"/>
    <x v="0"/>
    <x v="0"/>
    <s v="BR3-5, BR-7"/>
    <s v="62-304.520 (10), F.A.C."/>
    <n v="0.59"/>
    <n v="0.64"/>
    <s v="City of Cocoa Beach"/>
    <n v="4.3354038882000001E-4"/>
    <n v="3724.6538535115401"/>
    <n v="9.7224883935918207"/>
    <n v="1.58025729242252"/>
    <n v="4.2150913985000002E-3"/>
    <n v="6.8510536099999995E-4"/>
    <n v="1.61478787988993"/>
    <n v="1300"/>
    <s v="Residential, High Density"/>
    <n v="1300"/>
    <s v="City of Cocoa Beach           Brevard County"/>
    <s v="City of Cocoa Beach"/>
    <m/>
    <m/>
    <m/>
    <n v="0"/>
    <n v="1"/>
    <n v="4.2150913985000002E-3"/>
    <n v="6.8510536099999995E-4"/>
    <n v="1.6147878798913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.0488350286774"/>
    <n v="1.7544757068877801"/>
    <n v="1.3096414E-3"/>
  </r>
  <r>
    <n v="830000"/>
    <n v="2400000"/>
    <n v="2400000"/>
    <x v="0"/>
    <x v="0"/>
    <s v="BR3-5, BR-7"/>
    <s v="62-304.520 (10), F.A.C."/>
    <n v="0.59"/>
    <n v="0.64"/>
    <s v="FDOT District 5"/>
    <n v="1.0479442961E-2"/>
    <n v="3724.6538535115401"/>
    <n v="9.7224883935918207"/>
    <n v="1.58025729242252"/>
    <n v="0.10188626255971001"/>
    <n v="1.656021615966E-2"/>
    <n v="39.0322976073765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10188626255971001"/>
    <n v="1.656021615966E-2"/>
    <n v="39.032297607374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1.975456366197605"/>
    <n v="42.408801049931803"/>
    <n v="3.16563646E-2"/>
  </r>
  <r>
    <n v="830000"/>
    <n v="2400000"/>
    <n v="2400000"/>
    <x v="0"/>
    <x v="0"/>
    <s v="BR3-5, BR-7"/>
    <s v="62-304.520 (10), F.A.C."/>
    <n v="0.59"/>
    <n v="0.64"/>
    <s v="City of Cocoa Beach"/>
    <n v="0.16000356897168"/>
    <n v="3724.6538535115401"/>
    <n v="9.7224883935918207"/>
    <n v="1.58025729242252"/>
    <n v="1.55563284226044"/>
    <n v="0.25284680668113002"/>
    <n v="595.95790974597503"/>
    <n v="1210"/>
    <s v="Fixed Single Family Units"/>
    <n v="1210"/>
    <s v="City of Cocoa Beach           Brevard County"/>
    <s v="City of Cocoa Beach"/>
    <m/>
    <m/>
    <m/>
    <n v="0"/>
    <n v="1"/>
    <n v="1.55563284226044"/>
    <n v="0.25284680668113002"/>
    <n v="595.957909745975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5.857702517525"/>
    <n v="647.51147069997296"/>
    <n v="0.48333974839999999"/>
  </r>
  <r>
    <n v="830000"/>
    <n v="2400000"/>
    <n v="2400000"/>
    <x v="0"/>
    <x v="0"/>
    <s v="BR3-5, BR-7"/>
    <s v="62-304.520 (10), F.A.C."/>
    <n v="0.59"/>
    <n v="0.64"/>
    <s v="FDOT District 5"/>
    <n v="5.3521438306999999E-4"/>
    <n v="3724.6538535115401"/>
    <n v="9.7224883935918207"/>
    <n v="1.58025729242252"/>
    <n v="5.2036156275300002E-3"/>
    <n v="8.4577643186000003E-4"/>
    <n v="1.99348831437510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2036156275300002E-3"/>
    <n v="8.4577643186000003E-4"/>
    <n v="1.9934883143767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489438096762601"/>
    <n v="2.1659357635097098"/>
    <n v="1.6167788E-3"/>
  </r>
  <r>
    <n v="830000"/>
    <n v="2400000"/>
    <n v="2400000"/>
    <x v="0"/>
    <x v="0"/>
    <s v="BR3-5, BR-7"/>
    <s v="62-304.520 (10), F.A.C."/>
    <n v="0.59"/>
    <n v="0.64"/>
    <s v="City of Cocoa Beach"/>
    <n v="0.14175391689892"/>
    <n v="3724.6538535115401"/>
    <n v="9.7224883935918207"/>
    <n v="1.58025729242252"/>
    <n v="1.3782008117959801"/>
    <n v="0.22400766090898"/>
    <n v="527.98427282794"/>
    <n v="1210"/>
    <s v="Fixed Single Family Units"/>
    <n v="1210"/>
    <s v="City of Cocoa Beach           Brevard County"/>
    <s v="City of Cocoa Beach"/>
    <m/>
    <m/>
    <m/>
    <n v="0"/>
    <n v="1"/>
    <n v="1.3782008117959801"/>
    <n v="0.22400766090898"/>
    <n v="527.9842728279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89711565508399"/>
    <n v="573.65774900277597"/>
    <n v="0.4282110891"/>
  </r>
  <r>
    <n v="830000"/>
    <n v="2400000"/>
    <n v="2400000"/>
    <x v="0"/>
    <x v="0"/>
    <s v="BR3-5, BR-7"/>
    <s v="62-304.520 (10), F.A.C."/>
    <n v="0.59"/>
    <n v="0.64"/>
    <s v="FDOT District 5"/>
    <n v="5.2144069675E-4"/>
    <n v="3724.6538535115401"/>
    <n v="9.7224883935918207"/>
    <n v="1.58025729242252"/>
    <n v="5.0697011221700001E-3"/>
    <n v="8.2401046361000002E-4"/>
    <n v="1.94218610055742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0697011221700001E-3"/>
    <n v="8.2401046361000002E-4"/>
    <n v="1.9421861005582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494339147546199"/>
    <n v="2.1101956325767399"/>
    <n v="1.5751712000000001E-3"/>
  </r>
  <r>
    <n v="830000"/>
    <n v="2400000"/>
    <n v="2400000"/>
    <x v="0"/>
    <x v="0"/>
    <s v="BR3-5, BR-7"/>
    <s v="62-304.520 (10), F.A.C."/>
    <n v="0.59"/>
    <n v="0.64"/>
    <s v="City of Cocoa Beach"/>
    <n v="0.15567707265184999"/>
    <n v="3724.6538535115401"/>
    <n v="9.7224883935918207"/>
    <n v="1.58025729242252"/>
    <n v="1.51356853200598"/>
    <n v="0.24600982932108001"/>
    <n v="579.843208556117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51356853200598"/>
    <n v="0.24600982932108001"/>
    <n v="579.843208556117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640556226115"/>
    <n v="630.00276128157805"/>
    <n v="0.47027024210000001"/>
  </r>
  <r>
    <n v="830000"/>
    <n v="2400000"/>
    <n v="2400000"/>
    <x v="0"/>
    <x v="0"/>
    <s v="BR3-5, BR-7"/>
    <s v="62-304.520 (10), F.A.C."/>
    <n v="0.59"/>
    <n v="0.64"/>
    <s v="FDOT District 5"/>
    <n v="5.1191211001000003E-4"/>
    <n v="3724.6538535115401"/>
    <n v="9.7224883935918207"/>
    <n v="1.58025729242252"/>
    <n v="4.97705954815E-3"/>
    <n v="8.0895284492E-4"/>
    <n v="1.90669541322287"/>
    <n v="1330"/>
    <s v="Residential, High density; Multiple Dwelling Units, Low Rise &lt;Two stories or less&gt;"/>
    <n v="1330"/>
    <s v="FDOT District 5                                 City of Cocoa Beach           Brevard County"/>
    <s v="FDOT District 5"/>
    <m/>
    <m/>
    <m/>
    <n v="0"/>
    <n v="1"/>
    <n v="4.97705954815E-3"/>
    <n v="8.0895284492E-4"/>
    <n v="1.9066954132246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024198338441799"/>
    <n v="2.0716348101164002"/>
    <n v="1.5463872E-3"/>
  </r>
  <r>
    <n v="830000"/>
    <n v="2400000"/>
    <n v="2400000"/>
    <x v="0"/>
    <x v="0"/>
    <s v="BR3-5, BR-7"/>
    <s v="62-304.520 (10), F.A.C."/>
    <n v="0.59"/>
    <n v="0.64"/>
    <s v="City of Cocoa Beach"/>
    <n v="8.0273545890199999E-3"/>
    <n v="3724.6538535115401"/>
    <n v="9.7224883935918207"/>
    <n v="1.58025729242252"/>
    <n v="7.8045861822990004E-2"/>
    <n v="1.2685285628160001E-2"/>
    <n v="29.8991172034969"/>
    <n v="1210"/>
    <s v="Fixed Single Family Units"/>
    <n v="1210"/>
    <s v="City of Cocoa Beach           Brevard County"/>
    <s v="City of Cocoa Beach"/>
    <m/>
    <m/>
    <m/>
    <n v="0"/>
    <n v="1"/>
    <n v="7.8045861822990004E-2"/>
    <n v="1.2685285628160001E-2"/>
    <n v="29.899117203496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4.8427173848523"/>
    <n v="32.485551473456702"/>
    <n v="2.4249081299999999E-2"/>
  </r>
  <r>
    <n v="830000"/>
    <n v="2400000"/>
    <n v="2400000"/>
    <x v="0"/>
    <x v="0"/>
    <s v="BR3-5, BR-7"/>
    <s v="62-304.520 (10), F.A.C."/>
    <n v="0.59"/>
    <n v="0.64"/>
    <s v="City of Cocoa Beach"/>
    <n v="2.143716081515E-2"/>
    <n v="3724.6538535115401"/>
    <n v="9.7224883935918207"/>
    <n v="1.58025729242252"/>
    <n v="0.20842254721685999"/>
    <n v="3.3876229706969997E-2"/>
    <n v="79.8460036384988"/>
    <n v="1300"/>
    <s v="Residential, High Density"/>
    <n v="1300"/>
    <s v="City of Cocoa Beach           Brevard County"/>
    <s v="City of Cocoa Beach"/>
    <m/>
    <m/>
    <m/>
    <n v="0"/>
    <n v="1"/>
    <n v="0.20842254721685999"/>
    <n v="3.3876229706969997E-2"/>
    <n v="79.8460036385003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9.836532361298801"/>
    <n v="86.753111922816998"/>
    <n v="6.4757505000000007E-2"/>
  </r>
  <r>
    <n v="830000"/>
    <n v="2400000"/>
    <n v="2400000"/>
    <x v="0"/>
    <x v="0"/>
    <s v="BR3-5, BR-7"/>
    <s v="62-304.520 (10), F.A.C."/>
    <n v="0.59"/>
    <n v="0.64"/>
    <s v="City of Cocoa Beach"/>
    <n v="0.28848557743650999"/>
    <n v="3773.8140038065098"/>
    <n v="9.4768971225364407"/>
    <n v="1.6345837971214201"/>
    <n v="2.7339481387013902"/>
    <n v="0.47155385058094001"/>
    <n v="1088.69091202613"/>
    <n v="1390"/>
    <s v="High Density Under Construction"/>
    <n v="1390"/>
    <s v="City of Cocoa Beach           Brevard County"/>
    <s v="City of Cocoa Beach"/>
    <m/>
    <m/>
    <m/>
    <n v="0"/>
    <n v="1"/>
    <n v="2.7339481387013902"/>
    <n v="0.47155385058094001"/>
    <n v="1093.2968259244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6.87995831042301"/>
    <n v="1167.4597118187401"/>
    <n v="0.8866965336"/>
  </r>
  <r>
    <n v="830000"/>
    <n v="2400000"/>
    <n v="2400000"/>
    <x v="0"/>
    <x v="0"/>
    <s v="BR3-5, BR-7"/>
    <s v="62-304.520 (10), F.A.C."/>
    <n v="0.59"/>
    <n v="0.64"/>
    <s v="FDOT District 5"/>
    <n v="4.3628295915860003E-2"/>
    <n v="3773.8140038065098"/>
    <n v="9.4768971225364407"/>
    <n v="1.6345837971214201"/>
    <n v="0.41346087202621001"/>
    <n v="7.1314105600080002E-2"/>
    <n v="164.645074089498"/>
    <n v="1390"/>
    <s v="High Density Under Construction"/>
    <n v="1390"/>
    <s v="FDOT District 5                                 City of Cocoa Beach           Brevard County"/>
    <s v="FDOT District 5"/>
    <m/>
    <m/>
    <m/>
    <n v="0"/>
    <n v="1"/>
    <n v="0.41346087202621001"/>
    <n v="7.1314105600080002E-2"/>
    <n v="164.645074089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982591614302"/>
    <n v="176.55744952547801"/>
    <n v="0.1335320958"/>
  </r>
  <r>
    <n v="830000"/>
    <n v="2400000"/>
    <n v="2400000"/>
    <x v="0"/>
    <x v="0"/>
    <s v="BR3-5, BR-7"/>
    <s v="62-304.520 (10), F.A.C."/>
    <n v="0.59"/>
    <n v="0.64"/>
    <s v="City of Cocoa Beach"/>
    <n v="1.9534042794300001E-3"/>
    <n v="3773.8140038065098"/>
    <n v="9.4768971225364407"/>
    <n v="1.6345837971214201"/>
    <n v="1.851221139492E-2"/>
    <n v="3.19300298439E-3"/>
    <n v="7.3717844248273803"/>
    <n v="1300"/>
    <s v="Residential, High Density"/>
    <n v="1300"/>
    <s v="City of Cocoa Beach           Brevard County"/>
    <s v="City of Cocoa Beach"/>
    <m/>
    <m/>
    <m/>
    <n v="0"/>
    <n v="1"/>
    <n v="1.851221139492E-2"/>
    <n v="3.19300298439E-3"/>
    <n v="7.3717844248282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34708667596399"/>
    <n v="7.90514665377607"/>
    <n v="5.9787384000000001E-3"/>
  </r>
  <r>
    <n v="830000"/>
    <n v="2400000"/>
    <n v="2400000"/>
    <x v="0"/>
    <x v="0"/>
    <s v="BR3-5, BR-7"/>
    <s v="62-304.520 (10), F.A.C."/>
    <n v="0.59"/>
    <n v="0.64"/>
    <s v="FDOT District 5"/>
    <n v="0.18640154949737001"/>
    <n v="3773.8140038065098"/>
    <n v="9.4768971225364407"/>
    <n v="1.6345837971214201"/>
    <n v="1.76650830806798"/>
    <n v="0.30468895256673001"/>
    <n v="703.4447778244159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76650830806798"/>
    <n v="0.30468895256673001"/>
    <n v="703.444777824415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0.36268622020501"/>
    <n v="754.34030772874996"/>
    <n v="0.57051482389999997"/>
  </r>
  <r>
    <n v="830000"/>
    <n v="2400000"/>
    <n v="2400000"/>
    <x v="0"/>
    <x v="0"/>
    <s v="BR3-5, BR-7"/>
    <s v="62-304.520 (10), F.A.C."/>
    <n v="0.59"/>
    <n v="0.64"/>
    <s v="City of Cocoa Beach"/>
    <n v="1.502072364001E-2"/>
    <n v="3773.8140038065098"/>
    <n v="9.4768971225364407"/>
    <n v="1.6345837971214201"/>
    <n v="0.14234985264246999"/>
    <n v="2.4552631482999999E-2"/>
    <n v="56.685417219996197"/>
    <n v="1210"/>
    <s v="Fixed Single Family Units"/>
    <n v="1210"/>
    <s v="City of Cocoa Beach           Brevard County"/>
    <s v="City of Cocoa Beach"/>
    <m/>
    <m/>
    <m/>
    <n v="0"/>
    <n v="1"/>
    <n v="0.14234985264246999"/>
    <n v="2.4552631482999999E-2"/>
    <n v="56.6854172199961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208840594606301"/>
    <n v="60.7867119316901"/>
    <n v="4.5973574400000002E-2"/>
  </r>
  <r>
    <n v="830000"/>
    <n v="2400000"/>
    <n v="2400000"/>
    <x v="0"/>
    <x v="0"/>
    <s v="BR3-5, BR-7"/>
    <s v="62-304.520 (10), F.A.C."/>
    <n v="0.59"/>
    <n v="0.64"/>
    <s v="City of Cocoa Beach"/>
    <n v="5.711223811986E-2"/>
    <n v="3773.8140038065098"/>
    <n v="9.4768971225364407"/>
    <n v="1.6345837971214201"/>
    <n v="0.54124680509980005"/>
    <n v="9.3354739048069998E-2"/>
    <n v="215.53096400549401"/>
    <n v="1210"/>
    <s v="Fixed Single Family Units"/>
    <n v="1210"/>
    <s v="City of Cocoa Beach           Brevard County"/>
    <s v="City of Cocoa Beach"/>
    <m/>
    <m/>
    <m/>
    <n v="0"/>
    <n v="1"/>
    <n v="0.54124680509980005"/>
    <n v="9.3354739048069998E-2"/>
    <n v="215.53096400549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9.896371125465294"/>
    <n v="231.12502763302999"/>
    <n v="0.17480207950000001"/>
  </r>
  <r>
    <n v="830000"/>
    <n v="2400000"/>
    <n v="2400000"/>
    <x v="0"/>
    <x v="0"/>
    <s v="BR3-5, BR-7"/>
    <s v="62-304.520 (10), F.A.C."/>
    <n v="0.59"/>
    <n v="0.64"/>
    <s v="City of Cocoa Beach"/>
    <n v="1.4415119241499999E-2"/>
    <n v="3773.8140038065098"/>
    <n v="9.4768971225364407"/>
    <n v="1.6345837971214201"/>
    <n v="0.13661060206084"/>
    <n v="2.3562720345729999E-2"/>
    <n v="54.399978860136102"/>
    <n v="1300"/>
    <s v="Residential, High Density"/>
    <n v="1300"/>
    <s v="City of Cocoa Beach           Brevard County"/>
    <s v="City of Cocoa Beach"/>
    <m/>
    <m/>
    <m/>
    <n v="0"/>
    <n v="1"/>
    <n v="0.13661060206084"/>
    <n v="2.3562720345729999E-2"/>
    <n v="54.399978860135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0.9614764652388"/>
    <n v="58.335917882149303"/>
    <n v="4.4120015300000003E-2"/>
  </r>
  <r>
    <n v="830000"/>
    <n v="2400000"/>
    <n v="2400000"/>
    <x v="0"/>
    <x v="0"/>
    <s v="BR3-5, BR-7"/>
    <s v="62-304.520 (10), F.A.C."/>
    <n v="0.59"/>
    <n v="0.64"/>
    <s v="City of Cocoa Beach"/>
    <n v="9.5260524516399998E-3"/>
    <n v="3773.8140038065098"/>
    <n v="9.4768971225364407"/>
    <n v="1.6345837971214201"/>
    <n v="9.0277419068079998E-2"/>
    <n v="1.5571130987980001E-2"/>
    <n v="35.949550142998199"/>
    <n v="1210"/>
    <s v="Fixed Single Family Units"/>
    <n v="1210"/>
    <s v="City of Cocoa Beach           Brevard County"/>
    <s v="City of Cocoa Beach"/>
    <m/>
    <m/>
    <m/>
    <n v="0"/>
    <n v="1"/>
    <n v="9.0277419068079998E-2"/>
    <n v="1.5571130987980001E-2"/>
    <n v="35.9495501429975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3.394430982299802"/>
    <n v="38.550566544041899"/>
    <n v="2.91561639E-2"/>
  </r>
  <r>
    <n v="830000"/>
    <n v="2400000"/>
    <n v="2400000"/>
    <x v="0"/>
    <x v="0"/>
    <s v="BR3-5, BR-7"/>
    <s v="62-304.520 (10), F.A.C."/>
    <n v="0.59"/>
    <n v="0.64"/>
    <s v="FDOT District 5"/>
    <n v="0.19591652416878999"/>
    <n v="3777.73800338406"/>
    <n v="11.390336340626799"/>
    <n v="1.5176352578110299"/>
    <n v="2.23155510496915"/>
    <n v="0.29732982466635"/>
    <n v="740.1212988433800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23155510496915"/>
    <n v="0.29732982466635"/>
    <n v="740.121298843380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1.72860095508301"/>
    <n v="792.84604408678399"/>
    <n v="0.60026058299999996"/>
  </r>
  <r>
    <n v="830000"/>
    <n v="2400000"/>
    <n v="2400000"/>
    <x v="0"/>
    <x v="0"/>
    <s v="BR3-5, BR-7"/>
    <s v="62-304.520 (10), F.A.C."/>
    <n v="0.59"/>
    <n v="0.64"/>
    <s v="City of Cocoa Beach"/>
    <n v="6.1093037235429998E-2"/>
    <n v="3777.73800338406"/>
    <n v="11.390336340626799"/>
    <n v="1.5176352578110299"/>
    <n v="0.69587024218205995"/>
    <n v="9.2716947315260007E-2"/>
    <n v="230.79348850646701"/>
    <n v="1210"/>
    <s v="Fixed Single Family Units"/>
    <n v="1210"/>
    <s v="City of Cocoa Beach           Brevard County"/>
    <s v="City of Cocoa Beach"/>
    <m/>
    <m/>
    <m/>
    <n v="0"/>
    <n v="1"/>
    <n v="0.69587024218205995"/>
    <n v="9.2716947315260007E-2"/>
    <n v="230.79348850646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1.743096404942506"/>
    <n v="247.23475010015099"/>
    <n v="0.18718044489999999"/>
  </r>
  <r>
    <n v="830000"/>
    <n v="2400000"/>
    <n v="2400000"/>
    <x v="0"/>
    <x v="0"/>
    <s v="BR3-5, BR-7"/>
    <s v="62-304.520 (10), F.A.C."/>
    <n v="0.59"/>
    <n v="0.64"/>
    <s v="FDOT District 5"/>
    <n v="2.5156605583000002E-4"/>
    <n v="3777.73800338406"/>
    <n v="11.390336340626799"/>
    <n v="1.5176352578110299"/>
    <n v="2.8654219878900002E-3"/>
    <n v="3.8178551601000002E-4"/>
    <n v="0.95035064950442005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8654219878900002E-3"/>
    <n v="3.8178551601000002E-4"/>
    <n v="0.95035064950478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.178823505897901"/>
    <n v="1.0180517087302801"/>
    <n v="7.7076290000000001E-4"/>
  </r>
  <r>
    <n v="830000"/>
    <n v="2400000"/>
    <n v="2400000"/>
    <x v="0"/>
    <x v="0"/>
    <s v="BR3-5, BR-7"/>
    <s v="62-304.520 (10), F.A.C."/>
    <n v="0.59"/>
    <n v="0.64"/>
    <s v="City of Cocoa Beach"/>
    <n v="0.12576765805942"/>
    <n v="3777.73800338406"/>
    <n v="11.390336340626799"/>
    <n v="1.5176352578110299"/>
    <n v="1.43253592606984"/>
    <n v="0.19086943216331001"/>
    <n v="475.11726144771598"/>
    <n v="1410"/>
    <s v="Retail Sales and Services"/>
    <n v="1410"/>
    <s v="City of Cocoa Beach           Brevard County"/>
    <s v="City of Cocoa Beach"/>
    <m/>
    <m/>
    <m/>
    <n v="0"/>
    <n v="1"/>
    <n v="1.43253592606984"/>
    <n v="0.19086943216331001"/>
    <n v="475.11726144771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7.727697628664899"/>
    <n v="508.96365474800803"/>
    <n v="0.38533435640000002"/>
  </r>
  <r>
    <n v="830000"/>
    <n v="2400000"/>
    <n v="2400000"/>
    <x v="0"/>
    <x v="0"/>
    <s v="BR3-5, BR-7"/>
    <s v="62-304.520 (10), F.A.C."/>
    <n v="0.59"/>
    <n v="0.64"/>
    <s v="FDOT District 5"/>
    <n v="5.8549098171E-4"/>
    <n v="3777.73800338406"/>
    <n v="11.390336340626799"/>
    <n v="1.5176352578110299"/>
    <n v="6.66893920612E-3"/>
    <n v="8.8856175698000001E-4"/>
    <n v="2.21183153225962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6.66893920612E-3"/>
    <n v="8.8856175698000001E-4"/>
    <n v="2.21183153225796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0.252060232229798"/>
    <n v="2.3693979396048102"/>
    <n v="1.7938616999999999E-3"/>
  </r>
  <r>
    <n v="830000"/>
    <n v="2400000"/>
    <n v="2400000"/>
    <x v="0"/>
    <x v="0"/>
    <s v="BR3-5, BR-7"/>
    <s v="62-304.520 (10), F.A.C."/>
    <n v="0.59"/>
    <n v="0.64"/>
    <s v="City of Cocoa Beach"/>
    <n v="0.23302979690041001"/>
    <n v="3777.73800338406"/>
    <n v="11.390336340626799"/>
    <n v="1.5176352578110299"/>
    <n v="2.6542877640836302"/>
    <n v="0.3536542358966"/>
    <n v="880.325519671552"/>
    <n v="1410"/>
    <s v="Retail Sales and Services"/>
    <n v="1410"/>
    <s v="City of Cocoa Beach           Brevard County"/>
    <s v="City of Cocoa Beach"/>
    <m/>
    <m/>
    <m/>
    <n v="0"/>
    <n v="1"/>
    <n v="2.6542877640836302"/>
    <n v="0.3536542358966"/>
    <n v="880.32551967155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3.620522495571"/>
    <n v="943.03813019699805"/>
    <n v="0.7139704134"/>
  </r>
  <r>
    <n v="830000"/>
    <n v="2400000"/>
    <n v="2400000"/>
    <x v="0"/>
    <x v="0"/>
    <s v="BR3-5, BR-7"/>
    <s v="62-304.520 (10), F.A.C."/>
    <n v="0.59"/>
    <n v="0.64"/>
    <s v="FDOT District 5"/>
    <n v="1.1193803813500001E-3"/>
    <n v="3777.73800338406"/>
    <n v="11.390336340626799"/>
    <n v="1.5176352578110299"/>
    <n v="1.275011903671E-2"/>
    <n v="1.69881113364E-3"/>
    <n v="4.22872580687977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275011903671E-2"/>
    <n v="1.69881113364E-3"/>
    <n v="4.22872580687841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7.548905389717198"/>
    <n v="4.5299716853854903"/>
    <n v="3.4296234999999999E-3"/>
  </r>
  <r>
    <n v="830000"/>
    <n v="2400000"/>
    <n v="2400000"/>
    <x v="0"/>
    <x v="0"/>
    <s v="BR3-5, BR-7"/>
    <s v="62-304.520 (10), F.A.C."/>
    <n v="0.59"/>
    <n v="0.64"/>
    <s v="City of Cocoa Beach"/>
    <n v="1.3133098993899999E-3"/>
    <n v="3760.6698091599601"/>
    <n v="8.0017926262209595"/>
    <n v="1.17712454080462"/>
    <n v="1.0508833468929999E-2"/>
    <n v="1.5459293122599999E-3"/>
    <n v="4.9389248887294404"/>
    <n v="1390"/>
    <s v="High Density Under Construction"/>
    <n v="1390"/>
    <s v="City of Cocoa Beach           Brevard County"/>
    <s v="City of Cocoa Beach"/>
    <m/>
    <m/>
    <m/>
    <n v="0"/>
    <n v="1"/>
    <n v="1.0508833468929999E-2"/>
    <n v="1.5459293122599999E-3"/>
    <n v="982.10531030313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.658057130545899"/>
    <n v="5.31477660097294"/>
    <n v="0.79651687780000002"/>
  </r>
  <r>
    <n v="830000"/>
    <n v="2400000"/>
    <n v="2400000"/>
    <x v="0"/>
    <x v="0"/>
    <s v="BR3-5, BR-7"/>
    <s v="62-304.520 (10), F.A.C."/>
    <n v="0.59"/>
    <n v="0.64"/>
    <s v="City of Cocoa Beach"/>
    <n v="1.3655633505199999E-3"/>
    <n v="3760.6698091599601"/>
    <n v="8.0017926262209595"/>
    <n v="1.17712454080462"/>
    <n v="1.0926954748859999E-2"/>
    <n v="1.60743813192E-3"/>
    <n v="5.1354328648146899"/>
    <n v="1210"/>
    <s v="Fixed Single Family Units"/>
    <n v="1210"/>
    <s v="City of Cocoa Beach           Brevard County"/>
    <s v="City of Cocoa Beach"/>
    <m/>
    <m/>
    <m/>
    <n v="0"/>
    <n v="1"/>
    <n v="1.0926954748859999E-2"/>
    <n v="1.60743813192E-3"/>
    <n v="316.42704579168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3.437565801927999"/>
    <n v="5.5262388152656801"/>
    <n v="0.25663182950000002"/>
  </r>
  <r>
    <n v="830000"/>
    <n v="2400000"/>
    <n v="2400000"/>
    <x v="0"/>
    <x v="0"/>
    <s v="BR3-5, BR-7"/>
    <s v="62-304.520 (10), F.A.C."/>
    <n v="0.59"/>
    <n v="0.64"/>
    <s v="City of Cocoa Beach"/>
    <n v="0.39590160998722002"/>
    <n v="3779.8564068559799"/>
    <n v="11.612850410613801"/>
    <n v="1.5331968047259199"/>
    <n v="4.5975461741028303"/>
    <n v="0.60699508341826003"/>
    <n v="1496.45123699481"/>
    <n v="1400"/>
    <s v="Commercial and Services"/>
    <n v="1400"/>
    <s v="City of Cocoa Beach           Brevard County"/>
    <s v="City of Cocoa Beach"/>
    <m/>
    <m/>
    <m/>
    <n v="0"/>
    <n v="1"/>
    <n v="4.5975461741028303"/>
    <n v="0.60699508341826003"/>
    <n v="1783.1842929576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0.221542167298"/>
    <n v="1602.1569730153001"/>
    <n v="1.4462159716"/>
  </r>
  <r>
    <n v="830000"/>
    <n v="2400000"/>
    <n v="2400000"/>
    <x v="0"/>
    <x v="0"/>
    <s v="BR3-5, BR-7"/>
    <s v="62-304.520 (10), F.A.C."/>
    <n v="0.59"/>
    <n v="0.64"/>
    <s v="FDOT District 5"/>
    <n v="0.12226902687618001"/>
    <n v="3779.8564068559799"/>
    <n v="11.612850410613801"/>
    <n v="1.5331968047259199"/>
    <n v="1.4198919189645101"/>
    <n v="0.18746248132352"/>
    <n v="462.159364598009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4198919189645101"/>
    <n v="0.18746248132352"/>
    <n v="551.872855049517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926566381678"/>
    <n v="494.80519667450199"/>
    <n v="0.44758544610000001"/>
  </r>
  <r>
    <n v="830000"/>
    <n v="2400000"/>
    <n v="2400000"/>
    <x v="0"/>
    <x v="0"/>
    <s v="BR3-5, BR-7"/>
    <s v="62-304.520 (10), F.A.C."/>
    <n v="0.59"/>
    <n v="0.64"/>
    <s v="City of Cocoa Beach"/>
    <n v="0.17123807659825999"/>
    <n v="3744.1712752133199"/>
    <n v="10.1547726207202"/>
    <n v="1.83599284092211"/>
    <n v="1.73888373186488"/>
    <n v="0.31439188272768998"/>
    <n v="641.14468762201102"/>
    <n v="1300"/>
    <s v="Residential, High Density"/>
    <n v="1300"/>
    <s v="City of Cocoa Beach           Brevard County"/>
    <s v="City of Cocoa Beach"/>
    <m/>
    <m/>
    <m/>
    <n v="0"/>
    <n v="1"/>
    <n v="1.73888373186488"/>
    <n v="0.31439188272768998"/>
    <n v="698.145118038248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0.259814805014"/>
    <n v="692.97591004111996"/>
    <n v="0.5662166407"/>
  </r>
  <r>
    <n v="830000"/>
    <n v="2400000"/>
    <n v="2400000"/>
    <x v="0"/>
    <x v="0"/>
    <s v="BR3-5, BR-7"/>
    <s v="62-304.520 (10), F.A.C."/>
    <n v="0.59"/>
    <n v="0.64"/>
    <s v="City of Cocoa Beach"/>
    <n v="0.26130625102369998"/>
    <n v="3744.1712752133199"/>
    <n v="10.1547726207202"/>
    <n v="1.83599284092211"/>
    <n v="2.65350556351855"/>
    <n v="0.47975640616770998"/>
    <n v="978.37535911662803"/>
    <n v="1300"/>
    <s v="Residential, High Density"/>
    <n v="1300"/>
    <s v="City of Cocoa Beach           Brevard County"/>
    <s v="City of Cocoa Beach"/>
    <m/>
    <m/>
    <m/>
    <n v="0"/>
    <n v="1"/>
    <n v="2.65350556351855"/>
    <n v="0.47975640616770998"/>
    <n v="978.375359116628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2.41311276260501"/>
    <n v="1057.4688801685299"/>
    <n v="0.79349177540000004"/>
  </r>
  <r>
    <n v="830000"/>
    <n v="2400000"/>
    <n v="2400000"/>
    <x v="0"/>
    <x v="0"/>
    <s v="BR3-5, BR-7"/>
    <s v="62-304.520 (10), F.A.C."/>
    <n v="0.59"/>
    <n v="0.64"/>
    <s v="City of Cocoa Beach"/>
    <n v="6.9281497349330007E-2"/>
    <n v="3749.30201762556"/>
    <n v="10.497267010217501"/>
    <n v="1.93757987881501"/>
    <n v="0.72726637654360005"/>
    <n v="0.13423843523823001"/>
    <n v="259.75725779596598"/>
    <n v="1300"/>
    <s v="Residential, High Density"/>
    <n v="1300"/>
    <s v="City of Cocoa Beach           Brevard County"/>
    <s v="City of Cocoa Beach"/>
    <m/>
    <m/>
    <m/>
    <n v="0"/>
    <n v="1"/>
    <n v="0.72726637654360005"/>
    <n v="0.13423843523823001"/>
    <n v="259.75725779596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928245088306696"/>
    <n v="280.37227250162903"/>
    <n v="0.2106709309"/>
  </r>
  <r>
    <n v="830000"/>
    <n v="2400000"/>
    <n v="2400000"/>
    <x v="0"/>
    <x v="0"/>
    <s v="BR3-5, BR-7"/>
    <s v="62-304.520 (10), F.A.C."/>
    <n v="0.59"/>
    <n v="0.64"/>
    <s v="City of Cocoa Beach"/>
    <n v="8.9535792696119998E-2"/>
    <n v="3749.30201762556"/>
    <n v="10.497267010217501"/>
    <n v="1.93757987881501"/>
    <n v="0.93988112290269998"/>
    <n v="0.17348275036176"/>
    <n v="335.696728205285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93988112290269998"/>
    <n v="0.17348275036176"/>
    <n v="335.696728205283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7.365360972494003"/>
    <n v="362.338497706986"/>
    <n v="0.27226012020000001"/>
  </r>
  <r>
    <n v="830000"/>
    <n v="2400000"/>
    <n v="2400000"/>
    <x v="0"/>
    <x v="0"/>
    <s v="BR3-5, BR-7"/>
    <s v="62-304.520 (10), F.A.C."/>
    <n v="0.59"/>
    <n v="0.64"/>
    <s v="City of Cocoa Beach"/>
    <n v="4.5437922305439998E-2"/>
    <n v="3749.30201762556"/>
    <n v="10.497267010217501"/>
    <n v="1.93757987881501"/>
    <n v="0.47697400282973001"/>
    <n v="8.8039603994179996E-2"/>
    <n v="170.360493776503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47697400282973001"/>
    <n v="8.8039603994179996E-2"/>
    <n v="170.36049377650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5.9853320524022"/>
    <n v="183.88074770228599"/>
    <n v="0.13816747260000001"/>
  </r>
  <r>
    <n v="830000"/>
    <n v="2400000"/>
    <n v="2400000"/>
    <x v="0"/>
    <x v="0"/>
    <s v="BR3-5, BR-7"/>
    <s v="62-304.520 (10), F.A.C."/>
    <n v="0.59"/>
    <n v="0.64"/>
    <s v="City of Cocoa Beach"/>
    <n v="0.12564533513466999"/>
    <n v="3749.30201762556"/>
    <n v="10.497267010217501"/>
    <n v="1.93757987881501"/>
    <n v="1.3189326314968901"/>
    <n v="0.24344787322389999"/>
    <n v="471.082308525657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3189326314968901"/>
    <n v="0.24344787322389999"/>
    <n v="471.082308525657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7.152310232850098"/>
    <n v="508.46863143433899"/>
    <n v="0.3820618885"/>
  </r>
  <r>
    <n v="830000"/>
    <n v="2400000"/>
    <n v="2400000"/>
    <x v="0"/>
    <x v="0"/>
    <s v="BR3-5, BR-7"/>
    <s v="62-304.520 (10), F.A.C."/>
    <n v="0.59"/>
    <n v="0.64"/>
    <s v="City of Cocoa Beach"/>
    <n v="0.12410672787671"/>
    <n v="3749.30201762556"/>
    <n v="10.497267010217501"/>
    <n v="1.93757987881501"/>
    <n v="1.3027814602863099"/>
    <n v="0.24046669875949001"/>
    <n v="465.313605229085"/>
    <n v="1210"/>
    <s v="Fixed Single Family Units"/>
    <n v="1210"/>
    <s v="City of Cocoa Beach           Brevard County"/>
    <s v="City of Cocoa Beach"/>
    <m/>
    <m/>
    <m/>
    <n v="0"/>
    <n v="1"/>
    <n v="1.3027814602863099"/>
    <n v="0.24046669875949001"/>
    <n v="465.31360522908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6.336691648989003"/>
    <n v="502.24210877094498"/>
    <n v="0.37738329700000001"/>
  </r>
  <r>
    <n v="830000"/>
    <n v="2400000"/>
    <n v="2400000"/>
    <x v="0"/>
    <x v="0"/>
    <s v="BR3-5, BR-7"/>
    <s v="62-304.520 (10), F.A.C."/>
    <n v="0.59"/>
    <n v="0.64"/>
    <s v="City of Cocoa Beach"/>
    <n v="0.12758571259821"/>
    <n v="3749.30201762556"/>
    <n v="10.497267010217501"/>
    <n v="1.93757987881501"/>
    <n v="1.3393012918323699"/>
    <n v="0.24720750955458001"/>
    <n v="478.35736966469699"/>
    <n v="1300"/>
    <s v="Residential, High Density"/>
    <n v="1300"/>
    <s v="City of Cocoa Beach           Brevard County"/>
    <s v="City of Cocoa Beach"/>
    <m/>
    <m/>
    <m/>
    <n v="0"/>
    <n v="1"/>
    <n v="1.3393012918323699"/>
    <n v="0.24720750955458001"/>
    <n v="478.35736966469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4.896339025333006"/>
    <n v="516.321060434581"/>
    <n v="0.38796218139999999"/>
  </r>
  <r>
    <n v="830000"/>
    <n v="2400000"/>
    <n v="2400000"/>
    <x v="0"/>
    <x v="0"/>
    <s v="BR3-5, BR-7"/>
    <s v="62-304.520 (10), F.A.C."/>
    <n v="0.59"/>
    <n v="0.64"/>
    <s v="City of Cocoa Beach"/>
    <n v="3.6091930413189997E-2"/>
    <n v="3749.30201762556"/>
    <n v="10.497267010217501"/>
    <n v="1.93757987881501"/>
    <n v="0.37886663046143998"/>
    <n v="6.9930998156179994E-2"/>
    <n v="135.319547518174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7886663046143998"/>
    <n v="6.9930998156179994E-2"/>
    <n v="135.31954751817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0.516438392701701"/>
    <n v="146.05886038943001"/>
    <n v="0.1097482137"/>
  </r>
  <r>
    <n v="830000"/>
    <n v="2400000"/>
    <n v="2400000"/>
    <x v="0"/>
    <x v="0"/>
    <s v="BR3-5, BR-7"/>
    <s v="62-304.520 (10), F.A.C."/>
    <n v="0.59"/>
    <n v="0.64"/>
    <s v="City of Cocoa Beach"/>
    <n v="7.8535248189999998E-5"/>
    <n v="3749.30201762556"/>
    <n v="10.497267010217501"/>
    <n v="1.93757987881501"/>
    <n v="8.2440546998999999E-4"/>
    <n v="1.5216831667000001E-4"/>
    <n v="0.2944523645047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8.2440546998999999E-4"/>
    <n v="1.5216831667000001E-4"/>
    <n v="0.29445236450589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.462846595895799"/>
    <n v="0.31782087353587002"/>
    <n v="2.388097E-4"/>
  </r>
  <r>
    <n v="830000"/>
    <n v="2400000"/>
    <n v="2400000"/>
    <x v="0"/>
    <x v="0"/>
    <s v="BR3-5, BR-7"/>
    <s v="62-304.520 (10), F.A.C."/>
    <n v="0.59"/>
    <n v="0.64"/>
    <s v="City of Cocoa Beach"/>
    <n v="7.6042311026230006E-2"/>
    <n v="3721.07280003708"/>
    <n v="9.6107922252037206"/>
    <n v="1.5286418641813599"/>
    <n v="0.73082685159746996"/>
    <n v="0.1162414600838"/>
    <n v="282.95897521168598"/>
    <n v="1210"/>
    <s v="Fixed Single Family Units"/>
    <n v="1210"/>
    <s v="City of Cocoa Beach           Brevard County"/>
    <s v="City of Cocoa Beach"/>
    <m/>
    <m/>
    <m/>
    <n v="0"/>
    <n v="1"/>
    <n v="0.73082685159746996"/>
    <n v="0.1162414600838"/>
    <n v="282.958975211688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4.317685549762601"/>
    <n v="307.73231475066302"/>
    <n v="0.22948821999999999"/>
  </r>
  <r>
    <n v="830000"/>
    <n v="2400000"/>
    <n v="2400000"/>
    <x v="0"/>
    <x v="0"/>
    <s v="BR3-5, BR-7"/>
    <s v="62-304.520 (10), F.A.C."/>
    <n v="0.59"/>
    <n v="0.64"/>
    <s v="City of Cocoa Beach"/>
    <n v="2.713964429468E-2"/>
    <n v="3721.07280003708"/>
    <n v="9.6107922252037206"/>
    <n v="1.5286418641813599"/>
    <n v="0.26083348238218002"/>
    <n v="4.148679644785E-2"/>
    <n v="100.98859218764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6083348238218002"/>
    <n v="4.148679644785E-2"/>
    <n v="100.98859218764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927879715014001"/>
    <n v="109.83024381560899"/>
    <n v="8.19047787E-2"/>
  </r>
  <r>
    <n v="830000"/>
    <n v="2400000"/>
    <n v="2400000"/>
    <x v="0"/>
    <x v="0"/>
    <s v="BR3-5, BR-7"/>
    <s v="62-304.520 (10), F.A.C."/>
    <n v="0.59"/>
    <n v="0.64"/>
    <s v="City of Cocoa Beach"/>
    <n v="4.1064097460360001E-2"/>
    <n v="3721.07280003708"/>
    <n v="9.6107922252037206"/>
    <n v="1.5286418641813599"/>
    <n v="0.3946585086071"/>
    <n v="6.2772298492740006E-2"/>
    <n v="152.80249611784299"/>
    <n v="1210"/>
    <s v="Fixed Single Family Units"/>
    <n v="1210"/>
    <s v="City of Cocoa Beach           Brevard County"/>
    <s v="City of Cocoa Beach"/>
    <m/>
    <m/>
    <m/>
    <n v="0"/>
    <n v="1"/>
    <n v="0.3946585086071"/>
    <n v="6.2772298492740006E-2"/>
    <n v="152.80249611784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2.858323002648298"/>
    <n v="166.18050653754699"/>
    <n v="0.1239274097"/>
  </r>
  <r>
    <n v="830000"/>
    <n v="2400000"/>
    <n v="2400000"/>
    <x v="0"/>
    <x v="0"/>
    <s v="BR3-5, BR-7"/>
    <s v="62-304.520 (10), F.A.C."/>
    <n v="0.59"/>
    <n v="0.64"/>
    <s v="City of Cocoa Beach"/>
    <n v="3.3709893600630002E-2"/>
    <n v="3721.07280003708"/>
    <n v="9.6107922252037206"/>
    <n v="1.5286418641813599"/>
    <n v="0.32397878332946001"/>
    <n v="5.1530354595029998E-2"/>
    <n v="125.43696816948101"/>
    <n v="1210"/>
    <s v="Fixed Single Family Units"/>
    <n v="1210"/>
    <s v="City of Cocoa Beach           Brevard County"/>
    <s v="City of Cocoa Beach"/>
    <m/>
    <m/>
    <m/>
    <n v="0"/>
    <n v="1"/>
    <n v="0.32397878332946001"/>
    <n v="5.1530354595029998E-2"/>
    <n v="125.4369681694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7.323255292008803"/>
    <n v="136.41909941616501"/>
    <n v="0.10173314529999999"/>
  </r>
  <r>
    <n v="830000"/>
    <n v="2400000"/>
    <n v="2400000"/>
    <x v="0"/>
    <x v="0"/>
    <s v="BR3-5, BR-7"/>
    <s v="62-304.520 (10), F.A.C."/>
    <n v="0.59"/>
    <n v="0.64"/>
    <s v="City of Cocoa Beach"/>
    <n v="2.3516991122230001E-2"/>
    <n v="3721.07280003708"/>
    <n v="9.6107922252037206"/>
    <n v="1.5286418641813599"/>
    <n v="0.2260169154378"/>
    <n v="3.5949057149030003E-2"/>
    <n v="87.508436003677105"/>
    <n v="1300"/>
    <s v="Residential, High Density"/>
    <n v="1300"/>
    <s v="City of Cocoa Beach           Brevard County"/>
    <s v="City of Cocoa Beach"/>
    <m/>
    <m/>
    <m/>
    <n v="0"/>
    <n v="1"/>
    <n v="0.2260169154378"/>
    <n v="3.5949057149030003E-2"/>
    <n v="87.50843600367670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9.026044537507502"/>
    <n v="95.169886558556101"/>
    <n v="7.0971967600000005E-2"/>
  </r>
  <r>
    <n v="830000"/>
    <n v="2400000"/>
    <n v="2400000"/>
    <x v="0"/>
    <x v="0"/>
    <s v="BR3-5, BR-7"/>
    <s v="62-304.520 (10), F.A.C."/>
    <n v="0.59"/>
    <n v="0.64"/>
    <s v="City of Cocoa Beach"/>
    <n v="0.32252993666171997"/>
    <n v="3721.07280003708"/>
    <n v="9.6107922252037206"/>
    <n v="1.5286418641813599"/>
    <n v="3.0997682076639199"/>
    <n v="0.49303276363287002"/>
    <n v="1200.15737450961"/>
    <n v="1210"/>
    <s v="Fixed Single Family Units"/>
    <n v="1210"/>
    <s v="City of Cocoa Beach           Brevard County"/>
    <s v="City of Cocoa Beach"/>
    <m/>
    <m/>
    <m/>
    <n v="0"/>
    <n v="1"/>
    <n v="3.0997682076639199"/>
    <n v="0.49303276363287002"/>
    <n v="1200.1573745096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5.20413717382499"/>
    <n v="1305.2323455957501"/>
    <n v="0.97336364519999996"/>
  </r>
  <r>
    <n v="830000"/>
    <n v="2400000"/>
    <n v="2400000"/>
    <x v="0"/>
    <x v="0"/>
    <s v="BR3-5, BR-7"/>
    <s v="62-304.520 (10), F.A.C."/>
    <n v="0.59"/>
    <n v="0.64"/>
    <s v="City of Cocoa Beach"/>
    <n v="9.3760579317910001E-2"/>
    <n v="3721.07280003708"/>
    <n v="9.6107922252037206"/>
    <n v="1.5286418641813599"/>
    <n v="0.90111344673921001"/>
    <n v="0.14332634675525999"/>
    <n v="348.88994141561301"/>
    <n v="1300"/>
    <s v="Residential, High Density"/>
    <n v="1300"/>
    <s v="City of Cocoa Beach           Brevard County"/>
    <s v="City of Cocoa Beach"/>
    <m/>
    <m/>
    <m/>
    <n v="0"/>
    <n v="1"/>
    <n v="0.90111344673921001"/>
    <n v="0.14332634675525999"/>
    <n v="348.889941415611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9.493591326213107"/>
    <n v="379.43560258064701"/>
    <n v="0.28296021199999999"/>
  </r>
  <r>
    <n v="830000"/>
    <n v="2400000"/>
    <n v="2400000"/>
    <x v="0"/>
    <x v="0"/>
    <s v="BR3-5, BR-7"/>
    <s v="62-304.520 (10), F.A.C."/>
    <n v="0.59"/>
    <n v="0.64"/>
    <s v="City of Cocoa Beach"/>
    <n v="0.20049441937609"/>
    <n v="3764.71334164167"/>
    <n v="9.0145507135374405"/>
    <n v="1.57031124068599"/>
    <n v="1.80736711124702"/>
    <n v="0.31483864044108001"/>
    <n v="754.80401554987304"/>
    <n v="1300"/>
    <s v="Residential, High Density"/>
    <n v="1300"/>
    <s v="City of Cocoa Beach           Brevard County"/>
    <s v="City of Cocoa Beach"/>
    <m/>
    <m/>
    <m/>
    <n v="0"/>
    <n v="1"/>
    <n v="1.80736711124702"/>
    <n v="0.31483864044108001"/>
    <n v="754.804015549873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2.72038179547499"/>
    <n v="811.37212870749704"/>
    <n v="0.61216870690000003"/>
  </r>
  <r>
    <n v="830000"/>
    <n v="2400000"/>
    <n v="2400000"/>
    <x v="0"/>
    <x v="0"/>
    <s v="BR3-5, BR-7"/>
    <s v="62-304.520 (10), F.A.C."/>
    <n v="0.59"/>
    <n v="0.64"/>
    <s v="City of Cocoa Beach"/>
    <n v="5.4883717008499998E-2"/>
    <n v="3764.71334164167"/>
    <n v="9.0145507135374405"/>
    <n v="1.57031124068599"/>
    <n v="0.49475205032059"/>
    <n v="8.6184517749079995E-2"/>
    <n v="206.62146166080001"/>
    <n v="1300"/>
    <s v="Residential, High Density"/>
    <n v="1300"/>
    <s v="City of Cocoa Beach           Brevard County"/>
    <s v="City of Cocoa Beach"/>
    <m/>
    <m/>
    <m/>
    <n v="0"/>
    <n v="1"/>
    <n v="0.49475205032059"/>
    <n v="8.6184517749079995E-2"/>
    <n v="792.22297400734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6.013867103219098"/>
    <n v="222.10652266104799"/>
    <n v="0.64251660499999996"/>
  </r>
  <r>
    <n v="830000"/>
    <n v="2400000"/>
    <n v="2400000"/>
    <x v="0"/>
    <x v="0"/>
    <s v="BR3-5, BR-7"/>
    <s v="62-304.520 (10), F.A.C."/>
    <n v="0.59"/>
    <n v="0.64"/>
    <s v="City of Cocoa Beach"/>
    <n v="4.2063968967479999E-2"/>
    <n v="3764.71334164167"/>
    <n v="9.0145507135374405"/>
    <n v="1.57031124068599"/>
    <n v="0.37918778147004001"/>
    <n v="6.60535232975E-2"/>
    <n v="158.35878517428401"/>
    <n v="1300"/>
    <s v="Residential, High Density"/>
    <n v="1300"/>
    <s v="City of Cocoa Beach           Brevard County"/>
    <s v="City of Cocoa Beach"/>
    <m/>
    <m/>
    <m/>
    <n v="0"/>
    <n v="1"/>
    <n v="0.37918778147004001"/>
    <n v="6.60535232975E-2"/>
    <n v="158.35878517428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2.326496898978398"/>
    <n v="170.22684296769199"/>
    <n v="0.12843372680000001"/>
  </r>
  <r>
    <n v="830000"/>
    <n v="2400000"/>
    <n v="2400000"/>
    <x v="0"/>
    <x v="0"/>
    <s v="BR3-5, BR-7"/>
    <s v="62-304.520 (10), F.A.C."/>
    <n v="0.59"/>
    <n v="0.64"/>
    <s v="City of Cocoa Beach"/>
    <n v="9.3825976283109999E-2"/>
    <n v="3764.71334164167"/>
    <n v="9.0145507135374405"/>
    <n v="1.57031124068599"/>
    <n v="0.84579902145132002"/>
    <n v="0.14733598522571001"/>
    <n v="353.22790470560898"/>
    <n v="1300"/>
    <s v="Residential, High Density"/>
    <n v="1300"/>
    <s v="City of Cocoa Beach           Brevard County"/>
    <s v="City of Cocoa Beach"/>
    <m/>
    <m/>
    <m/>
    <n v="0"/>
    <n v="1"/>
    <n v="0.84579902145132002"/>
    <n v="0.14733598522571001"/>
    <n v="353.2279047056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3.267657041084306"/>
    <n v="379.70025470928698"/>
    <n v="0.28647843039999998"/>
  </r>
  <r>
    <n v="830000"/>
    <n v="2400000"/>
    <n v="2400000"/>
    <x v="0"/>
    <x v="0"/>
    <s v="BR3-5, BR-7"/>
    <s v="62-304.520 (10), F.A.C."/>
    <n v="0.59"/>
    <n v="0.64"/>
    <s v="City of Cocoa Beach"/>
    <n v="6.5666029962999995E-4"/>
    <n v="3769.01908054044"/>
    <n v="8.9315846147739304"/>
    <n v="1.4813569171929"/>
    <n v="5.8650170293800003E-3"/>
    <n v="9.7274827711000004E-4"/>
    <n v="2.4749651987727899"/>
    <n v="1210"/>
    <s v="Fixed Single Family Units"/>
    <n v="1210"/>
    <s v="City of Cocoa Beach           Brevard County"/>
    <s v="City of Cocoa Beach"/>
    <m/>
    <m/>
    <m/>
    <n v="0"/>
    <n v="1"/>
    <n v="5.8650170293800003E-3"/>
    <n v="9.7274827711000004E-4"/>
    <n v="2.4749651987729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.76013626844101"/>
    <n v="2.65740995092942"/>
    <n v="2.0072710000000001E-3"/>
  </r>
  <r>
    <n v="830000"/>
    <n v="2400000"/>
    <n v="2400000"/>
    <x v="0"/>
    <x v="0"/>
    <s v="BR3-5, BR-7"/>
    <s v="62-304.520 (10), F.A.C."/>
    <n v="0.59"/>
    <n v="0.64"/>
    <s v="City of Cocoa Beach"/>
    <n v="8.0999899836199998E-3"/>
    <n v="3769.01908054044"/>
    <n v="8.9315846147739304"/>
    <n v="1.4813569171929"/>
    <n v="7.2345745917560003E-2"/>
    <n v="1.199897619143E-2"/>
    <n v="30.529016800469101"/>
    <n v="1210"/>
    <s v="Fixed Single Family Units"/>
    <n v="1210"/>
    <s v="City of Cocoa Beach           Brevard County"/>
    <s v="City of Cocoa Beach"/>
    <m/>
    <m/>
    <m/>
    <n v="0"/>
    <n v="1"/>
    <n v="7.2345745917560003E-2"/>
    <n v="1.199897619143E-2"/>
    <n v="30.529016800469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1.607799527714199"/>
    <n v="32.779496486608302"/>
    <n v="2.4759948699999999E-2"/>
  </r>
  <r>
    <n v="830000"/>
    <n v="2400000"/>
    <n v="2400000"/>
    <x v="0"/>
    <x v="0"/>
    <s v="BR3-5, BR-7"/>
    <s v="62-304.520 (10), F.A.C."/>
    <n v="0.59"/>
    <n v="0.64"/>
    <s v="City of Cocoa Beach"/>
    <n v="2.6183525989999999E-5"/>
    <n v="3769.01908054044"/>
    <n v="8.9315846147739304"/>
    <n v="1.4813569171929"/>
    <n v="2.3386037789000001E-4"/>
    <n v="3.8787147340000003E-5"/>
    <n v="9.8686209052130006E-2"/>
    <n v="1210"/>
    <s v="Fixed Single Family Units"/>
    <n v="1210"/>
    <s v="City of Cocoa Beach           Brevard County"/>
    <s v="City of Cocoa Beach"/>
    <m/>
    <m/>
    <m/>
    <n v="0"/>
    <n v="1"/>
    <n v="2.3386037789000001E-4"/>
    <n v="3.8787147340000003E-5"/>
    <n v="9.8686209051070006E-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.69304544088914"/>
    <n v="0.10596097031255999"/>
    <n v="8.0037500000000001E-5"/>
  </r>
  <r>
    <n v="830000"/>
    <n v="2400000"/>
    <n v="2400000"/>
    <x v="0"/>
    <x v="0"/>
    <s v="BR3-5, BR-7"/>
    <s v="62-304.520 (10), F.A.C."/>
    <n v="0.59"/>
    <n v="0.64"/>
    <s v="City of Cocoa Beach"/>
    <n v="8.185772604904E-2"/>
    <n v="3727.2808892115299"/>
    <n v="9.8006198782253708"/>
    <n v="1.61618535906076"/>
    <n v="0.80225645710256999"/>
    <n v="0.13229725836646999"/>
    <n v="305.10673793691001"/>
    <n v="1200"/>
    <s v="Residential, Medium Density-Two-five dwellingunits per acre"/>
    <n v="1200"/>
    <s v="City of Cocoa Beach           Brevard County"/>
    <s v="City of Cocoa Beach"/>
    <m/>
    <m/>
    <m/>
    <n v="0"/>
    <n v="1"/>
    <n v="0.80225645710256999"/>
    <n v="0.13229725836646999"/>
    <n v="305.10673793691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413536933714"/>
    <n v="331.26646438462899"/>
    <n v="0.24745072009999999"/>
  </r>
  <r>
    <n v="830000"/>
    <n v="2400000"/>
    <n v="2400000"/>
    <x v="0"/>
    <x v="0"/>
    <s v="BR3-5, BR-7"/>
    <s v="62-304.520 (10), F.A.C."/>
    <n v="0.59"/>
    <n v="0.64"/>
    <s v="City of Cocoa Beach"/>
    <n v="7.5106314294900001E-2"/>
    <n v="3727.2808892115299"/>
    <n v="9.8006198782253708"/>
    <n v="1.61618535906076"/>
    <n v="0.73608843685890002"/>
    <n v="0.12138572553644"/>
    <n v="279.942329930521"/>
    <n v="1300"/>
    <s v="Residential, High Density"/>
    <n v="1300"/>
    <s v="City of Cocoa Beach           Brevard County"/>
    <s v="City of Cocoa Beach"/>
    <m/>
    <m/>
    <m/>
    <n v="0"/>
    <n v="1"/>
    <n v="0.73608843685890002"/>
    <n v="0.12138572553644"/>
    <n v="279.94232993051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227754296851"/>
    <n v="303.94447036713598"/>
    <n v="0.2270416301"/>
  </r>
  <r>
    <n v="830000"/>
    <n v="2400000"/>
    <n v="2400000"/>
    <x v="0"/>
    <x v="0"/>
    <s v="BR3-5, BR-7"/>
    <s v="62-304.520 (10), F.A.C."/>
    <n v="0.59"/>
    <n v="0.64"/>
    <s v="City of Cocoa Beach"/>
    <n v="4.4267221661900003E-3"/>
    <n v="3727.2808892115299"/>
    <n v="9.8006198782253708"/>
    <n v="1.61618535906076"/>
    <n v="4.3384621257340002E-2"/>
    <n v="7.1544035536199998E-3"/>
    <n v="16.499636931889"/>
    <n v="1210"/>
    <s v="Fixed Single Family Units"/>
    <n v="1210"/>
    <s v="City of Cocoa Beach           Brevard County"/>
    <s v="City of Cocoa Beach"/>
    <m/>
    <m/>
    <m/>
    <n v="0"/>
    <n v="1"/>
    <n v="4.3384621257340002E-2"/>
    <n v="7.1544035536199998E-3"/>
    <n v="16.499636931889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.021222430527299"/>
    <n v="17.914309028426899"/>
    <n v="1.3381700700000001E-2"/>
  </r>
  <r>
    <n v="830000"/>
    <n v="2400000"/>
    <n v="2400000"/>
    <x v="0"/>
    <x v="0"/>
    <s v="BR3-5, BR-7"/>
    <s v="62-304.520 (10), F.A.C."/>
    <n v="0.59"/>
    <n v="0.64"/>
    <s v="City of Cocoa Beach"/>
    <n v="2.1920270661750001E-2"/>
    <n v="3727.2808892115299"/>
    <n v="9.8006198782253708"/>
    <n v="1.61618535906076"/>
    <n v="0.21483224038365001"/>
    <n v="3.5427220510169999E-2"/>
    <n v="81.7030059238961"/>
    <n v="1210"/>
    <s v="Fixed Single Family Units"/>
    <n v="1210"/>
    <s v="City of Cocoa Beach           Brevard County"/>
    <s v="City of Cocoa Beach"/>
    <m/>
    <m/>
    <m/>
    <n v="0"/>
    <n v="1"/>
    <n v="0.21483224038365001"/>
    <n v="3.5427220510169999E-2"/>
    <n v="81.7030059238950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8.165300034147599"/>
    <n v="88.708188108260302"/>
    <n v="6.6263589600000006E-2"/>
  </r>
  <r>
    <n v="830000"/>
    <n v="2400000"/>
    <n v="2400000"/>
    <x v="0"/>
    <x v="0"/>
    <s v="BR3-5, BR-7"/>
    <s v="62-304.520 (10), F.A.C."/>
    <n v="0.59"/>
    <n v="0.64"/>
    <s v="City of Cocoa Beach"/>
    <n v="2.0330861310739998E-2"/>
    <n v="3727.2808892115299"/>
    <n v="9.8006198782253708"/>
    <n v="1.61618535906076"/>
    <n v="0.19925504350351"/>
    <n v="3.2858440387509999E-2"/>
    <n v="75.7788308247424"/>
    <n v="1210"/>
    <s v="Fixed Single Family Units"/>
    <n v="1210"/>
    <s v="City of Cocoa Beach           Brevard County"/>
    <s v="City of Cocoa Beach"/>
    <m/>
    <m/>
    <m/>
    <n v="0"/>
    <n v="1"/>
    <n v="0.19925504350351"/>
    <n v="3.2858440387509999E-2"/>
    <n v="75.7788308247439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618277282648897"/>
    <n v="82.276076668305606"/>
    <n v="6.1458905799999998E-2"/>
  </r>
  <r>
    <n v="830000"/>
    <n v="2400000"/>
    <n v="2400000"/>
    <x v="0"/>
    <x v="0"/>
    <s v="BR3-5, BR-7"/>
    <s v="62-304.520 (10), F.A.C."/>
    <n v="0.59"/>
    <n v="0.64"/>
    <s v="City of Cocoa Beach"/>
    <n v="8.0589723856500008E-3"/>
    <n v="3727.2808892115299"/>
    <n v="9.8006198782253708"/>
    <n v="1.61618535906076"/>
    <n v="7.8982924960879997E-2"/>
    <n v="1.302479317876E-2"/>
    <n v="30.038053759720398"/>
    <n v="1210"/>
    <s v="Fixed Single Family Units"/>
    <n v="1210"/>
    <s v="City of Cocoa Beach           Brevard County"/>
    <s v="City of Cocoa Beach"/>
    <m/>
    <m/>
    <m/>
    <n v="0"/>
    <n v="1"/>
    <n v="7.8982924960879997E-2"/>
    <n v="1.302479317876E-2"/>
    <n v="30.038053759719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3.9188336407523"/>
    <n v="32.613504156814997"/>
    <n v="2.4361763000000002E-2"/>
  </r>
  <r>
    <n v="830000"/>
    <n v="2400000"/>
    <n v="2400000"/>
    <x v="0"/>
    <x v="0"/>
    <s v="BR3-5, BR-7"/>
    <s v="62-304.520 (10), F.A.C."/>
    <n v="0.59"/>
    <n v="0.64"/>
    <s v="City of Cocoa Beach"/>
    <n v="3.2892956880690001E-2"/>
    <n v="3738.66490964901"/>
    <n v="10.176386056100799"/>
    <n v="1.7898962071248701"/>
    <n v="0.33473142774462999"/>
    <n v="5.8874978761869999E-2"/>
    <n v="122.975743664452"/>
    <n v="1200"/>
    <s v="Residential, Medium Density-Two-five dwellingunits per acre"/>
    <n v="1200"/>
    <s v="City of Cocoa Beach           Brevard County"/>
    <s v="City of Cocoa Beach"/>
    <m/>
    <m/>
    <m/>
    <n v="0"/>
    <n v="1"/>
    <n v="0.33473142774462999"/>
    <n v="5.8874978761869999E-2"/>
    <n v="475.69295128180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2.741260774184397"/>
    <n v="133.113073804365"/>
    <n v="0.38580125809999999"/>
  </r>
  <r>
    <n v="830000"/>
    <n v="2400000"/>
    <n v="2400000"/>
    <x v="0"/>
    <x v="0"/>
    <s v="BR3-5, BR-7"/>
    <s v="62-304.520 (10), F.A.C."/>
    <n v="0.59"/>
    <n v="0.64"/>
    <s v="City of Cocoa Beach"/>
    <n v="0.17148352480042001"/>
    <n v="3738.66490964901"/>
    <n v="10.176386056100799"/>
    <n v="1.7898962071248701"/>
    <n v="1.74508255063008"/>
    <n v="0.30693771062468"/>
    <n v="641.11943675427904"/>
    <n v="1300"/>
    <s v="Residential, High Density"/>
    <n v="1300"/>
    <s v="City of Cocoa Beach           Brevard County"/>
    <s v="City of Cocoa Beach"/>
    <m/>
    <m/>
    <m/>
    <n v="0"/>
    <n v="1"/>
    <n v="1.74508255063008"/>
    <n v="0.30693771062468"/>
    <n v="642.410503505916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48.64978482664699"/>
    <n v="693.96920367439395"/>
    <n v="0.52101419589999998"/>
  </r>
  <r>
    <n v="830000"/>
    <n v="2400000"/>
    <n v="2400000"/>
    <x v="0"/>
    <x v="0"/>
    <s v="BR3-5, BR-7"/>
    <s v="62-304.520 (10), F.A.C."/>
    <n v="0.59"/>
    <n v="0.64"/>
    <s v="FDOT District 5"/>
    <n v="2.5254720371500001E-3"/>
    <n v="3738.66490964901"/>
    <n v="10.176386056100799"/>
    <n v="1.7898962071248701"/>
    <n v="2.5700178423969999E-2"/>
    <n v="4.5203328204999997E-3"/>
    <n v="9.441893685611210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2.5700178423969999E-2"/>
    <n v="4.5203328204999997E-3"/>
    <n v="9.441893685612180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44193001590401"/>
    <n v="10.2202227331533"/>
    <n v="7.6576591000000003E-3"/>
  </r>
  <r>
    <n v="830000"/>
    <n v="2400000"/>
    <n v="2400000"/>
    <x v="0"/>
    <x v="0"/>
    <s v="BR3-5, BR-7"/>
    <s v="62-304.520 (10), F.A.C."/>
    <n v="0.59"/>
    <n v="0.64"/>
    <s v="City of Cocoa Beach"/>
    <n v="3.7837643849700002E-2"/>
    <n v="3738.66490964901"/>
    <n v="10.176386056100799"/>
    <n v="1.7898962071248701"/>
    <n v="0.38505047126782999"/>
    <n v="6.7725455213119998E-2"/>
    <n v="141.462271324684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8505047126782999"/>
    <n v="6.7725455213119998E-2"/>
    <n v="141.46227132468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9.583539138220097"/>
    <n v="153.123512021659"/>
    <n v="0.1147301471"/>
  </r>
  <r>
    <n v="830000"/>
    <n v="2400000"/>
    <n v="2400000"/>
    <x v="0"/>
    <x v="0"/>
    <s v="BR3-5, BR-7"/>
    <s v="62-304.520 (10), F.A.C."/>
    <n v="0.59"/>
    <n v="0.64"/>
    <s v="City of Cocoa Beach"/>
    <n v="4.6586746691750003E-2"/>
    <n v="3738.66490964901"/>
    <n v="10.176386056100799"/>
    <n v="1.7898962071248701"/>
    <n v="0.47408471943309999"/>
    <n v="8.338544120586E-2"/>
    <n v="174.17223511118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47408471943309999"/>
    <n v="8.338544120586E-2"/>
    <n v="174.17223511118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5.234942717324301"/>
    <n v="188.529875048261"/>
    <n v="0.14125890930000001"/>
  </r>
  <r>
    <n v="830000"/>
    <n v="2400000"/>
    <n v="2400000"/>
    <x v="0"/>
    <x v="0"/>
    <s v="BR3-5, BR-7"/>
    <s v="62-304.520 (10), F.A.C."/>
    <n v="0.59"/>
    <n v="0.64"/>
    <s v="City of Cocoa Beach"/>
    <n v="4.8105864837470001E-2"/>
    <n v="3738.66490964901"/>
    <n v="10.176386056100799"/>
    <n v="1.7898962071248701"/>
    <n v="0.48954385214870999"/>
    <n v="8.6104505013050003E-2"/>
    <n v="179.851708816171"/>
    <n v="1210"/>
    <s v="Fixed Single Family Units"/>
    <n v="1210"/>
    <s v="City of Cocoa Beach           Brevard County"/>
    <s v="City of Cocoa Beach"/>
    <m/>
    <m/>
    <m/>
    <n v="0"/>
    <n v="1"/>
    <n v="0.48954385214870999"/>
    <n v="8.6104505013050003E-2"/>
    <n v="179.85170881617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6.0404259920074"/>
    <n v="194.67752807262599"/>
    <n v="0.1458651329"/>
  </r>
  <r>
    <n v="830000"/>
    <n v="2400000"/>
    <n v="2400000"/>
    <x v="0"/>
    <x v="0"/>
    <s v="BR3-5, BR-7"/>
    <s v="62-304.520 (10), F.A.C."/>
    <n v="0.59"/>
    <n v="0.64"/>
    <s v="City of Cocoa Beach"/>
    <n v="2.0991487838000001E-4"/>
    <n v="3738.66490964901"/>
    <n v="10.176386056100799"/>
    <n v="1.7898962071248701"/>
    <n v="2.1361748413699999E-3"/>
    <n v="3.7572584464000002E-4"/>
    <n v="0.78480138983497005"/>
    <n v="1210"/>
    <s v="Fixed Single Family Units"/>
    <n v="1210"/>
    <s v="City of Cocoa Beach           Brevard County"/>
    <s v="City of Cocoa Beach"/>
    <m/>
    <m/>
    <m/>
    <n v="0"/>
    <n v="1"/>
    <n v="2.1361748413699999E-3"/>
    <n v="3.7572584464000002E-4"/>
    <n v="1.5517836744530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.249892393967102"/>
    <n v="0.84949537375412998"/>
    <n v="1.2585431E-3"/>
  </r>
  <r>
    <n v="830000"/>
    <n v="2400000"/>
    <n v="2400000"/>
    <x v="0"/>
    <x v="0"/>
    <s v="BR3-5, BR-7"/>
    <s v="62-304.520 (10), F.A.C."/>
    <n v="0.59"/>
    <n v="0.64"/>
    <s v="City of Cocoa Beach"/>
    <n v="8.4096298154560004E-2"/>
    <n v="3760.2013205875701"/>
    <n v="10.8146359216943"/>
    <n v="2.0833175768882302"/>
    <n v="0.90947084690387003"/>
    <n v="0.17519929609662999"/>
    <n v="316.21901137732101"/>
    <n v="1300"/>
    <s v="Residential, High Density"/>
    <n v="1300"/>
    <s v="City of Cocoa Beach           Brevard County"/>
    <s v="City of Cocoa Beach"/>
    <m/>
    <m/>
    <m/>
    <n v="0"/>
    <n v="1"/>
    <n v="0.90947084690387003"/>
    <n v="0.17519929609662999"/>
    <n v="316.21901137732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631388122731"/>
    <n v="340.32564428686601"/>
    <n v="0.2564631074"/>
  </r>
  <r>
    <n v="830000"/>
    <n v="2400000"/>
    <n v="2400000"/>
    <x v="0"/>
    <x v="0"/>
    <s v="BR3-5, BR-7"/>
    <s v="62-304.520 (10), F.A.C."/>
    <n v="0.59"/>
    <n v="0.64"/>
    <s v="FDOT District 5"/>
    <n v="7.3691939130989995E-2"/>
    <n v="3760.2013205875701"/>
    <n v="10.8146359216943"/>
    <n v="2.0833175768882302"/>
    <n v="0.79695149206537996"/>
    <n v="0.15352371206658"/>
    <n v="277.096526837030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79695149206537996"/>
    <n v="0.15352371206658"/>
    <n v="277.09652683702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160695465925"/>
    <n v="298.220697151379"/>
    <n v="0.22473359840000001"/>
  </r>
  <r>
    <n v="830000"/>
    <n v="2400000"/>
    <n v="2400000"/>
    <x v="0"/>
    <x v="0"/>
    <s v="BR3-5, BR-7"/>
    <s v="62-304.520 (10), F.A.C."/>
    <n v="0.59"/>
    <n v="0.64"/>
    <s v="City of Cocoa Beach"/>
    <n v="3.8820771751499998E-3"/>
    <n v="3760.2013205875701"/>
    <n v="10.8146359216943"/>
    <n v="2.0833175768882302"/>
    <n v="4.1983251269190003E-2"/>
    <n v="8.0875996138299999E-3"/>
    <n v="14.597391720633199"/>
    <n v="1300"/>
    <s v="Residential, High Density"/>
    <n v="1300"/>
    <s v="City of Cocoa Beach           Brevard County"/>
    <s v="City of Cocoa Beach"/>
    <m/>
    <m/>
    <m/>
    <n v="0"/>
    <n v="1"/>
    <n v="4.1983251269190003E-2"/>
    <n v="8.0875996138299999E-3"/>
    <n v="14.597391720634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8.029465222194503"/>
    <n v="15.710208948521499"/>
    <n v="1.1838922700000001E-2"/>
  </r>
  <r>
    <n v="830000"/>
    <n v="2400000"/>
    <n v="2400000"/>
    <x v="0"/>
    <x v="0"/>
    <s v="BR3-5, BR-7"/>
    <s v="62-304.520 (10), F.A.C."/>
    <n v="0.59"/>
    <n v="0.64"/>
    <s v="City of Cocoa Beach"/>
    <n v="0.14624874311809999"/>
    <n v="3760.2013205875701"/>
    <n v="10.8146359216943"/>
    <n v="2.0833175768882302"/>
    <n v="1.5816269108277301"/>
    <n v="0.30468257713576002"/>
    <n v="549.924717006978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5816269108277301"/>
    <n v="0.30468257713576002"/>
    <n v="549.92471700697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96150960064401"/>
    <n v="591.84766535543997"/>
    <n v="0.4460054477"/>
  </r>
  <r>
    <n v="830000"/>
    <n v="2400000"/>
    <n v="2400000"/>
    <x v="0"/>
    <x v="0"/>
    <s v="BR3-5, BR-7"/>
    <s v="62-304.520 (10), F.A.C."/>
    <n v="0.59"/>
    <n v="0.64"/>
    <s v="City of Cocoa Beach"/>
    <n v="0.14035961671618"/>
    <n v="3760.2013205875701"/>
    <n v="10.8146359216943"/>
    <n v="2.0833175768882302"/>
    <n v="1.5179381528940701"/>
    <n v="0.29241365659010998"/>
    <n v="527.780416133353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5179381528940701"/>
    <n v="0.29241365659010998"/>
    <n v="527.78041613335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089058819256"/>
    <n v="568.01521635348297"/>
    <n v="0.42804575519999999"/>
  </r>
  <r>
    <n v="830000"/>
    <n v="2400000"/>
    <n v="2400000"/>
    <x v="0"/>
    <x v="0"/>
    <s v="BR3-5, BR-7"/>
    <s v="62-304.520 (10), F.A.C."/>
    <n v="0.59"/>
    <n v="0.64"/>
    <s v="City of Cocoa Beach"/>
    <n v="0.16948478355095001"/>
    <n v="3760.2013205875701"/>
    <n v="10.8146359216943"/>
    <n v="2.0833175768882302"/>
    <n v="1.83291622837079"/>
    <n v="0.35309062858681001"/>
    <n v="637.29690692781503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1.83291622837079"/>
    <n v="0.35309062858681001"/>
    <n v="637.296906927815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0.405161059365"/>
    <n v="685.88058481227301"/>
    <n v="0.51686691559999998"/>
  </r>
  <r>
    <n v="830000"/>
    <n v="2400000"/>
    <n v="2400000"/>
    <x v="0"/>
    <x v="0"/>
    <s v="BR3-5, BR-7"/>
    <s v="62-304.520 (10), F.A.C."/>
    <n v="0.59"/>
    <n v="0.64"/>
    <s v="City of Cocoa Beach"/>
    <n v="0.19522115912167001"/>
    <n v="3775.5230372783799"/>
    <n v="8.7387524083633803"/>
    <n v="1.53386414944306"/>
    <n v="1.7059893744380401"/>
    <n v="0.29944273718946002"/>
    <n v="737.06198362808004"/>
    <n v="1300"/>
    <s v="Residential, High Density"/>
    <n v="1300"/>
    <s v="City of Cocoa Beach           Brevard County"/>
    <s v="City of Cocoa Beach"/>
    <m/>
    <m/>
    <m/>
    <n v="0"/>
    <n v="1"/>
    <n v="1.7059893744380401"/>
    <n v="0.29944273718946002"/>
    <n v="737.061983628080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1.86380723777199"/>
    <n v="790.03200157992899"/>
    <n v="0.59777938659999996"/>
  </r>
  <r>
    <n v="830000"/>
    <n v="2400000"/>
    <n v="2400000"/>
    <x v="0"/>
    <x v="0"/>
    <s v="BR3-5, BR-7"/>
    <s v="62-304.520 (10), F.A.C."/>
    <n v="0.59"/>
    <n v="0.64"/>
    <s v="City of Cocoa Beach"/>
    <n v="0.10263078762348"/>
    <n v="3775.5230372783799"/>
    <n v="8.7387524083633803"/>
    <n v="1.53386414944306"/>
    <n v="0.89686504251693999"/>
    <n v="0.15742168576476001"/>
    <n v="387.48490300648501"/>
    <n v="1300"/>
    <s v="Residential, High Density"/>
    <n v="1300"/>
    <s v="City of Cocoa Beach           Brevard County"/>
    <s v="City of Cocoa Beach"/>
    <m/>
    <m/>
    <m/>
    <n v="0"/>
    <n v="1"/>
    <n v="0.89686504251693999"/>
    <n v="0.15742168576476001"/>
    <n v="1045.5948560726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6.776186072252"/>
    <n v="415.33206203006199"/>
    <n v="0.84800880460000005"/>
  </r>
  <r>
    <n v="830000"/>
    <n v="2400000"/>
    <n v="2400000"/>
    <x v="0"/>
    <x v="0"/>
    <s v="BR3-5, BR-7"/>
    <s v="62-304.520 (10), F.A.C."/>
    <n v="0.59"/>
    <n v="0.64"/>
    <s v="City of Cocoa Beach"/>
    <n v="9.4084034852379997E-2"/>
    <n v="3775.5230372783799"/>
    <n v="8.7387524083633803"/>
    <n v="1.53386414944306"/>
    <n v="0.82217708615479002"/>
    <n v="0.14431212809502"/>
    <n v="355.21644102527"/>
    <n v="1300"/>
    <s v="Residential, High Density"/>
    <n v="1300"/>
    <s v="City of Cocoa Beach           Brevard County"/>
    <s v="City of Cocoa Beach"/>
    <m/>
    <m/>
    <m/>
    <n v="0"/>
    <n v="1"/>
    <n v="0.82217708615479002"/>
    <n v="0.14431212809502"/>
    <n v="355.21644102526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5.34414353673201"/>
    <n v="380.74458068766501"/>
    <n v="0.28809119300000002"/>
  </r>
  <r>
    <n v="830000"/>
    <n v="2400000"/>
    <n v="2400000"/>
    <x v="0"/>
    <x v="0"/>
    <s v="BR3-5, BR-7"/>
    <s v="62-304.520 (10), F.A.C."/>
    <n v="0.59"/>
    <n v="0.64"/>
    <s v="City of Cocoa Beach"/>
    <n v="4.4663138526729998E-2"/>
    <n v="3753.31698130307"/>
    <n v="9.9456634254991698"/>
    <n v="1.7438898703919601"/>
    <n v="0.44420454331336001"/>
    <n v="7.7887594856679995E-2"/>
    <n v="167.634916270688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44420454331336001"/>
    <n v="7.7887594856679995E-2"/>
    <n v="167.63491627068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275228470011001"/>
    <n v="180.74530899146001"/>
    <n v="0.13595694750000001"/>
  </r>
  <r>
    <n v="830000"/>
    <n v="2400000"/>
    <n v="2400000"/>
    <x v="0"/>
    <x v="0"/>
    <s v="BR3-5, BR-7"/>
    <s v="62-304.520 (10), F.A.C."/>
    <n v="0.59"/>
    <n v="0.64"/>
    <s v="City of Cocoa Beach"/>
    <n v="6.851250797814E-2"/>
    <n v="3753.31698130307"/>
    <n v="9.9456634254991698"/>
    <n v="1.7438898703919601"/>
    <n v="0.68140234478744999"/>
    <n v="0.11947826865823"/>
    <n v="257.149159626034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68140234478744999"/>
    <n v="0.11947826865823"/>
    <n v="257.14915962603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1.587683599990598"/>
    <n v="277.26028292608902"/>
    <n v="0.20855568499999999"/>
  </r>
  <r>
    <n v="830000"/>
    <n v="2400000"/>
    <n v="2400000"/>
    <x v="0"/>
    <x v="0"/>
    <s v="BR3-5, BR-7"/>
    <s v="62-304.520 (10), F.A.C."/>
    <n v="0.59"/>
    <n v="0.64"/>
    <s v="City of Cocoa Beach"/>
    <n v="3.3032736986379999E-2"/>
    <n v="3753.31698130307"/>
    <n v="9.9456634254991698"/>
    <n v="1.7438898703919601"/>
    <n v="0.32853248408965002"/>
    <n v="5.7605455421880003E-2"/>
    <n v="123.98233266992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2853248408965002"/>
    <n v="5.7605455421880003E-2"/>
    <n v="123.9823326699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2.956725375888695"/>
    <n v="133.67874382281599"/>
    <n v="0.1005533923"/>
  </r>
  <r>
    <n v="830000"/>
    <n v="2400000"/>
    <n v="2400000"/>
    <x v="0"/>
    <x v="0"/>
    <s v="BR3-5, BR-7"/>
    <s v="62-304.520 (10), F.A.C."/>
    <n v="0.59"/>
    <n v="0.64"/>
    <s v="City of Cocoa Beach"/>
    <n v="2.06632084302E-2"/>
    <n v="3753.31698130307"/>
    <n v="9.9456634254991698"/>
    <n v="1.7438898703919601"/>
    <n v="0.20550931633771999"/>
    <n v="3.6034359871220001E-2"/>
    <n v="77.55557108928199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0550931633771999"/>
    <n v="3.6034359871220001E-2"/>
    <n v="77.5555710892809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4.795276332479702"/>
    <n v="83.621037743151604"/>
    <n v="6.2899895400000003E-2"/>
  </r>
  <r>
    <n v="830000"/>
    <n v="2400000"/>
    <n v="2400000"/>
    <x v="0"/>
    <x v="0"/>
    <s v="BR3-5, BR-7"/>
    <s v="62-304.520 (10), F.A.C."/>
    <n v="0.59"/>
    <n v="0.64"/>
    <s v="City of Cocoa Beach"/>
    <n v="6.0840813699709999E-2"/>
    <n v="3753.31698130307"/>
    <n v="9.9456634254991698"/>
    <n v="1.7438898703919601"/>
    <n v="0.60510225559090003"/>
    <n v="0.10609967871734"/>
    <n v="228.354859215452"/>
    <n v="1210"/>
    <s v="Fixed Single Family Units"/>
    <n v="1210"/>
    <s v="City of Cocoa Beach           Brevard County"/>
    <s v="City of Cocoa Beach"/>
    <m/>
    <m/>
    <m/>
    <n v="0"/>
    <n v="1"/>
    <n v="0.60510225559090003"/>
    <n v="0.10609967871734"/>
    <n v="664.50527082634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0.278484133549298"/>
    <n v="246.21403766474799"/>
    <n v="0.5389337152"/>
  </r>
  <r>
    <n v="830000"/>
    <n v="2400000"/>
    <n v="2400000"/>
    <x v="0"/>
    <x v="0"/>
    <s v="BR3-5, BR-7"/>
    <s v="62-304.520 (10), F.A.C."/>
    <n v="0.59"/>
    <n v="0.64"/>
    <s v="City of Cocoa Beach"/>
    <n v="3.6132222849299997E-2"/>
    <n v="3753.31698130307"/>
    <n v="9.9456634254991698"/>
    <n v="1.7438898703919601"/>
    <n v="0.35935892727428997"/>
    <n v="6.3010617421640006E-2"/>
    <n v="135.615685592516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5935892727428997"/>
    <n v="6.3010617421640006E-2"/>
    <n v="386.645607502892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4.110144853016998"/>
    <n v="146.221918093288"/>
    <n v="0.31358119020000003"/>
  </r>
  <r>
    <n v="830000"/>
    <n v="2400000"/>
    <n v="2400000"/>
    <x v="0"/>
    <x v="0"/>
    <s v="BR3-5, BR-7"/>
    <s v="62-304.520 (10), F.A.C."/>
    <n v="0.59"/>
    <n v="0.64"/>
    <s v="City of Cocoa Beach"/>
    <n v="6.7779218897070004E-2"/>
    <n v="3753.31698130307"/>
    <n v="9.9456634254991698"/>
    <n v="1.7438898703919601"/>
    <n v="0.67410929839356004"/>
    <n v="0.11819949325769"/>
    <n v="254.396893265856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67410929839356004"/>
    <n v="0.11819949325769"/>
    <n v="254.396893265859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0.845009727660198"/>
    <n v="274.29276729889301"/>
    <n v="0.20632351439999999"/>
  </r>
  <r>
    <n v="830000"/>
    <n v="2400000"/>
    <n v="2400000"/>
    <x v="0"/>
    <x v="0"/>
    <s v="BR3-5, BR-7"/>
    <s v="62-304.520 (10), F.A.C."/>
    <n v="0.59"/>
    <n v="0.64"/>
    <s v="City of Cocoa Beach"/>
    <n v="0.10202369632774"/>
    <n v="3753.31698130307"/>
    <n v="9.9456634254991698"/>
    <n v="1.7438898703919601"/>
    <n v="1.01469334510111"/>
    <n v="0.17791809056589999"/>
    <n v="382.927271922244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01469334510111"/>
    <n v="0.17791809056589999"/>
    <n v="382.92727192224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1.864719786753398"/>
    <n v="412.87525072093302"/>
    <n v="0.31056550849999998"/>
  </r>
  <r>
    <n v="830000"/>
    <n v="2400000"/>
    <n v="2400000"/>
    <x v="0"/>
    <x v="0"/>
    <s v="BR3-5, BR-7"/>
    <s v="62-304.520 (10), F.A.C."/>
    <n v="0.59"/>
    <n v="0.64"/>
    <s v="City of Cocoa Beach"/>
    <n v="1.655047273215E-2"/>
    <n v="3734.6470768456702"/>
    <n v="7.9637160843338197"/>
    <n v="1.1506839521237799"/>
    <n v="0.13180326590038999"/>
    <n v="1.9044363372949999E-2"/>
    <n v="61.810174609560498"/>
    <n v="1390"/>
    <s v="High Density Under Construction"/>
    <n v="1390"/>
    <s v="City of Cocoa Beach           Brevard County"/>
    <s v="City of Cocoa Beach"/>
    <m/>
    <m/>
    <m/>
    <n v="0"/>
    <n v="1"/>
    <n v="0.13180326590038999"/>
    <n v="1.9044363372949999E-2"/>
    <n v="61.8101746095597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9.500164835527102"/>
    <n v="66.977386869880803"/>
    <n v="5.01299064E-2"/>
  </r>
  <r>
    <n v="830000"/>
    <n v="2400000"/>
    <n v="2400000"/>
    <x v="0"/>
    <x v="0"/>
    <s v="BR3-5, BR-7"/>
    <s v="62-304.520 (10), F.A.C."/>
    <n v="0.59"/>
    <n v="0.64"/>
    <s v="City of Cocoa Beach"/>
    <n v="1.8463600131480001E-2"/>
    <n v="3734.6470768456702"/>
    <n v="7.9637160843338197"/>
    <n v="1.1506839521237799"/>
    <n v="0.14703886934179999"/>
    <n v="2.1245768369719999E-2"/>
    <n v="68.955030259094201"/>
    <n v="1300"/>
    <s v="Residential, High Density"/>
    <n v="1300"/>
    <s v="City of Cocoa Beach           Brevard County"/>
    <s v="City of Cocoa Beach"/>
    <m/>
    <m/>
    <m/>
    <n v="0"/>
    <n v="1"/>
    <n v="0.14703886934179999"/>
    <n v="2.1245768369719999E-2"/>
    <n v="68.955030259094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2.017448487255997"/>
    <n v="74.719538772722004"/>
    <n v="5.5924598800000003E-2"/>
  </r>
  <r>
    <n v="830000"/>
    <n v="2400000"/>
    <n v="2400000"/>
    <x v="0"/>
    <x v="0"/>
    <s v="BR3-5, BR-7"/>
    <s v="62-304.520 (10), F.A.C."/>
    <n v="0.59"/>
    <n v="0.64"/>
    <s v="City of Cocoa Beach"/>
    <n v="5.0116582189260003E-2"/>
    <n v="3734.6470768456702"/>
    <n v="7.9637160843338197"/>
    <n v="1.1506839521237799"/>
    <n v="0.39911423167250998"/>
    <n v="5.7668346860480002E-2"/>
    <n v="187.167747174645"/>
    <n v="1210"/>
    <s v="Fixed Single Family Units"/>
    <n v="1210"/>
    <s v="City of Cocoa Beach           Brevard County"/>
    <s v="City of Cocoa Beach"/>
    <m/>
    <m/>
    <m/>
    <n v="0"/>
    <n v="1"/>
    <n v="0.39911423167250998"/>
    <n v="5.7668346860480002E-2"/>
    <n v="187.16774717464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3.559382056478498"/>
    <n v="202.814612501375"/>
    <n v="0.15179865949999999"/>
  </r>
  <r>
    <n v="830000"/>
    <n v="2400000"/>
    <n v="2400000"/>
    <x v="0"/>
    <x v="0"/>
    <s v="BR3-5, BR-7"/>
    <s v="62-304.520 (10), F.A.C."/>
    <n v="0.59"/>
    <n v="0.64"/>
    <s v="City of Cocoa Beach"/>
    <n v="0.15600364375008999"/>
    <n v="3734.6470768456702"/>
    <n v="7.9637160843338197"/>
    <n v="1.1506839521237799"/>
    <n v="1.2423687269472701"/>
    <n v="0.17951088933605999"/>
    <n v="582.61855210854799"/>
    <n v="1210"/>
    <s v="Fixed Single Family Units"/>
    <n v="1210"/>
    <s v="City of Cocoa Beach           Brevard County"/>
    <s v="City of Cocoa Beach"/>
    <m/>
    <m/>
    <m/>
    <n v="0"/>
    <n v="1"/>
    <n v="1.2423687269472701"/>
    <n v="0.17951088933605999"/>
    <n v="582.61855210854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61682545191201"/>
    <n v="631.32434762785203"/>
    <n v="0.47252112899999998"/>
  </r>
  <r>
    <n v="830000"/>
    <n v="2400000"/>
    <n v="2400000"/>
    <x v="0"/>
    <x v="0"/>
    <s v="BR3-5, BR-7"/>
    <s v="62-304.520 (10), F.A.C."/>
    <n v="0.59"/>
    <n v="0.64"/>
    <s v="City of Cocoa Beach"/>
    <n v="8.8639101067679998E-2"/>
    <n v="3734.6470768456702"/>
    <n v="7.9637160843338197"/>
    <n v="1.1506839521237799"/>
    <n v="0.70589663487362997"/>
    <n v="0.10199559112926"/>
    <n v="331.035759696669"/>
    <n v="1210"/>
    <s v="Fixed Single Family Units"/>
    <n v="1210"/>
    <s v="City of Cocoa Beach           Brevard County"/>
    <s v="City of Cocoa Beach"/>
    <m/>
    <m/>
    <m/>
    <n v="0"/>
    <n v="1"/>
    <n v="0.70589663487362997"/>
    <n v="0.10199559112926"/>
    <n v="331.03575969666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5.436855577211901"/>
    <n v="358.70971543153399"/>
    <n v="0.26847993489999999"/>
  </r>
  <r>
    <n v="830000"/>
    <n v="2400000"/>
    <n v="2400000"/>
    <x v="0"/>
    <x v="0"/>
    <s v="BR3-5, BR-7"/>
    <s v="62-304.520 (10), F.A.C."/>
    <n v="0.59"/>
    <n v="0.64"/>
    <s v="City of Cocoa Beach"/>
    <n v="5.0035633419389998E-2"/>
    <n v="3734.6470768456702"/>
    <n v="7.9637160843338197"/>
    <n v="1.1506839521237799"/>
    <n v="0.39846957865183003"/>
    <n v="5.7575200410040002E-2"/>
    <n v="186.86543208785"/>
    <n v="1210"/>
    <s v="Fixed Single Family Units"/>
    <n v="1210"/>
    <s v="City of Cocoa Beach           Brevard County"/>
    <s v="City of Cocoa Beach"/>
    <m/>
    <m/>
    <m/>
    <n v="0"/>
    <n v="1"/>
    <n v="0.39846957865183003"/>
    <n v="5.7575200410040002E-2"/>
    <n v="186.86543208784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4.661362846110706"/>
    <n v="202.48702445211299"/>
    <n v="0.15155347290000001"/>
  </r>
  <r>
    <n v="830000"/>
    <n v="2400000"/>
    <n v="2400000"/>
    <x v="0"/>
    <x v="0"/>
    <s v="BR3-5, BR-7"/>
    <s v="62-304.520 (10), F.A.C."/>
    <n v="0.59"/>
    <n v="0.64"/>
    <s v="City of Cocoa Beach"/>
    <n v="8.3464322004979996E-2"/>
    <n v="3734.6470768456702"/>
    <n v="7.9637160843338197"/>
    <n v="1.1506839521237799"/>
    <n v="0.66468616361914001"/>
    <n v="9.6041055906030001E-2"/>
    <n v="311.70978619683399"/>
    <n v="1210"/>
    <s v="Fixed Single Family Units"/>
    <n v="1210"/>
    <s v="City of Cocoa Beach           Brevard County"/>
    <s v="City of Cocoa Beach"/>
    <m/>
    <m/>
    <m/>
    <n v="0"/>
    <n v="1"/>
    <n v="0.66468616361914001"/>
    <n v="9.6041055906030001E-2"/>
    <n v="311.709786196833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6.335282695912994"/>
    <n v="337.76812754714501"/>
    <n v="0.25280599040000001"/>
  </r>
  <r>
    <n v="830000"/>
    <n v="2400000"/>
    <n v="2400000"/>
    <x v="0"/>
    <x v="0"/>
    <s v="BR3-5, BR-7"/>
    <s v="62-304.520 (10), F.A.C."/>
    <n v="0.59"/>
    <n v="0.64"/>
    <s v="City of Cocoa Beach"/>
    <n v="0.15449009844188999"/>
    <n v="3734.6470768456702"/>
    <n v="7.9637160843338197"/>
    <n v="1.1506839521237799"/>
    <n v="1.23031528183199"/>
    <n v="0.1777692770391"/>
    <n v="576.96599454760496"/>
    <n v="1210"/>
    <s v="Fixed Single Family Units"/>
    <n v="1210"/>
    <s v="City of Cocoa Beach           Brevard County"/>
    <s v="City of Cocoa Beach"/>
    <m/>
    <m/>
    <m/>
    <n v="0"/>
    <n v="1"/>
    <n v="1.23031528183199"/>
    <n v="0.1777692770391"/>
    <n v="576.965994547604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03247701134801"/>
    <n v="625.19924707677103"/>
    <n v="0.46793673520000001"/>
  </r>
  <r>
    <n v="830000"/>
    <n v="2400000"/>
    <n v="2400000"/>
    <x v="0"/>
    <x v="0"/>
    <s v="BR3-5, BR-7"/>
    <s v="62-304.520 (10), F.A.C."/>
    <n v="0.59"/>
    <n v="0.64"/>
    <s v="City of Cocoa Beach"/>
    <n v="0.14158304503746999"/>
    <n v="3725.5952324096302"/>
    <n v="9.7860309318247207"/>
    <n v="1.61032367741667"/>
    <n v="1.38553605815868"/>
    <n v="0.22799452974459999"/>
    <n v="527.48111758166306"/>
    <n v="1300"/>
    <s v="Residential, High Density"/>
    <n v="1300"/>
    <s v="City of Cocoa Beach           Brevard County"/>
    <s v="City of Cocoa Beach"/>
    <m/>
    <m/>
    <m/>
    <n v="0"/>
    <n v="1"/>
    <n v="1.38553605815868"/>
    <n v="0.22799452974459999"/>
    <n v="527.481117581663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821151353977"/>
    <n v="572.96625511286095"/>
    <n v="0.42780301510000002"/>
  </r>
  <r>
    <n v="830000"/>
    <n v="2400000"/>
    <n v="2400000"/>
    <x v="0"/>
    <x v="0"/>
    <s v="BR3-5, BR-7"/>
    <s v="62-304.520 (10), F.A.C."/>
    <n v="0.59"/>
    <n v="0.64"/>
    <s v="City of Cocoa Beach"/>
    <n v="0.13697914869719999"/>
    <n v="3725.5952324096302"/>
    <n v="9.7860309318247207"/>
    <n v="1.61032367741667"/>
    <n v="1.34048218616585"/>
    <n v="0.22058076645947999"/>
    <n v="510.32886332583399"/>
    <n v="1210"/>
    <s v="Fixed Single Family Units"/>
    <n v="1210"/>
    <s v="City of Cocoa Beach           Brevard County"/>
    <s v="City of Cocoa Beach"/>
    <m/>
    <m/>
    <m/>
    <n v="0"/>
    <n v="1"/>
    <n v="1.34048218616585"/>
    <n v="0.22058076645947999"/>
    <n v="510.32886332583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69254791893501"/>
    <n v="554.33494764016598"/>
    <n v="0.41389202219999999"/>
  </r>
  <r>
    <n v="830000"/>
    <n v="2400000"/>
    <n v="2400000"/>
    <x v="0"/>
    <x v="0"/>
    <s v="BR3-5, BR-7"/>
    <s v="62-304.520 (10), F.A.C."/>
    <n v="0.59"/>
    <n v="0.64"/>
    <s v="City of Cocoa Beach"/>
    <n v="9.4958227438300003E-3"/>
    <n v="3725.5952324096302"/>
    <n v="9.7860309318247207"/>
    <n v="1.61032367741667"/>
    <n v="9.2926415094279999E-2"/>
    <n v="1.529134820094E-2"/>
    <n v="35.377591942234901"/>
    <n v="1300"/>
    <s v="Residential, High Density"/>
    <n v="1300"/>
    <s v="City of Cocoa Beach           Brevard County"/>
    <s v="City of Cocoa Beach"/>
    <m/>
    <m/>
    <m/>
    <n v="0"/>
    <n v="1"/>
    <n v="9.2926415094279999E-2"/>
    <n v="1.529134820094E-2"/>
    <n v="35.377591942236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4.8158387412164"/>
    <n v="38.428231256857799"/>
    <n v="2.8692288699999999E-2"/>
  </r>
  <r>
    <n v="830000"/>
    <n v="2400000"/>
    <n v="2400000"/>
    <x v="0"/>
    <x v="0"/>
    <s v="BR3-5, BR-7"/>
    <s v="62-304.520 (10), F.A.C."/>
    <n v="0.59"/>
    <n v="0.64"/>
    <s v="City of Cocoa Beach"/>
    <n v="0.26625073732512"/>
    <n v="3725.5952324096302"/>
    <n v="9.7860309318247207"/>
    <n v="1.61032367741667"/>
    <n v="2.60553795108485"/>
    <n v="0.42874986644430002"/>
    <n v="991.94247760405096"/>
    <n v="1210"/>
    <s v="Fixed Single Family Units"/>
    <n v="1210"/>
    <s v="City of Cocoa Beach           Brevard County"/>
    <s v="City of Cocoa Beach"/>
    <m/>
    <m/>
    <m/>
    <n v="0"/>
    <n v="1"/>
    <n v="2.60553795108485"/>
    <n v="0.42874986644430002"/>
    <n v="991.942477604050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7.066752105078"/>
    <n v="1077.47850631293"/>
    <n v="0.80449511569999999"/>
  </r>
  <r>
    <n v="830000"/>
    <n v="2400000"/>
    <n v="2400000"/>
    <x v="0"/>
    <x v="0"/>
    <s v="BR3-5, BR-7"/>
    <s v="62-304.520 (10), F.A.C."/>
    <n v="0.59"/>
    <n v="0.64"/>
    <s v="City of Cocoa Beach"/>
    <n v="3.6590447752730001E-2"/>
    <n v="3725.5952324096302"/>
    <n v="9.7860309318247207"/>
    <n v="1.61032367741667"/>
    <n v="0.35807525351755998"/>
    <n v="5.8922464383500003E-2"/>
    <n v="136.321197699316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5807525351755998"/>
    <n v="5.8922464383500003E-2"/>
    <n v="136.32119769931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0.934394188461198"/>
    <n v="148.07628848663899"/>
    <n v="0.1105605821"/>
  </r>
  <r>
    <n v="830000"/>
    <n v="2400000"/>
    <n v="2400000"/>
    <x v="0"/>
    <x v="0"/>
    <s v="BR3-5, BR-7"/>
    <s v="62-304.520 (10), F.A.C."/>
    <n v="0.59"/>
    <n v="0.64"/>
    <s v="City of Cocoa Beach"/>
    <n v="2.6864251927420001E-2"/>
    <n v="3725.5952324096302"/>
    <n v="9.7860309318247207"/>
    <n v="1.61032367741667"/>
    <n v="0.26289440032214001"/>
    <n v="4.3260140954820003E-2"/>
    <n v="100.08532890307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6289440032214001"/>
    <n v="4.3260140954820003E-2"/>
    <n v="100.08532890307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0.354782064089598"/>
    <n v="108.715770445484"/>
    <n v="8.1172205100000006E-2"/>
  </r>
  <r>
    <n v="830000"/>
    <n v="2400000"/>
    <n v="2400000"/>
    <x v="0"/>
    <x v="0"/>
    <s v="BR3-5, BR-7"/>
    <s v="62-304.520 (10), F.A.C."/>
    <n v="0.59"/>
    <n v="0.64"/>
    <s v="City of Cocoa Beach"/>
    <n v="6.8229855205440004E-2"/>
    <n v="3858.8736485366398"/>
    <n v="9.1021548714421794"/>
    <n v="1.2467484179247801"/>
    <n v="0.62103870893599"/>
    <n v="8.5065464032619997E-2"/>
    <n v="263.29039029574301"/>
    <n v="1400"/>
    <s v="Commercial and Services"/>
    <n v="1400"/>
    <s v="City of Cocoa Beach           Brevard County"/>
    <s v="City of Cocoa Beach"/>
    <m/>
    <m/>
    <m/>
    <n v="0"/>
    <n v="1"/>
    <n v="0.62103870893599"/>
    <n v="8.5065464032619997E-2"/>
    <n v="272.21775302563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0.767826404102"/>
    <n v="276.11642773755602"/>
    <n v="0.22077676639999999"/>
  </r>
  <r>
    <n v="830000"/>
    <n v="2400000"/>
    <n v="2400000"/>
    <x v="0"/>
    <x v="0"/>
    <s v="BR3-5, BR-7"/>
    <s v="62-304.520 (10), F.A.C."/>
    <n v="0.59"/>
    <n v="0.64"/>
    <s v="City of Cocoa Beach"/>
    <n v="9.3195268395310005E-2"/>
    <n v="3858.8736485366398"/>
    <n v="9.1021548714421794"/>
    <n v="1.2467484179247801"/>
    <n v="0.84827776621980999"/>
    <n v="0.11619105342994"/>
    <n v="359.62876537899598"/>
    <n v="1210"/>
    <s v="Fixed Single Family Units"/>
    <n v="1210"/>
    <s v="City of Cocoa Beach           Brevard County"/>
    <s v="City of Cocoa Beach"/>
    <m/>
    <m/>
    <m/>
    <n v="0"/>
    <n v="1"/>
    <n v="0.84827776621980999"/>
    <n v="0.11619105342994"/>
    <n v="359.62876537899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801939637693"/>
    <n v="377.14787044288602"/>
    <n v="0.29166972050000001"/>
  </r>
  <r>
    <n v="830000"/>
    <n v="2400000"/>
    <n v="2400000"/>
    <x v="0"/>
    <x v="0"/>
    <s v="BR3-5, BR-7"/>
    <s v="62-304.520 (10), F.A.C."/>
    <n v="0.59"/>
    <n v="0.64"/>
    <s v="City of Cocoa Beach"/>
    <n v="0.45402486672448"/>
    <n v="3858.8736485366398"/>
    <n v="9.1021548714421794"/>
    <n v="1.2467484179247801"/>
    <n v="4.13260465241214"/>
    <n v="0.56605478428725997"/>
    <n v="1752.0245939834699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4.13260465241214"/>
    <n v="0.56605478428725997"/>
    <n v="1752.0245939834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1.57353916028401"/>
    <n v="1837.3734478332699"/>
    <n v="1.4209445207"/>
  </r>
  <r>
    <n v="830000"/>
    <n v="2400000"/>
    <n v="2400000"/>
    <x v="0"/>
    <x v="0"/>
    <s v="BR3-5, BR-7"/>
    <s v="62-304.520 (10), F.A.C."/>
    <n v="0.59"/>
    <n v="0.64"/>
    <s v="City of Cocoa Beach"/>
    <n v="2.9633940797330002E-2"/>
    <n v="3750.3634981117698"/>
    <n v="9.5334197773727603"/>
    <n v="1.6562238647047201"/>
    <n v="0.28251279727883"/>
    <n v="4.9080439953790002E-2"/>
    <n v="111.138049871541"/>
    <n v="1390"/>
    <s v="High Density Under Construction"/>
    <n v="1390"/>
    <s v="City of Cocoa Beach           Brevard County"/>
    <s v="City of Cocoa Beach"/>
    <m/>
    <m/>
    <m/>
    <n v="0"/>
    <n v="1"/>
    <n v="0.28251279727883"/>
    <n v="4.9080439953790002E-2"/>
    <n v="111.13804987154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4.76446229165199"/>
    <n v="119.924303636728"/>
    <n v="9.0136293500000006E-2"/>
  </r>
  <r>
    <n v="830000"/>
    <n v="2400000"/>
    <n v="2400000"/>
    <x v="0"/>
    <x v="0"/>
    <s v="BR3-5, BR-7"/>
    <s v="62-304.520 (10), F.A.C."/>
    <n v="0.59"/>
    <n v="0.64"/>
    <s v="FDOT District 5"/>
    <n v="4.8435777195260002E-2"/>
    <n v="3750.3634981117698"/>
    <n v="9.5334197773727603"/>
    <n v="1.6562238647047201"/>
    <n v="0.46175859624579002"/>
    <n v="8.0220490096319999E-2"/>
    <n v="181.65177079581099"/>
    <n v="1390"/>
    <s v="High Density Under Construction"/>
    <n v="1390"/>
    <s v="FDOT District 5                                 City of Cocoa Beach           Brevard County"/>
    <s v="FDOT District 5"/>
    <m/>
    <m/>
    <m/>
    <n v="0"/>
    <n v="1"/>
    <n v="0.46175859624579002"/>
    <n v="8.0220490096319999E-2"/>
    <n v="181.65177079580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87431628071801"/>
    <n v="196.01263601660801"/>
    <n v="0.1473250371"/>
  </r>
  <r>
    <n v="830000"/>
    <n v="2400000"/>
    <n v="2400000"/>
    <x v="0"/>
    <x v="0"/>
    <s v="BR3-5, BR-7"/>
    <s v="62-304.520 (10), F.A.C."/>
    <n v="0.59"/>
    <n v="0.64"/>
    <s v="City of Cocoa Beach"/>
    <n v="1.9573548208700001E-3"/>
    <n v="3750.3634981117698"/>
    <n v="9.5334197773727603"/>
    <n v="1.6562238647047201"/>
    <n v="1.8660285160700001E-2"/>
    <n v="3.24181776603E-3"/>
    <n v="7.3407920730777096"/>
    <n v="1300"/>
    <s v="Residential, High Density"/>
    <n v="1300"/>
    <s v="City of Cocoa Beach           Brevard County"/>
    <s v="City of Cocoa Beach"/>
    <m/>
    <m/>
    <m/>
    <n v="0"/>
    <n v="1"/>
    <n v="1.8660285160700001E-2"/>
    <n v="3.24181776603E-3"/>
    <n v="7.3407920730758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346357625902"/>
    <n v="7.9211339277877801"/>
    <n v="5.9536027000000004E-3"/>
  </r>
  <r>
    <n v="830000"/>
    <n v="2400000"/>
    <n v="2400000"/>
    <x v="0"/>
    <x v="0"/>
    <s v="BR3-5, BR-7"/>
    <s v="62-304.520 (10), F.A.C."/>
    <n v="0.59"/>
    <n v="0.64"/>
    <s v="FDOT District 5"/>
    <n v="0.18356435271954999"/>
    <n v="3750.3634981117698"/>
    <n v="9.5334197773727603"/>
    <n v="1.6562238647047201"/>
    <n v="1.74999603063723"/>
    <n v="0.3040236616832"/>
    <n v="688.43304799393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74999603063723"/>
    <n v="0.3040236616832"/>
    <n v="688.43304799393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9.74379360631801"/>
    <n v="742.85857972683198"/>
    <n v="0.55833986049999995"/>
  </r>
  <r>
    <n v="830000"/>
    <n v="2400000"/>
    <n v="2400000"/>
    <x v="0"/>
    <x v="0"/>
    <s v="BR3-5, BR-7"/>
    <s v="62-304.520 (10), F.A.C."/>
    <n v="0.59"/>
    <n v="0.64"/>
    <s v="City of Cocoa Beach"/>
    <n v="2.0251403324219999E-2"/>
    <n v="3750.3634981117698"/>
    <n v="9.5334197773727603"/>
    <n v="1.6562238647047201"/>
    <n v="0.1930651289707"/>
    <n v="3.354085747933E-2"/>
    <n v="75.950123812705399"/>
    <n v="1210"/>
    <s v="Fixed Single Family Units"/>
    <n v="1210"/>
    <s v="City of Cocoa Beach           Brevard County"/>
    <s v="City of Cocoa Beach"/>
    <m/>
    <m/>
    <m/>
    <n v="0"/>
    <n v="1"/>
    <n v="0.1930651289707"/>
    <n v="3.354085747933E-2"/>
    <n v="75.9501238127047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6.656085537416402"/>
    <n v="81.954521605243798"/>
    <n v="6.15978295E-2"/>
  </r>
  <r>
    <n v="830000"/>
    <n v="2400000"/>
    <n v="2400000"/>
    <x v="0"/>
    <x v="0"/>
    <s v="BR3-5, BR-7"/>
    <s v="62-304.520 (10), F.A.C."/>
    <n v="0.59"/>
    <n v="0.64"/>
    <s v="City of Cocoa Beach"/>
    <n v="8.1346533755990005E-2"/>
    <n v="3750.3634981117698"/>
    <n v="9.5334197773727603"/>
    <n v="1.6562238647047201"/>
    <n v="0.77551065373014005"/>
    <n v="0.13472807051769001"/>
    <n v="305.07907089640798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0.77551065373014005"/>
    <n v="0.13472807051769001"/>
    <n v="305.07907089640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5.549578130580301"/>
    <n v="329.197742570434"/>
    <n v="0.2474282813"/>
  </r>
  <r>
    <n v="830000"/>
    <n v="2400000"/>
    <n v="2400000"/>
    <x v="0"/>
    <x v="0"/>
    <s v="BR3-5, BR-7"/>
    <s v="62-304.520 (10), F.A.C."/>
    <n v="0.59"/>
    <n v="0.64"/>
    <s v="City of Cocoa Beach"/>
    <n v="6.5921527756420004E-2"/>
    <n v="3750.3634981117698"/>
    <n v="9.5334197773727603"/>
    <n v="1.6562238647047201"/>
    <n v="0.62845759646773003"/>
    <n v="0.10918080746798001"/>
    <n v="247.229691437458"/>
    <n v="1210"/>
    <s v="Fixed Single Family Units"/>
    <n v="1210"/>
    <s v="City of Cocoa Beach           Brevard County"/>
    <s v="City of Cocoa Beach"/>
    <m/>
    <m/>
    <m/>
    <n v="0"/>
    <n v="1"/>
    <n v="0.62845759646773003"/>
    <n v="0.10918080746798001"/>
    <n v="247.22969143745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8.329749278599195"/>
    <n v="266.77495797550802"/>
    <n v="0.20051069869999999"/>
  </r>
  <r>
    <n v="830000"/>
    <n v="2400000"/>
    <n v="2400000"/>
    <x v="0"/>
    <x v="0"/>
    <s v="BR3-5, BR-7"/>
    <s v="62-304.520 (10), F.A.C."/>
    <n v="0.59"/>
    <n v="0.64"/>
    <s v="City of Cocoa Beach"/>
    <n v="7.3812969151089994E-2"/>
    <n v="3750.3634981117698"/>
    <n v="9.5334197773727603"/>
    <n v="1.6562238647047201"/>
    <n v="0.70369001993168001"/>
    <n v="0.12225080103276"/>
    <n v="276.825465191528"/>
    <n v="1210"/>
    <s v="Fixed Single Family Units"/>
    <n v="1210"/>
    <s v="City of Cocoa Beach           Brevard County"/>
    <s v="City of Cocoa Beach"/>
    <m/>
    <m/>
    <m/>
    <n v="0"/>
    <n v="1"/>
    <n v="0.70369001993168001"/>
    <n v="0.12225080103276"/>
    <n v="276.825465191529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6.843644962328895"/>
    <n v="298.71048826553499"/>
    <n v="0.2245137593"/>
  </r>
  <r>
    <n v="830000"/>
    <n v="2400000"/>
    <n v="2400000"/>
    <x v="0"/>
    <x v="0"/>
    <s v="BR3-5, BR-7"/>
    <s v="62-304.520 (10), F.A.C."/>
    <n v="0.59"/>
    <n v="0.64"/>
    <s v="City of Cocoa Beach"/>
    <n v="0.11283959426218999"/>
    <n v="3750.3634981117698"/>
    <n v="9.5334197773727603"/>
    <n v="1.6562238647047201"/>
    <n v="1.07574721960994"/>
    <n v="0.18688762890064001"/>
    <n v="423.18949546268601"/>
    <n v="1210"/>
    <s v="Fixed Single Family Units"/>
    <n v="1210"/>
    <s v="City of Cocoa Beach           Brevard County"/>
    <s v="City of Cocoa Beach"/>
    <m/>
    <m/>
    <m/>
    <n v="0"/>
    <n v="1"/>
    <n v="1.07574721960994"/>
    <n v="0.18688762890064001"/>
    <n v="423.18949546268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1.693272168930605"/>
    <n v="456.64563674098201"/>
    <n v="0.34321937990000001"/>
  </r>
  <r>
    <n v="830000"/>
    <n v="2400000"/>
    <n v="2400000"/>
    <x v="0"/>
    <x v="0"/>
    <s v="BR3-5, BR-7"/>
    <s v="62-304.520 (10), F.A.C."/>
    <n v="0.59"/>
    <n v="0.64"/>
    <s v="City of Cocoa Beach"/>
    <n v="2.8981958205799999E-3"/>
    <n v="3758.9054002995099"/>
    <n v="10.804703725123501"/>
    <n v="2.0794840720780798"/>
    <n v="3.1314147178810002E-2"/>
    <n v="6.0267520466700001E-3"/>
    <n v="10.8940439211224"/>
    <n v="1200"/>
    <s v="Residential, Medium Density-Two-five dwellingunits per acre"/>
    <n v="1200"/>
    <s v="City of Cocoa Beach           Brevard County"/>
    <s v="City of Cocoa Beach"/>
    <m/>
    <m/>
    <m/>
    <n v="0"/>
    <n v="1"/>
    <n v="3.1314147178810002E-2"/>
    <n v="6.0267520466700001E-3"/>
    <n v="10.894043921122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925863052793801"/>
    <n v="11.7285823699075"/>
    <n v="8.8353965000000003E-3"/>
  </r>
  <r>
    <n v="830000"/>
    <n v="2400000"/>
    <n v="2400000"/>
    <x v="0"/>
    <x v="0"/>
    <s v="BR3-5, BR-7"/>
    <s v="62-304.520 (10), F.A.C."/>
    <n v="0.59"/>
    <n v="0.64"/>
    <s v="City of Cocoa Beach"/>
    <n v="0.43899672882400997"/>
    <n v="3758.9054002995099"/>
    <n v="10.804703725123501"/>
    <n v="2.0794840720780798"/>
    <n v="4.7432295912418301"/>
    <n v="0.91288670528391003"/>
    <n v="1650.1471746904001"/>
    <n v="1300"/>
    <s v="Residential, High Density"/>
    <n v="1300"/>
    <s v="City of Cocoa Beach           Brevard County"/>
    <s v="City of Cocoa Beach"/>
    <m/>
    <m/>
    <m/>
    <n v="0"/>
    <n v="1"/>
    <n v="4.7432295912418301"/>
    <n v="0.91288670528391003"/>
    <n v="1650.1471746904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64.00964273123202"/>
    <n v="1776.5567314540399"/>
    <n v="1.3383188765"/>
  </r>
  <r>
    <n v="830000"/>
    <n v="2400000"/>
    <n v="2400000"/>
    <x v="0"/>
    <x v="0"/>
    <s v="BR3-5, BR-7"/>
    <s v="62-304.520 (10), F.A.C."/>
    <n v="0.59"/>
    <n v="0.64"/>
    <s v="FDOT District 5"/>
    <n v="7.3789581531710002E-2"/>
    <n v="3758.9054002995099"/>
    <n v="10.804703725123501"/>
    <n v="2.0794840720780798"/>
    <n v="0.79727456645105999"/>
    <n v="0.15344425948050999"/>
    <n v="277.368056505419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79727456645105999"/>
    <n v="0.15344425948050999"/>
    <n v="277.36805650542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1.198855792982"/>
    <n v="298.61584192784602"/>
    <n v="0.22495381710000001"/>
  </r>
  <r>
    <n v="830000"/>
    <n v="2400000"/>
    <n v="2400000"/>
    <x v="0"/>
    <x v="0"/>
    <s v="BR3-5, BR-7"/>
    <s v="62-304.520 (10), F.A.C."/>
    <n v="0.59"/>
    <n v="0.64"/>
    <s v="City of Cocoa Beach"/>
    <n v="0.1020789479826"/>
    <n v="3758.9054002995099"/>
    <n v="10.804703725123501"/>
    <n v="2.0794840720780798"/>
    <n v="1.1029327895243799"/>
    <n v="0.21227154642432"/>
    <n v="383.70510882872202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1.1029327895243799"/>
    <n v="0.21227154642432"/>
    <n v="383.705108828722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4.357842381834502"/>
    <n v="413.09884623525602"/>
    <n v="0.31119635750000002"/>
  </r>
  <r>
    <n v="830000"/>
    <n v="2400000"/>
    <n v="2400000"/>
    <x v="0"/>
    <x v="0"/>
    <s v="BR3-5, BR-7"/>
    <s v="62-304.520 (10), F.A.C."/>
    <n v="0.59"/>
    <n v="0.64"/>
    <s v="City of Cocoa Beach"/>
    <n v="6.1889520516039999E-2"/>
    <n v="3742.4042608154"/>
    <n v="9.1530275365459008"/>
    <n v="1.54002286797537"/>
    <n v="0.56647648550694996"/>
    <n v="9.5311276882730001E-2"/>
    <n v="231.615605279058"/>
    <n v="1100"/>
    <s v="Residential, Low Density-Less than two dwelling units/acre"/>
    <n v="1100"/>
    <s v="City of Cocoa Beach           Brevard County"/>
    <s v="City of Cocoa Beach"/>
    <m/>
    <m/>
    <m/>
    <n v="0"/>
    <n v="1"/>
    <n v="0.56647648550694996"/>
    <n v="9.5311276882730001E-2"/>
    <n v="231.61560527905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7.155252925124"/>
    <n v="250.45800357960101"/>
    <n v="0.18784720620000001"/>
  </r>
  <r>
    <n v="830000"/>
    <n v="2400000"/>
    <n v="2400000"/>
    <x v="0"/>
    <x v="0"/>
    <s v="BR3-5, BR-7"/>
    <s v="62-304.520 (10), F.A.C."/>
    <n v="0.59"/>
    <n v="0.64"/>
    <s v="City of Cocoa Beach"/>
    <n v="0.21640731917365999"/>
    <n v="3742.4042608154"/>
    <n v="9.1530275365459008"/>
    <n v="1.54002286797537"/>
    <n v="1.98078215150663"/>
    <n v="0.33327222032469001"/>
    <n v="809.88367334716304"/>
    <n v="1300"/>
    <s v="Residential, High Density"/>
    <n v="1300"/>
    <s v="City of Cocoa Beach           Brevard County"/>
    <s v="City of Cocoa Beach"/>
    <m/>
    <m/>
    <m/>
    <n v="0"/>
    <n v="1"/>
    <n v="1.98078215150663"/>
    <n v="0.33327222032469001"/>
    <n v="809.883673347163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0.173943534964"/>
    <n v="875.76934945231199"/>
    <n v="0.65683996219999996"/>
  </r>
  <r>
    <n v="830000"/>
    <n v="2400000"/>
    <n v="2400000"/>
    <x v="0"/>
    <x v="0"/>
    <s v="BR3-5, BR-7"/>
    <s v="62-304.520 (10), F.A.C."/>
    <n v="0.59"/>
    <n v="0.64"/>
    <s v="FDOT District 5"/>
    <n v="7.8966438190999997E-3"/>
    <n v="3742.4042608154"/>
    <n v="9.1530275365459008"/>
    <n v="1.54002286797537"/>
    <n v="7.2278198322519999E-2"/>
    <n v="1.216101206167E-2"/>
    <n v="29.552433474745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7.2278198322519999E-2"/>
    <n v="1.216101206167E-2"/>
    <n v="29.5524334747440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3.639009639790501"/>
    <n v="31.9565837547329"/>
    <n v="2.39679104E-2"/>
  </r>
  <r>
    <n v="830000"/>
    <n v="2400000"/>
    <n v="2400000"/>
    <x v="0"/>
    <x v="0"/>
    <s v="BR3-5, BR-7"/>
    <s v="62-304.520 (10), F.A.C."/>
    <n v="0.59"/>
    <n v="0.64"/>
    <s v="City of Cocoa Beach"/>
    <n v="2.6449251188189998E-2"/>
    <n v="3742.4042608154"/>
    <n v="9.1530275365459008"/>
    <n v="1.54002286797537"/>
    <n v="0.24209072444658999"/>
    <n v="4.0732451670649997E-2"/>
    <n v="98.983790342089094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4209072444658999"/>
    <n v="4.0732451670649997E-2"/>
    <n v="98.9837903420899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7.518407509419802"/>
    <n v="107.03632203863"/>
    <n v="8.0278824299999996E-2"/>
  </r>
  <r>
    <n v="830000"/>
    <n v="2400000"/>
    <n v="2400000"/>
    <x v="0"/>
    <x v="0"/>
    <s v="BR3-5, BR-7"/>
    <s v="62-304.520 (10), F.A.C."/>
    <n v="0.59"/>
    <n v="0.64"/>
    <s v="City of Cocoa Beach"/>
    <n v="1.0626921104949999E-2"/>
    <n v="3742.4042608154"/>
    <n v="9.1530275365459008"/>
    <n v="1.54002286797537"/>
    <n v="9.726850150237E-2"/>
    <n v="1.6365701517800001E-2"/>
    <n v="39.770234822540203"/>
    <n v="1210"/>
    <s v="Fixed Single Family Units"/>
    <n v="1210"/>
    <s v="City of Cocoa Beach           Brevard County"/>
    <s v="City of Cocoa Beach"/>
    <m/>
    <m/>
    <m/>
    <n v="0"/>
    <n v="1"/>
    <n v="9.726850150237E-2"/>
    <n v="1.6365701517800001E-2"/>
    <n v="39.7702348225391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3.578471694700099"/>
    <n v="43.005623923932198"/>
    <n v="3.2254853899999998E-2"/>
  </r>
  <r>
    <n v="830000"/>
    <n v="2400000"/>
    <n v="2400000"/>
    <x v="0"/>
    <x v="0"/>
    <s v="BR3-5, BR-7"/>
    <s v="62-304.520 (10), F.A.C."/>
    <n v="0.59"/>
    <n v="0.64"/>
    <s v="City of Cocoa Beach"/>
    <n v="4.653971653531E-2"/>
    <n v="3742.4042608154"/>
    <n v="9.1530275365459008"/>
    <n v="1.54002286797537"/>
    <n v="0.42597930699080999"/>
    <n v="7.1672227733480004E-2"/>
    <n v="174.17043345891901"/>
    <n v="1210"/>
    <s v="Fixed Single Family Units"/>
    <n v="1210"/>
    <s v="City of Cocoa Beach           Brevard County"/>
    <s v="City of Cocoa Beach"/>
    <m/>
    <m/>
    <m/>
    <n v="0"/>
    <n v="1"/>
    <n v="0.42597930699080999"/>
    <n v="7.1672227733480004E-2"/>
    <n v="174.17043345891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7.026315978833594"/>
    <n v="188.33955075762901"/>
    <n v="0.14125744809999999"/>
  </r>
  <r>
    <n v="830000"/>
    <n v="2400000"/>
    <n v="2400000"/>
    <x v="0"/>
    <x v="0"/>
    <s v="BR3-5, BR-7"/>
    <s v="62-304.520 (10), F.A.C."/>
    <n v="0.59"/>
    <n v="0.64"/>
    <s v="FDOT District 5"/>
    <n v="8.8782281026999999E-4"/>
    <n v="3742.4042608154"/>
    <n v="9.1530275365459008"/>
    <n v="1.54002286797537"/>
    <n v="8.1262666299800005E-3"/>
    <n v="1.36726743052E-3"/>
    <n v="3.32259186800729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8.1262666299800005E-3"/>
    <n v="1.36726743052E-3"/>
    <n v="3.322591868007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.838443858038101"/>
    <n v="3.5928914416991402"/>
    <n v="2.6947217E-3"/>
  </r>
  <r>
    <n v="830000"/>
    <n v="2400000"/>
    <n v="2400000"/>
    <x v="0"/>
    <x v="0"/>
    <s v="BR3-5, BR-7"/>
    <s v="62-304.520 (10), F.A.C."/>
    <n v="0.59"/>
    <n v="0.64"/>
    <s v="City of Cocoa Beach"/>
    <n v="0.10691680859701"/>
    <n v="3742.4042608154"/>
    <n v="9.1530275365459008"/>
    <n v="1.54002286797537"/>
    <n v="0.97861249320806998"/>
    <n v="0.16465433021034001"/>
    <n v="400.12592004624997"/>
    <n v="1210"/>
    <s v="Fixed Single Family Units"/>
    <n v="1210"/>
    <s v="City of Cocoa Beach           Brevard County"/>
    <s v="City of Cocoa Beach"/>
    <m/>
    <m/>
    <m/>
    <n v="0"/>
    <n v="1"/>
    <n v="0.97861249320806998"/>
    <n v="0.16465433021034001"/>
    <n v="400.12592004624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578954255011894"/>
    <n v="432.67697353333699"/>
    <n v="0.32451412819999997"/>
  </r>
  <r>
    <n v="830000"/>
    <n v="2400000"/>
    <n v="2400000"/>
    <x v="0"/>
    <x v="0"/>
    <s v="BR3-5, BR-7"/>
    <s v="62-304.520 (10), F.A.C."/>
    <n v="0.59"/>
    <n v="0.64"/>
    <s v="FDOT District 5"/>
    <n v="5.6235546036099999E-3"/>
    <n v="3742.4042608154"/>
    <n v="9.1530275365459008"/>
    <n v="1.54002286797537"/>
    <n v="5.1472550140119998E-2"/>
    <n v="8.6604026888599996E-3"/>
    <n v="21.045614709481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1472550140119998E-2"/>
    <n v="8.6604026888599996E-3"/>
    <n v="21.045614709481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2813345708105"/>
    <n v="22.757718064340001"/>
    <n v="1.7068625099999998E-2"/>
  </r>
  <r>
    <n v="830000"/>
    <n v="2400000"/>
    <n v="2400000"/>
    <x v="0"/>
    <x v="0"/>
    <s v="BR3-5, BR-7"/>
    <s v="62-304.520 (10), F.A.C."/>
    <n v="0.59"/>
    <n v="0.64"/>
    <s v="City of Cocoa Beach"/>
    <n v="6.5615971791370006E-2"/>
    <n v="3742.4042608154"/>
    <n v="9.1530275365459008"/>
    <n v="1.54002286797537"/>
    <n v="0.60058479664368003"/>
    <n v="0.10105009706314"/>
    <n v="245.56149240958899"/>
    <n v="1210"/>
    <s v="Fixed Single Family Units"/>
    <n v="1210"/>
    <s v="City of Cocoa Beach           Brevard County"/>
    <s v="City of Cocoa Beach"/>
    <m/>
    <m/>
    <m/>
    <n v="0"/>
    <n v="1"/>
    <n v="0.60058479664368003"/>
    <n v="0.10105009706314"/>
    <n v="245.56149240958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6.594134292149405"/>
    <n v="265.53841685594699"/>
    <n v="0.19915773919999999"/>
  </r>
  <r>
    <n v="830000"/>
    <n v="2400000"/>
    <n v="2400000"/>
    <x v="0"/>
    <x v="0"/>
    <s v="BR3-5, BR-7"/>
    <s v="62-304.520 (10), F.A.C."/>
    <n v="0.59"/>
    <n v="0.64"/>
    <s v="FDOT District 5"/>
    <n v="3.0054341548400002E-3"/>
    <n v="3742.4042608154"/>
    <n v="9.1530275365459008"/>
    <n v="1.54002286797537"/>
    <n v="2.750882157857E-2"/>
    <n v="4.6284373266499996E-3"/>
    <n v="11.2475495866919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750882157857E-2"/>
    <n v="4.6284373266499996E-3"/>
    <n v="11.247549586692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495185699826301"/>
    <n v="12.1625605116351"/>
    <n v="9.1221002000000002E-3"/>
  </r>
  <r>
    <n v="830000"/>
    <n v="2400000"/>
    <n v="2400000"/>
    <x v="0"/>
    <x v="0"/>
    <s v="BR3-5, BR-7"/>
    <s v="62-304.520 (10), F.A.C."/>
    <n v="0.59"/>
    <n v="0.64"/>
    <s v="City of Cocoa Beach"/>
    <n v="0.19577580423136001"/>
    <n v="3762.57766179901"/>
    <n v="10.820883609819401"/>
    <n v="2.0844528377257401"/>
    <n v="2.1184671912063999"/>
    <n v="0.40808543068810998"/>
    <n v="736.62166772167495"/>
    <n v="1300"/>
    <s v="Residential, High Density"/>
    <n v="1300"/>
    <s v="City of Cocoa Beach           Brevard County"/>
    <s v="City of Cocoa Beach"/>
    <m/>
    <m/>
    <m/>
    <n v="0"/>
    <n v="1"/>
    <n v="2.1184671912063999"/>
    <n v="0.40808543068810998"/>
    <n v="1021.9371493663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9.14662841116001"/>
    <n v="792.27657070422799"/>
    <n v="0.82882169449999998"/>
  </r>
  <r>
    <n v="830000"/>
    <n v="2400000"/>
    <n v="2400000"/>
    <x v="0"/>
    <x v="0"/>
    <s v="BR3-5, BR-7"/>
    <s v="62-304.520 (10), F.A.C."/>
    <n v="0.59"/>
    <n v="0.64"/>
    <s v="City of Cocoa Beach"/>
    <n v="0.15308314634267001"/>
    <n v="3762.57766179901"/>
    <n v="10.820883609819401"/>
    <n v="2.0844528377257401"/>
    <n v="1.6564949091990699"/>
    <n v="0.31909459880197999"/>
    <n v="575.987226826870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6564949091990699"/>
    <n v="0.31909459880197999"/>
    <n v="575.987226826870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720559694914"/>
    <n v="619.50551393806597"/>
    <n v="0.4671429252"/>
  </r>
  <r>
    <n v="830000"/>
    <n v="2400000"/>
    <n v="2400000"/>
    <x v="0"/>
    <x v="0"/>
    <s v="BR3-5, BR-7"/>
    <s v="62-304.520 (10), F.A.C."/>
    <n v="0.59"/>
    <n v="0.64"/>
    <s v="City of Cocoa Beach"/>
    <n v="0.14016869978536001"/>
    <n v="3762.57766179901"/>
    <n v="10.820883609819401"/>
    <n v="2.0844528377257401"/>
    <n v="1.5167491861171001"/>
    <n v="0.29217504402791999"/>
    <n v="527.395618695808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5167491861171001"/>
    <n v="0.29217504402791999"/>
    <n v="527.395618695808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367289284503"/>
    <n v="567.24260294584201"/>
    <n v="0.42773367289999997"/>
  </r>
  <r>
    <n v="830000"/>
    <n v="2400000"/>
    <n v="2400000"/>
    <x v="0"/>
    <x v="0"/>
    <s v="BR3-5, BR-7"/>
    <s v="62-304.520 (10), F.A.C."/>
    <n v="0.59"/>
    <n v="0.64"/>
    <s v="City of Cocoa Beach"/>
    <n v="3.7077791022230001E-2"/>
    <n v="3762.57766179901"/>
    <n v="10.820883609819401"/>
    <n v="2.0844528377257401"/>
    <n v="0.40121446116080001"/>
    <n v="7.7286906712889999E-2"/>
    <n v="139.508068249108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40121446116080001"/>
    <n v="7.7286906712889999E-2"/>
    <n v="139.50806824910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3.324548177134503"/>
    <n v="150.048496726732"/>
    <n v="0.1131452297"/>
  </r>
  <r>
    <n v="830000"/>
    <n v="2400000"/>
    <n v="2400000"/>
    <x v="0"/>
    <x v="0"/>
    <s v="BR3-5, BR-7"/>
    <s v="62-304.520 (10), F.A.C."/>
    <n v="0.59"/>
    <n v="0.64"/>
    <s v="City of Cocoa Beach"/>
    <n v="1.5828220195970001E-2"/>
    <n v="3762.57766179901"/>
    <n v="10.820883609819401"/>
    <n v="2.0844528377257401"/>
    <n v="0.17127532849122001"/>
    <n v="3.2993178503640003E-2"/>
    <n v="59.5549077354078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7127532849122001"/>
    <n v="3.2993178503640003E-2"/>
    <n v="59.554907735408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4.6627364685665"/>
    <n v="64.054534555239101"/>
    <n v="4.83008173E-2"/>
  </r>
  <r>
    <n v="830000"/>
    <n v="2400000"/>
    <n v="2400000"/>
    <x v="0"/>
    <x v="0"/>
    <s v="BR3-5, BR-7"/>
    <s v="62-304.520 (10), F.A.C."/>
    <n v="0.59"/>
    <n v="0.64"/>
    <s v="City of Cocoa Beach"/>
    <n v="8.2231655558110003E-2"/>
    <n v="3769.01908054044"/>
    <n v="8.9315846147739304"/>
    <n v="1.4813569171929"/>
    <n v="0.73445898963027001"/>
    <n v="0.12181443177324"/>
    <n v="309.93267882297602"/>
    <n v="1100"/>
    <s v="Residential, Low Density-Less than two dwelling units/acre"/>
    <n v="1100"/>
    <s v="City of Cocoa Beach           Brevard County"/>
    <s v="City of Cocoa Beach"/>
    <m/>
    <m/>
    <m/>
    <n v="0"/>
    <n v="1"/>
    <n v="0.73445898963027001"/>
    <n v="0.12181443177324"/>
    <n v="309.93267882297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33570594028301"/>
    <n v="332.77970341995302"/>
    <n v="0.25136470300000002"/>
  </r>
  <r>
    <n v="830000"/>
    <n v="2400000"/>
    <n v="2400000"/>
    <x v="0"/>
    <x v="0"/>
    <s v="BR3-5, BR-7"/>
    <s v="62-304.520 (10), F.A.C."/>
    <n v="0.59"/>
    <n v="0.64"/>
    <s v="City of Cocoa Beach"/>
    <n v="1.3321577142999999E-4"/>
    <n v="3769.01908054044"/>
    <n v="8.9315846147739304"/>
    <n v="1.4813569171929"/>
    <n v="1.18982793463E-3"/>
    <n v="1.9734010449999999E-4"/>
    <n v="0.50209278438250005"/>
    <n v="1200"/>
    <s v="Residential, Medium Density-Two-five dwellingunits per acre"/>
    <n v="1200"/>
    <s v="City of Cocoa Beach           Brevard County"/>
    <s v="City of Cocoa Beach"/>
    <m/>
    <m/>
    <m/>
    <n v="0"/>
    <n v="1"/>
    <n v="1.18982793463E-3"/>
    <n v="1.9734010449999999E-4"/>
    <n v="0.50209278438259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.0251712473338"/>
    <n v="0.53910510021298996"/>
    <n v="4.072123E-4"/>
  </r>
  <r>
    <n v="830000"/>
    <n v="2400000"/>
    <n v="2400000"/>
    <x v="0"/>
    <x v="0"/>
    <s v="BR3-5, BR-7"/>
    <s v="62-304.520 (10), F.A.C."/>
    <n v="0.59"/>
    <n v="0.64"/>
    <s v="City of Cocoa Beach"/>
    <n v="0.15263085673450999"/>
    <n v="3769.01908054044"/>
    <n v="8.9315846147739304"/>
    <n v="1.4813569171929"/>
    <n v="1.3632354117497201"/>
    <n v="0.22610077540074"/>
    <n v="575.26861131160695"/>
    <n v="1300"/>
    <s v="Residential, High Density"/>
    <n v="1300"/>
    <s v="City of Cocoa Beach           Brevard County"/>
    <s v="City of Cocoa Beach"/>
    <m/>
    <m/>
    <m/>
    <n v="0"/>
    <n v="1"/>
    <n v="1.3632354117497201"/>
    <n v="0.22610077540074"/>
    <n v="575.268611311606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5.773175114563"/>
    <n v="617.675162832468"/>
    <n v="0.46656010650000002"/>
  </r>
  <r>
    <n v="830000"/>
    <n v="2400000"/>
    <n v="2400000"/>
    <x v="0"/>
    <x v="0"/>
    <s v="BR3-5, BR-7"/>
    <s v="62-304.520 (10), F.A.C."/>
    <n v="0.59"/>
    <n v="0.64"/>
    <s v="FDOT District 5"/>
    <n v="2.2567602336820002E-2"/>
    <n v="3769.01908054044"/>
    <n v="8.9315846147739304"/>
    <n v="1.4813569171929"/>
    <n v="0.20156444982395"/>
    <n v="3.343067382612E-2"/>
    <n v="85.0577238095576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0156444982395"/>
    <n v="3.343067382612E-2"/>
    <n v="85.057723809557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825618022051"/>
    <n v="91.327846454966206"/>
    <n v="6.8984366399999997E-2"/>
  </r>
  <r>
    <n v="830000"/>
    <n v="2400000"/>
    <n v="2400000"/>
    <x v="0"/>
    <x v="0"/>
    <s v="BR3-5, BR-7"/>
    <s v="62-304.520 (10), F.A.C."/>
    <n v="0.59"/>
    <n v="0.64"/>
    <s v="City of Cocoa Beach"/>
    <n v="2.5736027873999998E-4"/>
    <n v="3769.01908054044"/>
    <n v="8.9315846147739304"/>
    <n v="1.4813569171929"/>
    <n v="2.29863510606E-3"/>
    <n v="3.8124242912000001E-4"/>
    <n v="0.96999580115179995"/>
    <n v="1210"/>
    <s v="Fixed Single Family Units"/>
    <n v="1210"/>
    <s v="City of Cocoa Beach           Brevard County"/>
    <s v="City of Cocoa Beach"/>
    <m/>
    <m/>
    <m/>
    <n v="0"/>
    <n v="1"/>
    <n v="2.29863510606E-3"/>
    <n v="3.8124242912000001E-4"/>
    <n v="0.96999580115260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.1114383725045398"/>
    <n v="1.0415000968985799"/>
    <n v="7.8669570000000004E-4"/>
  </r>
  <r>
    <n v="830000"/>
    <n v="2400000"/>
    <n v="2400000"/>
    <x v="0"/>
    <x v="0"/>
    <s v="BR3-5, BR-7"/>
    <s v="62-304.520 (10), F.A.C."/>
    <n v="0.59"/>
    <n v="0.64"/>
    <s v="City of Cocoa Beach"/>
    <n v="1.415058176709E-2"/>
    <n v="3769.01908054044"/>
    <n v="8.9315846147739304"/>
    <n v="1.4813569171929"/>
    <n v="0.12638711840111"/>
    <n v="2.0962062182990002E-2"/>
    <n v="53.333812680940099"/>
    <n v="1210"/>
    <s v="Fixed Single Family Units"/>
    <n v="1210"/>
    <s v="City of Cocoa Beach           Brevard County"/>
    <s v="City of Cocoa Beach"/>
    <m/>
    <m/>
    <m/>
    <n v="0"/>
    <n v="1"/>
    <n v="0.12638711840111"/>
    <n v="2.0962062182990002E-2"/>
    <n v="53.3338126809393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3.203273540092802"/>
    <n v="57.265372704876"/>
    <n v="4.3255322499999999E-2"/>
  </r>
  <r>
    <n v="830000"/>
    <n v="2400000"/>
    <n v="2400000"/>
    <x v="0"/>
    <x v="0"/>
    <s v="BR3-5, BR-7"/>
    <s v="62-304.520 (10), F.A.C."/>
    <n v="0.59"/>
    <n v="0.64"/>
    <s v="City of Cocoa Beach"/>
    <n v="1.409059328503E-2"/>
    <n v="3769.01908054044"/>
    <n v="8.9315846147739304"/>
    <n v="1.4813569171929"/>
    <n v="0.12585132619761"/>
    <n v="2.0873197830129999E-2"/>
    <n v="53.107714947413101"/>
    <n v="1210"/>
    <s v="Fixed Single Family Units"/>
    <n v="1210"/>
    <s v="City of Cocoa Beach           Brevard County"/>
    <s v="City of Cocoa Beach"/>
    <m/>
    <m/>
    <m/>
    <n v="0"/>
    <n v="1"/>
    <n v="0.12585132619761"/>
    <n v="2.0873197830129999E-2"/>
    <n v="53.1077149474142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4.293308767078699"/>
    <n v="57.022607930951096"/>
    <n v="4.3071950499999997E-2"/>
  </r>
  <r>
    <n v="830000"/>
    <n v="2400000"/>
    <n v="2400000"/>
    <x v="0"/>
    <x v="0"/>
    <s v="BR3-5, BR-7"/>
    <s v="62-304.520 (10), F.A.C."/>
    <n v="0.59"/>
    <n v="0.64"/>
    <s v="City of Cocoa Beach"/>
    <n v="0.1900911713075"/>
    <n v="3769.01908054044"/>
    <n v="8.9315846147739304"/>
    <n v="1.4813569171929"/>
    <n v="1.6978153810544201"/>
    <n v="0.28159287151366003"/>
    <n v="716.45725170025003"/>
    <n v="1300"/>
    <s v="Residential, High Density"/>
    <n v="1300"/>
    <s v="City of Cocoa Beach           Brevard County"/>
    <s v="City of Cocoa Beach"/>
    <m/>
    <m/>
    <m/>
    <n v="0"/>
    <n v="1"/>
    <n v="1.6978153810544201"/>
    <n v="0.28159287151366003"/>
    <n v="716.457251700250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1.002352442356"/>
    <n v="769.27167744729604"/>
    <n v="0.58106833069999997"/>
  </r>
  <r>
    <n v="830000"/>
    <n v="2400000"/>
    <n v="2400000"/>
    <x v="0"/>
    <x v="0"/>
    <s v="BR3-5, BR-7"/>
    <s v="62-304.520 (10), F.A.C."/>
    <n v="0.59"/>
    <n v="0.64"/>
    <s v="City of Cocoa Beach"/>
    <n v="0.13915105638583999"/>
    <n v="3769.01908054044"/>
    <n v="8.9315846147739304"/>
    <n v="1.4813569171929"/>
    <n v="1.2428394343453799"/>
    <n v="0.20613237991187"/>
    <n v="524.46298659562399"/>
    <n v="1300"/>
    <s v="Residential, High Density"/>
    <n v="1300"/>
    <s v="City of Cocoa Beach           Brevard County"/>
    <s v="City of Cocoa Beach"/>
    <m/>
    <m/>
    <m/>
    <n v="0"/>
    <n v="1"/>
    <n v="1.2428394343453799"/>
    <n v="0.20613237991187"/>
    <n v="524.46298659562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5.256744256465495"/>
    <n v="563.124346218818"/>
    <n v="0.4253552203"/>
  </r>
  <r>
    <n v="830000"/>
    <n v="2400000"/>
    <n v="2400000"/>
    <x v="0"/>
    <x v="0"/>
    <s v="BR3-5, BR-7"/>
    <s v="62-304.520 (10), F.A.C."/>
    <n v="0.59"/>
    <n v="0.64"/>
    <s v="FDOT District 5"/>
    <n v="1.087555628089E-2"/>
    <n v="3714.1594658059598"/>
    <n v="9.4121385820760093"/>
    <n v="1.4375863058256499"/>
    <n v="0.10236224287293"/>
    <n v="1.5634550777640002E-2"/>
    <n v="40.393550306584203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10236224287293"/>
    <n v="1.5634550777640002E-2"/>
    <n v="40.3935503065852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4.452674076381001"/>
    <n v="44.011814782505702"/>
    <n v="3.2760381399999997E-2"/>
  </r>
  <r>
    <n v="830000"/>
    <n v="2400000"/>
    <n v="2400000"/>
    <x v="0"/>
    <x v="0"/>
    <s v="BR3-5, BR-7"/>
    <s v="62-304.520 (10), F.A.C."/>
    <n v="0.59"/>
    <n v="0.64"/>
    <s v="City of Cocoa Beach"/>
    <n v="1.774622563258E-2"/>
    <n v="3714.1594658059598"/>
    <n v="9.4121385820760093"/>
    <n v="1.4375863058256499"/>
    <n v="0.16702993496271001"/>
    <n v="2.5511730949499999E-2"/>
    <n v="65.912311915608797"/>
    <n v="1210"/>
    <s v="Fixed Single Family Units"/>
    <n v="1210"/>
    <s v="City of Cocoa Beach           Brevard County"/>
    <s v="City of Cocoa Beach"/>
    <m/>
    <m/>
    <m/>
    <n v="0"/>
    <n v="1"/>
    <n v="0.16702993496271001"/>
    <n v="2.5511730949499999E-2"/>
    <n v="65.9123119156099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9.632330543484201"/>
    <n v="71.816427174603504"/>
    <n v="5.3456862899999999E-2"/>
  </r>
  <r>
    <n v="830000"/>
    <n v="2400000"/>
    <n v="2400000"/>
    <x v="0"/>
    <x v="0"/>
    <s v="BR3-5, BR-7"/>
    <s v="62-304.520 (10), F.A.C."/>
    <n v="0.59"/>
    <n v="0.64"/>
    <s v="FDOT District 5"/>
    <n v="2.4231699589999999E-6"/>
    <n v="3714.1594658059598"/>
    <n v="9.4121385820760093"/>
    <n v="1.4375863058256499"/>
    <n v="2.280721146E-5"/>
    <n v="3.483515949747E-6"/>
    <n v="9.0000396404699996E-3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280721146E-5"/>
    <n v="3.483515949747E-6"/>
    <n v="9.0000396388399996E-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0.41950862883537998"/>
    <n v="9.8062209093599997E-3"/>
    <n v="7.2993022000000001E-6"/>
  </r>
  <r>
    <n v="830000"/>
    <n v="2400000"/>
    <n v="2400000"/>
    <x v="0"/>
    <x v="0"/>
    <s v="BR3-5, BR-7"/>
    <s v="62-304.520 (10), F.A.C."/>
    <n v="0.59"/>
    <n v="0.64"/>
    <s v="City of Cocoa Beach"/>
    <n v="0.16395369819044001"/>
    <n v="3714.1594658059598"/>
    <n v="9.4121385820760093"/>
    <n v="1.4375863058256499"/>
    <n v="1.5431549284122801"/>
    <n v="0.23569759130803999"/>
    <n v="608.95018008791601"/>
    <n v="1210"/>
    <s v="Fixed Single Family Units"/>
    <n v="1210"/>
    <s v="City of Cocoa Beach           Brevard County"/>
    <s v="City of Cocoa Beach"/>
    <m/>
    <m/>
    <m/>
    <n v="0"/>
    <n v="1"/>
    <n v="1.5431549284122801"/>
    <n v="0.23569759130803999"/>
    <n v="608.95018008791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7.391670429911"/>
    <n v="663.49707649821403"/>
    <n v="0.49387686949999998"/>
  </r>
  <r>
    <n v="830000"/>
    <n v="2400000"/>
    <n v="2400000"/>
    <x v="0"/>
    <x v="0"/>
    <s v="BR3-5, BR-7"/>
    <s v="62-304.520 (10), F.A.C."/>
    <n v="0.59"/>
    <n v="0.64"/>
    <s v="FDOT District 5"/>
    <n v="5.2352916855999995E-4"/>
    <n v="3714.1594658059598"/>
    <n v="9.4121385820760093"/>
    <n v="1.4375863058256499"/>
    <n v="4.9275290862799996E-3"/>
    <n v="7.5261836341999997E-4"/>
    <n v="1.9444708170475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4.9275290862799996E-3"/>
    <n v="7.5261836341999997E-4"/>
    <n v="1.9444708170484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0.882666633364899"/>
    <n v="2.1186473781179398"/>
    <n v="1.5770242000000001E-3"/>
  </r>
  <r>
    <n v="830000"/>
    <n v="2400000"/>
    <n v="2400000"/>
    <x v="0"/>
    <x v="0"/>
    <s v="BR3-5, BR-7"/>
    <s v="62-304.520 (10), F.A.C."/>
    <n v="0.59"/>
    <n v="0.64"/>
    <s v="City of Cocoa Beach"/>
    <n v="0.15848827082943001"/>
    <n v="3714.1594658059598"/>
    <n v="9.4121385820760093"/>
    <n v="1.4375863058256499"/>
    <n v="1.4917135686802101"/>
    <n v="0.22784056777837999"/>
    <n v="588.650711320357"/>
    <n v="1210"/>
    <s v="Fixed Single Family Units"/>
    <n v="1210"/>
    <s v="City of Cocoa Beach           Brevard County"/>
    <s v="City of Cocoa Beach"/>
    <m/>
    <m/>
    <m/>
    <n v="0"/>
    <n v="1"/>
    <n v="1.4917135686802101"/>
    <n v="0.22784056777837999"/>
    <n v="588.65071132035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6.76543737612"/>
    <n v="641.37927668116095"/>
    <n v="0.47741339119999998"/>
  </r>
  <r>
    <n v="830000"/>
    <n v="2400000"/>
    <n v="2400000"/>
    <x v="0"/>
    <x v="0"/>
    <s v="BR3-5, BR-7"/>
    <s v="62-304.520 (10), F.A.C."/>
    <n v="0.59"/>
    <n v="0.64"/>
    <s v="FDOT District 5"/>
    <n v="5.2409162873E-4"/>
    <n v="3714.1594658059598"/>
    <n v="9.4121385820760093"/>
    <n v="1.4375863058256499"/>
    <n v="4.9328230393199998E-3"/>
    <n v="7.5342694845999996E-4"/>
    <n v="1.94655988380089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4.9328230393199998E-3"/>
    <n v="7.5342694845999996E-4"/>
    <n v="1.946559883800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638468666600101"/>
    <n v="2.1209235736560101"/>
    <n v="1.5787185E-3"/>
  </r>
  <r>
    <n v="830000"/>
    <n v="2400000"/>
    <n v="2400000"/>
    <x v="0"/>
    <x v="0"/>
    <s v="BR3-5, BR-7"/>
    <s v="62-304.520 (10), F.A.C."/>
    <n v="0.59"/>
    <n v="0.64"/>
    <s v="City of Cocoa Beach"/>
    <n v="0.16794444803947001"/>
    <n v="3714.1594658059598"/>
    <n v="9.4121385820760093"/>
    <n v="1.4375863058256499"/>
    <n v="1.58071641903783"/>
    <n v="0.24143463864100001"/>
    <n v="623.77246141538501"/>
    <n v="1210"/>
    <s v="Fixed Single Family Units"/>
    <n v="1210"/>
    <s v="City of Cocoa Beach           Brevard County"/>
    <s v="City of Cocoa Beach"/>
    <m/>
    <m/>
    <m/>
    <n v="0"/>
    <n v="1"/>
    <n v="1.58071641903783"/>
    <n v="0.24143463864100001"/>
    <n v="623.77246141538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8.14729177877599"/>
    <n v="679.647068154983"/>
    <n v="0.50589818440000001"/>
  </r>
  <r>
    <n v="830000"/>
    <n v="2400000"/>
    <n v="2400000"/>
    <x v="0"/>
    <x v="0"/>
    <s v="BR3-5, BR-7"/>
    <s v="62-304.520 (10), F.A.C."/>
    <n v="0.59"/>
    <n v="0.64"/>
    <s v="FDOT District 5"/>
    <n v="2.5365484470000002E-4"/>
    <n v="3714.1594658059598"/>
    <n v="9.4121385820760093"/>
    <n v="1.4375863058256499"/>
    <n v="2.3874345503600001E-3"/>
    <n v="3.6465073114999997E-4"/>
    <n v="0.942114542504900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3874345503600001E-3"/>
    <n v="3.6465073114999997E-4"/>
    <n v="0.942114542503709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.575606849682998"/>
    <n v="1.02650473736196"/>
    <n v="7.640832E-4"/>
  </r>
  <r>
    <n v="830000"/>
    <n v="2400000"/>
    <n v="2400000"/>
    <x v="0"/>
    <x v="0"/>
    <s v="BR3-5, BR-7"/>
    <s v="62-304.520 (10), F.A.C."/>
    <n v="0.59"/>
    <n v="0.64"/>
    <s v="City of Cocoa Beach"/>
    <n v="4.4244010695000002E-2"/>
    <n v="3714.1594658059598"/>
    <n v="9.4121385820760093"/>
    <n v="1.4375863058256499"/>
    <n v="0.41643076008823998"/>
    <n v="6.3604583889940003E-2"/>
    <n v="164.32931112807299"/>
    <n v="1300"/>
    <s v="Residential, High Density"/>
    <n v="1300"/>
    <s v="City of Cocoa Beach           Brevard County"/>
    <s v="City of Cocoa Beach"/>
    <m/>
    <m/>
    <m/>
    <n v="0"/>
    <n v="1"/>
    <n v="0.41643076008823998"/>
    <n v="6.3604583889940003E-2"/>
    <n v="164.32931112807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2.3667830168542"/>
    <n v="179.04915883381599"/>
    <n v="0.13327600249999999"/>
  </r>
  <r>
    <n v="830000"/>
    <n v="2400000"/>
    <n v="2400000"/>
    <x v="0"/>
    <x v="0"/>
    <s v="BR3-5, BR-7"/>
    <s v="62-304.520 (10), F.A.C."/>
    <n v="0.59"/>
    <n v="0.64"/>
    <s v="City of Cocoa Beach"/>
    <n v="3.0521940777539999E-2"/>
    <n v="3714.1594658059598"/>
    <n v="9.4121385820760093"/>
    <n v="1.4375863058256499"/>
    <n v="0.28727673639213003"/>
    <n v="4.3877924089009999E-2"/>
    <n v="113.363355253672"/>
    <n v="1210"/>
    <s v="Fixed Single Family Units"/>
    <n v="1210"/>
    <s v="City of Cocoa Beach           Brevard County"/>
    <s v="City of Cocoa Beach"/>
    <m/>
    <m/>
    <m/>
    <n v="0"/>
    <n v="1"/>
    <n v="0.28727673639213003"/>
    <n v="4.3877924089009999E-2"/>
    <n v="113.36335525367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2.015726509066297"/>
    <n v="123.517912059704"/>
    <n v="9.1941082899999999E-2"/>
  </r>
  <r>
    <n v="830000"/>
    <n v="2400000"/>
    <n v="2400000"/>
    <x v="0"/>
    <x v="0"/>
    <s v="BR3-5, BR-7"/>
    <s v="62-304.520 (10), F.A.C."/>
    <n v="0.59"/>
    <n v="0.64"/>
    <s v="City of Cocoa Beach"/>
    <n v="1.8642069494900001E-3"/>
    <n v="3714.1594658059598"/>
    <n v="9.4121385820760093"/>
    <n v="1.4375863058256499"/>
    <n v="1.754617415434E-2"/>
    <n v="2.6799583818200002E-3"/>
    <n v="6.9239618876992504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754617415434E-2"/>
    <n v="2.6799583818200002E-3"/>
    <n v="6.9239618876984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.026245051374801"/>
    <n v="7.5441778662577903"/>
    <n v="5.6155409000000003E-3"/>
  </r>
  <r>
    <n v="830000"/>
    <n v="2400000"/>
    <n v="2400000"/>
    <x v="0"/>
    <x v="0"/>
    <s v="BR3-5, BR-7"/>
    <s v="62-304.520 (10), F.A.C."/>
    <n v="0.59"/>
    <n v="0.64"/>
    <s v="City of Cocoa Beach"/>
    <n v="2.0821397530109999E-2"/>
    <n v="3714.1594658059598"/>
    <n v="9.4121385820760093"/>
    <n v="1.4375863058256499"/>
    <n v="0.19597387902596999"/>
    <n v="2.9932555957450001E-2"/>
    <n v="77.333990727800298"/>
    <n v="1300"/>
    <s v="Residential, High Density"/>
    <n v="1300"/>
    <s v="City of Cocoa Beach           Brevard County"/>
    <s v="City of Cocoa Beach"/>
    <m/>
    <m/>
    <m/>
    <n v="0"/>
    <n v="1"/>
    <n v="0.19597387902596999"/>
    <n v="2.9932555957450001E-2"/>
    <n v="77.3339907277989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336630153751301"/>
    <n v="84.261206318104101"/>
    <n v="6.2720187100000005E-2"/>
  </r>
  <r>
    <n v="830000"/>
    <n v="2400000"/>
    <n v="2400000"/>
    <x v="0"/>
    <x v="0"/>
    <s v="BR3-5, BR-7"/>
    <s v="62-304.520 (10), F.A.C."/>
    <n v="0.59"/>
    <n v="0.64"/>
    <s v="City of Cocoa Beach"/>
    <n v="0.37580476032468002"/>
    <n v="3779.8564071375999"/>
    <n v="11.612850411479"/>
    <n v="1.5331968048401501"/>
    <n v="4.3641644655723297"/>
    <n v="0.57618265777352995"/>
    <n v="1420.4880311460699"/>
    <n v="1400"/>
    <s v="Commercial and Services"/>
    <n v="1400"/>
    <s v="City of Cocoa Beach           Brevard County"/>
    <s v="City of Cocoa Beach"/>
    <m/>
    <m/>
    <m/>
    <n v="0"/>
    <n v="1"/>
    <n v="4.3641644655723297"/>
    <n v="0.57618265777352995"/>
    <n v="1479.8502185596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7.120698648087"/>
    <n v="1520.82790788844"/>
    <n v="1.2002029348000001"/>
  </r>
  <r>
    <n v="830000"/>
    <n v="2400000"/>
    <n v="2400000"/>
    <x v="0"/>
    <x v="0"/>
    <s v="BR3-5, BR-7"/>
    <s v="62-304.520 (10), F.A.C."/>
    <n v="0.59"/>
    <n v="0.64"/>
    <s v="City of Cocoa Beach"/>
    <n v="0.15588940902555001"/>
    <n v="3779.8564071375999"/>
    <n v="11.612850411479"/>
    <n v="1.5331968048401501"/>
    <n v="1.8103203877476599"/>
    <n v="0.23900914382640001"/>
    <n v="589.23958151014199"/>
    <n v="1410"/>
    <s v="Retail Sales and Services"/>
    <n v="1410"/>
    <s v="City of Cocoa Beach           Brevard County"/>
    <s v="City of Cocoa Beach"/>
    <m/>
    <m/>
    <m/>
    <n v="0"/>
    <n v="1"/>
    <n v="1.8103203877476599"/>
    <n v="0.23900914382640001"/>
    <n v="604.272814716901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586070347174"/>
    <n v="630.86205609921296"/>
    <n v="0.49008338579999999"/>
  </r>
  <r>
    <n v="830000"/>
    <n v="2400000"/>
    <n v="2400000"/>
    <x v="0"/>
    <x v="0"/>
    <s v="BR3-5, BR-7"/>
    <s v="62-304.520 (10), F.A.C."/>
    <n v="0.59"/>
    <n v="0.64"/>
    <s v="City of Cocoa Beach"/>
    <n v="1.4591195517499999E-3"/>
    <n v="3779.8564071375999"/>
    <n v="11.612850411479"/>
    <n v="1.5331968048401501"/>
    <n v="1.6944537086979999E-2"/>
    <n v="2.23711743462E-3"/>
    <n v="5.5152623864771"/>
    <n v="1410"/>
    <s v="Retail Sales and Services"/>
    <n v="1410"/>
    <s v="City of Cocoa Beach           Brevard County"/>
    <s v="City of Cocoa Beach"/>
    <m/>
    <m/>
    <m/>
    <n v="0"/>
    <n v="1"/>
    <n v="1.6944537086979999E-2"/>
    <n v="2.23711743462E-3"/>
    <n v="250.93411473059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992941467237099"/>
    <n v="5.9048473290646797"/>
    <n v="0.20351509709999999"/>
  </r>
  <r>
    <n v="830000"/>
    <n v="2400000"/>
    <n v="2400000"/>
    <x v="0"/>
    <x v="0"/>
    <s v="BR3-5, BR-7"/>
    <s v="62-304.520 (10), F.A.C."/>
    <n v="0.59"/>
    <n v="0.64"/>
    <s v="City of Cocoa Beach"/>
    <n v="0.15565095874686999"/>
    <n v="3736.94816103828"/>
    <n v="10.098542592112301"/>
    <n v="1.7091048500630299"/>
    <n v="1.5718478364084201"/>
    <n v="0.26602380851124002"/>
    <n v="581.65956405297698"/>
    <n v="1200"/>
    <s v="Residential, Medium Density-Two-five dwellingunits per acre"/>
    <n v="1200"/>
    <s v="City of Cocoa Beach           Brevard County"/>
    <s v="City of Cocoa Beach"/>
    <m/>
    <m/>
    <m/>
    <n v="0"/>
    <n v="1"/>
    <n v="1.5718478364084201"/>
    <n v="0.26602380851124002"/>
    <n v="581.659564052976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5.184580112969"/>
    <n v="629.89708205750605"/>
    <n v="0.47174336100000003"/>
  </r>
  <r>
    <n v="830000"/>
    <n v="2400000"/>
    <n v="2400000"/>
    <x v="0"/>
    <x v="0"/>
    <s v="BR3-5, BR-7"/>
    <s v="62-304.520 (10), F.A.C."/>
    <n v="0.59"/>
    <n v="0.64"/>
    <s v="City of Cocoa Beach"/>
    <n v="1.819835459655E-2"/>
    <n v="3736.94816103828"/>
    <n v="10.098542592112301"/>
    <n v="1.7091048500630299"/>
    <n v="0.18377685899969001"/>
    <n v="3.110289610414E-2"/>
    <n v="68.006307743526307"/>
    <n v="1400"/>
    <s v="Commercial and Services"/>
    <n v="1400"/>
    <s v="City of Cocoa Beach           Brevard County"/>
    <s v="City of Cocoa Beach"/>
    <m/>
    <m/>
    <m/>
    <n v="0"/>
    <n v="1"/>
    <n v="0.18377685899969001"/>
    <n v="3.110289610414E-2"/>
    <n v="68.0063077435281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4.855063420948099"/>
    <n v="73.646128176191098"/>
    <n v="5.5155156300000001E-2"/>
  </r>
  <r>
    <n v="830000"/>
    <n v="2400000"/>
    <n v="2400000"/>
    <x v="0"/>
    <x v="0"/>
    <s v="BR3-5, BR-7"/>
    <s v="62-304.520 (10), F.A.C."/>
    <n v="0.59"/>
    <n v="0.64"/>
    <s v="FDOT District 5"/>
    <n v="4.3699530522000002E-4"/>
    <n v="3736.94816103828"/>
    <n v="10.098542592112301"/>
    <n v="1.7091048500630299"/>
    <n v="4.41301570237E-3"/>
    <n v="7.4687079561000004E-4"/>
    <n v="1.63302880224665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4.41301570237E-3"/>
    <n v="7.4687079561000004E-4"/>
    <n v="1.6330288022476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.477276532696701"/>
    <n v="1.76845725751356"/>
    <n v="1.3244354E-3"/>
  </r>
  <r>
    <n v="830000"/>
    <n v="2400000"/>
    <n v="2400000"/>
    <x v="0"/>
    <x v="0"/>
    <s v="BR3-5, BR-7"/>
    <s v="62-304.520 (10), F.A.C."/>
    <n v="0.59"/>
    <n v="0.64"/>
    <s v="City of Cocoa Beach"/>
    <n v="0.11664775082683999"/>
    <n v="3736.94816103828"/>
    <n v="10.098542592112301"/>
    <n v="1.7091048500630299"/>
    <n v="1.17797227999899"/>
    <n v="0.19936323668709999"/>
    <n v="435.90659794162701"/>
    <n v="1300"/>
    <s v="Residential, High Density"/>
    <n v="1300"/>
    <s v="City of Cocoa Beach           Brevard County"/>
    <s v="City of Cocoa Beach"/>
    <m/>
    <m/>
    <m/>
    <n v="0"/>
    <n v="1"/>
    <n v="1.17797227999899"/>
    <n v="0.19936323668709999"/>
    <n v="435.90659794162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18.78314705582201"/>
    <n v="472.05669959212997"/>
    <n v="0.35353333170000001"/>
  </r>
  <r>
    <n v="830000"/>
    <n v="2400000"/>
    <n v="2400000"/>
    <x v="0"/>
    <x v="0"/>
    <s v="BR3-5, BR-7"/>
    <s v="62-304.520 (10), F.A.C."/>
    <n v="0.59"/>
    <n v="0.64"/>
    <s v="FDOT District 5"/>
    <n v="3.7897756828399998E-3"/>
    <n v="3736.94816103828"/>
    <n v="10.098542592112301"/>
    <n v="1.7091048500630299"/>
    <n v="3.8271211147800001E-2"/>
    <n v="6.4771240001999996E-3"/>
    <n v="14.16219526877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8271211147800001E-2"/>
    <n v="6.4771240001999996E-3"/>
    <n v="14.162195268771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0.960980362591897"/>
    <n v="15.3366780615941"/>
    <n v="1.14859653E-2"/>
  </r>
  <r>
    <n v="830000"/>
    <n v="2400000"/>
    <n v="2400000"/>
    <x v="0"/>
    <x v="0"/>
    <s v="BR3-5, BR-7"/>
    <s v="62-304.520 (10), F.A.C."/>
    <n v="0.59"/>
    <n v="0.64"/>
    <s v="City of Cocoa Beach"/>
    <n v="6.2584696586709995E-2"/>
    <n v="3736.94816103828"/>
    <n v="10.098542592112301"/>
    <n v="1.7091048500630299"/>
    <n v="0.63201422409537"/>
    <n v="0.10696380847608"/>
    <n v="233.87576681886699"/>
    <n v="1300"/>
    <s v="Residential, High Density"/>
    <n v="1300"/>
    <s v="City of Cocoa Beach           Brevard County"/>
    <s v="City of Cocoa Beach"/>
    <m/>
    <m/>
    <m/>
    <n v="0"/>
    <n v="1"/>
    <n v="0.63201422409537"/>
    <n v="0.10696380847608"/>
    <n v="233.87576681886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586124036120907"/>
    <n v="253.27128132590701"/>
    <n v="0.1896802651"/>
  </r>
  <r>
    <n v="830000"/>
    <n v="2400000"/>
    <n v="2400000"/>
    <x v="0"/>
    <x v="0"/>
    <s v="BR3-5, BR-7"/>
    <s v="62-304.520 (10), F.A.C."/>
    <n v="0.59"/>
    <n v="0.64"/>
    <s v="City of Cocoa Beach"/>
    <n v="3.0825076423989999E-2"/>
    <n v="3736.94816103828"/>
    <n v="10.098542592112301"/>
    <n v="1.7091048500630299"/>
    <n v="0.31128834717281001"/>
    <n v="5.2683287619809997E-2"/>
    <n v="115.191712656505"/>
    <n v="1210"/>
    <s v="Fixed Single Family Units"/>
    <n v="1210"/>
    <s v="City of Cocoa Beach           Brevard County"/>
    <s v="City of Cocoa Beach"/>
    <m/>
    <m/>
    <m/>
    <n v="0"/>
    <n v="1"/>
    <n v="0.31128834717281001"/>
    <n v="5.2683287619809997E-2"/>
    <n v="115.1917126565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7.175098307221702"/>
    <n v="124.74465849740599"/>
    <n v="9.3423935700000002E-2"/>
  </r>
  <r>
    <n v="830000"/>
    <n v="2400000"/>
    <n v="2400000"/>
    <x v="0"/>
    <x v="0"/>
    <s v="BR3-5, BR-7"/>
    <s v="62-304.520 (10), F.A.C."/>
    <n v="0.59"/>
    <n v="0.64"/>
    <s v="City of Cocoa Beach"/>
    <n v="0.18943322201214"/>
    <n v="3770.1246163443702"/>
    <n v="8.8541135239533801"/>
    <n v="1.58538922768126"/>
    <n v="1.6772632529037701"/>
    <n v="0.30032538954299998"/>
    <n v="714.18685346140501"/>
    <n v="1300"/>
    <s v="Residential, High Density"/>
    <n v="1300"/>
    <s v="City of Cocoa Beach           Brevard County"/>
    <s v="City of Cocoa Beach"/>
    <m/>
    <m/>
    <m/>
    <n v="0"/>
    <n v="1"/>
    <n v="1.6772632529037701"/>
    <n v="0.30032538954299998"/>
    <n v="714.18685346140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0.92688406715999"/>
    <n v="766.60905111576005"/>
    <n v="0.57922696959999997"/>
  </r>
  <r>
    <n v="830000"/>
    <n v="2400000"/>
    <n v="2400000"/>
    <x v="0"/>
    <x v="0"/>
    <s v="BR3-5, BR-7"/>
    <s v="62-304.520 (10), F.A.C."/>
    <n v="0.59"/>
    <n v="0.64"/>
    <s v="City of Cocoa Beach"/>
    <n v="0.13522469653519001"/>
    <n v="3770.1246163443702"/>
    <n v="8.8541135239533801"/>
    <n v="1.58538922768126"/>
    <n v="1.19729481436473"/>
    <n v="0.21438377720335999"/>
    <n v="509.81395714502497"/>
    <n v="1300"/>
    <s v="Residential, High Density"/>
    <n v="1300"/>
    <s v="City of Cocoa Beach           Brevard County"/>
    <s v="City of Cocoa Beach"/>
    <m/>
    <m/>
    <m/>
    <n v="0"/>
    <n v="1"/>
    <n v="1.19729481436473"/>
    <n v="0.21438377720335999"/>
    <n v="967.716071009357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2.052300840885"/>
    <n v="547.23493164053298"/>
    <n v="0.78484677290000004"/>
  </r>
  <r>
    <n v="830000"/>
    <n v="2400000"/>
    <n v="2400000"/>
    <x v="0"/>
    <x v="0"/>
    <s v="BR3-5, BR-7"/>
    <s v="62-304.520 (10), F.A.C."/>
    <n v="0.59"/>
    <n v="0.64"/>
    <s v="City of Cocoa Beach"/>
    <n v="4.692683428984E-2"/>
    <n v="3770.1246163443702"/>
    <n v="8.8541135239533801"/>
    <n v="1.58538922768126"/>
    <n v="0.41549551812203001"/>
    <n v="7.43972975723E-2"/>
    <n v="176.92001312325701"/>
    <n v="1300"/>
    <s v="Residential, High Density"/>
    <n v="1300"/>
    <s v="City of Cocoa Beach           Brevard County"/>
    <s v="City of Cocoa Beach"/>
    <m/>
    <m/>
    <m/>
    <n v="0"/>
    <n v="1"/>
    <n v="0.41549551812203001"/>
    <n v="7.43972975723E-2"/>
    <n v="176.92001312325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84091442507"/>
    <n v="189.906160728759"/>
    <n v="0.1434874397"/>
  </r>
  <r>
    <n v="830000"/>
    <n v="2400000"/>
    <n v="2400000"/>
    <x v="0"/>
    <x v="0"/>
    <s v="BR3-5, BR-7"/>
    <s v="62-304.520 (10), F.A.C."/>
    <n v="0.59"/>
    <n v="0.64"/>
    <s v="City of Cocoa Beach"/>
    <n v="5.3514606521299999E-3"/>
    <n v="3770.1246163443702"/>
    <n v="8.8541135239533801"/>
    <n v="1.58538922768126"/>
    <n v="4.7382440132960002E-2"/>
    <n v="8.4841480702500006E-3"/>
    <n v="20.175673538008699"/>
    <n v="1300"/>
    <s v="Residential, High Density"/>
    <n v="1300"/>
    <s v="City of Cocoa Beach           Brevard County"/>
    <s v="City of Cocoa Beach"/>
    <m/>
    <m/>
    <m/>
    <n v="0"/>
    <n v="1"/>
    <n v="4.7382440132960002E-2"/>
    <n v="8.4841480702500006E-3"/>
    <n v="20.175673538007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.071638771076898"/>
    <n v="21.656592909307701"/>
    <n v="1.63630767E-2"/>
  </r>
  <r>
    <n v="830000"/>
    <n v="2400000"/>
    <n v="2400000"/>
    <x v="0"/>
    <x v="0"/>
    <s v="BR3-5, BR-7"/>
    <s v="62-304.520 (10), F.A.C."/>
    <n v="0.59"/>
    <n v="0.64"/>
    <s v="City of Cocoa Beach"/>
    <n v="0.55942283974936002"/>
    <n v="3759.6704590500699"/>
    <n v="10.8131671504369"/>
    <n v="2.0830413867817299"/>
    <n v="6.0491326739819602"/>
    <n v="1.16530092790888"/>
    <n v="2103.2455247235798"/>
    <n v="1300"/>
    <s v="Residential, High Density"/>
    <n v="1300"/>
    <s v="City of Cocoa Beach           Brevard County"/>
    <s v="City of Cocoa Beach"/>
    <m/>
    <m/>
    <m/>
    <n v="0"/>
    <n v="1"/>
    <n v="6.0491326739819602"/>
    <n v="1.16530092790888"/>
    <n v="2103.2455247235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0.36056378293699"/>
    <n v="2263.9039118769501"/>
    <n v="1.7057952350000001"/>
  </r>
  <r>
    <n v="830000"/>
    <n v="2400000"/>
    <n v="2400000"/>
    <x v="0"/>
    <x v="0"/>
    <s v="BR3-5, BR-7"/>
    <s v="62-304.520 (10), F.A.C."/>
    <n v="0.59"/>
    <n v="0.64"/>
    <s v="City of Cocoa Beach"/>
    <n v="3.1847487284E-4"/>
    <n v="3759.6704590500699"/>
    <n v="10.8131671504369"/>
    <n v="2.0830413867817299"/>
    <n v="3.4437220333200002E-3"/>
    <n v="6.6339634078999997E-4"/>
    <n v="1.19736057139635"/>
    <n v="1300"/>
    <s v="Residential, High Density"/>
    <n v="1300"/>
    <s v="City of Cocoa Beach           Brevard County"/>
    <s v="City of Cocoa Beach"/>
    <m/>
    <m/>
    <m/>
    <n v="0"/>
    <n v="1"/>
    <n v="3.4437220333200002E-3"/>
    <n v="6.6339634078999997E-4"/>
    <n v="1.1973605713950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2.965757962867499"/>
    <n v="1.2888220845565499"/>
    <n v="9.7109539999999997E-4"/>
  </r>
  <r>
    <n v="830000"/>
    <n v="2400000"/>
    <n v="2400000"/>
    <x v="0"/>
    <x v="0"/>
    <s v="BR3-5, BR-7"/>
    <s v="62-304.520 (10), F.A.C."/>
    <n v="0.59"/>
    <n v="0.64"/>
    <s v="FDOT District 5"/>
    <n v="7.142948522E-5"/>
    <n v="3759.6704590500699"/>
    <n v="10.8131671504369"/>
    <n v="2.0830413867817299"/>
    <n v="7.7237896316E-4"/>
    <n v="1.4879057395000001E-4"/>
    <n v="0.2685513254905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7.7237896316E-4"/>
    <n v="1.4879057395000001E-4"/>
    <n v="0.26855132549213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.8794581935981807"/>
    <n v="0.28906487101702999"/>
    <n v="2.1780319999999999E-4"/>
  </r>
  <r>
    <n v="830000"/>
    <n v="2400000"/>
    <n v="2400000"/>
    <x v="0"/>
    <x v="0"/>
    <s v="BR3-5, BR-7"/>
    <s v="62-304.520 (10), F.A.C."/>
    <n v="0.59"/>
    <n v="0.64"/>
    <s v="City of Cocoa Beach"/>
    <n v="1.6327980519649999E-2"/>
    <n v="3759.6704590500699"/>
    <n v="10.8131671504369"/>
    <n v="2.0830413867817299"/>
    <n v="0.17655718258813999"/>
    <n v="3.4011859185009999E-2"/>
    <n v="61.38782601570329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7655718258813999"/>
    <n v="3.4011859185009999E-2"/>
    <n v="61.387826015702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9.202712324968601"/>
    <n v="66.076992830799597"/>
    <n v="4.9787368999999998E-2"/>
  </r>
  <r>
    <n v="830000"/>
    <n v="2400000"/>
    <n v="2400000"/>
    <x v="0"/>
    <x v="0"/>
    <s v="BR3-5, BR-7"/>
    <s v="62-304.520 (10), F.A.C."/>
    <n v="0.59"/>
    <n v="0.64"/>
    <s v="City of Cocoa Beach"/>
    <n v="2.41644323622E-3"/>
    <n v="3759.6704590500699"/>
    <n v="10.8131671504369"/>
    <n v="2.0830413867817299"/>
    <n v="2.6129404622860002E-2"/>
    <n v="5.0335512698700003E-3"/>
    <n v="9.085030251214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6129404622860002E-2"/>
    <n v="5.0335512698700003E-3"/>
    <n v="9.0850302512149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.981194155262299"/>
    <n v="9.7789988298913393"/>
    <n v="7.3682321999999998E-3"/>
  </r>
  <r>
    <n v="830000"/>
    <n v="2400000"/>
    <n v="2400000"/>
    <x v="0"/>
    <x v="0"/>
    <s v="BR3-5, BR-7"/>
    <s v="62-304.520 (10), F.A.C."/>
    <n v="0.59"/>
    <n v="0.64"/>
    <s v="City of Cocoa Beach"/>
    <n v="2.3519106829999999E-3"/>
    <n v="3759.6704590500699"/>
    <n v="10.8131671504369"/>
    <n v="2.0830413867817299"/>
    <n v="2.5431603338190001E-2"/>
    <n v="4.8991272907000002E-3"/>
    <n v="8.842409117206910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5431603338190001E-2"/>
    <n v="4.8991272907000002E-3"/>
    <n v="8.842409117207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.159823637320301"/>
    <n v="9.5178448524179604"/>
    <n v="7.1714591000000003E-3"/>
  </r>
  <r>
    <n v="830000"/>
    <n v="2400000"/>
    <n v="2400000"/>
    <x v="0"/>
    <x v="0"/>
    <s v="BR3-5, BR-7"/>
    <s v="62-304.520 (10), F.A.C."/>
    <n v="0.59"/>
    <n v="0.64"/>
    <s v="City of Cocoa Beach"/>
    <n v="3.6854375052550001E-2"/>
    <n v="3759.6704590500699"/>
    <n v="10.8131671504369"/>
    <n v="2.0830413867817299"/>
    <n v="0.39851251766815998"/>
    <n v="7.6769188518440001E-2"/>
    <n v="138.560305171838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9851251766815998"/>
    <n v="7.6769188518440001E-2"/>
    <n v="138.56030517184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0.864916822060806"/>
    <n v="149.14436437496801"/>
    <n v="0.1123765654"/>
  </r>
  <r>
    <n v="830000"/>
    <n v="2400000"/>
    <n v="2400000"/>
    <x v="0"/>
    <x v="0"/>
    <s v="BR3-5, BR-7"/>
    <s v="62-304.520 (10), F.A.C."/>
    <n v="0.59"/>
    <n v="0.64"/>
    <s v="City of Cocoa Beach"/>
    <n v="0.17621911175498001"/>
    <n v="3790.2426666481501"/>
    <n v="9.0142621243892496"/>
    <n v="1.51695356900783"/>
    <n v="1.58848526468645"/>
    <n v="0.26731621050410997"/>
    <n v="667.91319605257104"/>
    <n v="1300"/>
    <s v="Residential, High Density"/>
    <n v="1300"/>
    <s v="City of Cocoa Beach           Brevard County"/>
    <s v="City of Cocoa Beach"/>
    <m/>
    <m/>
    <m/>
    <n v="0"/>
    <n v="1"/>
    <n v="1.58848526468645"/>
    <n v="0.26731621050410997"/>
    <n v="667.914897594435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9.656301916046"/>
    <n v="713.13344415527297"/>
    <n v="0.54169902479999998"/>
  </r>
  <r>
    <n v="830000"/>
    <n v="2400000"/>
    <n v="2400000"/>
    <x v="0"/>
    <x v="0"/>
    <s v="BR3-5, BR-7"/>
    <s v="62-304.520 (10), F.A.C."/>
    <n v="0.59"/>
    <n v="0.64"/>
    <s v="City of Cocoa Beach"/>
    <n v="0.43356966658896001"/>
    <n v="3790.2426666481501"/>
    <n v="9.0142621243892496"/>
    <n v="1.51695356900783"/>
    <n v="3.9083106238169401"/>
    <n v="0.65770505314564998"/>
    <n v="1643.3342492698901"/>
    <n v="1300"/>
    <s v="Residential, High Density"/>
    <n v="1300"/>
    <s v="City of Cocoa Beach           Brevard County"/>
    <s v="City of Cocoa Beach"/>
    <m/>
    <m/>
    <m/>
    <n v="0"/>
    <n v="1"/>
    <n v="3.9083106238169401"/>
    <n v="0.65770505314564998"/>
    <n v="1673.4152734871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0.17582747715801"/>
    <n v="1754.5941897933501"/>
    <n v="1.3571900027999999"/>
  </r>
  <r>
    <n v="830000"/>
    <n v="2400000"/>
    <n v="2400000"/>
    <x v="0"/>
    <x v="0"/>
    <s v="BR3-5, BR-7"/>
    <s v="62-304.520 (10), F.A.C."/>
    <n v="0.59"/>
    <n v="0.64"/>
    <s v="City of Cocoa Beach"/>
    <n v="3.7788710559999997E-5"/>
    <n v="3790.2426666481501"/>
    <n v="9.0142621243892496"/>
    <n v="1.51695356900783"/>
    <n v="3.4063734234000001E-4"/>
    <n v="5.7323719349999997E-5"/>
    <n v="0.14322838308971"/>
    <n v="1300"/>
    <s v="Residential, High Density"/>
    <n v="1300"/>
    <s v="City of Cocoa Beach           Brevard County"/>
    <s v="City of Cocoa Beach"/>
    <m/>
    <m/>
    <m/>
    <n v="0"/>
    <n v="1"/>
    <n v="3.4063734234000001E-4"/>
    <n v="5.7323719349999997E-5"/>
    <n v="0.14322838309075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.1402914299788502"/>
    <n v="0.15292548603315001"/>
    <n v="1.161625E-4"/>
  </r>
  <r>
    <n v="830000"/>
    <n v="2400000"/>
    <n v="2400000"/>
    <x v="0"/>
    <x v="0"/>
    <s v="BR3-5, BR-7"/>
    <s v="62-304.520 (10), F.A.C."/>
    <n v="0.59"/>
    <n v="0.64"/>
    <s v="FDOT District 5"/>
    <n v="0.1209808748596"/>
    <n v="3761.9601460731701"/>
    <n v="10.8045965222751"/>
    <n v="1.8963314097747199"/>
    <n v="1.3071495397698301"/>
    <n v="0.22941983297828"/>
    <n v="455.125229658880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3071495397698301"/>
    <n v="0.22941983297828"/>
    <n v="455.12522965888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3.877994633957"/>
    <n v="489.592230413143"/>
    <n v="0.3691202187"/>
  </r>
  <r>
    <n v="830000"/>
    <n v="2400000"/>
    <n v="2400000"/>
    <x v="0"/>
    <x v="0"/>
    <s v="BR3-5, BR-7"/>
    <s v="62-304.520 (10), F.A.C."/>
    <n v="0.59"/>
    <n v="0.64"/>
    <s v="FDOT District 5"/>
    <n v="8.9935744485139996E-2"/>
    <n v="3761.9601460731701"/>
    <n v="10.8045965222751"/>
    <n v="1.8963314097747199"/>
    <n v="0.97171943209244005"/>
    <n v="0.17054797712865"/>
    <n v="338.3346864605430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97171943209244005"/>
    <n v="0.17054797712865"/>
    <n v="338.33468646054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466545164734"/>
    <n v="363.95704517304"/>
    <n v="0.27439958349999999"/>
  </r>
  <r>
    <n v="830000"/>
    <n v="2400000"/>
    <n v="2400000"/>
    <x v="0"/>
    <x v="0"/>
    <s v="BR3-5, BR-7"/>
    <s v="62-304.520 (10), F.A.C."/>
    <n v="0.59"/>
    <n v="0.64"/>
    <s v="City of Cocoa Beach"/>
    <n v="8.9023914274050001E-2"/>
    <n v="3761.9601460731701"/>
    <n v="10.8045965222751"/>
    <n v="1.8963314097747199"/>
    <n v="0.96186747456471"/>
    <n v="0.16881884485897"/>
    <n v="334.90441754641103"/>
    <n v="1300"/>
    <s v="Residential, High Density"/>
    <n v="1300"/>
    <s v="City of Cocoa Beach           Brevard County"/>
    <s v="City of Cocoa Beach"/>
    <m/>
    <m/>
    <m/>
    <n v="0"/>
    <n v="1"/>
    <n v="0.96186747456471"/>
    <n v="0.16881884485897"/>
    <n v="334.904417546411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6.961890538381098"/>
    <n v="360.26699922712601"/>
    <n v="0.27161753249999998"/>
  </r>
  <r>
    <n v="830000"/>
    <n v="2400000"/>
    <n v="2400000"/>
    <x v="0"/>
    <x v="0"/>
    <s v="BR3-5, BR-7"/>
    <s v="62-304.520 (10), F.A.C."/>
    <n v="0.59"/>
    <n v="0.64"/>
    <s v="FDOT District 5"/>
    <n v="3.9204681992000001E-4"/>
    <n v="3761.9601460731701"/>
    <n v="10.8045965222751"/>
    <n v="1.8963314097747199"/>
    <n v="4.2359077071600004E-3"/>
    <n v="7.4345069872999996E-4"/>
    <n v="1.47486451196385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4.2359077071600004E-3"/>
    <n v="7.4345069872999996E-4"/>
    <n v="1.4748645119627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0.353413147409899"/>
    <n v="1.58655719110588"/>
    <n v="1.1961593999999999E-3"/>
  </r>
  <r>
    <n v="830000"/>
    <n v="2400000"/>
    <n v="2400000"/>
    <x v="0"/>
    <x v="0"/>
    <s v="BR3-5, BR-7"/>
    <s v="62-304.520 (10), F.A.C."/>
    <n v="0.59"/>
    <n v="0.64"/>
    <s v="City of Cocoa Beach"/>
    <n v="0.12637618581616"/>
    <n v="3761.9601460731701"/>
    <n v="10.8045965222751"/>
    <n v="1.8963314097747199"/>
    <n v="1.36544369776768"/>
    <n v="0.23965113061071"/>
    <n v="475.42217445313599"/>
    <n v="1300"/>
    <s v="Residential, High Density"/>
    <n v="1300"/>
    <s v="City of Cocoa Beach           Brevard County"/>
    <s v="City of Cocoa Beach"/>
    <m/>
    <m/>
    <m/>
    <n v="0"/>
    <n v="1"/>
    <n v="1.36544369776768"/>
    <n v="0.23965113061071"/>
    <n v="475.42217445313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6.688009374639293"/>
    <n v="511.426279208545"/>
    <n v="0.38558165"/>
  </r>
  <r>
    <n v="830000"/>
    <n v="2400000"/>
    <n v="2400000"/>
    <x v="0"/>
    <x v="0"/>
    <s v="BR3-5, BR-7"/>
    <s v="62-304.520 (10), F.A.C."/>
    <n v="0.59"/>
    <n v="0.64"/>
    <s v="FDOT District 5"/>
    <n v="6.2146757180999996E-4"/>
    <n v="3761.9601460731701"/>
    <n v="10.8045965222751"/>
    <n v="1.8963314097747199"/>
    <n v="6.7147063651700001E-3"/>
    <n v="1.1785084765900001E-3"/>
    <n v="2.3379362372561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7147063651700001E-3"/>
    <n v="1.1785084765900001E-3"/>
    <n v="2.3379362372547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2.081838909390498"/>
    <n v="2.5149900343234299"/>
    <n v="1.8961364E-3"/>
  </r>
  <r>
    <n v="830000"/>
    <n v="2400000"/>
    <n v="2400000"/>
    <x v="0"/>
    <x v="0"/>
    <s v="BR3-5, BR-7"/>
    <s v="62-304.520 (10), F.A.C."/>
    <n v="0.59"/>
    <n v="0.64"/>
    <s v="City of Cocoa Beach"/>
    <n v="0.12137217317083"/>
    <n v="3761.9601460731701"/>
    <n v="10.8045965222751"/>
    <n v="1.8963314097747199"/>
    <n v="1.31137736014259"/>
    <n v="0.23016186425647001"/>
    <n v="456.59727831098098"/>
    <n v="1300"/>
    <s v="Residential, High Density"/>
    <n v="1300"/>
    <s v="City of Cocoa Beach           Brevard County"/>
    <s v="City of Cocoa Beach"/>
    <m/>
    <m/>
    <m/>
    <n v="0"/>
    <n v="1"/>
    <n v="1.31137736014259"/>
    <n v="0.23016186425647001"/>
    <n v="456.59727831098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5.851584136301497"/>
    <n v="491.17575849704599"/>
    <n v="0.37031409430000001"/>
  </r>
  <r>
    <n v="830000"/>
    <n v="2400000"/>
    <n v="2400000"/>
    <x v="0"/>
    <x v="0"/>
    <s v="BR3-5, BR-7"/>
    <s v="62-304.520 (10), F.A.C."/>
    <n v="0.59"/>
    <n v="0.64"/>
    <s v="FDOT District 5"/>
    <n v="5.7356459835000001E-4"/>
    <n v="3761.9601460731701"/>
    <n v="10.8045965222751"/>
    <n v="1.8963314097747199"/>
    <n v="6.1971340646499997E-3"/>
    <n v="1.08766856339E-3"/>
    <n v="2.1577271601986898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6.1971340646499997E-3"/>
    <n v="1.08766856339E-3"/>
    <n v="2.1577271601972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642157439129701"/>
    <n v="2.3211335785005698"/>
    <n v="1.7499815E-3"/>
  </r>
  <r>
    <n v="830000"/>
    <n v="2400000"/>
    <n v="2400000"/>
    <x v="0"/>
    <x v="0"/>
    <s v="BR3-5, BR-7"/>
    <s v="62-304.520 (10), F.A.C."/>
    <n v="0.59"/>
    <n v="0.64"/>
    <s v="City of Cocoa Beach"/>
    <n v="6.8117755246450001E-2"/>
    <n v="3761.9601460731701"/>
    <n v="10.8045965222751"/>
    <n v="1.8963314097747199"/>
    <n v="0.73598486144098996"/>
    <n v="0.12917383883719"/>
    <n v="256.25628047711501"/>
    <n v="1210"/>
    <s v="Fixed Single Family Units"/>
    <n v="1210"/>
    <s v="City of Cocoa Beach           Brevard County"/>
    <s v="City of Cocoa Beach"/>
    <m/>
    <m/>
    <m/>
    <n v="0"/>
    <n v="1"/>
    <n v="0.73598486144098996"/>
    <n v="0.12917383883719"/>
    <n v="256.25628047711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176645974557005"/>
    <n v="275.662775298572"/>
    <n v="0.2078315332"/>
  </r>
  <r>
    <n v="830000"/>
    <n v="2400000"/>
    <n v="2400000"/>
    <x v="0"/>
    <x v="0"/>
    <s v="BR3-5, BR-7"/>
    <s v="62-304.520 (10), F.A.C."/>
    <n v="0.59"/>
    <n v="0.64"/>
    <s v="FDOT District 5"/>
    <n v="3.6972687159000001E-4"/>
    <n v="3761.9601460731701"/>
    <n v="10.8045965222751"/>
    <n v="1.8963314097747199"/>
    <n v="3.99474967105E-3"/>
    <n v="7.0112467964E-4"/>
    <n v="1.39089775588398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99474967105E-3"/>
    <n v="7.0112467964E-4"/>
    <n v="1.3908977558831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.2196308669558"/>
    <n v="1.4962315648593301"/>
    <n v="1.1280598000000001E-3"/>
  </r>
  <r>
    <n v="830000"/>
    <n v="2400000"/>
    <n v="2400000"/>
    <x v="0"/>
    <x v="0"/>
    <s v="BR3-5, BR-7"/>
    <s v="62-304.520 (10), F.A.C."/>
    <n v="0.59"/>
    <n v="0.64"/>
    <s v="City of Cocoa Beach"/>
    <n v="1.416881600862E-2"/>
    <n v="2431.5070642957398"/>
    <n v="6.7556750793336002"/>
    <n v="0.94297393693562004"/>
    <n v="9.5719917213099998E-2"/>
    <n v="1.336082421336E-2"/>
    <n v="34.451576217668503"/>
    <n v="1400"/>
    <s v="Commercial and Services"/>
    <n v="1400"/>
    <s v="City of Cocoa Beach           Brevard County"/>
    <s v="City of Cocoa Beach"/>
    <m/>
    <m/>
    <m/>
    <n v="0"/>
    <n v="1"/>
    <n v="9.5719917213099998E-2"/>
    <n v="1.336082421336E-2"/>
    <n v="375.10332549795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2.30830328760101"/>
    <n v="57.339164062291999"/>
    <n v="0.3042200531"/>
  </r>
  <r>
    <n v="830000"/>
    <n v="2400000"/>
    <n v="2400000"/>
    <x v="0"/>
    <x v="0"/>
    <s v="BR3-5, BR-7"/>
    <s v="62-304.520 (10), F.A.C."/>
    <n v="0.59"/>
    <n v="0.64"/>
    <s v="City of Cocoa Beach"/>
    <n v="0.18174187182688001"/>
    <n v="3771.5555228988101"/>
    <n v="8.5797628418002496"/>
    <n v="1.51420883694108"/>
    <n v="1.55930215869949"/>
    <n v="0.27519514836247"/>
    <n v="685.44956043064201"/>
    <n v="1300"/>
    <s v="Residential, High Density"/>
    <n v="1300"/>
    <s v="City of Cocoa Beach           Brevard County"/>
    <s v="City of Cocoa Beach"/>
    <m/>
    <m/>
    <m/>
    <n v="0"/>
    <n v="1"/>
    <n v="1.55930215869949"/>
    <n v="0.27519514836247"/>
    <n v="685.474512789372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4.519240253753"/>
    <n v="735.48326122160995"/>
    <n v="0.55594039969999998"/>
  </r>
  <r>
    <n v="830000"/>
    <n v="2400000"/>
    <n v="2400000"/>
    <x v="0"/>
    <x v="0"/>
    <s v="BR3-5, BR-7"/>
    <s v="62-304.520 (10), F.A.C."/>
    <n v="0.59"/>
    <n v="0.64"/>
    <s v="City of Cocoa Beach"/>
    <n v="1.2295819577400001E-2"/>
    <n v="3771.5555228988101"/>
    <n v="8.5797628418002496"/>
    <n v="1.51420883694108"/>
    <n v="0.10549521591967"/>
    <n v="1.8618438661529998E-2"/>
    <n v="46.374366235717901"/>
    <n v="1300"/>
    <s v="Residential, High Density"/>
    <n v="1300"/>
    <s v="City of Cocoa Beach           Brevard County"/>
    <s v="City of Cocoa Beach"/>
    <m/>
    <m/>
    <m/>
    <n v="0"/>
    <n v="1"/>
    <n v="0.10549521591967"/>
    <n v="1.8618438661529998E-2"/>
    <n v="46.374366235717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1.640922837207697"/>
    <n v="49.759416425480197"/>
    <n v="3.7611002599999999E-2"/>
  </r>
  <r>
    <n v="830000"/>
    <n v="2400000"/>
    <n v="2400000"/>
    <x v="0"/>
    <x v="0"/>
    <s v="BR3-5, BR-7"/>
    <s v="62-304.520 (10), F.A.C."/>
    <n v="0.59"/>
    <n v="0.64"/>
    <s v="City of Cocoa Beach"/>
    <n v="7.3493331242399998E-2"/>
    <n v="3771.5555228988101"/>
    <n v="8.5797628418002496"/>
    <n v="1.51420883694108"/>
    <n v="0.63055535251369998"/>
    <n v="0.11128425162348"/>
    <n v="277.18417934352402"/>
    <n v="1300"/>
    <s v="Residential, High Density"/>
    <n v="1300"/>
    <s v="City of Cocoa Beach           Brevard County"/>
    <s v="City of Cocoa Beach"/>
    <m/>
    <m/>
    <m/>
    <n v="0"/>
    <n v="1"/>
    <n v="0.63055535251369998"/>
    <n v="0.11128425162348"/>
    <n v="505.38392829088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2.0125042372227"/>
    <n v="297.41695954189697"/>
    <n v="0.40988153150000001"/>
  </r>
  <r>
    <n v="830000"/>
    <n v="2400000"/>
    <n v="2400000"/>
    <x v="0"/>
    <x v="0"/>
    <s v="BR3-5, BR-7"/>
    <s v="62-304.520 (10), F.A.C."/>
    <n v="0.59"/>
    <n v="0.64"/>
    <s v="City of Cocoa Beach"/>
    <n v="7.3839937819999998E-5"/>
    <n v="3771.5555228988101"/>
    <n v="8.5797628418002496"/>
    <n v="1.51420883694108"/>
    <n v="6.3352915473999997E-4"/>
    <n v="1.1180908636E-4"/>
    <n v="0.27849142529552001"/>
    <n v="1300"/>
    <s v="Residential, High Density"/>
    <n v="1300"/>
    <s v="City of Cocoa Beach           Brevard County"/>
    <s v="City of Cocoa Beach"/>
    <m/>
    <m/>
    <m/>
    <n v="0"/>
    <n v="1"/>
    <n v="6.3352915473999997E-4"/>
    <n v="1.1180908636E-4"/>
    <n v="0.27849142529583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.3056079621315204"/>
    <n v="0.29881962659681999"/>
    <n v="2.258649E-4"/>
  </r>
  <r>
    <n v="830000"/>
    <n v="2400000"/>
    <n v="2400000"/>
    <x v="0"/>
    <x v="0"/>
    <s v="BR3-5, BR-7"/>
    <s v="62-304.520 (10), F.A.C."/>
    <n v="0.59"/>
    <n v="0.64"/>
    <s v="City of Cocoa Beach"/>
    <n v="9.43249669461E-2"/>
    <n v="3771.5555228988101"/>
    <n v="8.5797628418002496"/>
    <n v="1.51420883694108"/>
    <n v="0.80928584645823998"/>
    <n v="0.14282769849397001"/>
    <n v="355.75185003283798"/>
    <n v="1300"/>
    <s v="Residential, High Density"/>
    <n v="1300"/>
    <s v="City of Cocoa Beach           Brevard County"/>
    <s v="City of Cocoa Beach"/>
    <m/>
    <m/>
    <m/>
    <n v="0"/>
    <n v="1"/>
    <n v="0.80928584645823998"/>
    <n v="0.14282769849397001"/>
    <n v="647.965675672160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2.249439758325394"/>
    <n v="381.71959827851998"/>
    <n v="0.52551960720000002"/>
  </r>
  <r>
    <n v="830000"/>
    <n v="2400000"/>
    <n v="2400000"/>
    <x v="0"/>
    <x v="0"/>
    <s v="BR3-5, BR-7"/>
    <s v="62-304.520 (10), F.A.C."/>
    <n v="0.59"/>
    <n v="0.64"/>
    <s v="City of Cocoa Beach"/>
    <n v="0.1375364633151"/>
    <n v="3742.65812197797"/>
    <n v="10.2965620753785"/>
    <n v="1.84520065417733"/>
    <n v="1.41615273215199"/>
    <n v="0.25378237208226001"/>
    <n v="514.75196149439898"/>
    <n v="1200"/>
    <s v="Residential, Medium Density-Two-five dwellingunits per acre"/>
    <n v="1200"/>
    <s v="City of Cocoa Beach           Brevard County"/>
    <s v="City of Cocoa Beach"/>
    <m/>
    <m/>
    <m/>
    <n v="0"/>
    <n v="1"/>
    <n v="1.41615273215199"/>
    <n v="0.25378237208226001"/>
    <n v="514.751961494398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2.431856294906"/>
    <n v="556.59031988090896"/>
    <n v="0.41747928750000002"/>
  </r>
  <r>
    <n v="830000"/>
    <n v="2400000"/>
    <n v="2400000"/>
    <x v="0"/>
    <x v="0"/>
    <s v="BR3-5, BR-7"/>
    <s v="62-304.520 (10), F.A.C."/>
    <n v="0.59"/>
    <n v="0.64"/>
    <s v="City of Cocoa Beach"/>
    <n v="0.27897770799637001"/>
    <n v="3742.65812197797"/>
    <n v="10.2965620753785"/>
    <n v="1.84520065417733"/>
    <n v="2.8725112880314598"/>
    <n v="0.51476984929578995"/>
    <n v="1044.1181846834099"/>
    <n v="1300"/>
    <s v="Residential, High Density"/>
    <n v="1300"/>
    <s v="City of Cocoa Beach           Brevard County"/>
    <s v="City of Cocoa Beach"/>
    <m/>
    <m/>
    <m/>
    <n v="0"/>
    <n v="1"/>
    <n v="2.8725112880314598"/>
    <n v="0.51476984929578995"/>
    <n v="1044.11818468340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45.232750682312"/>
    <n v="1128.98272931154"/>
    <n v="0.84681117979999998"/>
  </r>
  <r>
    <n v="830000"/>
    <n v="2400000"/>
    <n v="2400000"/>
    <x v="0"/>
    <x v="0"/>
    <s v="BR3-5, BR-7"/>
    <s v="62-304.520 (10), F.A.C."/>
    <n v="0.59"/>
    <n v="0.64"/>
    <s v="FDOT District 5"/>
    <n v="3.0925717111500001E-3"/>
    <n v="3742.65812197797"/>
    <n v="10.2965620753785"/>
    <n v="1.84520065417733"/>
    <n v="3.1842856596439997E-2"/>
    <n v="5.7064153445099998E-3"/>
    <n v="11.57443863254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1842856596439997E-2"/>
    <n v="5.7064153445099998E-3"/>
    <n v="11.574438632547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533728873044"/>
    <n v="12.5151936910132"/>
    <n v="9.3872170999999994E-3"/>
  </r>
  <r>
    <n v="830000"/>
    <n v="2400000"/>
    <n v="2400000"/>
    <x v="0"/>
    <x v="0"/>
    <s v="BR3-5, BR-7"/>
    <s v="62-304.520 (10), F.A.C."/>
    <n v="0.59"/>
    <n v="0.64"/>
    <s v="City of Cocoa Beach"/>
    <n v="4.2639708776000002E-4"/>
    <n v="3742.65812197797"/>
    <n v="10.2965620753785"/>
    <n v="1.84520065417733"/>
    <n v="4.3904240829099996E-3"/>
    <n v="7.8678818527999996E-4"/>
    <n v="1.59585852370394"/>
    <n v="1210"/>
    <s v="Fixed Single Family Units"/>
    <n v="1210"/>
    <s v="City of Cocoa Beach           Brevard County"/>
    <s v="City of Cocoa Beach"/>
    <m/>
    <m/>
    <m/>
    <n v="0"/>
    <n v="1"/>
    <n v="4.3904240829099996E-3"/>
    <n v="7.8678818527999996E-4"/>
    <n v="1.5958585237036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7.4241334434439"/>
    <n v="1.72556779310605"/>
    <n v="1.2942892E-3"/>
  </r>
  <r>
    <n v="830000"/>
    <n v="2400000"/>
    <n v="2400000"/>
    <x v="0"/>
    <x v="0"/>
    <s v="BR3-5, BR-7"/>
    <s v="62-304.520 (10), F.A.C."/>
    <n v="0.59"/>
    <n v="0.64"/>
    <s v="City of Cocoa Beach"/>
    <n v="0.12851546495551999"/>
    <n v="3749.2748269618701"/>
    <n v="9.7099674031585899"/>
    <n v="1.65164948375355"/>
    <n v="1.24788097551995"/>
    <n v="0.21226250134814001"/>
    <n v="481.83979763306598"/>
    <n v="1300"/>
    <s v="Residential, High Density"/>
    <n v="1300"/>
    <s v="City of Cocoa Beach           Brevard County"/>
    <s v="City of Cocoa Beach"/>
    <m/>
    <m/>
    <m/>
    <n v="0"/>
    <n v="1"/>
    <n v="1.24788097551995"/>
    <n v="0.21226250134814001"/>
    <n v="481.83979763306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3.007150605736996"/>
    <n v="520.08363473300506"/>
    <n v="0.39078653499999999"/>
  </r>
  <r>
    <n v="830000"/>
    <n v="2400000"/>
    <n v="2400000"/>
    <x v="0"/>
    <x v="0"/>
    <s v="BR3-5, BR-7"/>
    <s v="62-304.520 (10), F.A.C."/>
    <n v="0.59"/>
    <n v="0.64"/>
    <s v="City of Cocoa Beach"/>
    <n v="0.13680167899232001"/>
    <n v="3749.2748269618701"/>
    <n v="9.7099674031585899"/>
    <n v="1.65164948375355"/>
    <n v="1.32833984371281"/>
    <n v="0.22594842248427999"/>
    <n v="512.907091332032"/>
    <n v="1210"/>
    <s v="Fixed Single Family Units"/>
    <n v="1210"/>
    <s v="City of Cocoa Beach           Brevard County"/>
    <s v="City of Cocoa Beach"/>
    <m/>
    <m/>
    <m/>
    <n v="0"/>
    <n v="1"/>
    <n v="1.32833984371281"/>
    <n v="0.22594842248427999"/>
    <n v="512.90709133203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6.209611865622094"/>
    <n v="553.61675322517897"/>
    <n v="0.4159830424"/>
  </r>
  <r>
    <n v="830000"/>
    <n v="2400000"/>
    <n v="2400000"/>
    <x v="0"/>
    <x v="0"/>
    <s v="BR3-5, BR-7"/>
    <s v="62-304.520 (10), F.A.C."/>
    <n v="0.59"/>
    <n v="0.64"/>
    <s v="City of Cocoa Beach"/>
    <n v="9.0539314726669998E-2"/>
    <n v="3749.2748269618701"/>
    <n v="9.7099674031585899"/>
    <n v="1.65164948375355"/>
    <n v="0.87913379470030995"/>
    <n v="0.14953921242771001"/>
    <n v="339.45677355509298"/>
    <n v="1210"/>
    <s v="Fixed Single Family Units"/>
    <n v="1210"/>
    <s v="City of Cocoa Beach           Brevard County"/>
    <s v="City of Cocoa Beach"/>
    <m/>
    <m/>
    <m/>
    <n v="0"/>
    <n v="1"/>
    <n v="0.87913379470030995"/>
    <n v="0.14953921242771001"/>
    <n v="339.45677355509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4.536174919841798"/>
    <n v="366.39960728133201"/>
    <n v="0.27530962980000001"/>
  </r>
  <r>
    <n v="830000"/>
    <n v="2400000"/>
    <n v="2400000"/>
    <x v="0"/>
    <x v="0"/>
    <s v="BR3-5, BR-7"/>
    <s v="62-304.520 (10), F.A.C."/>
    <n v="0.59"/>
    <n v="0.64"/>
    <s v="City of Cocoa Beach"/>
    <n v="0.26190699480927998"/>
    <n v="3749.2748269618701"/>
    <n v="9.7099674031585899"/>
    <n v="1.65164948375355"/>
    <n v="2.5431083822573499"/>
    <n v="0.43257855276819002"/>
    <n v="981.96130264367503"/>
    <n v="1300"/>
    <s v="Residential, High Density"/>
    <n v="1300"/>
    <s v="City of Cocoa Beach           Brevard County"/>
    <s v="City of Cocoa Beach"/>
    <m/>
    <m/>
    <m/>
    <n v="0"/>
    <n v="1"/>
    <n v="2.5431083822573499"/>
    <n v="0.43257855276819002"/>
    <n v="981.961302643675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2.510372681863"/>
    <n v="1059.9000040154201"/>
    <n v="0.7964000832"/>
  </r>
  <r>
    <n v="830000"/>
    <n v="2400000"/>
    <n v="2400000"/>
    <x v="0"/>
    <x v="0"/>
    <s v="BR3-5, BR-7"/>
    <s v="62-304.520 (10), F.A.C."/>
    <n v="0.59"/>
    <n v="0.64"/>
    <s v="City of Cocoa Beach"/>
    <n v="1.9586211440000001E-5"/>
    <n v="3747.2117851765402"/>
    <n v="10.398952070934399"/>
    <n v="1.8914477570213"/>
    <n v="2.0367607403E-4"/>
    <n v="3.7046295699999999E-5"/>
    <n v="7.3393682342419997E-2"/>
    <n v="1200"/>
    <s v="Residential, Medium Density-Two-five dwellingunits per acre"/>
    <n v="1200"/>
    <s v="City of Cocoa Beach           Brevard County"/>
    <s v="City of Cocoa Beach"/>
    <m/>
    <m/>
    <m/>
    <n v="0"/>
    <n v="1"/>
    <n v="2.0367607403E-4"/>
    <n v="3.7046295699999999E-5"/>
    <n v="7.3393682340640004E-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.9860995739262002"/>
    <n v="7.9262585562620003E-2"/>
    <n v="5.9524500000000002E-5"/>
  </r>
  <r>
    <n v="830000"/>
    <n v="2400000"/>
    <n v="2400000"/>
    <x v="0"/>
    <x v="0"/>
    <s v="BR3-5, BR-7"/>
    <s v="62-304.520 (10), F.A.C."/>
    <n v="0.59"/>
    <n v="0.64"/>
    <s v="City of Cocoa Beach"/>
    <n v="0.11382700047122001"/>
    <n v="3747.2117851765402"/>
    <n v="10.398952070934399"/>
    <n v="1.8914477570213"/>
    <n v="1.18368152227854"/>
    <n v="0.21529782472976"/>
    <n v="426.53387763708503"/>
    <n v="1300"/>
    <s v="Residential, High Density"/>
    <n v="1300"/>
    <s v="City of Cocoa Beach           Brevard County"/>
    <s v="City of Cocoa Beach"/>
    <m/>
    <m/>
    <m/>
    <n v="0"/>
    <n v="1"/>
    <n v="1.18368152227854"/>
    <n v="0.21529782472976"/>
    <n v="426.533877637085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9.17056452390801"/>
    <n v="460.64152789952101"/>
    <n v="0.34593177419999999"/>
  </r>
  <r>
    <n v="830000"/>
    <n v="2400000"/>
    <n v="2400000"/>
    <x v="0"/>
    <x v="0"/>
    <s v="BR3-5, BR-7"/>
    <s v="62-304.520 (10), F.A.C."/>
    <n v="0.59"/>
    <n v="0.64"/>
    <s v="FDOT District 5"/>
    <n v="7.5776904242799994E-2"/>
    <n v="3747.2117851765402"/>
    <n v="10.398952070934399"/>
    <n v="1.8914477570213"/>
    <n v="0.78800039530471999"/>
    <n v="0.14332805556406999"/>
    <n v="283.952108622836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78800039530471999"/>
    <n v="0.14332805556406999"/>
    <n v="283.952108622838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1.66245841268"/>
    <n v="306.65825160459099"/>
    <n v="0.230293681"/>
  </r>
  <r>
    <n v="830000"/>
    <n v="2400000"/>
    <n v="2400000"/>
    <x v="0"/>
    <x v="0"/>
    <s v="BR3-5, BR-7"/>
    <s v="62-304.520 (10), F.A.C."/>
    <n v="0.59"/>
    <n v="0.64"/>
    <s v="City of Cocoa Beach"/>
    <n v="0.16387667918382001"/>
    <n v="3747.2117851765402"/>
    <n v="10.398952070934399"/>
    <n v="1.8914477570213"/>
    <n v="1.7041457323764899"/>
    <n v="0.30996417727033998"/>
    <n v="614.08062355322397"/>
    <n v="1210"/>
    <s v="Fixed Single Family Units"/>
    <n v="1210"/>
    <s v="City of Cocoa Beach           Brevard County"/>
    <s v="City of Cocoa Beach"/>
    <m/>
    <m/>
    <m/>
    <n v="0"/>
    <n v="1"/>
    <n v="1.7041457323764899"/>
    <n v="0.30996417727033998"/>
    <n v="614.080623553223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7.9794624403"/>
    <n v="663.18539163664605"/>
    <n v="0.4980378131"/>
  </r>
  <r>
    <n v="830000"/>
    <n v="2400000"/>
    <n v="2400000"/>
    <x v="0"/>
    <x v="0"/>
    <s v="BR3-5, BR-7"/>
    <s v="62-304.520 (10), F.A.C."/>
    <n v="0.59"/>
    <n v="0.64"/>
    <s v="City of Cocoa Beach"/>
    <n v="0.26426329487674999"/>
    <n v="3747.2117851765402"/>
    <n v="10.398952070934399"/>
    <n v="1.8914477570213"/>
    <n v="2.7480613375305998"/>
    <n v="0.49984021635769998"/>
    <n v="990.25053295176804"/>
    <n v="1300"/>
    <s v="Residential, High Density"/>
    <n v="1300"/>
    <s v="City of Cocoa Beach           Brevard County"/>
    <s v="City of Cocoa Beach"/>
    <m/>
    <m/>
    <m/>
    <n v="0"/>
    <n v="1"/>
    <n v="2.7480613375305998"/>
    <n v="0.49984021635769998"/>
    <n v="990.250532951768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5.47129271765201"/>
    <n v="1069.4356120765799"/>
    <n v="0.80312289780000001"/>
  </r>
  <r>
    <n v="830000"/>
    <n v="2400000"/>
    <n v="2400000"/>
    <x v="0"/>
    <x v="0"/>
    <s v="BR3-5, BR-7"/>
    <s v="62-304.520 (10), F.A.C."/>
    <n v="0.59"/>
    <n v="0.64"/>
    <s v="City of Cocoa Beach"/>
    <n v="1.54005529718E-3"/>
    <n v="3779.8564071375999"/>
    <n v="11.612850411479"/>
    <n v="1.5331968048401501"/>
    <n v="1.7884431791560001E-2"/>
    <n v="2.3612078609100001E-3"/>
    <n v="5.8211878823958001"/>
    <n v="1400"/>
    <s v="Commercial and Services"/>
    <n v="1400"/>
    <s v="City of Cocoa Beach           Brevard County"/>
    <s v="City of Cocoa Beach"/>
    <m/>
    <m/>
    <m/>
    <n v="0"/>
    <n v="1"/>
    <n v="1.7884431791560001E-2"/>
    <n v="2.3612078609100001E-3"/>
    <n v="7.093641127536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2.441618255490894"/>
    <n v="6.23238267024837"/>
    <n v="5.7531557999999997E-3"/>
  </r>
  <r>
    <n v="830000"/>
    <n v="2400000"/>
    <n v="2400000"/>
    <x v="0"/>
    <x v="0"/>
    <s v="BR3-5, BR-7"/>
    <s v="62-304.520 (10), F.A.C."/>
    <n v="0.59"/>
    <n v="0.64"/>
    <s v="FDOT District 5"/>
    <n v="0.11754804427453"/>
    <n v="3779.8564071375999"/>
    <n v="11.612850411479"/>
    <n v="1.5331968048401501"/>
    <n v="1.36506785432211"/>
    <n v="0.18022428589691999"/>
    <n v="444.314728297602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36506785432211"/>
    <n v="0.18022428589691999"/>
    <n v="548.539115049278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503132221396"/>
    <n v="475.70005791296802"/>
    <n v="0.44488168290000002"/>
  </r>
  <r>
    <n v="830000"/>
    <n v="2400000"/>
    <n v="2400000"/>
    <x v="0"/>
    <x v="0"/>
    <s v="BR3-5, BR-7"/>
    <s v="62-304.520 (10), F.A.C."/>
    <n v="0.59"/>
    <n v="0.64"/>
    <s v="City of Cocoa Beach"/>
    <n v="0.38409988507914999"/>
    <n v="3779.8564071375999"/>
    <n v="11.612850411479"/>
    <n v="1.5331968048401501"/>
    <n v="4.4604945084904903"/>
    <n v="0.58890071654281995"/>
    <n v="1451.84241159724"/>
    <n v="1410"/>
    <s v="Retail Sales and Services"/>
    <n v="1410"/>
    <s v="City of Cocoa Beach           Brevard County"/>
    <s v="City of Cocoa Beach"/>
    <m/>
    <m/>
    <m/>
    <n v="0"/>
    <n v="1"/>
    <n v="4.4604945084904903"/>
    <n v="0.58890071654281995"/>
    <n v="1779.4243913084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7.798998899629"/>
    <n v="1554.39708677566"/>
    <n v="1.4431665785000001"/>
  </r>
  <r>
    <n v="830000"/>
    <n v="2400000"/>
    <n v="2400000"/>
    <x v="0"/>
    <x v="0"/>
    <s v="BR3-5, BR-7"/>
    <s v="62-304.520 (10), F.A.C."/>
    <n v="0.59"/>
    <n v="0.64"/>
    <s v="City of Cocoa Beach"/>
    <n v="0.42507599330031998"/>
    <n v="3750.70176535071"/>
    <n v="10.5397343980255"/>
    <n v="1.9571307316350099"/>
    <n v="4.4801880683623398"/>
    <n v="0.83192928976835001"/>
    <n v="1594.3332784797501"/>
    <n v="1300"/>
    <s v="Residential, High Density"/>
    <n v="1300"/>
    <s v="City of Cocoa Beach           Brevard County"/>
    <s v="City of Cocoa Beach"/>
    <m/>
    <m/>
    <m/>
    <n v="0"/>
    <n v="1"/>
    <n v="4.4801880683623398"/>
    <n v="0.83192928976835001"/>
    <n v="1594.3332784797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8.826700750409"/>
    <n v="1720.2215134954899"/>
    <n v="1.2930521317999999"/>
  </r>
  <r>
    <n v="830000"/>
    <n v="2400000"/>
    <n v="2400000"/>
    <x v="0"/>
    <x v="0"/>
    <s v="BR3-5, BR-7"/>
    <s v="62-304.520 (10), F.A.C."/>
    <n v="0.59"/>
    <n v="0.64"/>
    <s v="City of Cocoa Beach"/>
    <n v="3.6153138801E-4"/>
    <n v="3750.70176535071"/>
    <n v="10.5397343980255"/>
    <n v="1.9571307316350099"/>
    <n v="3.8104448062000001E-3"/>
    <n v="7.0756418993000005E-4"/>
    <n v="1.35599641525005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3.8104448062000001E-3"/>
    <n v="7.0756418993000005E-4"/>
    <n v="1.3559964152515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2.448676331345698"/>
    <n v="1.46306561948119"/>
    <n v="1.0997538E-3"/>
  </r>
  <r>
    <n v="830000"/>
    <n v="2400000"/>
    <n v="2400000"/>
    <x v="0"/>
    <x v="0"/>
    <s v="BR3-5, BR-7"/>
    <s v="62-304.520 (10), F.A.C."/>
    <n v="0.59"/>
    <n v="0.64"/>
    <s v="City of Cocoa Beach"/>
    <n v="2.798785785206E-2"/>
    <n v="3750.70176535071"/>
    <n v="10.5397343980255"/>
    <n v="1.9571307316350099"/>
    <n v="0.29498458813042"/>
    <n v="5.4775896714899998E-2"/>
    <n v="104.97410785411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9498458813042"/>
    <n v="5.4775896714899998E-2"/>
    <n v="104.974107854112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262803535588802"/>
    <n v="113.262842297834"/>
    <n v="8.5137151499999994E-2"/>
  </r>
  <r>
    <n v="830000"/>
    <n v="2400000"/>
    <n v="2400000"/>
    <x v="0"/>
    <x v="0"/>
    <s v="BR3-5, BR-7"/>
    <s v="62-304.520 (10), F.A.C."/>
    <n v="0.59"/>
    <n v="0.64"/>
    <s v="City of Cocoa Beach"/>
    <n v="4.7720784678999997E-2"/>
    <n v="3750.70176535071"/>
    <n v="10.5397343980255"/>
    <n v="1.9571307316350099"/>
    <n v="0.50296439578207996"/>
    <n v="9.339581423302E-2"/>
    <n v="178.986431339468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50296439578207996"/>
    <n v="9.339581423302E-2"/>
    <n v="178.98643133946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1.0663757867543"/>
    <n v="193.119163960202"/>
    <n v="0.14516336690000001"/>
  </r>
  <r>
    <n v="830000"/>
    <n v="2400000"/>
    <n v="2400000"/>
    <x v="0"/>
    <x v="0"/>
    <s v="BR3-5, BR-7"/>
    <s v="62-304.520 (10), F.A.C."/>
    <n v="0.59"/>
    <n v="0.64"/>
    <s v="City of Cocoa Beach"/>
    <n v="9.1892182063800006E-3"/>
    <n v="3750.70176535071"/>
    <n v="10.5397343980255"/>
    <n v="1.9571307316350099"/>
    <n v="9.6851919220769994E-2"/>
    <n v="1.7984501351409998E-2"/>
    <n v="34.4660169488736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9.6851919220769994E-2"/>
    <n v="1.7984501351409998E-2"/>
    <n v="34.466016948875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2324806679222"/>
    <n v="37.187446715337998"/>
    <n v="2.7952973999999998E-2"/>
  </r>
  <r>
    <n v="830000"/>
    <n v="2400000"/>
    <n v="2400000"/>
    <x v="0"/>
    <x v="0"/>
    <s v="BR3-5, BR-7"/>
    <s v="62-304.520 (10), F.A.C."/>
    <n v="0.59"/>
    <n v="0.64"/>
    <s v="City of Cocoa Beach"/>
    <n v="0.10742806831116"/>
    <n v="3750.70176535071"/>
    <n v="10.5397343980255"/>
    <n v="1.9571307316350099"/>
    <n v="1.13226330689257"/>
    <n v="0.21025077393194999"/>
    <n v="402.93064546288798"/>
    <n v="1210"/>
    <s v="Fixed Single Family Units"/>
    <n v="1210"/>
    <s v="City of Cocoa Beach           Brevard County"/>
    <s v="City of Cocoa Beach"/>
    <m/>
    <m/>
    <m/>
    <n v="0"/>
    <n v="1"/>
    <n v="1.13226330689257"/>
    <n v="0.21025077393194999"/>
    <n v="402.93064546288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7.427065509652394"/>
    <n v="434.74596819104602"/>
    <n v="0.32678884470000003"/>
  </r>
  <r>
    <n v="830000"/>
    <n v="2400000"/>
    <n v="2400000"/>
    <x v="0"/>
    <x v="0"/>
    <s v="BR3-5, BR-7"/>
    <s v="62-304.520 (10), F.A.C."/>
    <n v="0.59"/>
    <n v="0.64"/>
    <s v="City of Cocoa Beach"/>
    <n v="2.7393443572889999E-2"/>
    <n v="3770.6719591851202"/>
    <n v="11.2297498236424"/>
    <n v="1.79496199580031"/>
    <n v="0.30762151813166"/>
    <n v="4.917019014744E-2"/>
    <n v="103.29168954583101"/>
    <n v="1400"/>
    <s v="Commercial and Services"/>
    <n v="1400"/>
    <s v="City of Cocoa Beach           Brevard County"/>
    <s v="City of Cocoa Beach"/>
    <m/>
    <m/>
    <m/>
    <n v="0"/>
    <n v="1"/>
    <n v="0.30762151813166"/>
    <n v="4.917019014744E-2"/>
    <n v="253.93073254391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5.020779630521503"/>
    <n v="110.857333054618"/>
    <n v="0.20594544410000001"/>
  </r>
  <r>
    <n v="830000"/>
    <n v="2400000"/>
    <n v="2400000"/>
    <x v="0"/>
    <x v="0"/>
    <s v="BR3-5, BR-7"/>
    <s v="62-304.520 (10), F.A.C."/>
    <n v="0.59"/>
    <n v="0.64"/>
    <s v="FDOT District 5"/>
    <n v="6.5652473652620003E-2"/>
    <n v="3770.6719591851202"/>
    <n v="11.2297498236424"/>
    <n v="1.79496199580031"/>
    <n v="0.73726085442224998"/>
    <n v="0.11784369513674001"/>
    <n v="247.55394145309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73726085442224998"/>
    <n v="0.11784369513674001"/>
    <n v="325.49442020341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9.848105139852294"/>
    <n v="265.686134647573"/>
    <n v="0.26398574229999999"/>
  </r>
  <r>
    <n v="830000"/>
    <n v="2400000"/>
    <n v="2400000"/>
    <x v="0"/>
    <x v="0"/>
    <s v="BR3-5, BR-7"/>
    <s v="62-304.520 (10), F.A.C."/>
    <n v="0.59"/>
    <n v="0.64"/>
    <s v="City of Cocoa Beach"/>
    <n v="1.069489968976E-2"/>
    <n v="3770.6719591851202"/>
    <n v="11.2297498236424"/>
    <n v="1.79496199580031"/>
    <n v="0.12010104790499"/>
    <n v="1.9196938492020001E-2"/>
    <n v="40.326958366486998"/>
    <n v="1410"/>
    <s v="Retail Sales and Services"/>
    <n v="1410"/>
    <s v="City of Cocoa Beach           Brevard County"/>
    <s v="City of Cocoa Beach"/>
    <m/>
    <m/>
    <m/>
    <n v="0"/>
    <n v="1"/>
    <n v="0.12010104790499"/>
    <n v="1.9196938492020001E-2"/>
    <n v="43.6584099009772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5.536950462253699"/>
    <n v="43.280723496440103"/>
    <n v="3.54082805E-2"/>
  </r>
  <r>
    <n v="830000"/>
    <n v="2400000"/>
    <n v="2500000"/>
    <x v="0"/>
    <x v="0"/>
    <s v="BR3-5, BR-7"/>
    <s v="62-304.520 (10), F.A.C."/>
    <n v="0.59"/>
    <n v="0.64"/>
    <s v="City of Cocoa Beach"/>
    <n v="0.10937721643812"/>
    <n v="3715.5859497668598"/>
    <n v="9.4652889878903306"/>
    <n v="1.4621859034937801"/>
    <n v="1.03528696227784"/>
    <n v="0.1599298240392"/>
    <n v="406.40044862209197"/>
    <n v="1210"/>
    <s v="Fixed Single Family Units"/>
    <n v="1210"/>
    <s v="City of Cocoa Beach           Brevard County"/>
    <s v="City of Cocoa Beach"/>
    <m/>
    <m/>
    <m/>
    <n v="0"/>
    <n v="1"/>
    <n v="1.03528696227784"/>
    <n v="0.1599298240392"/>
    <n v="406.400448622091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146868974139"/>
    <n v="442.633890806843"/>
    <n v="0.32960295909999998"/>
  </r>
  <r>
    <n v="830000"/>
    <n v="2400000"/>
    <n v="2500000"/>
    <x v="0"/>
    <x v="0"/>
    <s v="BR3-5, BR-7"/>
    <s v="62-304.520 (10), F.A.C."/>
    <n v="0.59"/>
    <n v="0.64"/>
    <s v="City of Cocoa Beach"/>
    <n v="0.17722859505034999"/>
    <n v="3715.5859497668598"/>
    <n v="9.4652889878903306"/>
    <n v="1.4621859034937801"/>
    <n v="1.67751986906937"/>
    <n v="0.25914115337862997"/>
    <n v="658.50807766600894"/>
    <n v="1210"/>
    <s v="Fixed Single Family Units"/>
    <n v="1210"/>
    <s v="City of Cocoa Beach           Brevard County"/>
    <s v="City of Cocoa Beach"/>
    <m/>
    <m/>
    <m/>
    <n v="0"/>
    <n v="1"/>
    <n v="1.67751986906937"/>
    <n v="0.25914115337862997"/>
    <n v="658.5080776660089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8.731789266733"/>
    <n v="717.21867811244499"/>
    <n v="0.5340698116"/>
  </r>
  <r>
    <n v="830000"/>
    <n v="2400000"/>
    <n v="2500000"/>
    <x v="0"/>
    <x v="0"/>
    <s v="BR3-5, BR-7"/>
    <s v="62-304.520 (10), F.A.C."/>
    <n v="0.59"/>
    <n v="0.64"/>
    <s v="City of Cocoa Beach"/>
    <n v="0.24320777642870001"/>
    <n v="3715.5859497668598"/>
    <n v="9.4652889878903306"/>
    <n v="1.4621859034937801"/>
    <n v="2.3020318879999202"/>
    <n v="0.35561498231411998"/>
    <n v="903.65939697254203"/>
    <n v="1210"/>
    <s v="Fixed Single Family Units"/>
    <n v="1210"/>
    <s v="City of Cocoa Beach           Brevard County"/>
    <s v="City of Cocoa Beach"/>
    <m/>
    <m/>
    <m/>
    <n v="0"/>
    <n v="1"/>
    <n v="2.3020318879999202"/>
    <n v="0.35561498231411998"/>
    <n v="903.659396972542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1.74983332824101"/>
    <n v="984.22695201813303"/>
    <n v="0.73289488810000003"/>
  </r>
  <r>
    <n v="830000"/>
    <n v="2400000"/>
    <n v="2500000"/>
    <x v="0"/>
    <x v="0"/>
    <s v="BR3-5, BR-7"/>
    <s v="62-304.520 (10), F.A.C."/>
    <n v="0.59"/>
    <n v="0.64"/>
    <s v="City of Cocoa Beach"/>
    <n v="1.520030603556E-2"/>
    <n v="3715.5859497668598"/>
    <n v="9.4652889878903306"/>
    <n v="1.4621859034937801"/>
    <n v="0.14387528933093999"/>
    <n v="2.2225673213980002E-2"/>
    <n v="56.478043537883202"/>
    <n v="1300"/>
    <s v="Residential, High Density"/>
    <n v="1300"/>
    <s v="City of Cocoa Beach           Brevard County"/>
    <s v="City of Cocoa Beach"/>
    <m/>
    <m/>
    <m/>
    <n v="0"/>
    <n v="1"/>
    <n v="0.14387528933093999"/>
    <n v="2.2225673213980002E-2"/>
    <n v="56.478043537885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823501939968001"/>
    <n v="61.513456102453397"/>
    <n v="4.5805388099999997E-2"/>
  </r>
  <r>
    <n v="830000"/>
    <n v="2400000"/>
    <n v="2500000"/>
    <x v="0"/>
    <x v="0"/>
    <s v="BR3-5, BR-7"/>
    <s v="62-304.520 (10), F.A.C."/>
    <n v="0.59"/>
    <n v="0.64"/>
    <s v="City of Cocoa Beach"/>
    <n v="1.9101598353040001E-2"/>
    <n v="3715.5859497668598"/>
    <n v="9.4652889878903306"/>
    <n v="1.4621859034937801"/>
    <n v="0.1808021485422"/>
    <n v="2.793008784602E-2"/>
    <n v="70.97363045867129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808021485422"/>
    <n v="2.793008784602E-2"/>
    <n v="70.9736304586712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5.544138863494602"/>
    <n v="77.301425973133504"/>
    <n v="5.7561744099999999E-2"/>
  </r>
  <r>
    <n v="830000"/>
    <n v="2400000"/>
    <n v="2500000"/>
    <x v="0"/>
    <x v="0"/>
    <s v="BR3-5, BR-7"/>
    <s v="62-304.520 (10), F.A.C."/>
    <n v="0.59"/>
    <n v="0.64"/>
    <s v="City of Cocoa Beach"/>
    <n v="5.3647961224040003E-2"/>
    <n v="3715.5859497668598"/>
    <n v="9.4652889878903306"/>
    <n v="1.4621859034937801"/>
    <n v="0.50779345659673003"/>
    <n v="7.8443292652980001E-2"/>
    <n v="199.333610957703"/>
    <n v="1300"/>
    <s v="Residential, High Density"/>
    <n v="1300"/>
    <s v="City of Cocoa Beach           Brevard County"/>
    <s v="City of Cocoa Beach"/>
    <m/>
    <m/>
    <m/>
    <n v="0"/>
    <n v="1"/>
    <n v="0.50779345659673003"/>
    <n v="7.8443292652980001E-2"/>
    <n v="199.3336109577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314826628748094"/>
    <n v="217.105596428197"/>
    <n v="0.1616655401"/>
  </r>
  <r>
    <n v="830000"/>
    <n v="2400000"/>
    <n v="2500000"/>
    <x v="0"/>
    <x v="0"/>
    <s v="BR3-5, BR-7"/>
    <s v="62-304.520 (10), F.A.C."/>
    <n v="0.59"/>
    <n v="0.64"/>
    <s v="City of Cocoa Beach"/>
    <n v="5.0944896163339998E-2"/>
    <n v="3756.5087152749502"/>
    <n v="10.731421619887399"/>
    <n v="2.04574033894882"/>
    <n v="0.54671116011017995"/>
    <n v="0.1042200291449"/>
    <n v="191.37494643636401"/>
    <n v="1200"/>
    <s v="Residential, Medium Density-Two-five dwellingunits per acre"/>
    <n v="1200"/>
    <s v="City of Cocoa Beach           Brevard County"/>
    <s v="City of Cocoa Beach"/>
    <m/>
    <m/>
    <m/>
    <n v="0"/>
    <n v="1"/>
    <n v="0.54671116011017995"/>
    <n v="0.1042200291449"/>
    <n v="191.37494643636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5.043430203131"/>
    <n v="206.16668022711499"/>
    <n v="0.1552108244"/>
  </r>
  <r>
    <n v="830000"/>
    <n v="2400000"/>
    <n v="2500000"/>
    <x v="0"/>
    <x v="0"/>
    <s v="BR3-5, BR-7"/>
    <s v="62-304.520 (10), F.A.C."/>
    <n v="0.59"/>
    <n v="0.64"/>
    <s v="City of Cocoa Beach"/>
    <n v="1.6439446963829998E-2"/>
    <n v="3756.5087152749502"/>
    <n v="10.731421619887399"/>
    <n v="2.04574033894882"/>
    <n v="0.17641863656667001"/>
    <n v="3.3630839803920003E-2"/>
    <n v="61.754925793939002"/>
    <n v="1210"/>
    <s v="Fixed Single Family Units"/>
    <n v="1210"/>
    <s v="City of Cocoa Beach           Brevard County"/>
    <s v="City of Cocoa Beach"/>
    <m/>
    <m/>
    <m/>
    <n v="0"/>
    <n v="1"/>
    <n v="0.17641863656667001"/>
    <n v="3.3630839803920003E-2"/>
    <n v="61.7549257939375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3.5370042823278"/>
    <n v="66.528081526290094"/>
    <n v="5.0085098000000002E-2"/>
  </r>
  <r>
    <n v="830000"/>
    <n v="2400000"/>
    <n v="2500000"/>
    <x v="0"/>
    <x v="0"/>
    <s v="BR3-5, BR-7"/>
    <s v="62-304.520 (10), F.A.C."/>
    <n v="0.59"/>
    <n v="0.64"/>
    <s v="City of Cocoa Beach"/>
    <n v="2.1090128194599999E-2"/>
    <n v="3756.5087152749502"/>
    <n v="10.731421619887399"/>
    <n v="2.04574033894882"/>
    <n v="0.22632705767375999"/>
    <n v="4.3144926001300002E-2"/>
    <n v="79.225250369292098"/>
    <n v="1210"/>
    <s v="Fixed Single Family Units"/>
    <n v="1210"/>
    <s v="City of Cocoa Beach           Brevard County"/>
    <s v="City of Cocoa Beach"/>
    <m/>
    <m/>
    <m/>
    <n v="0"/>
    <n v="1"/>
    <n v="0.22632705767375999"/>
    <n v="4.3144926001300002E-2"/>
    <n v="79.225250369292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2.177060158984098"/>
    <n v="85.348720733568399"/>
    <n v="6.4254055399999996E-2"/>
  </r>
  <r>
    <n v="830000"/>
    <n v="2400000"/>
    <n v="2500000"/>
    <x v="0"/>
    <x v="0"/>
    <s v="BR3-5, BR-7"/>
    <s v="62-304.520 (10), F.A.C."/>
    <n v="0.59"/>
    <n v="0.64"/>
    <s v="City of Cocoa Beach"/>
    <n v="0.11674249783090999"/>
    <n v="3718.2889623159799"/>
    <n v="9.5841963074588996"/>
    <n v="1.5179571950383"/>
    <n v="1.11888301663457"/>
    <n v="0.17721011454918001"/>
    <n v="434.08234111788499"/>
    <n v="1200"/>
    <s v="Residential, Medium Density-Two-five dwellingunits per acre"/>
    <n v="1200"/>
    <s v="City of Cocoa Beach           Brevard County"/>
    <s v="City of Cocoa Beach"/>
    <m/>
    <m/>
    <m/>
    <n v="0"/>
    <n v="1"/>
    <n v="1.11888301663457"/>
    <n v="0.17721011454918001"/>
    <n v="434.08234111788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9.21606556499401"/>
    <n v="472.44012711405401"/>
    <n v="0.35205380460000002"/>
  </r>
  <r>
    <n v="830000"/>
    <n v="2400000"/>
    <n v="2500000"/>
    <x v="0"/>
    <x v="0"/>
    <s v="BR3-5, BR-7"/>
    <s v="62-304.520 (10), F.A.C."/>
    <n v="0.59"/>
    <n v="0.64"/>
    <s v="City of Cocoa Beach"/>
    <n v="0.10981233869581"/>
    <n v="3718.2889623159799"/>
    <n v="9.5841963074588996"/>
    <n v="1.5179571950383"/>
    <n v="1.0524630110418001"/>
    <n v="0.16669042962728001"/>
    <n v="408.31400689873499"/>
    <n v="1300"/>
    <s v="Residential, High Density"/>
    <n v="1300"/>
    <s v="City of Cocoa Beach           Brevard County"/>
    <s v="City of Cocoa Beach"/>
    <m/>
    <m/>
    <m/>
    <n v="0"/>
    <n v="1"/>
    <n v="1.0524630110418001"/>
    <n v="0.16669042962728001"/>
    <n v="408.31400689873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2.15135258127999"/>
    <n v="444.39476810990197"/>
    <n v="0.33115491229999999"/>
  </r>
  <r>
    <n v="830000"/>
    <n v="2400000"/>
    <n v="2500000"/>
    <x v="0"/>
    <x v="0"/>
    <s v="BR3-5, BR-7"/>
    <s v="62-304.520 (10), F.A.C."/>
    <n v="0.59"/>
    <n v="0.64"/>
    <s v="City of Cocoa Beach"/>
    <n v="7.979087046385E-2"/>
    <n v="3718.2889623159799"/>
    <n v="9.5841963074588996"/>
    <n v="1.5179571950383"/>
    <n v="0.76473136606860004"/>
    <n v="0.12111912591897001"/>
    <n v="296.68551293933302"/>
    <n v="1210"/>
    <s v="Fixed Single Family Units"/>
    <n v="1210"/>
    <s v="City of Cocoa Beach           Brevard County"/>
    <s v="City of Cocoa Beach"/>
    <m/>
    <m/>
    <m/>
    <n v="0"/>
    <n v="1"/>
    <n v="0.76473136606860004"/>
    <n v="0.12111912591897001"/>
    <n v="296.685512939333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5.4796190506177"/>
    <n v="322.902196585534"/>
    <n v="0.240620854"/>
  </r>
  <r>
    <n v="830000"/>
    <n v="2400000"/>
    <n v="2500000"/>
    <x v="0"/>
    <x v="0"/>
    <s v="BR3-5, BR-7"/>
    <s v="62-304.520 (10), F.A.C."/>
    <n v="0.59"/>
    <n v="0.64"/>
    <s v="City of Cocoa Beach"/>
    <n v="2.6143965694419999E-2"/>
    <n v="3718.2889623159799"/>
    <n v="9.5841963074588996"/>
    <n v="1.5179571950383"/>
    <n v="0.25056889947085997"/>
    <n v="3.9685420832689999E-2"/>
    <n v="97.210819072759506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0.25056889947085997"/>
    <n v="3.9685420832689999E-2"/>
    <n v="97.210819072757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172886620177799"/>
    <n v="105.80087547749901"/>
    <n v="7.8840891400000002E-2"/>
  </r>
  <r>
    <n v="830000"/>
    <n v="2400000"/>
    <n v="2500000"/>
    <x v="0"/>
    <x v="0"/>
    <s v="BR3-5, BR-7"/>
    <s v="62-304.520 (10), F.A.C."/>
    <n v="0.59"/>
    <n v="0.64"/>
    <s v="City of Cocoa Beach"/>
    <n v="0.15126064339528"/>
    <n v="3718.2889623159799"/>
    <n v="9.5841963074588996"/>
    <n v="1.5179571950383"/>
    <n v="1.44971169989298"/>
    <n v="0.22960718196800001"/>
    <n v="562.43078076951701"/>
    <n v="1210"/>
    <s v="Fixed Single Family Units"/>
    <n v="1210"/>
    <s v="City of Cocoa Beach           Brevard County"/>
    <s v="City of Cocoa Beach"/>
    <m/>
    <m/>
    <m/>
    <n v="0"/>
    <n v="1"/>
    <n v="1.44971169989298"/>
    <n v="0.22960718196800001"/>
    <n v="562.43078076951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9.265606778015"/>
    <n v="612.13010618058001"/>
    <n v="0.45614824069999999"/>
  </r>
  <r>
    <n v="830000"/>
    <n v="2400000"/>
    <n v="2500000"/>
    <x v="0"/>
    <x v="0"/>
    <s v="BR3-5, BR-7"/>
    <s v="62-304.520 (10), F.A.C."/>
    <n v="0.59"/>
    <n v="0.64"/>
    <s v="City of Cocoa Beach"/>
    <n v="0.13401313758760999"/>
    <n v="3718.2889623159799"/>
    <n v="9.5841963074588996"/>
    <n v="1.5179571950383"/>
    <n v="1.2844082184182399"/>
    <n v="0.20342620643077999"/>
    <n v="498.29957029737699"/>
    <n v="1210"/>
    <s v="Fixed Single Family Units"/>
    <n v="1210"/>
    <s v="City of Cocoa Beach           Brevard County"/>
    <s v="City of Cocoa Beach"/>
    <m/>
    <m/>
    <m/>
    <n v="0"/>
    <n v="1"/>
    <n v="1.2844082184182399"/>
    <n v="0.20342620643077999"/>
    <n v="498.29957029737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41984326572"/>
    <n v="542.33192653242895"/>
    <n v="0.40413590449999998"/>
  </r>
  <r>
    <n v="830000"/>
    <n v="2400000"/>
    <n v="2500000"/>
    <x v="0"/>
    <x v="0"/>
    <s v="BR3-5, BR-7"/>
    <s v="62-304.520 (10), F.A.C."/>
    <n v="0.59"/>
    <n v="0.64"/>
    <s v="City of Cocoa Beach"/>
    <n v="7.9392901353699998E-3"/>
    <n v="3754.9419571742701"/>
    <n v="10.573213638594"/>
    <n v="1.9829423717950501"/>
    <n v="8.3943810740050001E-2"/>
    <n v="1.5743154811400002E-2"/>
    <n v="29.811573639480599"/>
    <n v="1200"/>
    <s v="Residential, Medium Density-Two-five dwellingunits per acre"/>
    <n v="1200"/>
    <s v="City of Cocoa Beach           Brevard County"/>
    <s v="City of Cocoa Beach"/>
    <m/>
    <m/>
    <m/>
    <n v="0"/>
    <n v="1"/>
    <n v="8.3943810740050001E-2"/>
    <n v="1.5743154811400002E-2"/>
    <n v="29.8115736394789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7.4240621387993"/>
    <n v="32.129167273617199"/>
    <n v="2.4178080800000001E-2"/>
  </r>
  <r>
    <n v="830000"/>
    <n v="2400000"/>
    <n v="2500000"/>
    <x v="0"/>
    <x v="0"/>
    <s v="BR3-5, BR-7"/>
    <s v="62-304.520 (10), F.A.C."/>
    <n v="0.59"/>
    <n v="0.64"/>
    <s v="City of Cocoa Beach"/>
    <n v="4.4504225028900004E-3"/>
    <n v="3754.9419571742701"/>
    <n v="10.573213638594"/>
    <n v="1.9829423717950501"/>
    <n v="4.7055267905119998E-2"/>
    <n v="8.82493135338E-3"/>
    <n v="16.711078183276701"/>
    <n v="1210"/>
    <s v="Fixed Single Family Units"/>
    <n v="1210"/>
    <s v="City of Cocoa Beach           Brevard County"/>
    <s v="City of Cocoa Beach"/>
    <m/>
    <m/>
    <m/>
    <n v="0"/>
    <n v="1"/>
    <n v="4.7055267905119998E-2"/>
    <n v="8.82493135338E-3"/>
    <n v="16.711078183276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.3043160399051"/>
    <n v="18.010220888237502"/>
    <n v="1.35531859E-2"/>
  </r>
  <r>
    <n v="830000"/>
    <n v="2400000"/>
    <n v="2500000"/>
    <x v="0"/>
    <x v="0"/>
    <s v="BR3-5, BR-7"/>
    <s v="62-304.520 (10), F.A.C."/>
    <n v="0.59"/>
    <n v="0.64"/>
    <s v="City of Cocoa Beach"/>
    <n v="1.9637717179849998E-2"/>
    <n v="3754.9419571742701"/>
    <n v="10.573213638594"/>
    <n v="1.9829423717950501"/>
    <n v="0.20763377911684"/>
    <n v="3.8940461481250001E-2"/>
    <n v="73.738488181740806"/>
    <n v="1210"/>
    <s v="Fixed Single Family Units"/>
    <n v="1210"/>
    <s v="City of Cocoa Beach           Brevard County"/>
    <s v="City of Cocoa Beach"/>
    <m/>
    <m/>
    <m/>
    <n v="0"/>
    <n v="1"/>
    <n v="0.20763377911684"/>
    <n v="3.8940461481250001E-2"/>
    <n v="73.738488181739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3.321282615193702"/>
    <n v="79.471021890549295"/>
    <n v="5.9804126700000002E-2"/>
  </r>
  <r>
    <n v="830000"/>
    <n v="2400000"/>
    <n v="2500000"/>
    <x v="0"/>
    <x v="0"/>
    <s v="BR3-5, BR-7"/>
    <s v="62-304.520 (10), F.A.C."/>
    <n v="0.59"/>
    <n v="0.64"/>
    <s v="City of Cocoa Beach"/>
    <n v="1.53715841693E-2"/>
    <n v="3754.9419571742701"/>
    <n v="10.573213638594"/>
    <n v="1.9829423717950501"/>
    <n v="0.16252704338564"/>
    <n v="3.0480965570909999E-2"/>
    <n v="57.719406345540399"/>
    <n v="1210"/>
    <s v="Fixed Single Family Units"/>
    <n v="1210"/>
    <s v="City of Cocoa Beach           Brevard County"/>
    <s v="City of Cocoa Beach"/>
    <m/>
    <m/>
    <m/>
    <n v="0"/>
    <n v="1"/>
    <n v="0.16252704338564"/>
    <n v="3.0480965570909999E-2"/>
    <n v="57.719406345541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8.936063096978501"/>
    <n v="62.206594117995003"/>
    <n v="4.6812170600000001E-2"/>
  </r>
  <r>
    <n v="830000"/>
    <n v="2400000"/>
    <n v="2500000"/>
    <x v="0"/>
    <x v="0"/>
    <s v="BR3-5, BR-7"/>
    <s v="62-304.520 (10), F.A.C."/>
    <n v="0.59"/>
    <n v="0.64"/>
    <s v="City of Cocoa Beach"/>
    <n v="1.93286911079E-3"/>
    <n v="3836.9997908334099"/>
    <n v="9.6815867831486493"/>
    <n v="1.5396771592604801"/>
    <n v="1.8713240036620001E-2"/>
    <n v="2.9759944217299999E-3"/>
    <n v="7.4164183738287797"/>
    <n v="1400"/>
    <s v="Commercial and Services"/>
    <n v="1400"/>
    <s v="City of Cocoa Beach           Brevard County"/>
    <s v="City of Cocoa Beach"/>
    <m/>
    <m/>
    <m/>
    <n v="0"/>
    <n v="1"/>
    <n v="1.8713240036620001E-2"/>
    <n v="2.9759944217299999E-3"/>
    <n v="7.41641837382717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360087563539"/>
    <n v="7.8220437746776197"/>
    <n v="6.0149378999999996E-3"/>
  </r>
  <r>
    <n v="830000"/>
    <n v="2400000"/>
    <n v="2500000"/>
    <x v="0"/>
    <x v="0"/>
    <s v="BR3-5, BR-7"/>
    <s v="62-304.520 (10), F.A.C."/>
    <n v="0.59"/>
    <n v="0.64"/>
    <s v="FDOT District 5"/>
    <n v="4.3420009761590002E-2"/>
    <n v="3836.9997908334099"/>
    <n v="9.6815867831486493"/>
    <n v="1.5396771592604801"/>
    <n v="0.42037459263207"/>
    <n v="6.6852797284799995E-2"/>
    <n v="166.602568373236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2037459263207"/>
    <n v="6.6852797284799995E-2"/>
    <n v="166.60256837323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0978307033"/>
    <n v="175.71454536439401"/>
    <n v="0.1351196824"/>
  </r>
  <r>
    <n v="830000"/>
    <n v="2400000"/>
    <n v="2500000"/>
    <x v="0"/>
    <x v="0"/>
    <s v="BR3-5, BR-7"/>
    <s v="62-304.520 (10), F.A.C."/>
    <n v="0.59"/>
    <n v="0.64"/>
    <s v="City of Cocoa Beach"/>
    <n v="3.9871352624299998E-3"/>
    <n v="3836.9997908334099"/>
    <n v="9.6815867831486493"/>
    <n v="1.5396771592604801"/>
    <n v="3.8601796059409998E-2"/>
    <n v="6.1389010944500003E-3"/>
    <n v="15.2986371679876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3.8601796059409998E-2"/>
    <n v="6.1389010944500003E-3"/>
    <n v="15.298637167989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819638203036398"/>
    <n v="16.1353639437644"/>
    <n v="1.24076538E-2"/>
  </r>
  <r>
    <n v="830000"/>
    <n v="2400000"/>
    <n v="2500000"/>
    <x v="0"/>
    <x v="0"/>
    <s v="BR3-5, BR-7"/>
    <s v="62-304.520 (10), F.A.C."/>
    <n v="0.59"/>
    <n v="0.64"/>
    <s v="City of Cocoa Beach"/>
    <n v="0.22786541059891999"/>
    <n v="3836.9997908334099"/>
    <n v="9.6815867831486493"/>
    <n v="1.5396771592604801"/>
    <n v="2.2060987475912399"/>
    <n v="0.35083916808466997"/>
    <n v="874.31953280622599"/>
    <n v="1300"/>
    <s v="Residential, High Density"/>
    <n v="1300"/>
    <s v="City of Cocoa Beach           Brevard County"/>
    <s v="City of Cocoa Beach"/>
    <m/>
    <m/>
    <m/>
    <n v="0"/>
    <n v="1"/>
    <n v="2.2060987475912399"/>
    <n v="0.35083916808466997"/>
    <n v="874.31953280622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2.09213617570501"/>
    <n v="922.13860032504999"/>
    <n v="0.70909937779999999"/>
  </r>
  <r>
    <n v="830000"/>
    <n v="2400000"/>
    <n v="2500000"/>
    <x v="0"/>
    <x v="0"/>
    <s v="BR3-5, BR-7"/>
    <s v="62-304.520 (10), F.A.C."/>
    <n v="0.59"/>
    <n v="0.64"/>
    <s v="City of Cocoa Beach"/>
    <n v="1.58736910694E-3"/>
    <n v="3836.9997908334099"/>
    <n v="9.6815867831486493"/>
    <n v="1.5396771592604801"/>
    <n v="1.536825176579E-2"/>
    <n v="2.4440359572799998E-3"/>
    <n v="6.0907349313310597"/>
    <n v="1300"/>
    <s v="Residential, High Density"/>
    <n v="1300"/>
    <s v="City of Cocoa Beach           Brevard County"/>
    <s v="City of Cocoa Beach"/>
    <m/>
    <m/>
    <m/>
    <n v="0"/>
    <n v="1"/>
    <n v="1.536825176579E-2"/>
    <n v="2.4440359572799998E-3"/>
    <n v="6.0907349313293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572642857472403"/>
    <n v="6.4238548651659997"/>
    <n v="4.9397688E-3"/>
  </r>
  <r>
    <n v="830000"/>
    <n v="2400000"/>
    <n v="2500000"/>
    <x v="0"/>
    <x v="0"/>
    <s v="BR3-5, BR-7"/>
    <s v="62-304.520 (10), F.A.C."/>
    <n v="0.59"/>
    <n v="0.64"/>
    <s v="City of Cocoa Beach"/>
    <n v="0.33897065975816998"/>
    <n v="3836.9997908334099"/>
    <n v="9.6815867831486493"/>
    <n v="1.5396771592604801"/>
    <n v="3.2817738593899501"/>
    <n v="0.52190538248912"/>
    <n v="1300.6303505907899"/>
    <n v="1410"/>
    <s v="Retail Sales and Services"/>
    <n v="1410"/>
    <s v="City of Cocoa Beach           Brevard County"/>
    <s v="City of Cocoa Beach"/>
    <m/>
    <m/>
    <m/>
    <n v="0"/>
    <n v="1"/>
    <n v="3.2817738593899501"/>
    <n v="0.52190538248912"/>
    <n v="1300.6303505907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1.403868609884"/>
    <n v="1371.7655914475499"/>
    <n v="1.0548502438"/>
  </r>
  <r>
    <n v="830000"/>
    <n v="2400000"/>
    <n v="2500000"/>
    <x v="0"/>
    <x v="0"/>
    <s v="BR3-5, BR-7"/>
    <s v="62-304.520 (10), F.A.C."/>
    <n v="0.59"/>
    <n v="0.64"/>
    <s v="City of Cocoa Beach"/>
    <n v="8.2743170854E-4"/>
    <n v="3760.3626798448199"/>
    <n v="10.799717441868101"/>
    <n v="2.0759537243105801"/>
    <n v="8.9360286547600001E-3"/>
    <n v="1.7177099369700001E-3"/>
    <n v="3.11144331694413"/>
    <n v="1200"/>
    <s v="Residential, Medium Density-Two-five dwellingunits per acre"/>
    <n v="1200"/>
    <s v="City of Cocoa Beach           Brevard County"/>
    <s v="City of Cocoa Beach"/>
    <m/>
    <m/>
    <m/>
    <n v="0"/>
    <n v="1"/>
    <n v="8.9360286547600001E-3"/>
    <n v="1.7177099369700001E-3"/>
    <n v="3.1114433169451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.871581094118799"/>
    <n v="3.3484973238359599"/>
    <n v="2.5234738999999999E-3"/>
  </r>
  <r>
    <n v="830000"/>
    <n v="2400000"/>
    <n v="2500000"/>
    <x v="0"/>
    <x v="0"/>
    <s v="BR3-5, BR-7"/>
    <s v="62-304.520 (10), F.A.C."/>
    <n v="0.59"/>
    <n v="0.64"/>
    <s v="City of Cocoa Beach"/>
    <n v="7.0847865413909999E-2"/>
    <n v="3760.3626798448199"/>
    <n v="10.799717441868101"/>
    <n v="2.0759537243105801"/>
    <n v="0.76513692782972997"/>
    <n v="0.14707689006545999"/>
    <n v="266.413669049139"/>
    <n v="1300"/>
    <s v="Residential, High Density"/>
    <n v="1300"/>
    <s v="City of Cocoa Beach           Brevard County"/>
    <s v="City of Cocoa Beach"/>
    <m/>
    <m/>
    <m/>
    <n v="0"/>
    <n v="1"/>
    <n v="0.76513692782972997"/>
    <n v="0.14707689006545999"/>
    <n v="266.41366904913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2.28480573569099"/>
    <n v="286.711139163616"/>
    <n v="0.2160694802"/>
  </r>
  <r>
    <n v="830000"/>
    <n v="2400000"/>
    <n v="2500000"/>
    <x v="0"/>
    <x v="0"/>
    <s v="BR3-5, BR-7"/>
    <s v="62-304.520 (10), F.A.C."/>
    <n v="0.59"/>
    <n v="0.64"/>
    <s v="FDOT District 5"/>
    <n v="4.1789154374269999E-2"/>
    <n v="3760.3626798448199"/>
    <n v="10.799717441868101"/>
    <n v="2.0759537243105801"/>
    <n v="0.45131105937681998"/>
    <n v="8.6752350659069999E-2"/>
    <n v="157.142376531312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45131105937681998"/>
    <n v="8.6752350659069999E-2"/>
    <n v="167.55483724691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7.871915018409396"/>
    <n v="169.11470776621499"/>
    <n v="0.13589200100000001"/>
  </r>
  <r>
    <n v="830000"/>
    <n v="2400000"/>
    <n v="2500000"/>
    <x v="0"/>
    <x v="0"/>
    <s v="BR3-5, BR-7"/>
    <s v="62-304.520 (10), F.A.C."/>
    <n v="0.59"/>
    <n v="0.64"/>
    <s v="City of Cocoa Beach"/>
    <n v="2.2796709599699999E-3"/>
    <n v="3760.3626798448199"/>
    <n v="10.799717441868101"/>
    <n v="2.0759537243105801"/>
    <n v="2.4619802228109999E-2"/>
    <n v="4.7324914195499999E-3"/>
    <n v="8.5723896002009603"/>
    <n v="1210"/>
    <s v="Fixed Single Family Units"/>
    <n v="1210"/>
    <s v="City of Cocoa Beach           Brevard County"/>
    <s v="City of Cocoa Beach"/>
    <m/>
    <m/>
    <m/>
    <n v="0"/>
    <n v="1"/>
    <n v="2.4619802228109999E-2"/>
    <n v="4.7324914195499999E-3"/>
    <n v="13.571888375399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.7961853158364"/>
    <n v="9.2255010653168199"/>
    <n v="1.10072087E-2"/>
  </r>
  <r>
    <n v="830000"/>
    <n v="2400000"/>
    <n v="2500000"/>
    <x v="0"/>
    <x v="0"/>
    <s v="BR3-5, BR-7"/>
    <s v="62-304.520 (10), F.A.C."/>
    <n v="0.59"/>
    <n v="0.64"/>
    <s v="City of Cocoa Beach"/>
    <n v="2.09213704485E-3"/>
    <n v="3760.3626798448199"/>
    <n v="10.799717441868101"/>
    <n v="2.0759537243105801"/>
    <n v="2.259448893408E-2"/>
    <n v="4.3431796900300001E-3"/>
    <n v="7.8671940645898104"/>
    <n v="1210"/>
    <s v="Fixed Single Family Units"/>
    <n v="1210"/>
    <s v="City of Cocoa Beach           Brevard County"/>
    <s v="City of Cocoa Beach"/>
    <m/>
    <m/>
    <m/>
    <n v="0"/>
    <n v="1"/>
    <n v="2.259448893408E-2"/>
    <n v="4.3431796900300001E-3"/>
    <n v="7.8671940645886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3.460840791525897"/>
    <n v="8.4665782365071305"/>
    <n v="6.3805305000000003E-3"/>
  </r>
  <r>
    <n v="830000"/>
    <n v="2400000"/>
    <n v="2500000"/>
    <x v="0"/>
    <x v="0"/>
    <s v="BR3-5, BR-7"/>
    <s v="62-304.520 (10), F.A.C."/>
    <n v="0.59"/>
    <n v="0.64"/>
    <s v="City of Cocoa Beach"/>
    <n v="1.262572856E-6"/>
    <n v="3760.3626798448199"/>
    <n v="10.799717441868101"/>
    <n v="2.0759537243105801"/>
    <n v="1.363543009E-5"/>
    <n v="2.6210428226270001E-6"/>
    <n v="4.7477318482799999E-3"/>
    <n v="1210"/>
    <s v="Fixed Single Family Units"/>
    <n v="1210"/>
    <s v="City of Cocoa Beach           Brevard County"/>
    <s v="City of Cocoa Beach"/>
    <m/>
    <m/>
    <m/>
    <n v="0"/>
    <n v="1"/>
    <n v="1.363543009E-5"/>
    <n v="2.6210428226270001E-6"/>
    <n v="4.7477318476200001E-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0.96994034406674001"/>
    <n v="5.1094510703400004E-3"/>
    <n v="3.8505529999999998E-6"/>
  </r>
  <r>
    <n v="830000"/>
    <n v="2400000"/>
    <n v="2500000"/>
    <x v="0"/>
    <x v="0"/>
    <s v="BR3-5, BR-7"/>
    <s v="62-304.520 (10), F.A.C."/>
    <n v="0.59"/>
    <n v="0.64"/>
    <s v="City of Cocoa Beach"/>
    <n v="0.44703928581767999"/>
    <n v="3760.3626798448199"/>
    <n v="10.799717441868101"/>
    <n v="2.0759537243105801"/>
    <n v="4.82789797224555"/>
    <n v="0.92803287030637005"/>
    <n v="1681.0298468133201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4.82789797224555"/>
    <n v="0.92803287030637005"/>
    <n v="1864.4908591856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0.25750282396299"/>
    <n v="1809.1038048764201"/>
    <n v="1.5121580366"/>
  </r>
  <r>
    <n v="830000"/>
    <n v="2400000"/>
    <n v="2500000"/>
    <x v="0"/>
    <x v="0"/>
    <s v="BR3-5, BR-7"/>
    <s v="62-304.520 (10), F.A.C."/>
    <n v="0.59"/>
    <n v="0.64"/>
    <s v="City of Cocoa Beach"/>
    <n v="1.94099446937E-3"/>
    <n v="3764.7725650648199"/>
    <n v="10.784773787525801"/>
    <n v="2.0304144297448699"/>
    <n v="2.0933186275019999E-2"/>
    <n v="3.9410231786699999E-3"/>
    <n v="7.3074027272380304"/>
    <n v="1400"/>
    <s v="Commercial and Services"/>
    <n v="1400"/>
    <s v="City of Cocoa Beach           Brevard County"/>
    <s v="City of Cocoa Beach"/>
    <m/>
    <m/>
    <m/>
    <n v="0"/>
    <n v="1"/>
    <n v="2.0933186275019999E-2"/>
    <n v="3.9410231786699999E-3"/>
    <n v="7.30740272723832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354232564581"/>
    <n v="7.8549259342253199"/>
    <n v="5.9265228999999999E-3"/>
  </r>
  <r>
    <n v="830000"/>
    <n v="2400000"/>
    <n v="2500000"/>
    <x v="0"/>
    <x v="0"/>
    <s v="BR3-5, BR-7"/>
    <s v="62-304.520 (10), F.A.C."/>
    <n v="0.59"/>
    <n v="0.64"/>
    <s v="FDOT District 5"/>
    <n v="2.5502957966659998E-2"/>
    <n v="3764.7725650648199"/>
    <n v="10.784773787525801"/>
    <n v="2.0304144297448699"/>
    <n v="0.27504363258327003"/>
    <n v="5.1781573856690001E-2"/>
    <n v="96.012836480905605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7504363258327003"/>
    <n v="5.1781573856690001E-2"/>
    <n v="96.0128364809056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148288029943"/>
    <n v="103.206809237599"/>
    <n v="7.7869291500000007E-2"/>
  </r>
  <r>
    <n v="830000"/>
    <n v="2400000"/>
    <n v="2500000"/>
    <x v="0"/>
    <x v="0"/>
    <s v="BR3-5, BR-7"/>
    <s v="62-304.520 (10), F.A.C."/>
    <n v="0.59"/>
    <n v="0.64"/>
    <s v="City of Cocoa Beach"/>
    <n v="4.7933090182500004E-3"/>
    <n v="3764.7725650648199"/>
    <n v="10.784773787525801"/>
    <n v="2.0304144297448699"/>
    <n v="5.1694753455620003E-2"/>
    <n v="9.7324037968900007E-3"/>
    <n v="18.0457182878155"/>
    <n v="1210"/>
    <s v="Fixed Single Family Units"/>
    <n v="1210"/>
    <s v="City of Cocoa Beach           Brevard County"/>
    <s v="City of Cocoa Beach"/>
    <m/>
    <m/>
    <m/>
    <n v="0"/>
    <n v="1"/>
    <n v="5.1694753455620003E-2"/>
    <n v="9.7324037968900007E-3"/>
    <n v="18.045718287814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2.339183451499299"/>
    <n v="19.3978333850838"/>
    <n v="1.4635619000000001E-2"/>
  </r>
  <r>
    <n v="830000"/>
    <n v="2400000"/>
    <n v="2500000"/>
    <x v="0"/>
    <x v="0"/>
    <s v="BR3-5, BR-7"/>
    <s v="62-304.520 (10), F.A.C."/>
    <n v="0.59"/>
    <n v="0.64"/>
    <s v="City of Cocoa Beach"/>
    <n v="1.5638403374450001E-2"/>
    <n v="3764.7725650648199"/>
    <n v="10.784773787525801"/>
    <n v="2.0304144297448699"/>
    <n v="0.16865664279154"/>
    <n v="3.1752439869649998E-2"/>
    <n v="58.875031985554003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16865664279154"/>
    <n v="3.1752439869649998E-2"/>
    <n v="58.8750319855540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5.066198903777007"/>
    <n v="63.286373131982899"/>
    <n v="4.7749417699999998E-2"/>
  </r>
  <r>
    <n v="830000"/>
    <n v="2400000"/>
    <n v="2500000"/>
    <x v="0"/>
    <x v="0"/>
    <s v="BR3-5, BR-7"/>
    <s v="62-304.520 (10), F.A.C."/>
    <n v="0.59"/>
    <n v="0.64"/>
    <s v="City of Cocoa Beach"/>
    <n v="0.56988778870108003"/>
    <n v="3764.7725650648199"/>
    <n v="10.784773787525801"/>
    <n v="2.0304144297448699"/>
    <n v="6.1461108854145001"/>
    <n v="1.1571083895140799"/>
    <n v="2145.4979120673001"/>
    <n v="1300"/>
    <s v="Residential, High Density"/>
    <n v="1300"/>
    <s v="City of Cocoa Beach           Brevard County"/>
    <s v="City of Cocoa Beach"/>
    <m/>
    <m/>
    <m/>
    <n v="0"/>
    <n v="1"/>
    <n v="6.1461108854145001"/>
    <n v="1.1571083895140799"/>
    <n v="2145.4979120673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2.284937059751"/>
    <n v="2306.25405775231"/>
    <n v="1.740063189"/>
  </r>
  <r>
    <n v="830000"/>
    <n v="2400000"/>
    <n v="2500000"/>
    <x v="0"/>
    <x v="0"/>
    <s v="BR3-5, BR-7"/>
    <s v="62-304.520 (10), F.A.C."/>
    <n v="0.59"/>
    <n v="0.64"/>
    <s v="FDOT District 5"/>
    <n v="7.3521283520720002E-2"/>
    <n v="3753.2077088716001"/>
    <n v="10.071534036608501"/>
    <n v="1.79410915702785"/>
    <n v="0.74047210939411001"/>
    <n v="0.13190520800097"/>
    <n v="275.940648076115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74047210939411001"/>
    <n v="0.13190520800097"/>
    <n v="275.94064807611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041182460437"/>
    <n v="297.53007839893399"/>
    <n v="0.223796146"/>
  </r>
  <r>
    <n v="830000"/>
    <n v="2400000"/>
    <n v="2500000"/>
    <x v="0"/>
    <x v="0"/>
    <s v="BR3-5, BR-7"/>
    <s v="62-304.520 (10), F.A.C."/>
    <n v="0.59"/>
    <n v="0.64"/>
    <s v="City of Cocoa Beach"/>
    <n v="1.78311784766E-3"/>
    <n v="3753.2077088716001"/>
    <n v="10.071534036608501"/>
    <n v="1.79410915702785"/>
    <n v="1.7958732094060001E-2"/>
    <n v="3.1991080585499999E-3"/>
    <n v="6.6924116516903203"/>
    <n v="1300"/>
    <s v="Residential, High Density"/>
    <n v="1300"/>
    <s v="City of Cocoa Beach           Brevard County"/>
    <s v="City of Cocoa Beach"/>
    <m/>
    <m/>
    <m/>
    <n v="0"/>
    <n v="1"/>
    <n v="1.7958732094060001E-2"/>
    <n v="3.1991080585499999E-3"/>
    <n v="6.69241165169053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517299842982"/>
    <n v="7.2160219137275003"/>
    <n v="5.4277466999999996E-3"/>
  </r>
  <r>
    <n v="830000"/>
    <n v="2400000"/>
    <n v="2500000"/>
    <x v="0"/>
    <x v="0"/>
    <s v="BR3-5, BR-7"/>
    <s v="62-304.520 (10), F.A.C."/>
    <n v="0.59"/>
    <n v="0.64"/>
    <s v="FDOT District 5"/>
    <n v="0.15063056901891"/>
    <n v="3753.2077088716001"/>
    <n v="10.071534036608501"/>
    <n v="1.79410915702785"/>
    <n v="1.5170809028277299"/>
    <n v="0.27024768320515002"/>
    <n v="565.3478128335150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5170809028277299"/>
    <n v="0.27024768320515002"/>
    <n v="565.347812833515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4.736832791284"/>
    <n v="609.58028564397"/>
    <n v="0.4585140412"/>
  </r>
  <r>
    <n v="830000"/>
    <n v="2400000"/>
    <n v="2500000"/>
    <x v="0"/>
    <x v="0"/>
    <s v="BR3-5, BR-7"/>
    <s v="62-304.520 (10), F.A.C."/>
    <n v="0.59"/>
    <n v="0.64"/>
    <s v="City of Cocoa Beach"/>
    <n v="3.4915809043160002E-2"/>
    <n v="3753.2077088716001"/>
    <n v="10.071534036608501"/>
    <n v="1.79410915702785"/>
    <n v="0.35165575919399"/>
    <n v="6.264277272938E-2"/>
    <n v="131.046283662306"/>
    <n v="1210"/>
    <s v="Fixed Single Family Units"/>
    <n v="1210"/>
    <s v="City of Cocoa Beach           Brevard County"/>
    <s v="City of Cocoa Beach"/>
    <m/>
    <m/>
    <m/>
    <n v="0"/>
    <n v="1"/>
    <n v="0.35165575919399"/>
    <n v="6.264277272938E-2"/>
    <n v="131.0462836623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8.241529350453398"/>
    <n v="141.299266069634"/>
    <n v="0.1062824685"/>
  </r>
  <r>
    <n v="830000"/>
    <n v="2400000"/>
    <n v="2500000"/>
    <x v="0"/>
    <x v="0"/>
    <s v="BR3-5, BR-7"/>
    <s v="62-304.520 (10), F.A.C."/>
    <n v="0.59"/>
    <n v="0.64"/>
    <s v="FDOT District 5"/>
    <n v="4.9295643347999996E-4"/>
    <n v="3753.2077088716001"/>
    <n v="10.071534036608501"/>
    <n v="1.79410915702785"/>
    <n v="4.9648274983900001E-3"/>
    <n v="8.8441765131999997E-4"/>
    <n v="1.850167886289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4.9648274983900001E-3"/>
    <n v="8.8441765131999997E-4"/>
    <n v="1.8501678862901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8.004138885449901"/>
    <n v="1.9949239088083299"/>
    <n v="1.5005417E-3"/>
  </r>
  <r>
    <n v="830000"/>
    <n v="2400000"/>
    <n v="2500000"/>
    <x v="0"/>
    <x v="0"/>
    <s v="BR3-5, BR-7"/>
    <s v="62-304.520 (10), F.A.C."/>
    <n v="0.59"/>
    <n v="0.64"/>
    <s v="City of Cocoa Beach"/>
    <n v="6.3941968837039995E-2"/>
    <n v="3753.2077088716001"/>
    <n v="10.071534036608501"/>
    <n v="1.79410915702785"/>
    <n v="0.64399371551000995"/>
    <n v="0.11471887180892"/>
    <n v="239.987490359609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64399371551000995"/>
    <n v="0.11471887180892"/>
    <n v="239.98749035960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8.428823447738097"/>
    <n v="258.76396724907801"/>
    <n v="0.1946370563"/>
  </r>
  <r>
    <n v="830000"/>
    <n v="2400000"/>
    <n v="2500000"/>
    <x v="0"/>
    <x v="0"/>
    <s v="BR3-5, BR-7"/>
    <s v="62-304.520 (10), F.A.C."/>
    <n v="0.59"/>
    <n v="0.64"/>
    <s v="FDOT District 5"/>
    <n v="8.1494761239000004E-4"/>
    <n v="3753.2077088716001"/>
    <n v="10.071534036608501"/>
    <n v="1.79410915702785"/>
    <n v="8.2077726162700006E-3"/>
    <n v="1.46210497389E-3"/>
    <n v="3.0586676611636601"/>
    <n v="1330"/>
    <s v="Residential, High density; Multiple Dwelling Units, Low Rise &lt;Two stories or less&gt;"/>
    <n v="1330"/>
    <s v="FDOT District 5                                 City of Cocoa Beach           Brevard County"/>
    <s v="FDOT District 5"/>
    <m/>
    <m/>
    <m/>
    <n v="0"/>
    <n v="1"/>
    <n v="8.2077726162700006E-3"/>
    <n v="1.46210497389E-3"/>
    <n v="3.05866766116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105365296953202"/>
    <n v="3.2979759791365999"/>
    <n v="2.4806712999999999E-3"/>
  </r>
  <r>
    <n v="830000"/>
    <n v="2400000"/>
    <n v="2500000"/>
    <x v="0"/>
    <x v="0"/>
    <s v="BR3-5, BR-7"/>
    <s v="62-304.520 (10), F.A.C."/>
    <n v="0.59"/>
    <n v="0.64"/>
    <s v="City of Cocoa Beach"/>
    <n v="8.834584937237E-2"/>
    <n v="3753.2077088716001"/>
    <n v="10.071534036608501"/>
    <n v="1.79410915702785"/>
    <n v="0.88977822894692005"/>
    <n v="0.15850209734437001"/>
    <n v="331.58032291119201"/>
    <n v="1300"/>
    <s v="Residential, High Density"/>
    <n v="1300"/>
    <s v="City of Cocoa Beach           Brevard County"/>
    <s v="City of Cocoa Beach"/>
    <m/>
    <m/>
    <m/>
    <n v="0"/>
    <n v="1"/>
    <n v="0.88977822894692005"/>
    <n v="0.15850209734437001"/>
    <n v="331.580322911192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675754742092806"/>
    <n v="357.52296792496401"/>
    <n v="0.26892159199999999"/>
  </r>
  <r>
    <n v="830000"/>
    <n v="2400000"/>
    <n v="2500000"/>
    <x v="0"/>
    <x v="0"/>
    <s v="BR3-5, BR-7"/>
    <s v="62-304.520 (10), F.A.C."/>
    <n v="0.59"/>
    <n v="0.64"/>
    <s v="City of Cocoa Beach"/>
    <n v="0.16243878553300001"/>
    <n v="3753.2077088716001"/>
    <n v="10.071534036608501"/>
    <n v="1.79410915702785"/>
    <n v="1.6360077573609699"/>
    <n v="0.29143291258123999"/>
    <n v="609.66650208220005"/>
    <n v="1300"/>
    <s v="Residential, High Density"/>
    <n v="1300"/>
    <s v="City of Cocoa Beach           Brevard County"/>
    <s v="City of Cocoa Beach"/>
    <m/>
    <m/>
    <m/>
    <n v="0"/>
    <n v="1"/>
    <n v="1.6360077573609699"/>
    <n v="0.29143291258123999"/>
    <n v="609.666502082200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740617945517"/>
    <n v="657.36644248108098"/>
    <n v="0.4944578281"/>
  </r>
  <r>
    <n v="830000"/>
    <n v="2400000"/>
    <n v="2500000"/>
    <x v="0"/>
    <x v="0"/>
    <s v="BR3-5, BR-7"/>
    <s v="62-304.520 (10), F.A.C."/>
    <n v="0.59"/>
    <n v="0.64"/>
    <s v="City of Cocoa Beach"/>
    <n v="4.0403420032330002E-2"/>
    <n v="3753.2077088716001"/>
    <n v="10.071534036608501"/>
    <n v="1.79410915702785"/>
    <n v="0.40692442005105001"/>
    <n v="7.248814585525E-2"/>
    <n v="151.64242753013599"/>
    <n v="1210"/>
    <s v="Fixed Single Family Units"/>
    <n v="1210"/>
    <s v="City of Cocoa Beach           Brevard County"/>
    <s v="City of Cocoa Beach"/>
    <m/>
    <m/>
    <m/>
    <n v="0"/>
    <n v="1"/>
    <n v="0.40692442005105001"/>
    <n v="7.248814585525E-2"/>
    <n v="151.64242753013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1.182842600643198"/>
    <n v="163.506839844778"/>
    <n v="0.1229865592"/>
  </r>
  <r>
    <n v="830000"/>
    <n v="2400000"/>
    <n v="2500000"/>
    <x v="0"/>
    <x v="0"/>
    <s v="BR3-5, BR-7"/>
    <s v="62-304.520 (10), F.A.C."/>
    <n v="0.59"/>
    <n v="0.64"/>
    <s v="FDOT District 5"/>
    <n v="4.7474641680999999E-4"/>
    <n v="3753.2077088716001"/>
    <n v="10.071534036608501"/>
    <n v="1.79410915702785"/>
    <n v="4.7814246956700002E-3"/>
    <n v="8.5174689365999996E-4"/>
    <n v="1.7818219113342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4.7814246956700002E-3"/>
    <n v="8.5174689365999996E-4"/>
    <n v="1.7818219113356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6.983723317412"/>
    <n v="1.92123058588458"/>
    <n v="1.445111E-3"/>
  </r>
  <r>
    <n v="830000"/>
    <n v="2400000"/>
    <n v="2500000"/>
    <x v="0"/>
    <x v="0"/>
    <s v="BR3-5, BR-7"/>
    <s v="62-304.520 (10), F.A.C."/>
    <n v="0.59"/>
    <n v="0.64"/>
    <s v="City of Cocoa Beach"/>
    <n v="0.10007263396959"/>
    <n v="3713.2986346112998"/>
    <n v="9.3867967913842492"/>
    <n v="1.42593905613779"/>
    <n v="0.93936147945113002"/>
    <n v="0.14269747722782"/>
    <n v="371.59957508124199"/>
    <n v="1200"/>
    <s v="Residential, Medium Density-Two-five dwellingunits per acre"/>
    <n v="1200"/>
    <s v="City of Cocoa Beach           Brevard County"/>
    <s v="City of Cocoa Beach"/>
    <m/>
    <m/>
    <m/>
    <n v="0"/>
    <n v="1"/>
    <n v="0.93936147945113002"/>
    <n v="0.14269747722782"/>
    <n v="371.599575081241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455568072833"/>
    <n v="404.97958148632802"/>
    <n v="0.30137840640000002"/>
  </r>
  <r>
    <n v="830000"/>
    <n v="2400000"/>
    <n v="2500000"/>
    <x v="0"/>
    <x v="0"/>
    <s v="BR3-5, BR-7"/>
    <s v="62-304.520 (10), F.A.C."/>
    <n v="0.59"/>
    <n v="0.64"/>
    <s v="FDOT District 5"/>
    <n v="3.8802687808790003E-2"/>
    <n v="3713.2986346112998"/>
    <n v="9.3867967913842492"/>
    <n v="1.42593905613779"/>
    <n v="0.36423294542064999"/>
    <n v="5.5330268029669998E-2"/>
    <n v="144.085967659635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36423294542064999"/>
    <n v="5.5330268029669998E-2"/>
    <n v="150.58377668068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684530823155"/>
    <n v="157.028906365393"/>
    <n v="0.1221279616"/>
  </r>
  <r>
    <n v="830000"/>
    <n v="2400000"/>
    <n v="2500000"/>
    <x v="0"/>
    <x v="0"/>
    <s v="BR3-5, BR-7"/>
    <s v="62-304.520 (10), F.A.C."/>
    <n v="0.59"/>
    <n v="0.64"/>
    <s v="FDOT District 5"/>
    <n v="5.1757777551819997E-2"/>
    <n v="3713.2986346112998"/>
    <n v="9.3867967913842492"/>
    <n v="1.42593905613779"/>
    <n v="0.48583974025266002"/>
    <n v="7.3803436470039993E-2"/>
    <n v="192.192084713709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48583974025266002"/>
    <n v="7.3803436470039993E-2"/>
    <n v="207.64183976205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046773608769"/>
    <n v="209.456294494757"/>
    <n v="0.16840376300000001"/>
  </r>
  <r>
    <n v="830000"/>
    <n v="2400000"/>
    <n v="2500000"/>
    <x v="0"/>
    <x v="0"/>
    <s v="BR3-5, BR-7"/>
    <s v="62-304.520 (10), F.A.C."/>
    <n v="0.59"/>
    <n v="0.64"/>
    <s v="City of Cocoa Beach"/>
    <n v="7.315963315672E-2"/>
    <n v="3713.2986346112998"/>
    <n v="9.3867967913842492"/>
    <n v="1.42593905613779"/>
    <n v="0.68673460977437994"/>
    <n v="0.10432117825088"/>
    <n v="271.66356590952603"/>
    <n v="1210"/>
    <s v="Fixed Single Family Units"/>
    <n v="1210"/>
    <s v="City of Cocoa Beach           Brevard County"/>
    <s v="City of Cocoa Beach"/>
    <m/>
    <m/>
    <m/>
    <n v="0"/>
    <n v="1"/>
    <n v="0.68673460977437994"/>
    <n v="0.10432117825088"/>
    <n v="390.10375963525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6.270023181617006"/>
    <n v="296.06653130071601"/>
    <n v="0.31638585530000002"/>
  </r>
  <r>
    <n v="830000"/>
    <n v="2400000"/>
    <n v="2500000"/>
    <x v="0"/>
    <x v="0"/>
    <s v="BR3-5, BR-7"/>
    <s v="62-304.520 (10), F.A.C."/>
    <n v="0.59"/>
    <n v="0.64"/>
    <s v="FDOT District 5"/>
    <n v="2.4415979447000002E-4"/>
    <n v="3713.2986346112998"/>
    <n v="9.3867967913842492"/>
    <n v="1.42593905613779"/>
    <n v="2.2918783753599998E-3"/>
    <n v="3.4815698687999999E-4"/>
    <n v="0.9066382314509899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2918783753599998E-3"/>
    <n v="3.4815698687999999E-4"/>
    <n v="1.2654971041514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.888975113187"/>
    <n v="0.98807963236312002"/>
    <n v="1.0263561E-3"/>
  </r>
  <r>
    <n v="830000"/>
    <n v="2400000"/>
    <n v="2500000"/>
    <x v="0"/>
    <x v="0"/>
    <s v="BR3-5, BR-7"/>
    <s v="62-304.520 (10), F.A.C."/>
    <n v="0.59"/>
    <n v="0.64"/>
    <s v="City of Cocoa Beach"/>
    <n v="0.1634777816885"/>
    <n v="3713.2986346112998"/>
    <n v="9.3867967913842492"/>
    <n v="1.42593905613779"/>
    <n v="1.5345327166162901"/>
    <n v="0.23310935372041"/>
    <n v="607.04182353321698"/>
    <n v="1210"/>
    <s v="Fixed Single Family Units"/>
    <n v="1210"/>
    <s v="City of Cocoa Beach           Brevard County"/>
    <s v="City of Cocoa Beach"/>
    <m/>
    <m/>
    <m/>
    <n v="0"/>
    <n v="1"/>
    <n v="1.5345327166162901"/>
    <n v="0.23310935372041"/>
    <n v="607.041823533216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5.070429136979"/>
    <n v="661.57111074583997"/>
    <n v="0.49232913509999998"/>
  </r>
  <r>
    <n v="830000"/>
    <n v="2400000"/>
    <n v="2500000"/>
    <x v="0"/>
    <x v="0"/>
    <s v="BR3-5, BR-7"/>
    <s v="62-304.520 (10), F.A.C."/>
    <n v="0.59"/>
    <n v="0.64"/>
    <s v="FDOT District 5"/>
    <n v="5.5994505167999997E-4"/>
    <n v="3713.2986346112998"/>
    <n v="9.3867967913842492"/>
    <n v="1.42593905613779"/>
    <n v="5.2560904145E-3"/>
    <n v="7.9844751848000002E-4"/>
    <n v="2.07924319587925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5.2560904145E-3"/>
    <n v="7.9844751848000002E-4"/>
    <n v="2.0792431958809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471575750708599"/>
    <n v="2.2660172286043698"/>
    <n v="1.6863285999999999E-3"/>
  </r>
  <r>
    <n v="830000"/>
    <n v="2400000"/>
    <n v="2500000"/>
    <x v="0"/>
    <x v="0"/>
    <s v="BR3-5, BR-7"/>
    <s v="62-304.520 (10), F.A.C."/>
    <n v="0.59"/>
    <n v="0.64"/>
    <s v="City of Cocoa Beach"/>
    <n v="0.15018821137027999"/>
    <n v="3713.2986346112998"/>
    <n v="9.3867967913842492"/>
    <n v="1.42593905613779"/>
    <n v="1.4097862205943299"/>
    <n v="0.21415923636435999"/>
    <n v="557.693680215992"/>
    <n v="1210"/>
    <s v="Fixed Single Family Units"/>
    <n v="1210"/>
    <s v="City of Cocoa Beach           Brevard County"/>
    <s v="City of Cocoa Beach"/>
    <m/>
    <m/>
    <m/>
    <n v="0"/>
    <n v="1"/>
    <n v="1.4097862205943299"/>
    <n v="0.21415923636435999"/>
    <n v="557.69368021599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33757141613"/>
    <n v="607.79012775260401"/>
    <n v="0.45230630999999999"/>
  </r>
  <r>
    <n v="830000"/>
    <n v="2400000"/>
    <n v="2500000"/>
    <x v="0"/>
    <x v="0"/>
    <s v="BR3-5, BR-7"/>
    <s v="62-304.520 (10), F.A.C."/>
    <n v="0.59"/>
    <n v="0.64"/>
    <s v="FDOT District 5"/>
    <n v="5.1219321411E-4"/>
    <n v="3713.2986346112998"/>
    <n v="9.3867967913842492"/>
    <n v="1.42593905613779"/>
    <n v="4.8078536188300002E-3"/>
    <n v="7.3035630829000001E-4"/>
    <n v="1.90192636263411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4.8078536188300002E-3"/>
    <n v="7.3035630829000001E-4"/>
    <n v="1.9019263626354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028409461163999"/>
    <n v="2.07277239805651"/>
    <n v="1.5425193999999999E-3"/>
  </r>
  <r>
    <n v="830000"/>
    <n v="2400000"/>
    <n v="2500000"/>
    <x v="0"/>
    <x v="0"/>
    <s v="BR3-5, BR-7"/>
    <s v="62-304.520 (10), F.A.C."/>
    <n v="0.59"/>
    <n v="0.64"/>
    <s v="City of Cocoa Beach"/>
    <n v="1.0850372790200001E-3"/>
    <n v="3713.2986346112998"/>
    <n v="9.3867967913842492"/>
    <n v="1.42593905613779"/>
    <n v="1.018502444926E-2"/>
    <n v="1.5471970335200001E-3"/>
    <n v="4.02906744669846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1.018502444926E-2"/>
    <n v="1.5471970335200001E-3"/>
    <n v="4.0290674466984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8.434372169197498"/>
    <n v="4.3909900811576001"/>
    <n v="3.2676946E-3"/>
  </r>
  <r>
    <n v="830000"/>
    <n v="2500000"/>
    <n v="2500000"/>
    <x v="0"/>
    <x v="0"/>
    <s v="BR3-5, BR-7"/>
    <s v="62-304.520 (10), F.A.C."/>
    <n v="0.59"/>
    <n v="0.64"/>
    <s v="City of Cocoa Beach"/>
    <n v="0.13253029383994999"/>
    <n v="3716.7945626155902"/>
    <n v="9.5099457771999401"/>
    <n v="1.4830566354307499"/>
    <n v="1.2603559082543601"/>
    <n v="0.19654993167493001"/>
    <n v="492.58787552619901"/>
    <n v="1210"/>
    <s v="Fixed Single Family Units"/>
    <n v="1210"/>
    <s v="City of Cocoa Beach           Brevard County"/>
    <s v="City of Cocoa Beach"/>
    <m/>
    <m/>
    <m/>
    <n v="0"/>
    <n v="1"/>
    <n v="1.2603559082543601"/>
    <n v="0.19654993167493001"/>
    <n v="492.587875526199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0.46231927299399"/>
    <n v="536.33107078878902"/>
    <n v="0.39950354869999999"/>
  </r>
  <r>
    <n v="830000"/>
    <n v="2500000"/>
    <n v="2500000"/>
    <x v="0"/>
    <x v="0"/>
    <s v="BR3-5, BR-7"/>
    <s v="62-304.520 (10), F.A.C."/>
    <n v="0.59"/>
    <n v="0.64"/>
    <s v="City of Cocoa Beach"/>
    <n v="2.6099375459159999E-2"/>
    <n v="3716.7945626155902"/>
    <n v="9.5099457771999401"/>
    <n v="1.4830566354307499"/>
    <n v="0.24820364543543999"/>
    <n v="3.8706851955309998E-2"/>
    <n v="97.00601679428740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4820364543543999"/>
    <n v="3.8706851955309998E-2"/>
    <n v="97.00601679428710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3.3497970181296"/>
    <n v="105.62042519755001"/>
    <n v="7.8674790600000002E-2"/>
  </r>
  <r>
    <n v="830000"/>
    <n v="2500000"/>
    <n v="2500000"/>
    <x v="0"/>
    <x v="0"/>
    <s v="BR3-5, BR-7"/>
    <s v="62-304.520 (10), F.A.C."/>
    <n v="0.59"/>
    <n v="0.64"/>
    <s v="City of Cocoa Beach"/>
    <n v="0.15935527847385"/>
    <n v="3716.7945626155902"/>
    <n v="9.5099457771999401"/>
    <n v="1.4830566354307499"/>
    <n v="1.5154600575969299"/>
    <n v="0.23633290313156"/>
    <n v="592.29083255571095"/>
    <n v="1210"/>
    <s v="Fixed Single Family Units"/>
    <n v="1210"/>
    <s v="City of Cocoa Beach           Brevard County"/>
    <s v="City of Cocoa Beach"/>
    <m/>
    <m/>
    <m/>
    <n v="0"/>
    <n v="1"/>
    <n v="1.5154600575969299"/>
    <n v="0.23633290313156"/>
    <n v="592.290832555710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433666645201"/>
    <n v="644.887932135254"/>
    <n v="0.48036563869999999"/>
  </r>
  <r>
    <n v="830000"/>
    <n v="2500000"/>
    <n v="2500000"/>
    <x v="0"/>
    <x v="0"/>
    <s v="BR3-5, BR-7"/>
    <s v="62-304.520 (10), F.A.C."/>
    <n v="0.59"/>
    <n v="0.64"/>
    <s v="City of Cocoa Beach"/>
    <n v="3.2107432106100002E-2"/>
    <n v="3716.7945626155902"/>
    <n v="9.5099457771999401"/>
    <n v="1.4830566354307499"/>
    <n v="0.30533993837413997"/>
    <n v="4.7617140231589999E-2"/>
    <n v="119.33672907150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0533993837413997"/>
    <n v="4.7617140231589999E-2"/>
    <n v="119.3367290715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7.829406863263799"/>
    <n v="129.93416782534501"/>
    <n v="9.6785668300000002E-2"/>
  </r>
  <r>
    <n v="830000"/>
    <n v="2500000"/>
    <n v="2500000"/>
    <x v="0"/>
    <x v="0"/>
    <s v="BR3-5, BR-7"/>
    <s v="62-304.520 (10), F.A.C."/>
    <n v="0.59"/>
    <n v="0.64"/>
    <s v="City of Cocoa Beach"/>
    <n v="0.14286406726949999"/>
    <n v="3716.7945626155902"/>
    <n v="9.5099457771999401"/>
    <n v="1.4830566354307499"/>
    <n v="1.3586295332431899"/>
    <n v="0.21187550292865001"/>
    <n v="530.996388420426"/>
    <n v="1210"/>
    <s v="Fixed Single Family Units"/>
    <n v="1210"/>
    <s v="City of Cocoa Beach           Brevard County"/>
    <s v="City of Cocoa Beach"/>
    <m/>
    <m/>
    <m/>
    <n v="0"/>
    <n v="1"/>
    <n v="1.3586295332431899"/>
    <n v="0.21187550292865001"/>
    <n v="530.99638842042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9.932332180063"/>
    <n v="578.15036815975998"/>
    <n v="0.43065400520000002"/>
  </r>
  <r>
    <n v="830000"/>
    <n v="2500000"/>
    <n v="2500000"/>
    <x v="0"/>
    <x v="0"/>
    <s v="BR3-5, BR-7"/>
    <s v="62-304.520 (10), F.A.C."/>
    <n v="0.59"/>
    <n v="0.64"/>
    <s v="City of Cocoa Beach"/>
    <n v="7.7121995506350002E-2"/>
    <n v="3716.7945626155902"/>
    <n v="9.5099457771999401"/>
    <n v="1.4830566354307499"/>
    <n v="0.73342599549484999"/>
    <n v="0.11437628717334999"/>
    <n v="286.64661355607001"/>
    <n v="1210"/>
    <s v="Fixed Single Family Units"/>
    <n v="1210"/>
    <s v="City of Cocoa Beach           Brevard County"/>
    <s v="City of Cocoa Beach"/>
    <m/>
    <m/>
    <m/>
    <n v="0"/>
    <n v="1"/>
    <n v="0.73342599549484999"/>
    <n v="0.11437628717334999"/>
    <n v="286.64661355607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5.679304571261696"/>
    <n v="312.10164282317999"/>
    <n v="0.23247900530000001"/>
  </r>
  <r>
    <n v="830000"/>
    <n v="2500000"/>
    <n v="2500000"/>
    <x v="0"/>
    <x v="0"/>
    <s v="BR3-5, BR-7"/>
    <s v="62-304.520 (10), F.A.C."/>
    <n v="0.59"/>
    <n v="0.64"/>
    <s v="City of Cocoa Beach"/>
    <n v="4.7685010966959998E-2"/>
    <n v="3716.7945626155902"/>
    <n v="9.5099457771999401"/>
    <n v="1.4830566354307499"/>
    <n v="0.45348186868097001"/>
    <n v="7.0719571925129995E-2"/>
    <n v="177.235389480262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0.45348186868097001"/>
    <n v="7.0719571925129995E-2"/>
    <n v="177.23538948026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9.536996022364796"/>
    <n v="192.97439288385499"/>
    <n v="0.14374321940000001"/>
  </r>
  <r>
    <n v="830000"/>
    <n v="2500000"/>
    <n v="2500000"/>
    <x v="0"/>
    <x v="0"/>
    <s v="BR3-5, BR-7"/>
    <s v="62-304.520 (10), F.A.C."/>
    <n v="0.59"/>
    <n v="0.64"/>
    <s v="FDOT District 5"/>
    <n v="3.3392213136149998E-2"/>
    <n v="3757.9958221035699"/>
    <n v="10.7272201985196"/>
    <n v="2.0425690029948802"/>
    <n v="0.35820562322740002"/>
    <n v="6.8205899493299998E-2"/>
    <n v="125.48779745645101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35820562322740002"/>
    <n v="6.8205899493299998E-2"/>
    <n v="125.48779745645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84090851072"/>
    <n v="135.13349218818499"/>
    <n v="0.10177436939999999"/>
  </r>
  <r>
    <n v="830000"/>
    <n v="2500000"/>
    <n v="2500000"/>
    <x v="0"/>
    <x v="0"/>
    <s v="BR3-5, BR-7"/>
    <s v="62-304.520 (10), F.A.C."/>
    <n v="0.59"/>
    <n v="0.64"/>
    <s v="City of Cocoa Beach"/>
    <n v="1.7817288388500001E-3"/>
    <n v="3757.9958221035699"/>
    <n v="10.7272201985196"/>
    <n v="2.0425690029948802"/>
    <n v="1.911299758848E-2"/>
    <n v="3.6393040979900001E-3"/>
    <n v="6.6957295325498203"/>
    <n v="1300"/>
    <s v="Residential, High Density"/>
    <n v="1300"/>
    <s v="City of Cocoa Beach           Brevard County"/>
    <s v="City of Cocoa Beach"/>
    <m/>
    <m/>
    <m/>
    <n v="0"/>
    <n v="1"/>
    <n v="1.911299758848E-2"/>
    <n v="3.6393040979900001E-3"/>
    <n v="6.6957295325492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517126818677"/>
    <n v="7.2104007945072199"/>
    <n v="5.4304376E-3"/>
  </r>
  <r>
    <n v="830000"/>
    <n v="2500000"/>
    <n v="2500000"/>
    <x v="0"/>
    <x v="0"/>
    <s v="BR3-5, BR-7"/>
    <s v="62-304.520 (10), F.A.C."/>
    <n v="0.59"/>
    <n v="0.64"/>
    <s v="FDOT District 5"/>
    <n v="0.16296881428259"/>
    <n v="3757.9958221035699"/>
    <n v="10.7272201985196"/>
    <n v="2.0425690029948802"/>
    <n v="1.7482023563010201"/>
    <n v="0.33287504850845001"/>
    <n v="612.43612320715397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7482023563010201"/>
    <n v="0.33287504850845001"/>
    <n v="612.436123207153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6.61837415558701"/>
    <n v="659.51139273041895"/>
    <n v="0.496704074"/>
  </r>
  <r>
    <n v="830000"/>
    <n v="2500000"/>
    <n v="2500000"/>
    <x v="0"/>
    <x v="0"/>
    <s v="BR3-5, BR-7"/>
    <s v="62-304.520 (10), F.A.C."/>
    <n v="0.59"/>
    <n v="0.64"/>
    <s v="City of Cocoa Beach"/>
    <n v="4.2690358747999999E-4"/>
    <n v="3757.9958221035699"/>
    <n v="10.7272201985196"/>
    <n v="2.0425690029948802"/>
    <n v="4.5794887865000002E-3"/>
    <n v="8.7198003506E-4"/>
    <n v="1.6043018982134101"/>
    <n v="1210"/>
    <s v="Fixed Single Family Units"/>
    <n v="1210"/>
    <s v="City of Cocoa Beach           Brevard County"/>
    <s v="City of Cocoa Beach"/>
    <m/>
    <m/>
    <m/>
    <n v="0"/>
    <n v="1"/>
    <n v="4.5794887865000002E-3"/>
    <n v="8.7198003506E-4"/>
    <n v="1.6043018982149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.2495394450091"/>
    <n v="1.7276175247649299"/>
    <n v="1.301137E-3"/>
  </r>
  <r>
    <n v="830000"/>
    <n v="2500000"/>
    <n v="2500000"/>
    <x v="0"/>
    <x v="0"/>
    <s v="BR3-5, BR-7"/>
    <s v="62-304.520 (10), F.A.C."/>
    <n v="0.59"/>
    <n v="0.64"/>
    <s v="FDOT District 5"/>
    <n v="3.0560601283000002E-4"/>
    <n v="3757.9958221035699"/>
    <n v="10.7272201985196"/>
    <n v="2.0425690029948802"/>
    <n v="3.27830299364E-3"/>
    <n v="6.2422136893999997E-4"/>
    <n v="1.1484661194323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27830299364E-3"/>
    <n v="6.2422136893999997E-4"/>
    <n v="1.1484661194310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.479345895247199"/>
    <n v="1.2367436557518401"/>
    <n v="9.3144050000000002E-4"/>
  </r>
  <r>
    <n v="830000"/>
    <n v="2500000"/>
    <n v="2500000"/>
    <x v="0"/>
    <x v="0"/>
    <s v="BR3-5, BR-7"/>
    <s v="62-304.520 (10), F.A.C."/>
    <n v="0.59"/>
    <n v="0.64"/>
    <s v="City of Cocoa Beach"/>
    <n v="7.2723003801999995E-4"/>
    <n v="3757.9958221035699"/>
    <n v="10.7272201985196"/>
    <n v="2.0425690029948802"/>
    <n v="7.8011567528699999E-3"/>
    <n v="1.48541753371E-3"/>
    <n v="2.7329274446061702"/>
    <n v="1210"/>
    <s v="Fixed Single Family Units"/>
    <n v="1210"/>
    <s v="City of Cocoa Beach           Brevard County"/>
    <s v="City of Cocoa Beach"/>
    <m/>
    <m/>
    <m/>
    <n v="0"/>
    <n v="1"/>
    <n v="7.8011567528699999E-3"/>
    <n v="1.48541753371E-3"/>
    <n v="2.7329274446044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.2549754225416"/>
    <n v="2.9429955499417599"/>
    <n v="2.2164861999999998E-3"/>
  </r>
  <r>
    <n v="830000"/>
    <n v="2500000"/>
    <n v="2500000"/>
    <x v="0"/>
    <x v="0"/>
    <s v="BR3-5, BR-7"/>
    <s v="62-304.520 (10), F.A.C."/>
    <n v="0.59"/>
    <n v="0.64"/>
    <s v="FDOT District 5"/>
    <n v="1.5409814676999999E-4"/>
    <n v="3757.9958221035699"/>
    <n v="10.7272201985196"/>
    <n v="2.0425690029948802"/>
    <n v="1.6530447526699999E-3"/>
    <n v="3.1475609802000001E-4"/>
    <n v="0.5791001917856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6530447526699999E-3"/>
    <n v="3.1475609802000001E-4"/>
    <n v="0.57910019178481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.27337556019034"/>
    <n v="0.62361307496761997"/>
    <n v="4.6966759999999999E-4"/>
  </r>
  <r>
    <n v="830000"/>
    <n v="2500000"/>
    <n v="2500000"/>
    <x v="0"/>
    <x v="0"/>
    <s v="BR3-5, BR-7"/>
    <s v="62-304.520 (10), F.A.C."/>
    <n v="0.59"/>
    <n v="0.64"/>
    <s v="City of Cocoa Beach"/>
    <n v="0.41800685974024998"/>
    <n v="3757.9958221035699"/>
    <n v="10.7272201985196"/>
    <n v="2.0425690029948802"/>
    <n v="4.4840516289254797"/>
    <n v="0.85380785474468002"/>
    <n v="1570.8680325145299"/>
    <n v="1300"/>
    <s v="Residential, High Density"/>
    <n v="1300"/>
    <s v="City of Cocoa Beach           Brevard County"/>
    <s v="City of Cocoa Beach"/>
    <m/>
    <m/>
    <m/>
    <n v="0"/>
    <n v="1"/>
    <n v="4.4840516289254797"/>
    <n v="0.85380785474468002"/>
    <n v="1570.8680325145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7.77890330183499"/>
    <n v="1691.61374494712"/>
    <n v="1.2740211132000001"/>
  </r>
  <r>
    <n v="830000"/>
    <n v="2500000"/>
    <n v="2500000"/>
    <x v="0"/>
    <x v="0"/>
    <s v="BR3-5, BR-7"/>
    <s v="62-304.520 (10), F.A.C."/>
    <n v="0.59"/>
    <n v="0.64"/>
    <s v="City of Cocoa Beach"/>
    <n v="8.457113420739E-2"/>
    <n v="3739.27822813378"/>
    <n v="10.113204548915601"/>
    <n v="1.7586406215261099"/>
    <n v="0.85528517917313995"/>
    <n v="0.14873023202565"/>
    <n v="316.23500087027702"/>
    <n v="1300"/>
    <s v="Residential, High Density"/>
    <n v="1300"/>
    <s v="City of Cocoa Beach           Brevard County"/>
    <s v="City of Cocoa Beach"/>
    <m/>
    <m/>
    <m/>
    <n v="0"/>
    <n v="1"/>
    <n v="0.85528517917313995"/>
    <n v="0.14873023202565"/>
    <n v="611.408184818900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615178728842"/>
    <n v="342.24723761683202"/>
    <n v="0.49587038509999998"/>
  </r>
  <r>
    <n v="830000"/>
    <n v="2500000"/>
    <n v="2500000"/>
    <x v="0"/>
    <x v="0"/>
    <s v="BR3-5, BR-7"/>
    <s v="62-304.520 (10), F.A.C."/>
    <n v="0.59"/>
    <n v="0.64"/>
    <s v="City of Cocoa Beach"/>
    <n v="8.7595858588230005E-2"/>
    <n v="3739.27822813378"/>
    <n v="10.113204548915601"/>
    <n v="1.7586406215261099"/>
    <n v="0.88587483554071"/>
    <n v="0.15404963519072001"/>
    <n v="327.545286893672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88587483554071"/>
    <n v="0.15404963519072001"/>
    <n v="327.54528689367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8.987619997344495"/>
    <n v="354.48786290343901"/>
    <n v="0.2656490567"/>
  </r>
  <r>
    <n v="830000"/>
    <n v="2500000"/>
    <n v="2500000"/>
    <x v="0"/>
    <x v="0"/>
    <s v="BR3-5, BR-7"/>
    <s v="62-304.520 (10), F.A.C."/>
    <n v="0.59"/>
    <n v="0.64"/>
    <s v="City of Cocoa Beach"/>
    <n v="0.13443188410515999"/>
    <n v="3739.27822813378"/>
    <n v="10.113204548915601"/>
    <n v="1.7586406215261099"/>
    <n v="1.35953714185164"/>
    <n v="0.23641737221563"/>
    <n v="502.67821740144001"/>
    <n v="1210"/>
    <s v="Fixed Single Family Units"/>
    <n v="1210"/>
    <s v="City of Cocoa Beach           Brevard County"/>
    <s v="City of Cocoa Beach"/>
    <m/>
    <m/>
    <m/>
    <n v="0"/>
    <n v="1"/>
    <n v="1.35953714185164"/>
    <n v="0.23641737221563"/>
    <n v="502.67821740144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446395873927"/>
    <n v="544.02653356631095"/>
    <n v="0.40768711870000002"/>
  </r>
  <r>
    <n v="830000"/>
    <n v="2500000"/>
    <n v="2500000"/>
    <x v="0"/>
    <x v="0"/>
    <s v="BR3-5, BR-7"/>
    <s v="62-304.520 (10), F.A.C."/>
    <n v="0.59"/>
    <n v="0.64"/>
    <s v="City of Cocoa Beach"/>
    <n v="0.11647641607369"/>
    <n v="3739.27822813378"/>
    <n v="10.113204548915601"/>
    <n v="1.7586406215261099"/>
    <n v="1.17794982087787"/>
    <n v="0.20484015675697001"/>
    <n v="435.53772671541498"/>
    <n v="1210"/>
    <s v="Fixed Single Family Units"/>
    <n v="1210"/>
    <s v="City of Cocoa Beach           Brevard County"/>
    <s v="City of Cocoa Beach"/>
    <m/>
    <m/>
    <m/>
    <n v="0"/>
    <n v="1"/>
    <n v="1.17794982087787"/>
    <n v="0.20484015675697001"/>
    <n v="435.53772671541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6.651323505832906"/>
    <n v="471.36333244596102"/>
    <n v="0.35323416600000002"/>
  </r>
  <r>
    <n v="830000"/>
    <n v="2500000"/>
    <n v="2500000"/>
    <x v="0"/>
    <x v="0"/>
    <s v="BR3-5, BR-7"/>
    <s v="62-304.520 (10), F.A.C."/>
    <n v="0.59"/>
    <n v="0.64"/>
    <s v="City of Cocoa Beach"/>
    <n v="8.8858832647739999E-2"/>
    <n v="3739.27822813378"/>
    <n v="10.113204548915601"/>
    <n v="1.7586406215261099"/>
    <n v="0.89864755054454004"/>
    <n v="0.15627075267571999"/>
    <n v="332.26789829710702"/>
    <n v="1300"/>
    <s v="Residential, High Density"/>
    <n v="1300"/>
    <s v="City of Cocoa Beach           Brevard County"/>
    <s v="City of Cocoa Beach"/>
    <m/>
    <m/>
    <m/>
    <n v="0"/>
    <n v="1"/>
    <n v="0.89864755054454004"/>
    <n v="0.15627075267571999"/>
    <n v="332.26789829710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0.7315018786081"/>
    <n v="359.59893758750297"/>
    <n v="0.26947923629999998"/>
  </r>
  <r>
    <n v="830000"/>
    <n v="2500000"/>
    <n v="2500000"/>
    <x v="0"/>
    <x v="0"/>
    <s v="BR3-5, BR-7"/>
    <s v="62-304.520 (10), F.A.C."/>
    <n v="0.59"/>
    <n v="0.64"/>
    <s v="City of Cocoa Beach"/>
    <n v="8.6023373894069999E-2"/>
    <n v="3742.2567206406002"/>
    <n v="8.8761450412007097"/>
    <n v="1.3324168124670399"/>
    <n v="0.76355594361727996"/>
    <n v="0.11461898964161001"/>
    <n v="321.921549087296"/>
    <n v="1210"/>
    <s v="Fixed Single Family Units"/>
    <n v="1210"/>
    <s v="City of Cocoa Beach           Brevard County"/>
    <s v="City of Cocoa Beach"/>
    <m/>
    <m/>
    <m/>
    <n v="0"/>
    <n v="1"/>
    <n v="0.76355594361727996"/>
    <n v="0.11461898964161001"/>
    <n v="321.9215490872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6.088716842424006"/>
    <n v="348.12424311976997"/>
    <n v="0.26108803660000002"/>
  </r>
  <r>
    <n v="830000"/>
    <n v="2500000"/>
    <n v="2500000"/>
    <x v="0"/>
    <x v="0"/>
    <s v="BR3-5, BR-7"/>
    <s v="62-304.520 (10), F.A.C."/>
    <n v="0.59"/>
    <n v="0.64"/>
    <s v="City of Cocoa Beach"/>
    <n v="0.17592526346616"/>
    <n v="3742.2567206406002"/>
    <n v="8.8761450412007097"/>
    <n v="1.3324168124670399"/>
    <n v="1.5615381549371401"/>
    <n v="0.23440577878001001"/>
    <n v="658.35749953673098"/>
    <n v="1210"/>
    <s v="Fixed Single Family Units"/>
    <n v="1210"/>
    <s v="City of Cocoa Beach           Brevard County"/>
    <s v="City of Cocoa Beach"/>
    <m/>
    <m/>
    <m/>
    <n v="0"/>
    <n v="1"/>
    <n v="1.5615381549371401"/>
    <n v="0.23440577878001001"/>
    <n v="658.35749953673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8.00508144627101"/>
    <n v="711.94428232047005"/>
    <n v="0.53394768820000005"/>
  </r>
  <r>
    <n v="830000"/>
    <n v="2500000"/>
    <n v="2500000"/>
    <x v="0"/>
    <x v="0"/>
    <s v="BR3-5, BR-7"/>
    <s v="62-304.520 (10), F.A.C."/>
    <n v="0.59"/>
    <n v="0.64"/>
    <s v="City of Cocoa Beach"/>
    <n v="0.12003922704405"/>
    <n v="3742.2567206406002"/>
    <n v="8.8761450412007097"/>
    <n v="1.3324168124670399"/>
    <n v="1.06548558987669"/>
    <n v="0.15994228426904999"/>
    <n v="449.21760414613198"/>
    <n v="1210"/>
    <s v="Fixed Single Family Units"/>
    <n v="1210"/>
    <s v="City of Cocoa Beach           Brevard County"/>
    <s v="City of Cocoa Beach"/>
    <m/>
    <m/>
    <m/>
    <n v="0"/>
    <n v="1"/>
    <n v="1.06548558987669"/>
    <n v="0.15994228426904999"/>
    <n v="449.217604146131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2.202729962465597"/>
    <n v="485.78151690317998"/>
    <n v="0.36432895710000002"/>
  </r>
  <r>
    <n v="830000"/>
    <n v="2500000"/>
    <n v="2500000"/>
    <x v="0"/>
    <x v="0"/>
    <s v="BR3-5, BR-7"/>
    <s v="62-304.520 (10), F.A.C."/>
    <n v="0.59"/>
    <n v="0.64"/>
    <s v="City of Cocoa Beach"/>
    <n v="0.12268417044083001"/>
    <n v="3742.2567206406002"/>
    <n v="8.8761450412007097"/>
    <n v="1.3324168124670399"/>
    <n v="1.08896249109219"/>
    <n v="0.16346645131893001"/>
    <n v="459.11566134841303"/>
    <n v="1300"/>
    <s v="Residential, High Density"/>
    <n v="1300"/>
    <s v="City of Cocoa Beach           Brevard County"/>
    <s v="City of Cocoa Beach"/>
    <m/>
    <m/>
    <m/>
    <n v="0"/>
    <n v="1"/>
    <n v="1.08896249109219"/>
    <n v="0.16346645131893001"/>
    <n v="459.115661348413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0.9036600894419"/>
    <n v="496.485223075291"/>
    <n v="0.37235657849999998"/>
  </r>
  <r>
    <n v="830000"/>
    <n v="2500000"/>
    <n v="2500000"/>
    <x v="0"/>
    <x v="0"/>
    <s v="BR3-5, BR-7"/>
    <s v="62-304.520 (10), F.A.C."/>
    <n v="0.59"/>
    <n v="0.64"/>
    <s v="City of Cocoa Beach"/>
    <n v="0.11309141877675"/>
    <n v="3742.2567206406002"/>
    <n v="8.8761450412007097"/>
    <n v="1.3324168124670399"/>
    <n v="1.0038158359776099"/>
    <n v="0.15068490772389001"/>
    <n v="423.21712196407702"/>
    <n v="1300"/>
    <s v="Residential, High Density"/>
    <n v="1300"/>
    <s v="City of Cocoa Beach           Brevard County"/>
    <s v="City of Cocoa Beach"/>
    <m/>
    <m/>
    <m/>
    <n v="0"/>
    <n v="1"/>
    <n v="1.0038158359776099"/>
    <n v="0.15068490772389001"/>
    <n v="423.217121964077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5.808604463322894"/>
    <n v="457.664734395023"/>
    <n v="0.34324178589999998"/>
  </r>
  <r>
    <n v="830000"/>
    <n v="2500000"/>
    <n v="2500000"/>
    <x v="0"/>
    <x v="0"/>
    <s v="BR3-5, BR-7"/>
    <s v="62-304.520 (10), F.A.C."/>
    <n v="0.59"/>
    <n v="0.64"/>
    <s v="City of Cocoa Beach"/>
    <n v="5.5543407326910002E-2"/>
    <n v="3812.8369858083101"/>
    <n v="10.1211233041548"/>
    <n v="1.70932928857025"/>
    <n v="0.56216167428857999"/>
    <n v="9.4941972930879998E-2"/>
    <n v="211.77795777387001"/>
    <n v="1400"/>
    <s v="Commercial and Services"/>
    <n v="1400"/>
    <s v="City of Cocoa Beach           Brevard County"/>
    <s v="City of Cocoa Beach"/>
    <m/>
    <m/>
    <m/>
    <n v="0"/>
    <n v="1"/>
    <n v="0.56216167428857999"/>
    <n v="9.4941972930879998E-2"/>
    <n v="211.77795777387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9.00578294768999"/>
    <n v="224.77619466289701"/>
    <n v="0.1717582788"/>
  </r>
  <r>
    <n v="830000"/>
    <n v="2500000"/>
    <n v="2500000"/>
    <x v="0"/>
    <x v="0"/>
    <s v="BR3-5, BR-7"/>
    <s v="62-304.520 (10), F.A.C."/>
    <n v="0.59"/>
    <n v="0.64"/>
    <s v="City of Cocoa Beach"/>
    <n v="0.22143874492807"/>
    <n v="3812.8369858083101"/>
    <n v="10.1211233041548"/>
    <n v="1.70932928857025"/>
    <n v="2.2412088417342901"/>
    <n v="0.37851173232978003"/>
    <n v="844.30983675271898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2.2412088417342901"/>
    <n v="0.37851173232978003"/>
    <n v="844.309836752718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9.98530054713501"/>
    <n v="896.13080708035704"/>
    <n v="0.68476061369999996"/>
  </r>
  <r>
    <n v="830000"/>
    <n v="2500000"/>
    <n v="2500000"/>
    <x v="0"/>
    <x v="0"/>
    <s v="BR3-5, BR-7"/>
    <s v="62-304.520 (10), F.A.C."/>
    <n v="0.59"/>
    <n v="0.64"/>
    <s v="City of Cocoa Beach"/>
    <n v="0.33737245222693002"/>
    <n v="3812.8369858083101"/>
    <n v="10.1211233041548"/>
    <n v="1.70932928857025"/>
    <n v="3.41458818841393"/>
    <n v="0.57668061374826995"/>
    <n v="1286.34616384371"/>
    <n v="1300"/>
    <s v="Residential, High Density"/>
    <n v="1300"/>
    <s v="City of Cocoa Beach           Brevard County"/>
    <s v="City of Cocoa Beach"/>
    <m/>
    <m/>
    <m/>
    <n v="0"/>
    <n v="1"/>
    <n v="3.41458818841393"/>
    <n v="0.57668061374826995"/>
    <n v="1286.3461638437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50.542138346212"/>
    <n v="1365.29787503542"/>
    <n v="1.0432653397"/>
  </r>
  <r>
    <n v="830000"/>
    <n v="2500000"/>
    <n v="2500000"/>
    <x v="0"/>
    <x v="0"/>
    <s v="BR3-5, BR-7"/>
    <s v="62-304.520 (10), F.A.C."/>
    <n v="0.59"/>
    <n v="0.64"/>
    <s v="City of Cocoa Beach"/>
    <n v="1.4248659540999999E-4"/>
    <n v="3812.8369858083101"/>
    <n v="10.1211233041548"/>
    <n v="1.70932928857025"/>
    <n v="1.44212440133E-3"/>
    <n v="2.4355651075999999E-4"/>
    <n v="0.54327816096115"/>
    <n v="1410"/>
    <s v="Retail Sales and Services"/>
    <n v="1410"/>
    <s v="City of Cocoa Beach           Brevard County"/>
    <s v="City of Cocoa Beach"/>
    <m/>
    <m/>
    <m/>
    <n v="0"/>
    <n v="1"/>
    <n v="1.44212440133E-3"/>
    <n v="2.4355651075999999E-4"/>
    <n v="0.54327816096200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.9533761129083"/>
    <n v="0.57662279374178005"/>
    <n v="4.4061490000000002E-4"/>
  </r>
  <r>
    <n v="830000"/>
    <n v="2500000"/>
    <n v="2500000"/>
    <x v="0"/>
    <x v="0"/>
    <s v="BR3-5, BR-7"/>
    <s v="62-304.520 (10), F.A.C."/>
    <n v="0.59"/>
    <n v="0.64"/>
    <s v="City of Cocoa Beach"/>
    <n v="3.2663626596200002E-3"/>
    <n v="3812.8369858083101"/>
    <n v="10.1211233041548"/>
    <n v="1.70932928857025"/>
    <n v="3.3059259234120002E-2"/>
    <n v="5.5832893611799999E-3"/>
    <n v="12.454108357669901"/>
    <n v="1300"/>
    <s v="Residential, High Density"/>
    <n v="1300"/>
    <s v="City of Cocoa Beach           Brevard County"/>
    <s v="City of Cocoa Beach"/>
    <m/>
    <m/>
    <m/>
    <n v="0"/>
    <n v="1"/>
    <n v="3.3059259234120002E-2"/>
    <n v="5.5832893611799999E-3"/>
    <n v="12.454108357671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0.006538235517198"/>
    <n v="13.2185007069804"/>
    <n v="1.0100655599999999E-2"/>
  </r>
  <r>
    <n v="830000"/>
    <n v="2500000"/>
    <n v="2500000"/>
    <x v="0"/>
    <x v="0"/>
    <s v="BR3-5, BR-7"/>
    <s v="62-304.520 (10), F.A.C."/>
    <n v="0.59"/>
    <n v="0.64"/>
    <s v="City of Cocoa Beach"/>
    <n v="8.4749724469610002E-2"/>
    <n v="3747.0616051852398"/>
    <n v="10.3479272339492"/>
    <n v="1.86666852895644"/>
    <n v="0.87698398190881999"/>
    <n v="0.15819964350516"/>
    <n v="317.562438610122"/>
    <n v="1300"/>
    <s v="Residential, High Density"/>
    <n v="1300"/>
    <s v="City of Cocoa Beach           Brevard County"/>
    <s v="City of Cocoa Beach"/>
    <m/>
    <m/>
    <m/>
    <n v="0"/>
    <n v="1"/>
    <n v="0.87698398190881999"/>
    <n v="0.15819964350516"/>
    <n v="575.599708376087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74832653484999"/>
    <n v="342.96996676649297"/>
    <n v="0.46682863619999998"/>
  </r>
  <r>
    <n v="830000"/>
    <n v="2500000"/>
    <n v="2500000"/>
    <x v="0"/>
    <x v="0"/>
    <s v="BR3-5, BR-7"/>
    <s v="62-304.520 (10), F.A.C."/>
    <n v="0.59"/>
    <n v="0.64"/>
    <s v="City of Cocoa Beach"/>
    <n v="3.3763865385710003E-2"/>
    <n v="3747.0616051852398"/>
    <n v="10.3479272339492"/>
    <n v="1.86666852895644"/>
    <n v="0.34938602214823999"/>
    <n v="6.3025944931430003E-2"/>
    <n v="126.515283629459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4938602214823999"/>
    <n v="6.3025944931430003E-2"/>
    <n v="126.51528362945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893679540503101"/>
    <n v="136.63751548123199"/>
    <n v="0.1026076915"/>
  </r>
  <r>
    <n v="830000"/>
    <n v="2500000"/>
    <n v="2500000"/>
    <x v="0"/>
    <x v="0"/>
    <s v="BR3-5, BR-7"/>
    <s v="62-304.520 (10), F.A.C."/>
    <n v="0.59"/>
    <n v="0.64"/>
    <s v="City of Cocoa Beach"/>
    <n v="0.13373873063495001"/>
    <n v="3747.0616051852398"/>
    <n v="10.3479272339492"/>
    <n v="1.86666852895644"/>
    <n v="1.3839186529712699"/>
    <n v="0.24964587957885001"/>
    <n v="501.12726268845802"/>
    <n v="1210"/>
    <s v="Fixed Single Family Units"/>
    <n v="1210"/>
    <s v="City of Cocoa Beach           Brevard County"/>
    <s v="City of Cocoa Beach"/>
    <m/>
    <m/>
    <m/>
    <n v="0"/>
    <n v="1"/>
    <n v="1.3839186529712699"/>
    <n v="0.24964587957885001"/>
    <n v="501.127262688458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9.494226661507597"/>
    <n v="541.22144099370098"/>
    <n v="0.40642924790000001"/>
  </r>
  <r>
    <n v="830000"/>
    <n v="2500000"/>
    <n v="2500000"/>
    <x v="0"/>
    <x v="0"/>
    <s v="BR3-5, BR-7"/>
    <s v="62-304.520 (10), F.A.C."/>
    <n v="0.59"/>
    <n v="0.64"/>
    <s v="City of Cocoa Beach"/>
    <n v="0.24468203718927001"/>
    <n v="3747.0616051852398"/>
    <n v="10.3479272339492"/>
    <n v="1.86666852895644"/>
    <n v="2.5319519162891"/>
    <n v="0.45674025842216998"/>
    <n v="916.83866703044703"/>
    <n v="1300"/>
    <s v="Residential, High Density"/>
    <n v="1300"/>
    <s v="City of Cocoa Beach           Brevard County"/>
    <s v="City of Cocoa Beach"/>
    <m/>
    <m/>
    <m/>
    <n v="0"/>
    <n v="1"/>
    <n v="2.5319519162891"/>
    <n v="0.45674025842216998"/>
    <n v="916.838667030447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6.04047700684499"/>
    <n v="990.19307364534302"/>
    <n v="0.74358367160000005"/>
  </r>
  <r>
    <n v="830000"/>
    <n v="2500000"/>
    <n v="2500000"/>
    <x v="0"/>
    <x v="0"/>
    <s v="BR3-5, BR-7"/>
    <s v="62-304.520 (10), F.A.C."/>
    <n v="0.59"/>
    <n v="0.64"/>
    <s v="City of Cocoa Beach"/>
    <n v="1.95272200542E-3"/>
    <n v="3809.15363092386"/>
    <n v="11.0287034900294"/>
    <n v="1.4627517303879101"/>
    <n v="2.1535991996329999E-2"/>
    <n v="2.8563474924000001E-3"/>
    <n v="7.4382181171647996"/>
    <n v="1400"/>
    <s v="Commercial and Services"/>
    <n v="1400"/>
    <s v="City of Cocoa Beach           Brevard County"/>
    <s v="City of Cocoa Beach"/>
    <m/>
    <m/>
    <m/>
    <n v="0"/>
    <n v="1"/>
    <n v="2.1535991996329999E-2"/>
    <n v="2.8563474924000001E-3"/>
    <n v="7.43821811716358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347625704705"/>
    <n v="7.9023855888308701"/>
    <n v="6.0326180999999996E-3"/>
  </r>
  <r>
    <n v="830000"/>
    <n v="2500000"/>
    <n v="2500000"/>
    <x v="0"/>
    <x v="0"/>
    <s v="BR3-5, BR-7"/>
    <s v="62-304.520 (10), F.A.C."/>
    <n v="0.59"/>
    <n v="0.64"/>
    <s v="FDOT District 5"/>
    <n v="6.1410509703780002E-2"/>
    <n v="3809.15363092386"/>
    <n v="11.0287034900294"/>
    <n v="1.4627517303879101"/>
    <n v="0.67727830269458"/>
    <n v="8.982832933321E-2"/>
    <n v="233.922066015041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67727830269458"/>
    <n v="8.982832933321E-2"/>
    <n v="233.92206601504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9.902335371254"/>
    <n v="248.519515597604"/>
    <n v="0.18971781509999999"/>
  </r>
  <r>
    <n v="830000"/>
    <n v="2500000"/>
    <n v="2500000"/>
    <x v="0"/>
    <x v="0"/>
    <s v="BR3-5, BR-7"/>
    <s v="62-304.520 (10), F.A.C."/>
    <n v="0.59"/>
    <n v="0.64"/>
    <s v="City of Cocoa Beach"/>
    <n v="0.17309659793740001"/>
    <n v="3809.15363092386"/>
    <n v="11.0287034900294"/>
    <n v="1.4627517303879101"/>
    <n v="1.9090310537845101"/>
    <n v="0.25319734815720002"/>
    <n v="659.351534533841"/>
    <n v="1410"/>
    <s v="Retail Sales and Services"/>
    <n v="1410"/>
    <s v="City of Cocoa Beach           Brevard County"/>
    <s v="City of Cocoa Beach"/>
    <m/>
    <m/>
    <m/>
    <n v="0"/>
    <n v="1"/>
    <n v="1.9090310537845101"/>
    <n v="0.25319734815720002"/>
    <n v="659.35153453384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0.513362189105"/>
    <n v="700.497079058586"/>
    <n v="0.53475388040000005"/>
  </r>
  <r>
    <n v="830000"/>
    <n v="2500000"/>
    <n v="2500000"/>
    <x v="0"/>
    <x v="0"/>
    <s v="BR3-5, BR-7"/>
    <s v="62-304.520 (10), F.A.C."/>
    <n v="0.59"/>
    <n v="0.64"/>
    <s v="City of Cocoa Beach"/>
    <n v="9.2283183629349994E-2"/>
    <n v="3809.15363092386"/>
    <n v="11.0287034900294"/>
    <n v="1.4627517303879101"/>
    <n v="1.01776386936414"/>
    <n v="0.13498738653955"/>
    <n v="351.52082399498602"/>
    <n v="1410"/>
    <s v="Retail Sales and Services"/>
    <n v="1410"/>
    <s v="City of Cocoa Beach           Brevard County"/>
    <s v="City of Cocoa Beach"/>
    <m/>
    <m/>
    <m/>
    <n v="0"/>
    <n v="1"/>
    <n v="1.01776386936414"/>
    <n v="0.13498738653955"/>
    <n v="351.520823994986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267013143176"/>
    <n v="373.45679434999101"/>
    <n v="0.28509393669999999"/>
  </r>
  <r>
    <n v="830000"/>
    <n v="2500000"/>
    <n v="2500000"/>
    <x v="0"/>
    <x v="0"/>
    <s v="BR3-5, BR-7"/>
    <s v="62-304.520 (10), F.A.C."/>
    <n v="0.59"/>
    <n v="0.64"/>
    <s v="City of Cocoa Beach"/>
    <n v="0.25636384639422999"/>
    <n v="3809.15363092386"/>
    <n v="11.0287034900294"/>
    <n v="1.4627517303879101"/>
    <n v="2.8273608474455099"/>
    <n v="0.37499665992206999"/>
    <n v="976.52927633021795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2.8273608474455099"/>
    <n v="0.37499665992206999"/>
    <n v="976.529276330217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6.10692583344999"/>
    <n v="1037.4676782516799"/>
    <n v="0.79199454690000004"/>
  </r>
  <r>
    <n v="830000"/>
    <n v="2500000"/>
    <n v="2500000"/>
    <x v="0"/>
    <x v="0"/>
    <s v="BR3-5, BR-7"/>
    <s v="62-304.520 (10), F.A.C."/>
    <n v="0.59"/>
    <n v="0.64"/>
    <s v="City of Cocoa Beach"/>
    <n v="3.2656593813589999E-2"/>
    <n v="3809.15363092386"/>
    <n v="11.0287034900294"/>
    <n v="1.4627517303879101"/>
    <n v="0.36015989016442002"/>
    <n v="4.77684891094E-2"/>
    <n v="124.39398289864501"/>
    <n v="1410"/>
    <s v="Retail Sales and Services"/>
    <n v="1410"/>
    <s v="City of Cocoa Beach           Brevard County"/>
    <s v="City of Cocoa Beach"/>
    <m/>
    <m/>
    <m/>
    <n v="0"/>
    <n v="1"/>
    <n v="0.36015989016442002"/>
    <n v="4.77684891094E-2"/>
    <n v="124.39398289864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4.557521478265102"/>
    <n v="132.156546408239"/>
    <n v="0.100887253"/>
  </r>
  <r>
    <n v="830000"/>
    <n v="2500000"/>
    <n v="2500000"/>
    <x v="0"/>
    <x v="0"/>
    <s v="BR3-5, BR-7"/>
    <s v="62-304.520 (10), F.A.C."/>
    <n v="0.59"/>
    <n v="0.64"/>
    <s v="City of Cocoa Beach"/>
    <n v="7.7295208666400004E-3"/>
    <n v="3782.56191348942"/>
    <n v="9.5830836593905993"/>
    <n v="1.6952882494625601"/>
    <n v="7.4072645112089996E-2"/>
    <n v="1.3103765899200001E-2"/>
    <n v="29.237391239704401"/>
    <n v="1390"/>
    <s v="High Density Under Construction"/>
    <n v="1390"/>
    <s v="City of Cocoa Beach           Brevard County"/>
    <s v="City of Cocoa Beach"/>
    <m/>
    <m/>
    <m/>
    <n v="0"/>
    <n v="1"/>
    <n v="7.4072645112089996E-2"/>
    <n v="1.3103765899200001E-2"/>
    <n v="1191.0985619220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9.0942090285658"/>
    <n v="31.280261161267401"/>
    <n v="0.96601667629999999"/>
  </r>
  <r>
    <n v="830000"/>
    <n v="2500000"/>
    <n v="2500000"/>
    <x v="0"/>
    <x v="0"/>
    <s v="BR3-5, BR-7"/>
    <s v="62-304.520 (10), F.A.C."/>
    <n v="0.59"/>
    <n v="0.64"/>
    <s v="FDOT District 5"/>
    <n v="1.87371739961E-3"/>
    <n v="3782.56191348942"/>
    <n v="9.5830836593905993"/>
    <n v="1.6952882494625601"/>
    <n v="1.795599059453E-2"/>
    <n v="3.1764910903700001E-3"/>
    <n v="7.0874520724147896"/>
    <n v="1390"/>
    <s v="High Density Under Construction"/>
    <n v="1390"/>
    <s v="FDOT District 5                                 City of Cocoa Beach           Brevard County"/>
    <s v="FDOT District 5"/>
    <m/>
    <m/>
    <m/>
    <n v="0"/>
    <n v="1"/>
    <n v="1.795599059453E-2"/>
    <n v="3.1764910903700001E-3"/>
    <n v="139.59794414314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.097611310578101"/>
    <n v="7.5826652923839699"/>
    <n v="0.1132181218"/>
  </r>
  <r>
    <n v="830000"/>
    <n v="2500000"/>
    <n v="2500000"/>
    <x v="0"/>
    <x v="0"/>
    <s v="BR3-5, BR-7"/>
    <s v="62-304.520 (10), F.A.C."/>
    <n v="0.59"/>
    <n v="0.64"/>
    <s v="City of Cocoa Beach"/>
    <n v="1.9370893118200001E-3"/>
    <n v="3782.56191348942"/>
    <n v="9.5830836593905993"/>
    <n v="1.6952882494625601"/>
    <n v="1.8563288930949998E-2"/>
    <n v="3.2839247485E-3"/>
    <n v="7.3271602539480201"/>
    <n v="1300"/>
    <s v="Residential, High Density"/>
    <n v="1300"/>
    <s v="City of Cocoa Beach           Brevard County"/>
    <s v="City of Cocoa Beach"/>
    <m/>
    <m/>
    <m/>
    <n v="0"/>
    <n v="1"/>
    <n v="1.8563288930949998E-2"/>
    <n v="3.2839247485E-3"/>
    <n v="7.3271602539472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0.356675464726"/>
    <n v="7.8391223223327602"/>
    <n v="5.9425468000000002E-3"/>
  </r>
  <r>
    <n v="830000"/>
    <n v="2500000"/>
    <n v="2500000"/>
    <x v="0"/>
    <x v="0"/>
    <s v="BR3-5, BR-7"/>
    <s v="62-304.520 (10), F.A.C."/>
    <n v="0.59"/>
    <n v="0.64"/>
    <s v="FDOT District 5"/>
    <n v="0.11831235427887"/>
    <n v="3782.56191348942"/>
    <n v="9.5830836593905993"/>
    <n v="1.6952882494625601"/>
    <n v="1.13379718899393"/>
    <n v="0.20057354397523"/>
    <n v="447.523805190547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13379718899393"/>
    <n v="0.20057354397523"/>
    <n v="735.945982539353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8.553291272585"/>
    <n v="478.79311076273598"/>
    <n v="0.5968742762"/>
  </r>
  <r>
    <n v="830000"/>
    <n v="2500000"/>
    <n v="2500000"/>
    <x v="0"/>
    <x v="0"/>
    <s v="BR3-5, BR-7"/>
    <s v="62-304.520 (10), F.A.C."/>
    <n v="0.59"/>
    <n v="0.64"/>
    <s v="City of Cocoa Beach"/>
    <n v="6.946584589391E-2"/>
    <n v="3782.56191348942"/>
    <n v="9.5830836593905993"/>
    <n v="1.6952882494625601"/>
    <n v="0.66569701267172998"/>
    <n v="0.11776463228293001"/>
    <n v="262.75886296665198"/>
    <n v="1300"/>
    <s v="Residential, High Density"/>
    <n v="1300"/>
    <s v="City of Cocoa Beach           Brevard County"/>
    <s v="City of Cocoa Beach"/>
    <m/>
    <m/>
    <m/>
    <n v="0"/>
    <n v="1"/>
    <n v="0.66569701267172998"/>
    <n v="0.11776463228293001"/>
    <n v="262.75886296664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1.266287474159"/>
    <n v="281.11830459324102"/>
    <n v="0.2131053228"/>
  </r>
  <r>
    <n v="830000"/>
    <n v="2500000"/>
    <n v="2500000"/>
    <x v="0"/>
    <x v="0"/>
    <s v="BR3-5, BR-7"/>
    <s v="62-304.520 (10), F.A.C."/>
    <n v="0.59"/>
    <n v="0.64"/>
    <s v="City of Cocoa Beach"/>
    <n v="0.20473252166507999"/>
    <n v="3757.7721566750201"/>
    <n v="9.6111683812555793"/>
    <n v="1.43536160021609"/>
    <n v="1.9677187388422099"/>
    <n v="0.29386519991346999"/>
    <n v="769.33816947893399"/>
    <n v="1400"/>
    <s v="Commercial and Services"/>
    <n v="1400"/>
    <s v="City of Cocoa Beach           Brevard County"/>
    <s v="City of Cocoa Beach"/>
    <m/>
    <m/>
    <m/>
    <n v="0"/>
    <n v="1"/>
    <n v="1.9677187388422099"/>
    <n v="0.29386519991346999"/>
    <n v="769.33816947893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00.467424378125"/>
    <n v="828.52312017451004"/>
    <n v="0.62395634180000004"/>
  </r>
  <r>
    <n v="830000"/>
    <n v="2500000"/>
    <n v="2500000"/>
    <x v="0"/>
    <x v="0"/>
    <s v="BR3-5, BR-7"/>
    <s v="62-304.520 (10), F.A.C."/>
    <n v="0.59"/>
    <n v="0.64"/>
    <s v="City of Cocoa Beach"/>
    <n v="8.2811941723299996E-3"/>
    <n v="3757.7721566750201"/>
    <n v="9.6111683812555793"/>
    <n v="1.43536160021609"/>
    <n v="7.9591951588179999E-2"/>
    <n v="1.18865081189E-2"/>
    <n v="31.1188408848199"/>
    <n v="1410"/>
    <s v="Retail Sales and Services"/>
    <n v="1410"/>
    <s v="City of Cocoa Beach           Brevard County"/>
    <s v="City of Cocoa Beach"/>
    <m/>
    <m/>
    <m/>
    <n v="0"/>
    <n v="1"/>
    <n v="7.9591951588179999E-2"/>
    <n v="1.18865081189E-2"/>
    <n v="31.118840884818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6.5616495587965"/>
    <n v="33.512803821453403"/>
    <n v="2.5238313799999999E-2"/>
  </r>
  <r>
    <n v="830000"/>
    <n v="2500000"/>
    <n v="2500000"/>
    <x v="0"/>
    <x v="0"/>
    <s v="BR3-5, BR-7"/>
    <s v="62-304.520 (10), F.A.C."/>
    <n v="0.59"/>
    <n v="0.64"/>
    <s v="City of Cocoa Beach"/>
    <n v="0.11372604808564001"/>
    <n v="3757.7721566750201"/>
    <n v="9.6111683812555793"/>
    <n v="1.43536160021609"/>
    <n v="1.0930401974859001"/>
    <n v="0.16323800236645999"/>
    <n v="427.356576984922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0930401974859001"/>
    <n v="0.16323800236645999"/>
    <n v="427.356576984922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0.971274209795"/>
    <n v="460.23298808956298"/>
    <n v="0.34659900809999999"/>
  </r>
  <r>
    <n v="830000"/>
    <n v="2500000"/>
    <n v="2500000"/>
    <x v="0"/>
    <x v="0"/>
    <s v="BR3-5, BR-7"/>
    <s v="62-304.520 (10), F.A.C."/>
    <n v="0.59"/>
    <n v="0.64"/>
    <s v="City of Cocoa Beach"/>
    <n v="9.2891488422900004E-3"/>
    <n v="3757.7721566750201"/>
    <n v="9.6111683812555793"/>
    <n v="1.43536160021609"/>
    <n v="8.9279573641789997E-2"/>
    <n v="1.3333287546909999E-2"/>
    <n v="34.9065048787674"/>
    <n v="1410"/>
    <s v="Retail Sales and Services"/>
    <n v="1410"/>
    <s v="City of Cocoa Beach           Brevard County"/>
    <s v="City of Cocoa Beach"/>
    <m/>
    <m/>
    <m/>
    <n v="0"/>
    <n v="1"/>
    <n v="8.9279573641789997E-2"/>
    <n v="1.3333287546909999E-2"/>
    <n v="34.9065048787656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2.751427895803303"/>
    <n v="37.591851651048799"/>
    <n v="2.8310222900000001E-2"/>
  </r>
  <r>
    <n v="830000"/>
    <n v="2500000"/>
    <n v="2500000"/>
    <x v="0"/>
    <x v="0"/>
    <s v="BR3-5, BR-7"/>
    <s v="62-304.520 (10), F.A.C."/>
    <n v="0.59"/>
    <n v="0.64"/>
    <s v="City of Cocoa Beach"/>
    <n v="0.28173454097159001"/>
    <n v="3757.7721566750201"/>
    <n v="9.6111683812555793"/>
    <n v="1.43536160021609"/>
    <n v="2.70779811209376"/>
    <n v="0.40439094156513"/>
    <n v="1058.6942136366799"/>
    <n v="8310"/>
    <s v="Electrical power facilities"/>
    <n v="8310"/>
    <s v="City of Cocoa Beach           Brevard County"/>
    <s v="City of Cocoa Beach"/>
    <m/>
    <m/>
    <m/>
    <n v="0"/>
    <n v="1"/>
    <n v="2.70779811209376"/>
    <n v="0.40439094156513"/>
    <n v="1058.6942136366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1.907785453662"/>
    <n v="1140.1392365428201"/>
    <n v="0.85863277670000004"/>
  </r>
  <r>
    <n v="830000"/>
    <n v="2500000"/>
    <n v="2500000"/>
    <x v="0"/>
    <x v="0"/>
    <s v="BR3-5, BR-7"/>
    <s v="62-304.520 (10), F.A.C."/>
    <n v="0.59"/>
    <n v="0.64"/>
    <s v="City of Cocoa Beach"/>
    <n v="0.12780966509623001"/>
    <n v="3768.9290736817502"/>
    <n v="10.2930538197543"/>
    <n v="1.9192293645148799"/>
    <n v="1.3155517615203201"/>
    <n v="0.2452960623215"/>
    <n v="481.70556267872701"/>
    <n v="1300"/>
    <s v="Residential, High Density"/>
    <n v="1300"/>
    <s v="City of Cocoa Beach           Brevard County"/>
    <s v="City of Cocoa Beach"/>
    <m/>
    <m/>
    <m/>
    <n v="0"/>
    <n v="1"/>
    <n v="1.3155517615203201"/>
    <n v="0.2452960623215"/>
    <n v="481.705562678727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2.040486956171904"/>
    <n v="517.22736403949204"/>
    <n v="0.39067766640000001"/>
  </r>
  <r>
    <n v="830000"/>
    <n v="2500000"/>
    <n v="2500000"/>
    <x v="0"/>
    <x v="0"/>
    <s v="BR3-5, BR-7"/>
    <s v="62-304.520 (10), F.A.C."/>
    <n v="0.59"/>
    <n v="0.64"/>
    <s v="City of Cocoa Beach"/>
    <n v="0.18621957301334"/>
    <n v="3768.9290736817502"/>
    <n v="10.2930538197543"/>
    <n v="1.9192293645148799"/>
    <n v="1.9167680873180699"/>
    <n v="0.35739807277463997"/>
    <n v="701.84836281861203"/>
    <n v="1300"/>
    <s v="Residential, High Density"/>
    <n v="1300"/>
    <s v="City of Cocoa Beach           Brevard County"/>
    <s v="City of Cocoa Beach"/>
    <m/>
    <m/>
    <m/>
    <n v="0"/>
    <n v="1"/>
    <n v="1.9167680873180699"/>
    <n v="0.35739807277463997"/>
    <n v="701.848362818612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0.451253195853"/>
    <n v="753.603875025658"/>
    <n v="0.56922008339999997"/>
  </r>
  <r>
    <n v="830000"/>
    <n v="2500000"/>
    <n v="2500000"/>
    <x v="0"/>
    <x v="0"/>
    <s v="BR3-5, BR-7"/>
    <s v="62-304.520 (10), F.A.C."/>
    <n v="0.59"/>
    <n v="0.64"/>
    <s v="City of Cocoa Beach"/>
    <n v="0.30373421537422002"/>
    <n v="3768.9290736817502"/>
    <n v="10.2930538197543"/>
    <n v="1.9192293645148799"/>
    <n v="3.1263526257477099"/>
    <n v="0.58293562515409003"/>
    <n v="1144.75271499581"/>
    <n v="1300"/>
    <s v="Residential, High Density"/>
    <n v="1300"/>
    <s v="City of Cocoa Beach           Brevard County"/>
    <s v="City of Cocoa Beach"/>
    <m/>
    <m/>
    <m/>
    <n v="0"/>
    <n v="1"/>
    <n v="3.1263526257477099"/>
    <n v="0.58293562515409003"/>
    <n v="1144.7527149958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9.28396219968201"/>
    <n v="1229.16876018979"/>
    <n v="0.92842880370000003"/>
  </r>
  <r>
    <n v="830000"/>
    <n v="2500000"/>
    <n v="2500000"/>
    <x v="0"/>
    <x v="0"/>
    <s v="BR3-5, BR-7"/>
    <s v="62-304.520 (10), F.A.C."/>
    <n v="0.59"/>
    <n v="0.64"/>
    <s v="City of Cocoa Beach"/>
    <n v="0.15840570435557999"/>
    <n v="3839.1368770363501"/>
    <n v="10.3288039676721"/>
    <n v="1.37819170786324"/>
    <n v="1.63614146764983"/>
    <n v="0.2183134282211"/>
    <n v="608.14118112443202"/>
    <n v="1400"/>
    <s v="Commercial and Services"/>
    <n v="1400"/>
    <s v="City of Cocoa Beach           Brevard County"/>
    <s v="City of Cocoa Beach"/>
    <m/>
    <m/>
    <m/>
    <n v="0"/>
    <n v="1"/>
    <n v="1.63614146764983"/>
    <n v="0.2183134282211"/>
    <n v="608.141181124432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4.21224683656001"/>
    <n v="641.04514201618201"/>
    <n v="0.49322074710000002"/>
  </r>
  <r>
    <n v="830000"/>
    <n v="2500000"/>
    <n v="2500000"/>
    <x v="0"/>
    <x v="0"/>
    <s v="BR3-5, BR-7"/>
    <s v="62-304.520 (10), F.A.C."/>
    <n v="0.59"/>
    <n v="0.64"/>
    <s v="FDOT District 5"/>
    <n v="9.2410114437890004E-2"/>
    <n v="3839.1368770363501"/>
    <n v="10.3288039676721"/>
    <n v="1.37819170786324"/>
    <n v="0.95448595665914004"/>
    <n v="0.12735885344098999"/>
    <n v="354.775078149664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95448595665914004"/>
    <n v="0.12735885344098999"/>
    <n v="354.77507814966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6.765860999338"/>
    <n v="373.97046510770701"/>
    <n v="0.28773323449999999"/>
  </r>
  <r>
    <n v="830000"/>
    <n v="2500000"/>
    <n v="2500000"/>
    <x v="0"/>
    <x v="0"/>
    <s v="BR3-5, BR-7"/>
    <s v="62-304.520 (10), F.A.C."/>
    <n v="0.59"/>
    <n v="0.64"/>
    <s v="City of Cocoa Beach"/>
    <n v="9.4258688367820004E-2"/>
    <n v="3839.1368770363501"/>
    <n v="10.3288039676721"/>
    <n v="1.37819170786324"/>
    <n v="0.97357951440112001"/>
    <n v="0.12990654270259"/>
    <n v="361.87200649397801"/>
    <n v="1410"/>
    <s v="Retail Sales and Services"/>
    <n v="1410"/>
    <s v="City of Cocoa Beach           Brevard County"/>
    <s v="City of Cocoa Beach"/>
    <m/>
    <m/>
    <m/>
    <n v="0"/>
    <n v="1"/>
    <n v="0.97357951440112001"/>
    <n v="0.12990654270259"/>
    <n v="361.87200649397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8.193895459161197"/>
    <n v="381.45137838831602"/>
    <n v="0.2934890564"/>
  </r>
  <r>
    <n v="830000"/>
    <n v="2500000"/>
    <n v="2500000"/>
    <x v="0"/>
    <x v="0"/>
    <s v="BR3-5, BR-7"/>
    <s v="62-304.520 (10), F.A.C."/>
    <n v="0.59"/>
    <n v="0.64"/>
    <s v="City of Cocoa Beach"/>
    <n v="0.27268894643757002"/>
    <n v="3839.1368770363501"/>
    <n v="10.3288039676721"/>
    <n v="1.37819170786324"/>
    <n v="2.8165506719047801"/>
    <n v="0.37581764480622998"/>
    <n v="1046.89019022869"/>
    <n v="1410"/>
    <s v="Retail Sales and Services"/>
    <n v="1410"/>
    <s v="City of Cocoa Beach           Brevard County"/>
    <s v="City of Cocoa Beach"/>
    <m/>
    <m/>
    <m/>
    <n v="0"/>
    <n v="1"/>
    <n v="2.8165506719047801"/>
    <n v="0.37581764480622998"/>
    <n v="1046.8901902286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8.12516858343099"/>
    <n v="1103.5330142083899"/>
    <n v="0.8490593595"/>
  </r>
  <r>
    <n v="830000"/>
    <n v="2500000"/>
    <n v="2500000"/>
    <x v="0"/>
    <x v="0"/>
    <s v="BR3-5, BR-7"/>
    <s v="62-304.520 (10), F.A.C."/>
    <n v="0.59"/>
    <n v="0.64"/>
    <s v="City of Cocoa Beach"/>
    <n v="0.15779700901586999"/>
    <n v="3741.3885173263602"/>
    <n v="10.171654278638099"/>
    <n v="1.40566575626124"/>
    <n v="1.6050566219125899"/>
    <n v="0.22180985201405001"/>
    <n v="590.37991760042803"/>
    <n v="1200"/>
    <s v="Residential, Medium Density-Two-five dwellingunits per acre"/>
    <n v="1200"/>
    <s v="City of Cocoa Beach           Brevard County"/>
    <s v="City of Cocoa Beach"/>
    <m/>
    <m/>
    <m/>
    <n v="0"/>
    <n v="1"/>
    <n v="1.6050566219125899"/>
    <n v="0.22180985201405001"/>
    <n v="590.379917600428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5.57466155615499"/>
    <n v="638.58183937139199"/>
    <n v="0.4788158294"/>
  </r>
  <r>
    <n v="830000"/>
    <n v="2500000"/>
    <n v="2500000"/>
    <x v="0"/>
    <x v="0"/>
    <s v="BR3-5, BR-7"/>
    <s v="62-304.520 (10), F.A.C."/>
    <n v="0.59"/>
    <n v="0.64"/>
    <s v="City of Cocoa Beach"/>
    <n v="0.15397065290313999"/>
    <n v="3741.3885173263602"/>
    <n v="10.171654278638099"/>
    <n v="1.40566575626124"/>
    <n v="1.5661362503869301"/>
    <n v="0.21643127425513001"/>
    <n v="576.06403277705397"/>
    <n v="1400"/>
    <s v="Commercial and Services"/>
    <n v="1400"/>
    <s v="City of Cocoa Beach           Brevard County"/>
    <s v="City of Cocoa Beach"/>
    <m/>
    <m/>
    <m/>
    <n v="0"/>
    <n v="1"/>
    <n v="1.5661362503869301"/>
    <n v="0.21643127425513001"/>
    <n v="576.064032777053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29.86385675189399"/>
    <n v="623.09712556219699"/>
    <n v="0.46720521720000002"/>
  </r>
  <r>
    <n v="830000"/>
    <n v="2500000"/>
    <n v="2500000"/>
    <x v="0"/>
    <x v="0"/>
    <s v="BR3-5, BR-7"/>
    <s v="62-304.520 (10), F.A.C."/>
    <n v="0.59"/>
    <n v="0.64"/>
    <s v="FDOT District 5"/>
    <n v="6.56659047635E-3"/>
    <n v="3741.3885173263602"/>
    <n v="10.171654278638099"/>
    <n v="1.40566575626124"/>
    <n v="6.6793088114870003E-2"/>
    <n v="9.2304313679999993E-3"/>
    <n v="24.5681662062155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6.6793088114870003E-2"/>
    <n v="9.2304313679999993E-3"/>
    <n v="24.568166206213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2.806829977345"/>
    <n v="26.574048842502101"/>
    <n v="1.9925519999999999E-2"/>
  </r>
  <r>
    <n v="830000"/>
    <n v="2500000"/>
    <n v="2500000"/>
    <x v="0"/>
    <x v="0"/>
    <s v="BR3-5, BR-7"/>
    <s v="62-304.520 (10), F.A.C."/>
    <n v="0.59"/>
    <n v="0.64"/>
    <s v="City of Cocoa Beach"/>
    <n v="8.172902380614E-2"/>
    <n v="3761.1340898818298"/>
    <n v="10.8169182187148"/>
    <n v="2.08371064325544"/>
    <n v="0.88405616660648001"/>
    <n v="0.17029963676773999"/>
    <n v="307.39381757005901"/>
    <n v="1300"/>
    <s v="Residential, High Density"/>
    <n v="1300"/>
    <s v="City of Cocoa Beach           Brevard County"/>
    <s v="City of Cocoa Beach"/>
    <m/>
    <m/>
    <m/>
    <n v="0"/>
    <n v="1"/>
    <n v="0.88405616660648001"/>
    <n v="0.17029963676773999"/>
    <n v="307.39381757005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0.878215003054905"/>
    <n v="330.74562488638298"/>
    <n v="0.24930561039999999"/>
  </r>
  <r>
    <n v="830000"/>
    <n v="2500000"/>
    <n v="2500000"/>
    <x v="0"/>
    <x v="0"/>
    <s v="BR3-5, BR-7"/>
    <s v="62-304.520 (10), F.A.C."/>
    <n v="0.59"/>
    <n v="0.64"/>
    <s v="City of Cocoa Beach"/>
    <n v="2.870195284872E-2"/>
    <n v="3761.1340898818298"/>
    <n v="10.8169182187148"/>
    <n v="2.08371064325544"/>
    <n v="0.31046667668203998"/>
    <n v="5.9806564633100003E-2"/>
    <n v="107.95189330551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1046667668203998"/>
    <n v="5.9806564633100003E-2"/>
    <n v="107.95189330551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4.337477473794799"/>
    <n v="116.152682221278"/>
    <n v="8.7552224900000003E-2"/>
  </r>
  <r>
    <n v="830000"/>
    <n v="2500000"/>
    <n v="2500000"/>
    <x v="0"/>
    <x v="0"/>
    <s v="BR3-5, BR-7"/>
    <s v="62-304.520 (10), F.A.C."/>
    <n v="0.59"/>
    <n v="0.64"/>
    <s v="City of Cocoa Beach"/>
    <n v="0.50733247694399997"/>
    <n v="3761.1340898818298"/>
    <n v="10.8169182187148"/>
    <n v="2.08371064325544"/>
    <n v="5.4877739128013197"/>
    <n v="1.05713408187737"/>
    <n v="1908.14547393828"/>
    <n v="1300"/>
    <s v="Residential, High Density"/>
    <n v="1300"/>
    <s v="City of Cocoa Beach           Brevard County"/>
    <s v="City of Cocoa Beach"/>
    <m/>
    <m/>
    <m/>
    <n v="0"/>
    <n v="1"/>
    <n v="5.4877739128013197"/>
    <n v="1.05713408187737"/>
    <n v="1908.1454739382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82.138785580285"/>
    <n v="2053.10169261294"/>
    <n v="1.5475632392000001"/>
  </r>
  <r>
    <n v="830000"/>
    <n v="2500000"/>
    <n v="2500000"/>
    <x v="0"/>
    <x v="0"/>
    <s v="BR3-5, BR-7"/>
    <s v="62-304.520 (10), F.A.C."/>
    <n v="0.59"/>
    <n v="0.64"/>
    <s v="City of Cocoa Beach"/>
    <n v="0.23637978287538999"/>
    <n v="3786.9317971546002"/>
    <n v="9.2610008556406207"/>
    <n v="1.5943031522110001"/>
    <n v="2.1891133714651798"/>
    <n v="0.37686103295718998"/>
    <n v="895.15411597533705"/>
    <n v="1300"/>
    <s v="Residential, High Density"/>
    <n v="1300"/>
    <s v="City of Cocoa Beach           Brevard County"/>
    <s v="City of Cocoa Beach"/>
    <m/>
    <m/>
    <m/>
    <n v="0"/>
    <n v="1"/>
    <n v="2.1891133714651798"/>
    <n v="0.37686103295718998"/>
    <n v="895.154115975337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8.401489498161"/>
    <n v="956.59504245481605"/>
    <n v="0.72599684990000002"/>
  </r>
  <r>
    <n v="830000"/>
    <n v="2500000"/>
    <n v="2500000"/>
    <x v="0"/>
    <x v="0"/>
    <s v="BR3-5, BR-7"/>
    <s v="62-304.520 (10), F.A.C."/>
    <n v="0.59"/>
    <n v="0.64"/>
    <s v="City of Cocoa Beach"/>
    <n v="0.38138367072347001"/>
    <n v="3786.9317971546002"/>
    <n v="9.2610008556406207"/>
    <n v="1.5943031522110001"/>
    <n v="3.5319945008974698"/>
    <n v="0.60804118843624"/>
    <n v="1444.27394957827"/>
    <n v="1300"/>
    <s v="Residential, High Density"/>
    <n v="1300"/>
    <s v="City of Cocoa Beach           Brevard County"/>
    <s v="City of Cocoa Beach"/>
    <m/>
    <m/>
    <m/>
    <n v="0"/>
    <n v="1"/>
    <n v="3.5319945008974698"/>
    <n v="0.60804118843624"/>
    <n v="1444.2739495782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1.87388608797599"/>
    <n v="1543.40495726578"/>
    <n v="1.171349513"/>
  </r>
  <r>
    <n v="830000"/>
    <n v="2500000"/>
    <n v="2500000"/>
    <x v="0"/>
    <x v="0"/>
    <s v="BR3-5, BR-7"/>
    <s v="62-304.520 (10), F.A.C."/>
    <n v="0.59"/>
    <n v="0.64"/>
    <s v="FDOT District 5"/>
    <n v="2.0283335137699999E-3"/>
    <n v="3760.7362740979902"/>
    <n v="10.8111758448171"/>
    <n v="2.0812306110549299"/>
    <n v="2.1928670289370001E-2"/>
    <n v="4.2214297983000004E-3"/>
    <n v="7.6280274212297998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2.1928670289370001E-2"/>
    <n v="4.2214297983000004E-3"/>
    <n v="7.6280274212302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1.665402563653601"/>
    <n v="8.20837450699808"/>
    <n v="6.1865590999999999E-3"/>
  </r>
  <r>
    <n v="830000"/>
    <n v="2500000"/>
    <n v="2500000"/>
    <x v="0"/>
    <x v="0"/>
    <s v="BR3-5, BR-7"/>
    <s v="62-304.520 (10), F.A.C."/>
    <n v="0.59"/>
    <n v="0.64"/>
    <s v="City of Cocoa Beach"/>
    <n v="1.8651121361390001E-2"/>
    <n v="3760.7362740979902"/>
    <n v="10.8111758448171"/>
    <n v="2.0812306110549299"/>
    <n v="0.20164055274109"/>
    <n v="3.8817284707840002E-2"/>
    <n v="70.141948656413405"/>
    <n v="1300"/>
    <s v="Residential, High Density"/>
    <n v="1300"/>
    <s v="City of Cocoa Beach           Brevard County"/>
    <s v="City of Cocoa Beach"/>
    <m/>
    <m/>
    <m/>
    <n v="0"/>
    <n v="1"/>
    <n v="0.20164055274109"/>
    <n v="3.8817284707840002E-2"/>
    <n v="70.1419486564144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6.70175655453801"/>
    <n v="75.478410266336496"/>
    <n v="5.6887225200000002E-2"/>
  </r>
  <r>
    <n v="830000"/>
    <n v="2500000"/>
    <n v="2500000"/>
    <x v="0"/>
    <x v="0"/>
    <s v="BR3-5, BR-7"/>
    <s v="62-304.520 (10), F.A.C."/>
    <n v="0.59"/>
    <n v="0.64"/>
    <s v="FDOT District 5"/>
    <n v="0.15420229551931999"/>
    <n v="3760.7362740979902"/>
    <n v="10.8111758448171"/>
    <n v="2.0812306110549299"/>
    <n v="1.6671081325339201"/>
    <n v="0.32093053772975999"/>
    <n v="579.91416630871902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6671081325339201"/>
    <n v="0.32093053772975999"/>
    <n v="579.914166308719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4.597203623746"/>
    <n v="624.03454997122003"/>
    <n v="0.470327791"/>
  </r>
  <r>
    <n v="830000"/>
    <n v="2500000"/>
    <n v="2500000"/>
    <x v="0"/>
    <x v="0"/>
    <s v="BR3-5, BR-7"/>
    <s v="62-304.520 (10), F.A.C."/>
    <n v="0.59"/>
    <n v="0.64"/>
    <s v="City of Cocoa Beach"/>
    <n v="1.585349460491E-2"/>
    <n v="3760.7362740979902"/>
    <n v="10.8111758448171"/>
    <n v="2.0812306110549299"/>
    <n v="0.17139491792862999"/>
    <n v="3.2994778263950003E-2"/>
    <n v="59.620812231935702"/>
    <n v="1300"/>
    <s v="Residential, High Density"/>
    <n v="1300"/>
    <s v="City of Cocoa Beach           Brevard County"/>
    <s v="City of Cocoa Beach"/>
    <m/>
    <m/>
    <m/>
    <n v="0"/>
    <n v="1"/>
    <n v="0.17139491792862999"/>
    <n v="3.2994778263950003E-2"/>
    <n v="59.620812231934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4.759120456440897"/>
    <n v="64.156816459398797"/>
    <n v="4.8354267800000003E-2"/>
  </r>
  <r>
    <n v="830000"/>
    <n v="2500000"/>
    <n v="2500000"/>
    <x v="0"/>
    <x v="0"/>
    <s v="BR3-5, BR-7"/>
    <s v="62-304.520 (10), F.A.C."/>
    <n v="0.59"/>
    <n v="0.64"/>
    <s v="City of Cocoa Beach"/>
    <n v="0.42702820866849001"/>
    <n v="3760.7362740979902"/>
    <n v="10.8111758448171"/>
    <n v="2.0812306110549299"/>
    <n v="4.6166770546123104"/>
    <n v="0.88874417966481001"/>
    <n v="1605.9404744026699"/>
    <n v="1300"/>
    <s v="Residential, High Density"/>
    <n v="1300"/>
    <s v="City of Cocoa Beach           Brevard County"/>
    <s v="City of Cocoa Beach"/>
    <m/>
    <m/>
    <m/>
    <n v="0"/>
    <n v="1"/>
    <n v="4.6166770546123104"/>
    <n v="0.88874417966481001"/>
    <n v="1605.9404744026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67.364948556527"/>
    <n v="1728.12184879604"/>
    <n v="1.3024659160000001"/>
  </r>
  <r>
    <n v="830000"/>
    <n v="2500000"/>
    <n v="2500000"/>
    <x v="0"/>
    <x v="0"/>
    <s v="BR3-5, BR-7"/>
    <s v="62-304.520 (10), F.A.C."/>
    <n v="0.59"/>
    <n v="0.64"/>
    <s v="City of Cocoa Beach"/>
    <n v="7.2387109944350006E-2"/>
    <n v="3753.1660784238502"/>
    <n v="10.082496211654099"/>
    <n v="1.8413282539161999"/>
    <n v="0.72984276178651997"/>
    <n v="0.13328843075987001"/>
    <n v="271.68084555828"/>
    <n v="1100"/>
    <s v="Residential, Low Density-Less than two dwelling units/acre"/>
    <n v="1100"/>
    <s v="City of Cocoa Beach           Brevard County"/>
    <s v="City of Cocoa Beach"/>
    <m/>
    <m/>
    <m/>
    <n v="0"/>
    <n v="1"/>
    <n v="0.72984276178651997"/>
    <n v="0.13328843075987001"/>
    <n v="271.68084555827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6.622544496012"/>
    <n v="292.940240777273"/>
    <n v="0.22034131840000001"/>
  </r>
  <r>
    <n v="830000"/>
    <n v="2500000"/>
    <n v="2500000"/>
    <x v="0"/>
    <x v="0"/>
    <s v="BR3-5, BR-7"/>
    <s v="62-304.520 (10), F.A.C."/>
    <n v="0.59"/>
    <n v="0.64"/>
    <s v="City of Cocoa Beach"/>
    <n v="0.22609547737825"/>
    <n v="3753.1660784238502"/>
    <n v="10.082496211654099"/>
    <n v="1.8413282539161999"/>
    <n v="2.27960679413835"/>
    <n v="0.41631599057924001"/>
    <n v="848.57387618109703"/>
    <n v="1300"/>
    <s v="Residential, High Density"/>
    <n v="1300"/>
    <s v="City of Cocoa Beach           Brevard County"/>
    <s v="City of Cocoa Beach"/>
    <m/>
    <m/>
    <m/>
    <n v="0"/>
    <n v="1"/>
    <n v="2.27960679413835"/>
    <n v="0.41631599057924001"/>
    <n v="848.573876181097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72.74862615259701"/>
    <n v="914.97593470376398"/>
    <n v="0.68821887770000001"/>
  </r>
  <r>
    <n v="830000"/>
    <n v="2500000"/>
    <n v="2500000"/>
    <x v="0"/>
    <x v="0"/>
    <s v="BR3-5, BR-7"/>
    <s v="62-304.520 (10), F.A.C."/>
    <n v="0.59"/>
    <n v="0.64"/>
    <s v="FDOT District 5"/>
    <n v="2.612725230639E-2"/>
    <n v="3753.1660784238502"/>
    <n v="10.082496211654099"/>
    <n v="1.8413282539161999"/>
    <n v="0.26342792240010998"/>
    <n v="4.8108847868949998E-2"/>
    <n v="98.0599170787644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26342792240010998"/>
    <n v="4.8108847868949998E-2"/>
    <n v="98.059917078764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355885445627"/>
    <n v="105.73323879578"/>
    <n v="7.9529535299999995E-2"/>
  </r>
  <r>
    <n v="830000"/>
    <n v="2500000"/>
    <n v="2500000"/>
    <x v="0"/>
    <x v="0"/>
    <s v="BR3-5, BR-7"/>
    <s v="62-304.520 (10), F.A.C."/>
    <n v="0.59"/>
    <n v="0.64"/>
    <s v="City of Cocoa Beach"/>
    <n v="2.727131704148E-2"/>
    <n v="3753.1660784238502"/>
    <n v="10.082496211654099"/>
    <n v="1.8413282539161999"/>
    <n v="0.27496295075761001"/>
    <n v="5.0215446589989998E-2"/>
    <n v="102.35378203405099"/>
    <n v="1210"/>
    <s v="Fixed Single Family Units"/>
    <n v="1210"/>
    <s v="City of Cocoa Beach           Brevard County"/>
    <s v="City of Cocoa Beach"/>
    <m/>
    <m/>
    <m/>
    <n v="0"/>
    <n v="1"/>
    <n v="0.27496295075761001"/>
    <n v="5.0215446589989998E-2"/>
    <n v="102.353782034050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2.197630304517901"/>
    <n v="110.36310451664799"/>
    <n v="8.3011988699999997E-2"/>
  </r>
  <r>
    <n v="830000"/>
    <n v="2500000"/>
    <n v="2500000"/>
    <x v="0"/>
    <x v="0"/>
    <s v="BR3-5, BR-7"/>
    <s v="62-304.520 (10), F.A.C."/>
    <n v="0.59"/>
    <n v="0.64"/>
    <s v="City of Cocoa Beach"/>
    <n v="2.8982375225499999E-3"/>
    <n v="3753.1660784238502"/>
    <n v="10.082496211654099"/>
    <n v="1.8413282539161999"/>
    <n v="2.9221468841599998E-2"/>
    <n v="5.33660663683E-3"/>
    <n v="10.8775667568573"/>
    <n v="1210"/>
    <s v="Fixed Single Family Units"/>
    <n v="1210"/>
    <s v="City of Cocoa Beach           Brevard County"/>
    <s v="City of Cocoa Beach"/>
    <m/>
    <m/>
    <m/>
    <n v="0"/>
    <n v="1"/>
    <n v="2.9221468841599998E-2"/>
    <n v="5.33660663683E-3"/>
    <n v="10.877566756858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.866423500180399"/>
    <n v="11.7287511317813"/>
    <n v="8.8220330999999996E-3"/>
  </r>
  <r>
    <n v="830000"/>
    <n v="2500000"/>
    <n v="2500000"/>
    <x v="0"/>
    <x v="0"/>
    <s v="BR3-5, BR-7"/>
    <s v="62-304.520 (10), F.A.C."/>
    <n v="0.59"/>
    <n v="0.64"/>
    <s v="City of Cocoa Beach"/>
    <n v="0.17598019609844001"/>
    <n v="3753.1660784238502"/>
    <n v="10.082496211654099"/>
    <n v="1.8413282539161999"/>
    <n v="1.7743196604886999"/>
    <n v="0.32403730720577001"/>
    <n v="660.48290247105103"/>
    <n v="1300"/>
    <s v="Residential, High Density"/>
    <n v="1300"/>
    <s v="City of Cocoa Beach           Brevard County"/>
    <s v="City of Cocoa Beach"/>
    <m/>
    <m/>
    <m/>
    <n v="0"/>
    <n v="1"/>
    <n v="1.7743196604886999"/>
    <n v="0.32403730720577001"/>
    <n v="660.482902471051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7.752942989622"/>
    <n v="712.16658679618899"/>
    <n v="0.53567145370000002"/>
  </r>
  <r>
    <n v="830000"/>
    <n v="2500000"/>
    <n v="2500000"/>
    <x v="0"/>
    <x v="0"/>
    <s v="BR3-5, BR-7"/>
    <s v="62-304.520 (10), F.A.C."/>
    <n v="0.59"/>
    <n v="0.64"/>
    <s v="City of Cocoa Beach"/>
    <n v="5.2435625703030002E-2"/>
    <n v="3753.1660784238502"/>
    <n v="10.082496211654099"/>
    <n v="1.8413282539161999"/>
    <n v="0.52868199750657996"/>
    <n v="9.6551199118769998E-2"/>
    <n v="196.799611689568"/>
    <n v="1300"/>
    <s v="Residential, High Density"/>
    <n v="1300"/>
    <s v="City of Cocoa Beach           Brevard County"/>
    <s v="City of Cocoa Beach"/>
    <m/>
    <m/>
    <m/>
    <n v="0"/>
    <n v="1"/>
    <n v="0.52868199750657996"/>
    <n v="9.6551199118769998E-2"/>
    <n v="196.799611689568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6.535647238257795"/>
    <n v="212.19944863889901"/>
    <n v="0.15961039069999999"/>
  </r>
  <r>
    <n v="830000"/>
    <n v="2500000"/>
    <n v="2500000"/>
    <x v="0"/>
    <x v="0"/>
    <s v="BR3-5, BR-7"/>
    <s v="62-304.520 (10), F.A.C."/>
    <n v="0.59"/>
    <n v="0.64"/>
    <s v="City of Cocoa Beach"/>
    <n v="1.48251143809E-3"/>
    <n v="2118.7195307829902"/>
    <n v="5.9069963952792301"/>
    <n v="0.82498997657880002"/>
    <n v="8.7571897207699995E-3"/>
    <n v="1.22305707658E-3"/>
    <n v="3.1410259384947099"/>
    <n v="1400"/>
    <s v="Commercial and Services"/>
    <n v="1400"/>
    <s v="City of Cocoa Beach           Brevard County"/>
    <s v="City of Cocoa Beach"/>
    <m/>
    <m/>
    <m/>
    <n v="0"/>
    <n v="1"/>
    <n v="8.7571897207699995E-3"/>
    <n v="1.22305707658E-3"/>
    <n v="295.06999400661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5.006551054081697"/>
    <n v="5.9995109345246398"/>
    <n v="0.2393106196"/>
  </r>
  <r>
    <n v="830000"/>
    <n v="2500000"/>
    <n v="2500000"/>
    <x v="0"/>
    <x v="0"/>
    <s v="BR3-5, BR-7"/>
    <s v="62-304.520 (10), F.A.C."/>
    <n v="0.59"/>
    <n v="0.64"/>
    <s v="City of Cocoa Beach"/>
    <n v="0.15866216209785"/>
    <n v="3755.1211538218799"/>
    <n v="10.62902704685"/>
    <n v="1.99420816613556"/>
    <n v="1.68642441224981"/>
    <n v="0.31640537931225998"/>
    <n v="595.79564120477198"/>
    <n v="1300"/>
    <s v="Residential, High Density"/>
    <n v="1300"/>
    <s v="City of Cocoa Beach           Brevard County"/>
    <s v="City of Cocoa Beach"/>
    <m/>
    <m/>
    <m/>
    <n v="0"/>
    <n v="1"/>
    <n v="1.68642441224981"/>
    <n v="0.31640537931225998"/>
    <n v="595.795641204769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632662580938"/>
    <n v="642.08298967757196"/>
    <n v="0.48320814369999998"/>
  </r>
  <r>
    <n v="830000"/>
    <n v="2500000"/>
    <n v="2500000"/>
    <x v="0"/>
    <x v="0"/>
    <s v="BR3-5, BR-7"/>
    <s v="62-304.520 (10), F.A.C."/>
    <n v="0.59"/>
    <n v="0.64"/>
    <s v="City of Cocoa Beach"/>
    <n v="1.6712540086600001E-3"/>
    <n v="3755.1211538218799"/>
    <n v="10.62902704685"/>
    <n v="1.99420816613556"/>
    <n v="1.776380406022E-2"/>
    <n v="3.3328283917599998E-3"/>
    <n v="6.2757612813363002"/>
    <n v="1400"/>
    <s v="Commercial and Services"/>
    <n v="1400"/>
    <s v="City of Cocoa Beach           Brevard County"/>
    <s v="City of Cocoa Beach"/>
    <m/>
    <m/>
    <m/>
    <n v="0"/>
    <n v="1"/>
    <n v="1.776380406022E-2"/>
    <n v="3.3328283917599998E-3"/>
    <n v="7.10267982916722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.6811695961377"/>
    <n v="6.76332501841385"/>
    <n v="5.7604865000000002E-3"/>
  </r>
  <r>
    <n v="830000"/>
    <n v="2500000"/>
    <n v="2500000"/>
    <x v="0"/>
    <x v="0"/>
    <s v="BR3-5, BR-7"/>
    <s v="62-304.520 (10), F.A.C."/>
    <n v="0.59"/>
    <n v="0.64"/>
    <s v="City of Cocoa Beach"/>
    <n v="0.23938744005717"/>
    <n v="3755.1211538218799"/>
    <n v="10.62902704685"/>
    <n v="1.99420816613556"/>
    <n v="2.5444555750439299"/>
    <n v="0.47738838783231002"/>
    <n v="898.928840117974"/>
    <n v="1300"/>
    <s v="Residential, High Density"/>
    <n v="1300"/>
    <s v="City of Cocoa Beach           Brevard County"/>
    <s v="City of Cocoa Beach"/>
    <m/>
    <m/>
    <m/>
    <n v="0"/>
    <n v="1"/>
    <n v="2.5444555750439299"/>
    <n v="0.47738838783231002"/>
    <n v="957.5481929636090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5.303182101902"/>
    <n v="968.76659923728096"/>
    <n v="0.77660031870000001"/>
  </r>
  <r>
    <n v="830000"/>
    <n v="2500000"/>
    <n v="2500000"/>
    <x v="0"/>
    <x v="0"/>
    <s v="BR3-5, BR-7"/>
    <s v="62-304.520 (10), F.A.C."/>
    <n v="0.59"/>
    <n v="0.64"/>
    <s v="City of Cocoa Beach"/>
    <n v="0.12718813590399"/>
    <n v="3755.1211538218799"/>
    <n v="10.62902704685"/>
    <n v="1.99420816613556"/>
    <n v="1.35188613656203"/>
    <n v="0.25363961925530998"/>
    <n v="477.606859648275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35188613656203"/>
    <n v="0.25363961925530998"/>
    <n v="477.60685964827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8.09888163066699"/>
    <n v="514.71212463617701"/>
    <n v="0.38735349530000002"/>
  </r>
  <r>
    <n v="830000"/>
    <n v="2500000"/>
    <n v="2500000"/>
    <x v="0"/>
    <x v="0"/>
    <s v="BR3-5, BR-7"/>
    <s v="62-304.520 (10), F.A.C."/>
    <n v="0.59"/>
    <n v="0.64"/>
    <s v="City of Cocoa Beach"/>
    <n v="7.5023741596470003E-2"/>
    <n v="3755.1211538218799"/>
    <n v="10.62902704685"/>
    <n v="1.99420816613556"/>
    <n v="0.79742937858481"/>
    <n v="0.14961295814573"/>
    <n v="281.72323910778601"/>
    <n v="1210"/>
    <s v="Fixed Single Family Units"/>
    <n v="1210"/>
    <s v="City of Cocoa Beach           Brevard County"/>
    <s v="City of Cocoa Beach"/>
    <m/>
    <m/>
    <m/>
    <n v="0"/>
    <n v="1"/>
    <n v="0.79742937858481"/>
    <n v="0.14961295814573"/>
    <n v="281.72323910778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124614961558"/>
    <n v="303.61031051216997"/>
    <n v="0.22848600090000001"/>
  </r>
  <r>
    <n v="830000"/>
    <n v="2500000"/>
    <n v="2500000"/>
    <x v="0"/>
    <x v="0"/>
    <s v="BR3-5, BR-7"/>
    <s v="62-304.520 (10), F.A.C."/>
    <n v="0.59"/>
    <n v="0.64"/>
    <s v="City of Cocoa Beach"/>
    <n v="0.24792433734131"/>
    <n v="3759.5042782194901"/>
    <n v="7.9930859852977703"/>
    <n v="1.17370814340202"/>
    <n v="1.9816805462171201"/>
    <n v="0.29099081368504998"/>
    <n v="932.07260690941803"/>
    <n v="1390"/>
    <s v="High Density Under Construction"/>
    <n v="1390"/>
    <s v="City of Cocoa Beach           Brevard County"/>
    <s v="City of Cocoa Beach"/>
    <m/>
    <m/>
    <m/>
    <n v="0"/>
    <n v="1"/>
    <n v="1.9816805462171201"/>
    <n v="0.29099081368504998"/>
    <n v="941.22325189261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3.58577967218599"/>
    <n v="1003.31419683897"/>
    <n v="0.76336030160000001"/>
  </r>
  <r>
    <n v="830000"/>
    <n v="2500000"/>
    <n v="2500000"/>
    <x v="0"/>
    <x v="0"/>
    <s v="BR3-5, BR-7"/>
    <s v="62-304.520 (10), F.A.C."/>
    <n v="0.59"/>
    <n v="0.64"/>
    <s v="City of Cocoa Beach"/>
    <n v="4.0157922189270001E-2"/>
    <n v="3759.5042782194901"/>
    <n v="7.9930859852977703"/>
    <n v="1.17370814340202"/>
    <n v="0.32098572504973"/>
    <n v="4.7133680295650002E-2"/>
    <n v="150.97388027496601"/>
    <n v="1210"/>
    <s v="Fixed Single Family Units"/>
    <n v="1210"/>
    <s v="City of Cocoa Beach           Brevard County"/>
    <s v="City of Cocoa Beach"/>
    <m/>
    <m/>
    <m/>
    <n v="0"/>
    <n v="1"/>
    <n v="0.32098572504973"/>
    <n v="4.7133680295650002E-2"/>
    <n v="150.97388027496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5.453450896459799"/>
    <n v="162.51334532188801"/>
    <n v="0.12244434730000001"/>
  </r>
  <r>
    <n v="830000"/>
    <n v="2500000"/>
    <n v="2500000"/>
    <x v="0"/>
    <x v="0"/>
    <s v="BR3-5, BR-7"/>
    <s v="62-304.520 (10), F.A.C."/>
    <n v="0.59"/>
    <n v="0.64"/>
    <s v="City of Cocoa Beach"/>
    <n v="9.4586869510149996E-2"/>
    <n v="3759.5042782194901"/>
    <n v="7.9930859852977703"/>
    <n v="1.17370814340202"/>
    <n v="0.7560409810748"/>
    <n v="0.11101737900297"/>
    <n v="355.59974058681303"/>
    <n v="1210"/>
    <s v="Fixed Single Family Units"/>
    <n v="1210"/>
    <s v="City of Cocoa Beach           Brevard County"/>
    <s v="City of Cocoa Beach"/>
    <m/>
    <m/>
    <m/>
    <n v="0"/>
    <n v="1"/>
    <n v="0.7560409810748"/>
    <n v="0.11101737900297"/>
    <n v="365.30709740207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7.194689299680505"/>
    <n v="382.77948035187501"/>
    <n v="0.29627501820000002"/>
  </r>
  <r>
    <n v="830000"/>
    <n v="2500000"/>
    <n v="2500000"/>
    <x v="0"/>
    <x v="0"/>
    <s v="BR3-5, BR-7"/>
    <s v="62-304.520 (10), F.A.C."/>
    <n v="0.59"/>
    <n v="0.64"/>
    <s v="City of Cocoa Beach"/>
    <n v="7.4425667788299999E-3"/>
    <n v="3759.5042782194901"/>
    <n v="7.9930859852977703"/>
    <n v="1.17370814340202"/>
    <n v="5.9489076214580001E-2"/>
    <n v="8.7354012361299995E-3"/>
    <n v="27.980361645979499"/>
    <n v="1210"/>
    <s v="Fixed Single Family Units"/>
    <n v="1210"/>
    <s v="City of Cocoa Beach           Brevard County"/>
    <s v="City of Cocoa Beach"/>
    <m/>
    <m/>
    <m/>
    <n v="0"/>
    <n v="1"/>
    <n v="5.9489076214580001E-2"/>
    <n v="8.7354012361299995E-3"/>
    <n v="47.6371364858020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1.634283573808801"/>
    <n v="30.118999168086901"/>
    <n v="3.8635147199999997E-2"/>
  </r>
  <r>
    <n v="830000"/>
    <n v="2500000"/>
    <n v="2500000"/>
    <x v="0"/>
    <x v="0"/>
    <s v="BR3-5, BR-7"/>
    <s v="62-304.520 (10), F.A.C."/>
    <n v="0.59"/>
    <n v="0.64"/>
    <s v="City of Cocoa Beach"/>
    <n v="9.3542802282780002E-2"/>
    <n v="3759.5042782194901"/>
    <n v="7.9930859852977703"/>
    <n v="1.17370814340202"/>
    <n v="0.74769566195200998"/>
    <n v="0.10979194879595"/>
    <n v="351.67456537877399"/>
    <n v="1210"/>
    <s v="Fixed Single Family Units"/>
    <n v="1210"/>
    <s v="City of Cocoa Beach           Brevard County"/>
    <s v="City of Cocoa Beach"/>
    <m/>
    <m/>
    <m/>
    <n v="0"/>
    <n v="1"/>
    <n v="0.74769566195200998"/>
    <n v="0.10979194879595"/>
    <n v="351.674565378775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8.282408099875298"/>
    <n v="378.55429018738698"/>
    <n v="0.2852186256"/>
  </r>
  <r>
    <n v="830000"/>
    <n v="2500000"/>
    <n v="2500000"/>
    <x v="0"/>
    <x v="0"/>
    <s v="BR3-5, BR-7"/>
    <s v="62-304.520 (10), F.A.C."/>
    <n v="0.59"/>
    <n v="0.64"/>
    <s v="City of Cocoa Beach"/>
    <n v="9.2069937712020003E-2"/>
    <n v="3759.5042782194901"/>
    <n v="7.9930859852977703"/>
    <n v="1.17370814340202"/>
    <n v="0.73592292879320997"/>
    <n v="0.10806323565511"/>
    <n v="346.13732472375301"/>
    <n v="1210"/>
    <s v="Fixed Single Family Units"/>
    <n v="1210"/>
    <s v="City of Cocoa Beach           Brevard County"/>
    <s v="City of Cocoa Beach"/>
    <m/>
    <m/>
    <m/>
    <n v="0"/>
    <n v="1"/>
    <n v="0.73592292879320997"/>
    <n v="0.10806323565511"/>
    <n v="346.137324723753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7.387361029593293"/>
    <n v="372.59381873987002"/>
    <n v="0.28072775729999999"/>
  </r>
  <r>
    <n v="830000"/>
    <n v="2500000"/>
    <n v="2500000"/>
    <x v="0"/>
    <x v="0"/>
    <s v="BR3-5, BR-7"/>
    <s v="62-304.520 (10), F.A.C."/>
    <n v="0.59"/>
    <n v="0.64"/>
    <s v="City of Cocoa Beach"/>
    <n v="3.1794375485519999E-2"/>
    <n v="3759.5042782194901"/>
    <n v="7.9930859852977703"/>
    <n v="1.17370814340202"/>
    <n v="0.25413517710463002"/>
    <n v="3.731731742174E-2"/>
    <n v="119.53109066114401"/>
    <n v="1210"/>
    <s v="Fixed Single Family Units"/>
    <n v="1210"/>
    <s v="City of Cocoa Beach           Brevard County"/>
    <s v="City of Cocoa Beach"/>
    <m/>
    <m/>
    <m/>
    <n v="0"/>
    <n v="1"/>
    <n v="0.25413517710463002"/>
    <n v="3.731731742174E-2"/>
    <n v="119.53109066114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8.098489966091897"/>
    <n v="128.66727262978799"/>
    <n v="9.6943301400000001E-2"/>
  </r>
  <r>
    <n v="830000"/>
    <n v="2500000"/>
    <n v="2500000"/>
    <x v="0"/>
    <x v="0"/>
    <s v="BR3-5, BR-7"/>
    <s v="62-304.520 (10), F.A.C."/>
    <n v="0.59"/>
    <n v="0.64"/>
    <s v="City of Cocoa Beach"/>
    <n v="0.23948209435546999"/>
    <n v="3746.1884029951998"/>
    <n v="9.9616729857328892"/>
    <n v="1.3204131774750001"/>
    <n v="2.3856423099076198"/>
    <n v="0.31621531315626999"/>
    <n v="897.145044599465"/>
    <n v="1400"/>
    <s v="Commercial and Services"/>
    <n v="1400"/>
    <s v="City of Cocoa Beach           Brevard County"/>
    <s v="City of Cocoa Beach"/>
    <m/>
    <m/>
    <m/>
    <n v="0"/>
    <n v="1"/>
    <n v="2.3856423099076198"/>
    <n v="0.31621531315626999"/>
    <n v="897.14504459946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70.555272741989"/>
    <n v="969.14965159223505"/>
    <n v="0.72761155280000001"/>
  </r>
  <r>
    <n v="830000"/>
    <n v="2500000"/>
    <n v="2500000"/>
    <x v="0"/>
    <x v="0"/>
    <s v="BR3-5, BR-7"/>
    <s v="62-304.520 (10), F.A.C."/>
    <n v="0.59"/>
    <n v="0.64"/>
    <s v="City of Cocoa Beach"/>
    <n v="1.4108065114779999E-2"/>
    <n v="3746.1884029951998"/>
    <n v="9.9616729857328892"/>
    <n v="1.3204131774750001"/>
    <n v="0.14053993113485999"/>
    <n v="1.8628475086230001E-2"/>
    <n v="52.851469921689997"/>
    <n v="1410"/>
    <s v="Retail Sales and Services"/>
    <n v="1410"/>
    <s v="City of Cocoa Beach           Brevard County"/>
    <s v="City of Cocoa Beach"/>
    <m/>
    <m/>
    <m/>
    <n v="0"/>
    <n v="1"/>
    <n v="0.14053993113485999"/>
    <n v="1.8628475086230001E-2"/>
    <n v="52.851469921690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3.600075653151897"/>
    <n v="57.093313917385203"/>
    <n v="4.2864128100000003E-2"/>
  </r>
  <r>
    <n v="830000"/>
    <n v="2500000"/>
    <n v="2500000"/>
    <x v="0"/>
    <x v="0"/>
    <s v="BR3-5, BR-7"/>
    <s v="62-304.520 (10), F.A.C."/>
    <n v="0.59"/>
    <n v="0.64"/>
    <s v="City of Cocoa Beach"/>
    <n v="8.7121111898539993E-2"/>
    <n v="3746.1884029951998"/>
    <n v="9.9616729857328892"/>
    <n v="1.3204131774750001"/>
    <n v="0.86787202688675003"/>
    <n v="0.11503586418711"/>
    <n v="326.37209905037997"/>
    <n v="1410"/>
    <s v="Retail Sales and Services"/>
    <n v="1410"/>
    <s v="City of Cocoa Beach           Brevard County"/>
    <s v="City of Cocoa Beach"/>
    <m/>
    <m/>
    <m/>
    <n v="0"/>
    <n v="1"/>
    <n v="0.86787202688675003"/>
    <n v="0.11503586418711"/>
    <n v="326.372099050382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958425790020002"/>
    <n v="352.56663121326102"/>
    <n v="0.2646975661"/>
  </r>
  <r>
    <n v="830000"/>
    <n v="2500000"/>
    <n v="2500000"/>
    <x v="0"/>
    <x v="0"/>
    <s v="BR3-5, BR-7"/>
    <s v="62-304.520 (10), F.A.C."/>
    <n v="0.59"/>
    <n v="0.64"/>
    <s v="City of Cocoa Beach"/>
    <n v="3.6966051881099998E-2"/>
    <n v="3719.8291715037299"/>
    <n v="9.6297063441024395"/>
    <n v="1.5388779776822801"/>
    <n v="0.35597222431584002"/>
    <n v="5.6886243161679999E-2"/>
    <n v="137.50739814263599"/>
    <n v="1200"/>
    <s v="Residential, Medium Density-Two-five dwellingunits per acre"/>
    <n v="1200"/>
    <s v="City of Cocoa Beach           Brevard County"/>
    <s v="City of Cocoa Beach"/>
    <m/>
    <m/>
    <m/>
    <n v="0"/>
    <n v="1"/>
    <n v="0.35597222431584002"/>
    <n v="5.6886243161679999E-2"/>
    <n v="137.50739814263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3.617194751125993"/>
    <n v="149.59630446579999"/>
    <n v="0.1115226262"/>
  </r>
  <r>
    <n v="830000"/>
    <n v="2500000"/>
    <n v="2500000"/>
    <x v="0"/>
    <x v="0"/>
    <s v="BR3-5, BR-7"/>
    <s v="62-304.520 (10), F.A.C."/>
    <n v="0.59"/>
    <n v="0.64"/>
    <s v="City of Cocoa Beach"/>
    <n v="1.5074117668339999E-2"/>
    <n v="3719.8291715037299"/>
    <n v="9.6297063441024395"/>
    <n v="1.5388779776822801"/>
    <n v="0.14515932654256999"/>
    <n v="2.31972277128E-2"/>
    <n v="56.073142637374602"/>
    <n v="1300"/>
    <s v="Residential, High Density"/>
    <n v="1300"/>
    <s v="City of Cocoa Beach           Brevard County"/>
    <s v="City of Cocoa Beach"/>
    <m/>
    <m/>
    <m/>
    <n v="0"/>
    <n v="1"/>
    <n v="0.14515932654256999"/>
    <n v="2.31972277128E-2"/>
    <n v="56.0731426373753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4.368867173152204"/>
    <n v="61.002789898139802"/>
    <n v="4.54770013E-2"/>
  </r>
  <r>
    <n v="830000"/>
    <n v="2500000"/>
    <n v="2500000"/>
    <x v="0"/>
    <x v="0"/>
    <s v="BR3-5, BR-7"/>
    <s v="62-304.520 (10), F.A.C."/>
    <n v="0.59"/>
    <n v="0.64"/>
    <s v="City of Cocoa Beach"/>
    <n v="0.1766787259623"/>
    <n v="3719.8291715037299"/>
    <n v="9.6297063441024395"/>
    <n v="1.5388779776822801"/>
    <n v="1.70136424826717"/>
    <n v="0.27188700050835002"/>
    <n v="657.21467881870603"/>
    <n v="1210"/>
    <s v="Fixed Single Family Units"/>
    <n v="1210"/>
    <s v="City of Cocoa Beach           Brevard County"/>
    <s v="City of Cocoa Beach"/>
    <m/>
    <m/>
    <m/>
    <n v="0"/>
    <n v="1"/>
    <n v="1.70136424826717"/>
    <n v="0.27188700050835002"/>
    <n v="657.214678818706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2.820634824626"/>
    <n v="714.99343686201701"/>
    <n v="0.53302082630000003"/>
  </r>
  <r>
    <n v="830000"/>
    <n v="2500000"/>
    <n v="2500000"/>
    <x v="0"/>
    <x v="0"/>
    <s v="BR3-5, BR-7"/>
    <s v="62-304.520 (10), F.A.C."/>
    <n v="0.59"/>
    <n v="0.64"/>
    <s v="City of Cocoa Beach"/>
    <n v="7.0412318284280004E-2"/>
    <n v="3719.8291715037299"/>
    <n v="9.6297063441024395"/>
    <n v="1.5388779776822801"/>
    <n v="0.67804994808513996"/>
    <n v="0.10835596596524"/>
    <n v="261.92179558708801"/>
    <n v="1210"/>
    <s v="Fixed Single Family Units"/>
    <n v="1210"/>
    <s v="City of Cocoa Beach           Brevard County"/>
    <s v="City of Cocoa Beach"/>
    <m/>
    <m/>
    <m/>
    <n v="0"/>
    <n v="1"/>
    <n v="0.67804994808513996"/>
    <n v="0.10835596596524"/>
    <n v="261.921795587088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8.2320985531058"/>
    <n v="284.94854246483197"/>
    <n v="0.212426436"/>
  </r>
  <r>
    <n v="830000"/>
    <n v="2500000"/>
    <n v="2500000"/>
    <x v="0"/>
    <x v="0"/>
    <s v="BR3-5, BR-7"/>
    <s v="62-304.520 (10), F.A.C."/>
    <n v="0.59"/>
    <n v="0.64"/>
    <s v="City of Cocoa Beach"/>
    <n v="0.17991372844438999"/>
    <n v="3719.8291715037299"/>
    <n v="9.6297063441024395"/>
    <n v="1.5388779776822801"/>
    <n v="1.7325163721921"/>
    <n v="0.27686527458577997"/>
    <n v="669.248335421457"/>
    <n v="1210"/>
    <s v="Fixed Single Family Units"/>
    <n v="1210"/>
    <s v="City of Cocoa Beach           Brevard County"/>
    <s v="City of Cocoa Beach"/>
    <m/>
    <m/>
    <m/>
    <n v="0"/>
    <n v="1"/>
    <n v="1.7325163721921"/>
    <n v="0.27686527458577997"/>
    <n v="669.24833542145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790472521681"/>
    <n v="728.08502743312602"/>
    <n v="0.54278048290000003"/>
  </r>
  <r>
    <n v="830000"/>
    <n v="2500000"/>
    <n v="2500000"/>
    <x v="0"/>
    <x v="0"/>
    <s v="BR3-5, BR-7"/>
    <s v="62-304.520 (10), F.A.C."/>
    <n v="0.59"/>
    <n v="0.64"/>
    <s v="City of Cocoa Beach"/>
    <n v="0.13871851149652001"/>
    <n v="3719.8291715037299"/>
    <n v="9.6297063441024395"/>
    <n v="1.5388779776822801"/>
    <n v="1.3358185302025301"/>
    <n v="0.21347086243885999"/>
    <n v="516.00916569234903"/>
    <n v="1340"/>
    <s v="Residential, High density; Multiple Dwelling Units, High Rise &lt;Three stories or more&gt;"/>
    <n v="1340"/>
    <s v="City of Cocoa Beach           Brevard County"/>
    <s v="City of Cocoa Beach"/>
    <m/>
    <m/>
    <m/>
    <n v="0"/>
    <n v="1"/>
    <n v="1.3358185302025301"/>
    <n v="0.21347086243885999"/>
    <n v="516.009165692349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98775244209899"/>
    <n v="561.37389915548101"/>
    <n v="0.41849891779999998"/>
  </r>
  <r>
    <n v="830000"/>
    <n v="2500000"/>
    <n v="2500000"/>
    <x v="0"/>
    <x v="0"/>
    <s v="BR3-5, BR-7"/>
    <s v="62-304.520 (10), F.A.C."/>
    <n v="0.59"/>
    <n v="0.64"/>
    <s v="City of Cocoa Beach"/>
    <n v="8.2429328185089995E-2"/>
    <n v="3719.6066119578099"/>
    <n v="9.5925186870963799"/>
    <n v="1.5210001089639"/>
    <n v="0.79070487098036002"/>
    <n v="0.12537501715134999"/>
    <n v="306.60467413653498"/>
    <n v="1200"/>
    <s v="Residential, Medium Density-Two-five dwellingunits per acre"/>
    <n v="1200"/>
    <s v="City of Cocoa Beach           Brevard County"/>
    <s v="City of Cocoa Beach"/>
    <m/>
    <m/>
    <m/>
    <n v="0"/>
    <n v="1"/>
    <n v="0.79070487098036002"/>
    <n v="0.12537501715134999"/>
    <n v="306.604674136532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427206249289"/>
    <n v="333.57965615998302"/>
    <n v="0.2486655914"/>
  </r>
  <r>
    <n v="830000"/>
    <n v="2500000"/>
    <n v="2500000"/>
    <x v="0"/>
    <x v="0"/>
    <s v="BR3-5, BR-7"/>
    <s v="62-304.520 (10), F.A.C."/>
    <n v="0.59"/>
    <n v="0.64"/>
    <s v="City of Cocoa Beach"/>
    <n v="3.8179533367910003E-2"/>
    <n v="3719.6066119578099"/>
    <n v="9.5925186870963799"/>
    <n v="1.5210001089639"/>
    <n v="0.36623788729633"/>
    <n v="5.8071074412779998E-2"/>
    <n v="142.012844756757"/>
    <n v="1300"/>
    <s v="Residential, High Density"/>
    <n v="1300"/>
    <s v="City of Cocoa Beach           Brevard County"/>
    <s v="City of Cocoa Beach"/>
    <m/>
    <m/>
    <m/>
    <n v="0"/>
    <n v="1"/>
    <n v="0.36623788729633"/>
    <n v="5.8071074412779998E-2"/>
    <n v="142.01284475675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29251517493699"/>
    <n v="154.50708981417901"/>
    <n v="0.1151766786"/>
  </r>
  <r>
    <n v="830000"/>
    <n v="2500000"/>
    <n v="2500000"/>
    <x v="0"/>
    <x v="0"/>
    <s v="BR3-5, BR-7"/>
    <s v="62-304.520 (10), F.A.C."/>
    <n v="0.59"/>
    <n v="0.64"/>
    <s v="City of Cocoa Beach"/>
    <n v="1.9109331399699999E-2"/>
    <n v="3719.6066119578099"/>
    <n v="9.5925186870963799"/>
    <n v="1.5210001089639"/>
    <n v="0.18330661854956001"/>
    <n v="2.9065295141170001E-2"/>
    <n v="71.079195424428406"/>
    <n v="1210"/>
    <s v="Fixed Single Family Units"/>
    <n v="1210"/>
    <s v="City of Cocoa Beach           Brevard County"/>
    <s v="City of Cocoa Beach"/>
    <m/>
    <m/>
    <m/>
    <n v="0"/>
    <n v="1"/>
    <n v="0.18330661854956001"/>
    <n v="2.9065295141170001E-2"/>
    <n v="71.0791954244276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5.873057208014004"/>
    <n v="77.332720502657196"/>
    <n v="5.76473604E-2"/>
  </r>
  <r>
    <n v="830000"/>
    <n v="2500000"/>
    <n v="2500000"/>
    <x v="0"/>
    <x v="0"/>
    <s v="BR3-5, BR-7"/>
    <s v="62-304.520 (10), F.A.C."/>
    <n v="0.59"/>
    <n v="0.64"/>
    <s v="City of Cocoa Beach"/>
    <n v="3.0221009203299998E-2"/>
    <n v="3719.6066119578099"/>
    <n v="9.5925186870963799"/>
    <n v="1.5210001089639"/>
    <n v="0.28989559552564997"/>
    <n v="4.5966158291229998E-2"/>
    <n v="112.410265652666"/>
    <n v="1210"/>
    <s v="Fixed Single Family Units"/>
    <n v="1210"/>
    <s v="City of Cocoa Beach           Brevard County"/>
    <s v="City of Cocoa Beach"/>
    <m/>
    <m/>
    <m/>
    <n v="0"/>
    <n v="1"/>
    <n v="0.28989559552564997"/>
    <n v="4.5966158291229998E-2"/>
    <n v="112.41026565266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9.156521037756406"/>
    <n v="122.300085185821"/>
    <n v="9.1168098700000005E-2"/>
  </r>
  <r>
    <n v="830000"/>
    <n v="2500000"/>
    <n v="2500000"/>
    <x v="0"/>
    <x v="0"/>
    <s v="BR3-5, BR-7"/>
    <s v="62-304.520 (10), F.A.C."/>
    <n v="0.59"/>
    <n v="0.64"/>
    <s v="City of Cocoa Beach"/>
    <n v="6.8609576631E-4"/>
    <n v="3719.6066119578099"/>
    <n v="9.5925186870963799"/>
    <n v="1.5210001089639"/>
    <n v="6.5813864594799999E-3"/>
    <n v="1.04355173532E-3"/>
    <n v="2.5520063488103801"/>
    <n v="1210"/>
    <s v="Fixed Single Family Units"/>
    <n v="1210"/>
    <s v="City of Cocoa Beach           Brevard County"/>
    <s v="City of Cocoa Beach"/>
    <m/>
    <m/>
    <m/>
    <n v="0"/>
    <n v="1"/>
    <n v="6.5813864594799999E-3"/>
    <n v="1.04355173532E-3"/>
    <n v="2.5520063488098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.3360906219645692"/>
    <n v="2.77653105828061"/>
    <n v="2.0697536999999999E-3"/>
  </r>
  <r>
    <n v="840000"/>
    <n v="2400000"/>
    <n v="2400000"/>
    <x v="0"/>
    <x v="0"/>
    <s v="BR3-5, BR-7"/>
    <s v="62-304.520 (10), F.A.C."/>
    <n v="0.59"/>
    <n v="0.64"/>
    <s v="City of Cocoa Beach"/>
    <n v="2.2724401480600002E-3"/>
    <n v="3768.66542927504"/>
    <n v="10.136910725021099"/>
    <n v="1.85697628508424"/>
    <n v="2.3035522908890001E-2"/>
    <n v="4.2198674642300003E-3"/>
    <n v="8.5640666261129894"/>
    <n v="1300"/>
    <s v="Residential, High Density"/>
    <n v="1300"/>
    <s v="City of Cocoa Beach           Brevard County"/>
    <s v="City of Cocoa Beach"/>
    <m/>
    <m/>
    <m/>
    <n v="0"/>
    <n v="1"/>
    <n v="2.3035522908890001E-2"/>
    <n v="4.2198674642300003E-3"/>
    <n v="31.873671295631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3.282142329398397"/>
    <n v="9.1962390077222693"/>
    <n v="2.5850503899999999E-2"/>
  </r>
  <r>
    <n v="840000"/>
    <n v="2400000"/>
    <n v="2400000"/>
    <x v="0"/>
    <x v="0"/>
    <s v="BR3-5, BR-7"/>
    <s v="62-304.520 (10), F.A.C."/>
    <n v="0.59"/>
    <n v="0.64"/>
    <s v="FDOT District 5"/>
    <n v="2.9599119048439999E-2"/>
    <n v="3768.66542927504"/>
    <n v="10.136910725021099"/>
    <n v="1.85697628508424"/>
    <n v="0.30004362733336998"/>
    <n v="5.4964862132340003E-2"/>
    <n v="111.549176694874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30004362733336998"/>
    <n v="5.4964862132340003E-2"/>
    <n v="892.55793943311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429200273550599"/>
    <n v="119.783385018587"/>
    <n v="0.72389127289999999"/>
  </r>
  <r>
    <n v="840000"/>
    <n v="2400000"/>
    <n v="2400000"/>
    <x v="0"/>
    <x v="0"/>
    <s v="BR3-5, BR-7"/>
    <s v="62-304.520 (10), F.A.C."/>
    <n v="0.59"/>
    <n v="0.64"/>
    <s v="City of Cocoa Beach"/>
    <n v="9.3101612208500006E-3"/>
    <n v="3768.66542927504"/>
    <n v="10.136910725021099"/>
    <n v="1.85697628508424"/>
    <n v="9.4376273131349997E-2"/>
    <n v="1.7288748597430001E-2"/>
    <n v="35.086882734009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9.4376273131349997E-2"/>
    <n v="1.7288748597430001E-2"/>
    <n v="55.628547456845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2.197813152389202"/>
    <n v="37.676885730191003"/>
    <n v="4.5116421300000001E-2"/>
  </r>
  <r>
    <n v="840000"/>
    <n v="2400000"/>
    <n v="2400000"/>
    <x v="0"/>
    <x v="0"/>
    <s v="BR3-5, BR-7"/>
    <s v="62-304.520 (10), F.A.C."/>
    <n v="0.59"/>
    <n v="0.64"/>
    <s v="City of Cocoa Beach"/>
    <n v="7.8452065982189997E-2"/>
    <n v="3768.66542927504"/>
    <n v="10.136910725021099"/>
    <n v="1.85697628508424"/>
    <n v="0.79526158905501998"/>
    <n v="0.14568362604480001"/>
    <n v="295.659588922317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79526158905501998"/>
    <n v="0.14568362604480001"/>
    <n v="493.10898689561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1.193371589707795"/>
    <n v="317.48424707061099"/>
    <n v="0.39992618559999998"/>
  </r>
  <r>
    <n v="840000"/>
    <n v="2400000"/>
    <n v="2400000"/>
    <x v="0"/>
    <x v="0"/>
    <s v="BR3-5, BR-7"/>
    <s v="62-304.520 (10), F.A.C."/>
    <n v="0.59"/>
    <n v="0.64"/>
    <s v="City of Cocoa Beach"/>
    <n v="0.26124667061640999"/>
    <n v="3777.7388730708099"/>
    <n v="9.8672962632328094"/>
    <n v="1.7833472465904301"/>
    <n v="2.5777982967553701"/>
    <n v="0.46589353072470002"/>
    <n v="986.92170304796196"/>
    <n v="1390"/>
    <s v="High Density Under Construction"/>
    <n v="1390"/>
    <s v="City of Cocoa Beach           Brevard County"/>
    <s v="City of Cocoa Beach"/>
    <m/>
    <m/>
    <m/>
    <n v="0"/>
    <n v="1"/>
    <n v="2.5777982967553701"/>
    <n v="0.46589353072470002"/>
    <n v="986.921703047961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32.72629733018701"/>
    <n v="1057.2277668146601"/>
    <n v="0.8004231168"/>
  </r>
  <r>
    <n v="840000"/>
    <n v="2400000"/>
    <n v="2400000"/>
    <x v="0"/>
    <x v="0"/>
    <s v="BR3-5, BR-7"/>
    <s v="62-304.520 (10), F.A.C."/>
    <n v="0.59"/>
    <n v="0.64"/>
    <s v="FDOT District 5"/>
    <n v="4.4396926809010001E-2"/>
    <n v="3777.7388730708099"/>
    <n v="9.8672962632328094"/>
    <n v="1.7833472465904301"/>
    <n v="0.43807763000159"/>
    <n v="7.9175137181930005E-2"/>
    <n v="167.71999625128799"/>
    <n v="1390"/>
    <s v="High Density Under Construction"/>
    <n v="1390"/>
    <s v="FDOT District 5                                 City of Cocoa Beach           Brevard County"/>
    <s v="FDOT District 5"/>
    <m/>
    <m/>
    <m/>
    <n v="0"/>
    <n v="1"/>
    <n v="0.43807763000159"/>
    <n v="7.9175137181930005E-2"/>
    <n v="167.71999625128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7.974839537484996"/>
    <n v="179.667988391877"/>
    <n v="0.1360259499"/>
  </r>
  <r>
    <n v="840000"/>
    <n v="2400000"/>
    <n v="2400000"/>
    <x v="0"/>
    <x v="0"/>
    <s v="BR3-5, BR-7"/>
    <s v="62-304.520 (10), F.A.C."/>
    <n v="0.59"/>
    <n v="0.64"/>
    <s v="City of Cocoa Beach"/>
    <n v="4.1664985347669999E-2"/>
    <n v="3777.7388730708099"/>
    <n v="9.8672962632328094"/>
    <n v="1.7833472465904301"/>
    <n v="0.41112075422875999"/>
    <n v="7.4303136899000005E-2"/>
    <n v="157.399434793837"/>
    <n v="1300"/>
    <s v="Residential, High Density"/>
    <n v="1300"/>
    <s v="City of Cocoa Beach           Brevard County"/>
    <s v="City of Cocoa Beach"/>
    <m/>
    <m/>
    <m/>
    <n v="0"/>
    <n v="1"/>
    <n v="0.41112075422875999"/>
    <n v="7.4303136899000005E-2"/>
    <n v="287.94234279392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9.580433799145496"/>
    <n v="168.612213543438"/>
    <n v="0.23352988059999999"/>
  </r>
  <r>
    <n v="840000"/>
    <n v="2400000"/>
    <n v="2400000"/>
    <x v="0"/>
    <x v="0"/>
    <s v="BR3-5, BR-7"/>
    <s v="62-304.520 (10), F.A.C."/>
    <n v="0.59"/>
    <n v="0.64"/>
    <s v="City of Cocoa Beach"/>
    <n v="1.9811341271980001E-2"/>
    <n v="3777.7388730708099"/>
    <n v="9.8672962632328094"/>
    <n v="1.7833472465904301"/>
    <n v="0.19548437370267999"/>
    <n v="3.5330500908650003E-2"/>
    <n v="74.842074050849902"/>
    <n v="1300"/>
    <s v="Residential, High Density"/>
    <n v="1300"/>
    <s v="City of Cocoa Beach           Brevard County"/>
    <s v="City of Cocoa Beach"/>
    <m/>
    <m/>
    <m/>
    <n v="0"/>
    <n v="1"/>
    <n v="0.19548437370267999"/>
    <n v="3.5330500908650003E-2"/>
    <n v="287.94234279392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0.1116377565669"/>
    <n v="80.173653662890402"/>
    <n v="0.23352988059999999"/>
  </r>
  <r>
    <n v="840000"/>
    <n v="2400000"/>
    <n v="2400000"/>
    <x v="0"/>
    <x v="0"/>
    <s v="BR3-5, BR-7"/>
    <s v="62-304.520 (10), F.A.C."/>
    <n v="0.59"/>
    <n v="0.64"/>
    <s v="FDOT District 5"/>
    <n v="1.6152579053609999E-2"/>
    <n v="3777.7388730708099"/>
    <n v="9.8672962632328094"/>
    <n v="1.7833472465904301"/>
    <n v="0.15938228293734"/>
    <n v="2.8805657380600001E-2"/>
    <n v="61.020225791205903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15938228293734"/>
    <n v="2.8805657380600001E-2"/>
    <n v="715.93146247276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2.3725619586153"/>
    <n v="65.367168281460494"/>
    <n v="0.58064189980000003"/>
  </r>
  <r>
    <n v="840000"/>
    <n v="2400000"/>
    <n v="2400000"/>
    <x v="0"/>
    <x v="0"/>
    <s v="BR3-5, BR-7"/>
    <s v="62-304.520 (10), F.A.C."/>
    <n v="0.59"/>
    <n v="0.64"/>
    <s v="FDOT District 5"/>
    <n v="5.5947050371980001E-2"/>
    <n v="3777.7388730708099"/>
    <n v="9.8672962632328094"/>
    <n v="1.7833472465904301"/>
    <n v="0.55204612107437001"/>
    <n v="9.9773018235729996E-2"/>
    <n v="211.35334702389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55204612107437001"/>
    <n v="9.9773018235729996E-2"/>
    <n v="715.93146247276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27928358957"/>
    <n v="226.409680112199"/>
    <n v="0.58064189980000003"/>
  </r>
  <r>
    <n v="840000"/>
    <n v="2400000"/>
    <n v="2400000"/>
    <x v="0"/>
    <x v="0"/>
    <s v="BR3-5, BR-7"/>
    <s v="62-304.520 (10), F.A.C."/>
    <n v="0.59"/>
    <n v="0.64"/>
    <s v="City of Cocoa Beach"/>
    <n v="7.2833040769999997E-4"/>
    <n v="3777.7388730708099"/>
    <n v="9.8672962632328094"/>
    <n v="1.7833472465904301"/>
    <n v="7.1866519103499999E-3"/>
    <n v="1.2988660271899999E-3"/>
    <n v="2.75144209363047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7.1866519103499999E-3"/>
    <n v="1.2988660271899999E-3"/>
    <n v="2.75144209363149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.9167524213725393"/>
    <n v="2.9474485880553298"/>
    <n v="2.2315020999999998E-3"/>
  </r>
  <r>
    <n v="840000"/>
    <n v="2400000"/>
    <n v="2400000"/>
    <x v="0"/>
    <x v="0"/>
    <s v="BR3-5, BR-7"/>
    <s v="62-304.520 (10), F.A.C."/>
    <n v="0.59"/>
    <n v="0.64"/>
    <s v="City of Cocoa Beach"/>
    <n v="6.44025421048E-3"/>
    <n v="3777.7388730708099"/>
    <n v="9.8672962632328094"/>
    <n v="1.7833472465904301"/>
    <n v="6.3547896305350002E-2"/>
    <n v="1.14852096136E-2"/>
    <n v="24.3295986833958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6.3547896305350002E-2"/>
    <n v="1.14852096136E-2"/>
    <n v="24.3295986833962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8.354630135469399"/>
    <n v="26.0627841135782"/>
    <n v="1.97320346E-2"/>
  </r>
  <r>
    <n v="840000"/>
    <n v="2400000"/>
    <n v="2400000"/>
    <x v="0"/>
    <x v="0"/>
    <s v="BR3-5, BR-7"/>
    <s v="62-304.520 (10), F.A.C."/>
    <n v="0.59"/>
    <n v="0.64"/>
    <s v="City of Cocoa Beach"/>
    <n v="3.2386791815590003E-2"/>
    <n v="3743.6912227973398"/>
    <n v="10.2396116376063"/>
    <n v="1.4718028344476599"/>
    <n v="0.33162817037970999"/>
    <n v="4.7666971992859998E-2"/>
    <n v="121.246148254611"/>
    <n v="1300"/>
    <s v="Residential, High Density"/>
    <n v="1300"/>
    <s v="City of Cocoa Beach           Brevard County"/>
    <s v="City of Cocoa Beach"/>
    <m/>
    <m/>
    <m/>
    <n v="0"/>
    <n v="1"/>
    <n v="0.33162817037970999"/>
    <n v="4.7666971992859998E-2"/>
    <n v="134.651689774244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6.033265036855703"/>
    <n v="131.06469645987499"/>
    <n v="0.10920656099999999"/>
  </r>
  <r>
    <n v="840000"/>
    <n v="2400000"/>
    <n v="2400000"/>
    <x v="0"/>
    <x v="0"/>
    <s v="BR3-5, BR-7"/>
    <s v="62-304.520 (10), F.A.C."/>
    <n v="0.59"/>
    <n v="0.64"/>
    <s v="City of Cocoa Beach"/>
    <n v="9.26181668734E-3"/>
    <n v="3743.6912227973398"/>
    <n v="10.2396116376063"/>
    <n v="1.4718028344476599"/>
    <n v="9.4837405937059999E-2"/>
    <n v="1.363156805256E-2"/>
    <n v="34.673381839552697"/>
    <n v="1400"/>
    <s v="Commercial and Services"/>
    <n v="1400"/>
    <s v="City of Cocoa Beach           Brevard County"/>
    <s v="City of Cocoa Beach"/>
    <m/>
    <m/>
    <m/>
    <n v="0"/>
    <n v="1"/>
    <n v="9.4837405937059999E-2"/>
    <n v="1.363156805256E-2"/>
    <n v="287.763715243806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7.9515124888458"/>
    <n v="37.481242344252699"/>
    <n v="0.2333850083"/>
  </r>
  <r>
    <n v="840000"/>
    <n v="2400000"/>
    <n v="2400000"/>
    <x v="0"/>
    <x v="0"/>
    <s v="BR3-5, BR-7"/>
    <s v="62-304.520 (10), F.A.C."/>
    <n v="0.59"/>
    <n v="0.64"/>
    <s v="FDOT District 5"/>
    <n v="6.3169585606999998E-4"/>
    <n v="3743.6912227973398"/>
    <n v="10.2396116376063"/>
    <n v="1.4718028344476599"/>
    <n v="6.4683202392700001E-3"/>
    <n v="9.2973175146999999E-4"/>
    <n v="2.36487423185793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6.4683202392700001E-3"/>
    <n v="9.2973175146999999E-4"/>
    <n v="244.808448825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1.205382194526599"/>
    <n v="2.5563824321531201"/>
    <n v="0.19854699819999999"/>
  </r>
  <r>
    <n v="840000"/>
    <n v="2400000"/>
    <n v="2400000"/>
    <x v="0"/>
    <x v="0"/>
    <s v="BR3-5, BR-7"/>
    <s v="62-304.520 (10), F.A.C."/>
    <n v="0.59"/>
    <n v="0.64"/>
    <s v="City of Cocoa Beach"/>
    <n v="0.11602173087891"/>
    <n v="3737.4686967357602"/>
    <n v="10.115799686661701"/>
    <n v="1.7613689011664699"/>
    <n v="1.17365258887089"/>
    <n v="0.20435706862962"/>
    <n v="433.627587301049"/>
    <n v="1200"/>
    <s v="Residential, Medium Density-Two-five dwellingunits per acre"/>
    <n v="1200"/>
    <s v="City of Cocoa Beach           Brevard County"/>
    <s v="City of Cocoa Beach"/>
    <m/>
    <m/>
    <m/>
    <n v="0"/>
    <n v="1"/>
    <n v="1.17365258887089"/>
    <n v="0.20435706862962"/>
    <n v="439.28566849245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9.976498587329"/>
    <n v="469.523286745306"/>
    <n v="0.3562738593"/>
  </r>
  <r>
    <n v="840000"/>
    <n v="2400000"/>
    <n v="2400000"/>
    <x v="0"/>
    <x v="0"/>
    <s v="BR3-5, BR-7"/>
    <s v="62-304.520 (10), F.A.C."/>
    <n v="0.59"/>
    <n v="0.64"/>
    <s v="City of Cocoa Beach"/>
    <n v="4.0785329236139999E-2"/>
    <n v="3737.4686967357602"/>
    <n v="10.115799686661701"/>
    <n v="1.7613689011664699"/>
    <n v="0.41257622070741001"/>
    <n v="7.1838010540379998E-2"/>
    <n v="152.433891306161"/>
    <n v="1300"/>
    <s v="Residential, High Density"/>
    <n v="1300"/>
    <s v="City of Cocoa Beach           Brevard County"/>
    <s v="City of Cocoa Beach"/>
    <m/>
    <m/>
    <m/>
    <n v="0"/>
    <n v="1"/>
    <n v="0.41257622070741001"/>
    <n v="7.1838010540379998E-2"/>
    <n v="597.84066951150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5.69229286459699"/>
    <n v="165.05237155900099"/>
    <n v="0.484866723"/>
  </r>
  <r>
    <n v="840000"/>
    <n v="2400000"/>
    <n v="2400000"/>
    <x v="0"/>
    <x v="0"/>
    <s v="BR3-5, BR-7"/>
    <s v="62-304.520 (10), F.A.C."/>
    <n v="0.59"/>
    <n v="0.64"/>
    <s v="FDOT District 5"/>
    <n v="4.6396397516000002E-4"/>
    <n v="3737.4686967357602"/>
    <n v="10.115799686661701"/>
    <n v="1.7613689011664699"/>
    <n v="4.6933666346199998E-3"/>
    <n v="8.1721171711999997E-4"/>
    <n v="1.7340508336034799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4.6933666346199998E-3"/>
    <n v="8.1721171711999997E-4"/>
    <n v="7.31935549256304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6.807953685169299"/>
    <n v="1.87759559267204"/>
    <n v="5.9362169000000001E-3"/>
  </r>
  <r>
    <n v="840000"/>
    <n v="2400000"/>
    <n v="2400000"/>
    <x v="0"/>
    <x v="0"/>
    <s v="BR3-5, BR-7"/>
    <s v="62-304.520 (10), F.A.C."/>
    <n v="0.59"/>
    <n v="0.64"/>
    <s v="City of Cocoa Beach"/>
    <n v="7.6027739366999999E-4"/>
    <n v="3737.4686967357602"/>
    <n v="10.115799686661701"/>
    <n v="1.7613689011664699"/>
    <n v="7.6908138207500004E-3"/>
    <n v="1.33912895748E-3"/>
    <n v="2.84151295971111"/>
    <n v="1210"/>
    <s v="Fixed Single Family Units"/>
    <n v="1210"/>
    <s v="City of Cocoa Beach           Brevard County"/>
    <s v="City of Cocoa Beach"/>
    <m/>
    <m/>
    <m/>
    <n v="0"/>
    <n v="1"/>
    <n v="7.6908138207500004E-3"/>
    <n v="1.33912895748E-3"/>
    <n v="2.8415129597117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8.479156857113502"/>
    <n v="3.0767334534161002"/>
    <n v="2.3045523000000002E-3"/>
  </r>
  <r>
    <n v="840000"/>
    <n v="2400000"/>
    <n v="2400000"/>
    <x v="0"/>
    <x v="0"/>
    <s v="BR3-5, BR-7"/>
    <s v="62-304.520 (10), F.A.C."/>
    <n v="0.59"/>
    <n v="0.64"/>
    <s v="City of Cocoa Beach"/>
    <n v="2.0026804027399999E-3"/>
    <n v="3737.4686967357602"/>
    <n v="10.115799686661701"/>
    <n v="1.7613689011664699"/>
    <n v="2.0258713790590001E-2"/>
    <n v="3.5274589803699998E-3"/>
    <n v="7.4849553148330799"/>
    <n v="1210"/>
    <s v="Fixed Single Family Units"/>
    <n v="1210"/>
    <s v="City of Cocoa Beach           Brevard County"/>
    <s v="City of Cocoa Beach"/>
    <m/>
    <m/>
    <m/>
    <n v="0"/>
    <n v="1"/>
    <n v="2.0258713790590001E-2"/>
    <n v="3.5274589803699998E-3"/>
    <n v="7.48495531483237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4.061793544542994"/>
    <n v="8.1045600498705497"/>
    <n v="6.0705233999999997E-3"/>
  </r>
  <r>
    <n v="840000"/>
    <n v="2400000"/>
    <n v="2400000"/>
    <x v="0"/>
    <x v="0"/>
    <s v="BR3-5, BR-7"/>
    <s v="62-304.520 (10), F.A.C."/>
    <n v="0.59"/>
    <n v="0.64"/>
    <s v="City of Cocoa Beach"/>
    <n v="4.4333239574950001E-2"/>
    <n v="3737.4686967357602"/>
    <n v="10.115799686661701"/>
    <n v="1.7613689011664699"/>
    <n v="0.44846617100107"/>
    <n v="7.8087189475290003E-2"/>
    <n v="165.694095136296"/>
    <n v="1210"/>
    <s v="Fixed Single Family Units"/>
    <n v="1210"/>
    <s v="City of Cocoa Beach           Brevard County"/>
    <s v="City of Cocoa Beach"/>
    <m/>
    <m/>
    <m/>
    <n v="0"/>
    <n v="1"/>
    <n v="0.44846617100107"/>
    <n v="7.8087189475290003E-2"/>
    <n v="301.63487264474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4.524385980591198"/>
    <n v="179.410255299721"/>
    <n v="0.24463493319999999"/>
  </r>
  <r>
    <n v="840000"/>
    <n v="2400000"/>
    <n v="2400000"/>
    <x v="0"/>
    <x v="0"/>
    <s v="BR3-5, BR-7"/>
    <s v="62-304.520 (10), F.A.C."/>
    <n v="0.59"/>
    <n v="0.64"/>
    <s v="City of Cocoa Beach"/>
    <n v="2.333703163278E-2"/>
    <n v="3658.0058763699899"/>
    <n v="8.6960428537051406"/>
    <n v="1.42578221936369"/>
    <n v="0.20293982715698999"/>
    <n v="3.3273524754749997E-2"/>
    <n v="85.366998849770795"/>
    <n v="1300"/>
    <s v="Residential, High Density"/>
    <n v="1300"/>
    <s v="City of Cocoa Beach           Brevard County"/>
    <s v="City of Cocoa Beach"/>
    <m/>
    <m/>
    <m/>
    <n v="0"/>
    <n v="1"/>
    <n v="0.20293982715698999"/>
    <n v="3.3273524754749997E-2"/>
    <n v="706.399359590640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3.938261283435899"/>
    <n v="94.441616342901597"/>
    <n v="0.57291107829999999"/>
  </r>
  <r>
    <n v="840000"/>
    <n v="2400000"/>
    <n v="2400000"/>
    <x v="0"/>
    <x v="0"/>
    <s v="BR3-5, BR-7"/>
    <s v="62-304.520 (10), F.A.C."/>
    <n v="0.59"/>
    <n v="0.64"/>
    <s v="Natural Lands"/>
    <n v="6.3263377493099999E-3"/>
    <n v="3658.0058763699899"/>
    <n v="8.6960428537051406"/>
    <n v="1.42578221936369"/>
    <n v="5.5014104175029999E-2"/>
    <n v="9.0199798766600007E-3"/>
    <n v="23.141780662888198"/>
    <n v="4340"/>
    <s v="Hardwood Conifer Mixed"/>
    <n v="4340"/>
    <s v="City of Cocoa Beach           Brevard County"/>
    <s v="City of Cocoa Beach"/>
    <m/>
    <m/>
    <s v="Natural Lands"/>
    <n v="0"/>
    <n v="1"/>
    <n v="5.5014104175029999E-2"/>
    <n v="9.0199798766600007E-3"/>
    <n v="252.17467248678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4.519461824277101"/>
    <n v="25.6017805510801"/>
    <n v="0.2045212267"/>
  </r>
  <r>
    <n v="840000"/>
    <n v="2400000"/>
    <n v="2400000"/>
    <x v="0"/>
    <x v="0"/>
    <s v="BR3-5, BR-7"/>
    <s v="62-304.520 (10), F.A.C."/>
    <n v="0.59"/>
    <n v="0.64"/>
    <s v="City of Cocoa Beach"/>
    <n v="1.24853718063E-3"/>
    <n v="3658.0058763699899"/>
    <n v="8.6960428537051406"/>
    <n v="1.42578221936369"/>
    <n v="1.085733282725E-2"/>
    <n v="1.78014211236E-3"/>
    <n v="4.5671563436328997"/>
    <n v="1200"/>
    <s v="Residential, Medium Density-Two-five dwellingunits per acre"/>
    <n v="1200"/>
    <s v="City of Cocoa Beach           Brevard County"/>
    <s v="City of Cocoa Beach"/>
    <m/>
    <m/>
    <m/>
    <n v="0"/>
    <n v="1"/>
    <n v="1.085733282725E-2"/>
    <n v="1.78014211236E-3"/>
    <n v="4.5671563436333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.9986957609295803"/>
    <n v="5.0526507080624699"/>
    <n v="3.7041007999999999E-3"/>
  </r>
  <r>
    <n v="840000"/>
    <n v="2400000"/>
    <n v="2400000"/>
    <x v="0"/>
    <x v="0"/>
    <s v="BR3-5, BR-7"/>
    <s v="62-304.520 (10), F.A.C."/>
    <n v="0.59"/>
    <n v="0.64"/>
    <s v="City of Cocoa Beach"/>
    <n v="8.5817621902400006E-3"/>
    <n v="3658.0058763699899"/>
    <n v="8.6960428537051406"/>
    <n v="1.42578221936369"/>
    <n v="7.4627371766629993E-2"/>
    <n v="1.223572394165E-2"/>
    <n v="31.392136521507702"/>
    <n v="1210"/>
    <s v="Fixed Single Family Units"/>
    <n v="1210"/>
    <s v="City of Cocoa Beach           Brevard County"/>
    <s v="City of Cocoa Beach"/>
    <m/>
    <m/>
    <m/>
    <n v="0"/>
    <n v="1"/>
    <n v="7.4627371766629993E-2"/>
    <n v="1.223572394165E-2"/>
    <n v="226.678470442821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4.9889427533641"/>
    <n v="34.729159435082501"/>
    <n v="0.18384304169999999"/>
  </r>
  <r>
    <n v="840000"/>
    <n v="2400000"/>
    <n v="2400000"/>
    <x v="0"/>
    <x v="0"/>
    <s v="BR3-5, BR-7"/>
    <s v="62-304.520 (10), F.A.C."/>
    <n v="0.59"/>
    <n v="0.64"/>
    <s v="FDOT District 5"/>
    <n v="4.1457478179999997E-5"/>
    <n v="3658.0058763699899"/>
    <n v="8.6960428537051406"/>
    <n v="1.42578221936369"/>
    <n v="3.6051600686E-4"/>
    <n v="5.9109335250000001E-5"/>
    <n v="0.15165169880557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6051600686E-4"/>
    <n v="5.9109335250000001E-5"/>
    <n v="0.42739720511036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.8425923403603193"/>
    <n v="0.16777246183221001"/>
    <n v="3.4663199999999998E-4"/>
  </r>
  <r>
    <n v="840000"/>
    <n v="2400000"/>
    <n v="2400000"/>
    <x v="0"/>
    <x v="0"/>
    <s v="BR3-5, BR-7"/>
    <s v="62-304.520 (10), F.A.C."/>
    <n v="0.59"/>
    <n v="0.64"/>
    <s v="City of Cocoa Beach"/>
    <n v="1.7500682917160001E-2"/>
    <n v="3658.0058763699899"/>
    <n v="8.6960428537051406"/>
    <n v="1.42578221936369"/>
    <n v="0.15218668861675999"/>
    <n v="2.4952162530010001E-2"/>
    <n v="64.017600951473796"/>
    <n v="1210"/>
    <s v="Fixed Single Family Units"/>
    <n v="1210"/>
    <s v="City of Cocoa Beach           Brevard County"/>
    <s v="City of Cocoa Beach"/>
    <m/>
    <m/>
    <m/>
    <n v="0"/>
    <n v="1"/>
    <n v="0.15218668861675999"/>
    <n v="2.4952162530010001E-2"/>
    <n v="64.58739117687929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0.417767489867302"/>
    <n v="70.822751059711095"/>
    <n v="5.2382312399999999E-2"/>
  </r>
  <r>
    <n v="840000"/>
    <n v="2400000"/>
    <n v="2400000"/>
    <x v="0"/>
    <x v="0"/>
    <s v="BR3-5, BR-7"/>
    <s v="62-304.520 (10), F.A.C."/>
    <n v="0.59"/>
    <n v="0.64"/>
    <s v="FDOT District 5"/>
    <n v="3.9021607229999998E-5"/>
    <n v="3658.0058763699899"/>
    <n v="8.6960428537051406"/>
    <n v="1.42578221936369"/>
    <n v="3.3933356872000001E-4"/>
    <n v="5.5636313759999997E-5"/>
    <n v="0.142741268567369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3.3933356872000001E-4"/>
    <n v="5.5636313759999997E-5"/>
    <n v="0.14274126856689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.6005578111713499"/>
    <n v="0.15791484184674001"/>
    <n v="1.157675E-4"/>
  </r>
  <r>
    <n v="840000"/>
    <n v="2400000"/>
    <n v="2400000"/>
    <x v="0"/>
    <x v="0"/>
    <s v="BR3-5, BR-7"/>
    <s v="62-304.520 (10), F.A.C."/>
    <n v="0.59"/>
    <n v="0.64"/>
    <s v="City of Cocoa Beach"/>
    <n v="1.22049308569E-3"/>
    <n v="3773.8140038065098"/>
    <n v="9.4768971225364407"/>
    <n v="1.6345837971214201"/>
    <n v="1.1566487411900001E-2"/>
    <n v="1.99499822237E-3"/>
    <n v="4.6059138983485903"/>
    <n v="1390"/>
    <s v="High Density Under Construction"/>
    <n v="1390"/>
    <s v="City of Cocoa Beach           Brevard County"/>
    <s v="City of Cocoa Beach"/>
    <m/>
    <m/>
    <m/>
    <n v="0"/>
    <n v="1"/>
    <n v="1.1566487411900001E-2"/>
    <n v="1.99499822237E-3"/>
    <n v="1093.29682592447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.6388123340853"/>
    <n v="4.9391602823430301"/>
    <n v="0.8866965336"/>
  </r>
  <r>
    <n v="840000"/>
    <n v="2400000"/>
    <n v="2400000"/>
    <x v="0"/>
    <x v="0"/>
    <s v="BR3-5, BR-7"/>
    <s v="62-304.520 (10), F.A.C."/>
    <n v="0.59"/>
    <n v="0.64"/>
    <s v="City of Cocoa Beach"/>
    <n v="0.25983838916816998"/>
    <n v="3760.6698091599601"/>
    <n v="8.0017926262209595"/>
    <n v="1.17712454080462"/>
    <n v="2.07917290645499"/>
    <n v="0.30586214453298999"/>
    <n v="977.16638540549297"/>
    <n v="1390"/>
    <s v="High Density Under Construction"/>
    <n v="1390"/>
    <s v="City of Cocoa Beach           Brevard County"/>
    <s v="City of Cocoa Beach"/>
    <m/>
    <m/>
    <m/>
    <n v="0"/>
    <n v="1"/>
    <n v="2.07917290645499"/>
    <n v="0.30586214453298999"/>
    <n v="982.105310303135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1.518504170109"/>
    <n v="1051.5286539912699"/>
    <n v="0.79651687780000002"/>
  </r>
  <r>
    <n v="840000"/>
    <n v="2400000"/>
    <n v="2400000"/>
    <x v="0"/>
    <x v="0"/>
    <s v="BR3-5, BR-7"/>
    <s v="62-304.520 (10), F.A.C."/>
    <n v="0.59"/>
    <n v="0.64"/>
    <s v="City of Cocoa Beach"/>
    <n v="8.2775576887269997E-2"/>
    <n v="3760.6698091599601"/>
    <n v="8.0017926262209595"/>
    <n v="1.17712454080462"/>
    <n v="0.66235300076781001"/>
    <n v="9.7437162933269997E-2"/>
    <n v="311.29161293578898"/>
    <n v="1210"/>
    <s v="Fixed Single Family Units"/>
    <n v="1210"/>
    <s v="City of Cocoa Beach           Brevard County"/>
    <s v="City of Cocoa Beach"/>
    <m/>
    <m/>
    <m/>
    <n v="0"/>
    <n v="1"/>
    <n v="0.66235300076781001"/>
    <n v="9.7437162933269997E-2"/>
    <n v="316.427045791689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9.939352327580494"/>
    <n v="334.98087494414898"/>
    <n v="0.25663182950000002"/>
  </r>
  <r>
    <n v="840000"/>
    <n v="2400000"/>
    <n v="2400000"/>
    <x v="0"/>
    <x v="0"/>
    <s v="BR3-5, BR-7"/>
    <s v="62-304.520 (10), F.A.C."/>
    <n v="0.59"/>
    <n v="0.64"/>
    <s v="City of Cocoa Beach"/>
    <n v="9.6452791200880003E-2"/>
    <n v="3760.6698091599601"/>
    <n v="8.0017926262209595"/>
    <n v="1.17712454080462"/>
    <n v="0.77179523340968004"/>
    <n v="0.11353694755165999"/>
    <n v="362.72709987838101"/>
    <n v="1210"/>
    <s v="Fixed Single Family Units"/>
    <n v="1210"/>
    <s v="City of Cocoa Beach           Brevard County"/>
    <s v="City of Cocoa Beach"/>
    <m/>
    <m/>
    <m/>
    <n v="0"/>
    <n v="1"/>
    <n v="0.77179523340968004"/>
    <n v="0.11353694755165999"/>
    <n v="362.72709987837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1.129057757851101"/>
    <n v="390.33059752971002"/>
    <n v="0.29418256279999999"/>
  </r>
  <r>
    <n v="840000"/>
    <n v="2400000"/>
    <n v="2400000"/>
    <x v="0"/>
    <x v="0"/>
    <s v="BR3-5, BR-7"/>
    <s v="62-304.520 (10), F.A.C."/>
    <n v="0.59"/>
    <n v="0.64"/>
    <s v="City of Cocoa Beach"/>
    <n v="0.10008027850421"/>
    <n v="3760.6698091599601"/>
    <n v="8.0017926262209595"/>
    <n v="1.17712454080462"/>
    <n v="0.80082163456513999"/>
    <n v="0.11780695187787001"/>
    <n v="376.36888186311"/>
    <n v="1210"/>
    <s v="Fixed Single Family Units"/>
    <n v="1210"/>
    <s v="City of Cocoa Beach           Brevard County"/>
    <s v="City of Cocoa Beach"/>
    <m/>
    <m/>
    <m/>
    <n v="0"/>
    <n v="1"/>
    <n v="0.80082163456513999"/>
    <n v="0.11780695187787001"/>
    <n v="376.3688818631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2.075878430393999"/>
    <n v="405.01051782034898"/>
    <n v="0.3052464573"/>
  </r>
  <r>
    <n v="840000"/>
    <n v="2400000"/>
    <n v="2400000"/>
    <x v="0"/>
    <x v="0"/>
    <s v="BR3-5, BR-7"/>
    <s v="62-304.520 (10), F.A.C."/>
    <n v="0.59"/>
    <n v="0.64"/>
    <s v="City of Cocoa Beach"/>
    <n v="7.5937544726479997E-2"/>
    <n v="3760.6698091599601"/>
    <n v="8.0017926262209595"/>
    <n v="1.17712454080462"/>
    <n v="0.60763648544572002"/>
    <n v="8.9387947465990006E-2"/>
    <n v="285.57603183463402"/>
    <n v="1210"/>
    <s v="Fixed Single Family Units"/>
    <n v="1210"/>
    <s v="City of Cocoa Beach           Brevard County"/>
    <s v="City of Cocoa Beach"/>
    <m/>
    <m/>
    <m/>
    <n v="0"/>
    <n v="1"/>
    <n v="0.60763648544572002"/>
    <n v="8.9387947465990006E-2"/>
    <n v="285.57603183463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4.938198143385094"/>
    <n v="307.308340577671"/>
    <n v="0.23161073139999999"/>
  </r>
  <r>
    <n v="840000"/>
    <n v="2400000"/>
    <n v="2400000"/>
    <x v="0"/>
    <x v="0"/>
    <s v="BR3-5, BR-7"/>
    <s v="62-304.520 (10), F.A.C."/>
    <n v="0.59"/>
    <n v="0.64"/>
    <s v="City of Cocoa Beach"/>
    <n v="0.18268681012308999"/>
    <n v="3629.7692340633598"/>
    <n v="8.6519783792635891"/>
    <n v="1.4197397070881399"/>
    <n v="1.58060233136165"/>
    <n v="0.25936771829303001"/>
    <n v="663.11096285398503"/>
    <n v="1300"/>
    <s v="Residential, High Density"/>
    <n v="1300"/>
    <s v="City of Cocoa Beach           Brevard County"/>
    <s v="City of Cocoa Beach"/>
    <m/>
    <m/>
    <m/>
    <n v="0"/>
    <n v="1"/>
    <n v="1.58060233136165"/>
    <n v="0.25936771829303001"/>
    <n v="663.110962853985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9.618603245451"/>
    <n v="739.30729083441599"/>
    <n v="0.5378028896"/>
  </r>
  <r>
    <n v="840000"/>
    <n v="2400000"/>
    <n v="2400000"/>
    <x v="0"/>
    <x v="0"/>
    <s v="BR3-5, BR-7"/>
    <s v="62-304.520 (10), F.A.C."/>
    <n v="0.59"/>
    <n v="0.64"/>
    <s v="FDOT District 5"/>
    <n v="3.7820955479999998E-5"/>
    <n v="3629.7692340633598"/>
    <n v="8.6519783792635891"/>
    <n v="1.4197397070881399"/>
    <n v="3.2722608908999999E-4"/>
    <n v="5.3695912250000001E-5"/>
    <n v="0.137281340604180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3.2722608908999999E-4"/>
    <n v="5.3695912250000001E-5"/>
    <n v="0.1372813406055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.913770304243601"/>
    <n v="0.15305597658702999"/>
    <n v="1.1133930000000001E-4"/>
  </r>
  <r>
    <n v="840000"/>
    <n v="2400000"/>
    <n v="2400000"/>
    <x v="0"/>
    <x v="0"/>
    <s v="BR3-5, BR-7"/>
    <s v="62-304.520 (10), F.A.C."/>
    <n v="0.59"/>
    <n v="0.64"/>
    <s v="Natural Lands"/>
    <n v="8.8740245001010007E-2"/>
    <n v="3629.7692340633598"/>
    <n v="8.6519783792635891"/>
    <n v="1.4197397070881399"/>
    <n v="0.76777868111935998"/>
    <n v="0.12598804944467001"/>
    <n v="322.10661112794003"/>
    <n v="4340"/>
    <s v="Hardwood Conifer Mixed"/>
    <n v="4340"/>
    <s v="City of Cocoa Beach           Brevard County"/>
    <s v="City of Cocoa Beach"/>
    <m/>
    <m/>
    <s v="Natural Lands"/>
    <n v="0"/>
    <n v="1"/>
    <n v="0.76777868111935998"/>
    <n v="0.12598804944467001"/>
    <n v="322.10661112793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4.44398532104"/>
    <n v="359.11903040771699"/>
    <n v="0.26123812740000002"/>
  </r>
  <r>
    <n v="840000"/>
    <n v="2400000"/>
    <n v="2400000"/>
    <x v="0"/>
    <x v="0"/>
    <s v="BR3-5, BR-7"/>
    <s v="62-304.520 (10), F.A.C."/>
    <n v="0.59"/>
    <n v="0.64"/>
    <s v="City of Cocoa Beach"/>
    <n v="2.108494693024E-2"/>
    <n v="3629.7692340633598"/>
    <n v="8.6519783792635891"/>
    <n v="1.4197397070881399"/>
    <n v="0.18242650496839"/>
    <n v="2.9935136378709998E-2"/>
    <n v="76.533491669258296"/>
    <n v="1200"/>
    <s v="Residential, Medium Density-Two-five dwellingunits per acre"/>
    <n v="1200"/>
    <s v="City of Cocoa Beach           Brevard County"/>
    <s v="City of Cocoa Beach"/>
    <m/>
    <m/>
    <m/>
    <n v="0"/>
    <n v="1"/>
    <n v="0.18242650496839"/>
    <n v="2.9935136378709998E-2"/>
    <n v="76.53349166925900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3.471937325681"/>
    <n v="85.327752900621803"/>
    <n v="6.2070958400000001E-2"/>
  </r>
  <r>
    <n v="840000"/>
    <n v="2400000"/>
    <n v="2400000"/>
    <x v="0"/>
    <x v="0"/>
    <s v="BR3-5, BR-7"/>
    <s v="62-304.520 (10), F.A.C."/>
    <n v="0.59"/>
    <n v="0.64"/>
    <s v="City of Cocoa Beach"/>
    <n v="4.2632789570839998E-2"/>
    <n v="3629.7692340633598"/>
    <n v="8.6519783792635891"/>
    <n v="1.4197397070881399"/>
    <n v="0.36885797361467998"/>
    <n v="6.0527464177660001E-2"/>
    <n v="154.747187946564"/>
    <n v="1210"/>
    <s v="Fixed Single Family Units"/>
    <n v="1210"/>
    <s v="City of Cocoa Beach           Brevard County"/>
    <s v="City of Cocoa Beach"/>
    <m/>
    <m/>
    <m/>
    <n v="0"/>
    <n v="1"/>
    <n v="0.36885797361467998"/>
    <n v="6.0527464177660001E-2"/>
    <n v="154.747187946565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038447177119494"/>
    <n v="172.52877827961899"/>
    <n v="0.1255046131"/>
  </r>
  <r>
    <n v="840000"/>
    <n v="2400000"/>
    <n v="2400000"/>
    <x v="0"/>
    <x v="0"/>
    <s v="BR3-5, BR-7"/>
    <s v="62-304.520 (10), F.A.C."/>
    <n v="0.59"/>
    <n v="0.64"/>
    <s v="FDOT District 5"/>
    <n v="1.2192862243E-4"/>
    <n v="3629.7692340633598"/>
    <n v="8.6519783792635891"/>
    <n v="1.4197397070881399"/>
    <n v="1.05492380507E-3"/>
    <n v="1.7310690669000001E-4"/>
    <n v="0.4425727624481399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05492380507E-3"/>
    <n v="1.7310690669000001E-4"/>
    <n v="0.4425727624469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0.479402687750699"/>
    <n v="0.49342762875388002"/>
    <n v="3.5893980000000002E-4"/>
  </r>
  <r>
    <n v="840000"/>
    <n v="2400000"/>
    <n v="2400000"/>
    <x v="0"/>
    <x v="0"/>
    <s v="BR3-5, BR-7"/>
    <s v="62-304.520 (10), F.A.C."/>
    <n v="0.59"/>
    <n v="0.64"/>
    <s v="City of Cocoa Beach"/>
    <n v="5.8610665719469997E-2"/>
    <n v="3629.7692340633598"/>
    <n v="8.6519783792635891"/>
    <n v="1.4197397070881399"/>
    <n v="0.50709821259912002"/>
    <n v="8.32118893808E-2"/>
    <n v="212.74319121651499"/>
    <n v="1210"/>
    <s v="Fixed Single Family Units"/>
    <n v="1210"/>
    <s v="City of Cocoa Beach           Brevard County"/>
    <s v="City of Cocoa Beach"/>
    <m/>
    <m/>
    <m/>
    <n v="0"/>
    <n v="1"/>
    <n v="0.50709821259912002"/>
    <n v="8.32118893808E-2"/>
    <n v="212.74319121651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9.812799027060294"/>
    <n v="237.188948987987"/>
    <n v="0.1725411121"/>
  </r>
  <r>
    <n v="840000"/>
    <n v="2400000"/>
    <n v="2400000"/>
    <x v="0"/>
    <x v="0"/>
    <s v="BR3-5, BR-7"/>
    <s v="62-304.520 (10), F.A.C."/>
    <n v="0.59"/>
    <n v="0.64"/>
    <s v="FDOT District 5"/>
    <n v="2.0505849931999999E-4"/>
    <n v="3629.7692340633598"/>
    <n v="8.6519783792635891"/>
    <n v="1.4197397070881399"/>
    <n v="1.77416170265E-3"/>
    <n v="2.9112969376000002E-4"/>
    <n v="0.744315032036710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77416170265E-3"/>
    <n v="2.9112969376000002E-4"/>
    <n v="0.744315032038360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8.0176588067228"/>
    <n v="0.82984230496695999"/>
    <n v="6.0366179999999997E-4"/>
  </r>
  <r>
    <n v="840000"/>
    <n v="2400000"/>
    <n v="2400000"/>
    <x v="0"/>
    <x v="0"/>
    <s v="BR3-5, BR-7"/>
    <s v="62-304.520 (10), F.A.C."/>
    <n v="0.59"/>
    <n v="0.64"/>
    <s v="City of Cocoa Beach"/>
    <n v="5.6932628573440003E-2"/>
    <n v="3629.7692340633598"/>
    <n v="8.6519783792635891"/>
    <n v="1.4197397070881399"/>
    <n v="0.49257987149208998"/>
    <n v="8.0829513414619997E-2"/>
    <n v="206.652303610247"/>
    <n v="1210"/>
    <s v="Fixed Single Family Units"/>
    <n v="1210"/>
    <s v="City of Cocoa Beach           Brevard County"/>
    <s v="City of Cocoa Beach"/>
    <m/>
    <m/>
    <m/>
    <n v="0"/>
    <n v="1"/>
    <n v="0.49257987149208998"/>
    <n v="8.0829513414619997E-2"/>
    <n v="206.652303610246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8.839685042546193"/>
    <n v="230.39817358655799"/>
    <n v="0.16760121950000001"/>
  </r>
  <r>
    <n v="840000"/>
    <n v="2400000"/>
    <n v="2400000"/>
    <x v="0"/>
    <x v="0"/>
    <s v="BR3-5, BR-7"/>
    <s v="62-304.520 (10), F.A.C."/>
    <n v="0.59"/>
    <n v="0.64"/>
    <s v="FDOT District 5"/>
    <n v="2.4917442590999999E-4"/>
    <n v="3629.7692340633598"/>
    <n v="8.6519783792635891"/>
    <n v="1.4197397070881399"/>
    <n v="2.1558517456999999E-3"/>
    <n v="3.5376282646000002E-4"/>
    <n v="0.9044456651125499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2.1558517456999999E-3"/>
    <n v="3.5376282646000002E-4"/>
    <n v="0.904445665112569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8.043844091865498"/>
    <n v="1.00837312582411"/>
    <n v="7.3353260000000005E-4"/>
  </r>
  <r>
    <n v="840000"/>
    <n v="2400000"/>
    <n v="2400000"/>
    <x v="0"/>
    <x v="0"/>
    <s v="BR3-5, BR-7"/>
    <s v="62-304.520 (10), F.A.C."/>
    <n v="0.59"/>
    <n v="0.64"/>
    <s v="City of Cocoa Beach"/>
    <n v="4.8451543607469998E-2"/>
    <n v="3629.7692340633598"/>
    <n v="8.6519783792635891"/>
    <n v="1.4197397070881399"/>
    <n v="0.41920170773382998"/>
    <n v="6.8788580329239998E-2"/>
    <n v="175.867922329295"/>
    <n v="1210"/>
    <s v="Fixed Single Family Units"/>
    <n v="1210"/>
    <s v="City of Cocoa Beach           Brevard County"/>
    <s v="City of Cocoa Beach"/>
    <m/>
    <m/>
    <m/>
    <n v="0"/>
    <n v="1"/>
    <n v="0.41920170773382998"/>
    <n v="6.8788580329239998E-2"/>
    <n v="175.8679223292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8.565652227837603"/>
    <n v="196.07644042310801"/>
    <n v="0.14263416249999999"/>
  </r>
  <r>
    <n v="840000"/>
    <n v="2400000"/>
    <n v="2400000"/>
    <x v="0"/>
    <x v="0"/>
    <s v="BR3-5, BR-7"/>
    <s v="62-304.520 (10), F.A.C."/>
    <n v="0.59"/>
    <n v="0.64"/>
    <s v="FDOT District 5"/>
    <n v="2.1019078868999999E-4"/>
    <n v="3629.7692340633598"/>
    <n v="8.6519783792635891"/>
    <n v="1.4197397070881399"/>
    <n v="1.8185661593299999E-3"/>
    <n v="2.9841620877000001E-4"/>
    <n v="0.76294405809951005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8185661593299999E-3"/>
    <n v="2.9841620877000001E-4"/>
    <n v="0.762944058098970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3.970865688883698"/>
    <n v="0.85061194317121003"/>
    <n v="6.1877049999999999E-4"/>
  </r>
  <r>
    <n v="840000"/>
    <n v="2400000"/>
    <n v="2400000"/>
    <x v="0"/>
    <x v="0"/>
    <s v="BR3-5, BR-7"/>
    <s v="62-304.520 (10), F.A.C."/>
    <n v="0.59"/>
    <n v="0.64"/>
    <s v="City of Cocoa Beach"/>
    <n v="9.4343091985819999E-2"/>
    <n v="3738.66490964901"/>
    <n v="10.176386056100799"/>
    <n v="1.7898962071248701"/>
    <n v="0.96007172577402"/>
    <n v="0.16886434251386001"/>
    <n v="352.71720747520402"/>
    <n v="1200"/>
    <s v="Residential, Medium Density-Two-five dwellingunits per acre"/>
    <n v="1200"/>
    <s v="City of Cocoa Beach           Brevard County"/>
    <s v="City of Cocoa Beach"/>
    <m/>
    <m/>
    <m/>
    <n v="0"/>
    <n v="1"/>
    <n v="0.96007172577402"/>
    <n v="0.16886434251386001"/>
    <n v="475.69295128180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5.439710417846101"/>
    <n v="381.79294771192099"/>
    <n v="0.38580125809999999"/>
  </r>
  <r>
    <n v="840000"/>
    <n v="2400000"/>
    <n v="2400000"/>
    <x v="0"/>
    <x v="0"/>
    <s v="BR3-5, BR-7"/>
    <s v="62-304.520 (10), F.A.C."/>
    <n v="0.59"/>
    <n v="0.64"/>
    <s v="City of Cocoa Beach"/>
    <n v="3.4532833248999999E-4"/>
    <n v="3738.66490964901"/>
    <n v="10.176386056100799"/>
    <n v="1.7898962071248701"/>
    <n v="3.5141944275800001E-3"/>
    <n v="6.1810187254000002E-4"/>
    <n v="1.2910669190104"/>
    <n v="1300"/>
    <s v="Residential, High Density"/>
    <n v="1300"/>
    <s v="City of Cocoa Beach           Brevard County"/>
    <s v="City of Cocoa Beach"/>
    <m/>
    <m/>
    <m/>
    <n v="0"/>
    <n v="1"/>
    <n v="3.5141944275800001E-3"/>
    <n v="6.1810187254000002E-4"/>
    <n v="642.4105035059169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8.7362803242154"/>
    <n v="1.39749418019899"/>
    <n v="0.52101419589999998"/>
  </r>
  <r>
    <n v="840000"/>
    <n v="2400000"/>
    <n v="2400000"/>
    <x v="0"/>
    <x v="0"/>
    <s v="BR3-5, BR-7"/>
    <s v="62-304.520 (10), F.A.C."/>
    <n v="0.59"/>
    <n v="0.64"/>
    <s v="City of Cocoa Beach"/>
    <n v="4.8678595960000002E-5"/>
    <n v="3738.66490964901"/>
    <n v="10.176386056100799"/>
    <n v="1.7898962071248701"/>
    <n v="4.9537218516999999E-4"/>
    <n v="8.7129634279999995E-5"/>
    <n v="0.18199295857410999"/>
    <n v="1210"/>
    <s v="Fixed Single Family Units"/>
    <n v="1210"/>
    <s v="City of Cocoa Beach           Brevard County"/>
    <s v="City of Cocoa Beach"/>
    <m/>
    <m/>
    <m/>
    <n v="0"/>
    <n v="1"/>
    <n v="4.9537218516999999E-4"/>
    <n v="8.7129634279999995E-5"/>
    <n v="0.181992958574529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.3107251662058101"/>
    <n v="0.19699528870269001"/>
    <n v="1.476018E-4"/>
  </r>
  <r>
    <n v="840000"/>
    <n v="2400000"/>
    <n v="2400000"/>
    <x v="0"/>
    <x v="0"/>
    <s v="BR3-5, BR-7"/>
    <s v="62-304.520 (10), F.A.C."/>
    <n v="0.59"/>
    <n v="0.64"/>
    <s v="City of Cocoa Beach"/>
    <n v="7.0995127312000004E-4"/>
    <n v="3738.66490964901"/>
    <n v="10.176386056100799"/>
    <n v="1.7898962071248701"/>
    <n v="7.2247382363E-3"/>
    <n v="1.270739091E-3"/>
    <n v="2.6542699123781199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7.2247382363E-3"/>
    <n v="1.270739091E-3"/>
    <n v="2.654269912377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9.716432347370102"/>
    <n v="2.8730708692206202"/>
    <n v="2.1526925000000001E-3"/>
  </r>
  <r>
    <n v="840000"/>
    <n v="2400000"/>
    <n v="2400000"/>
    <x v="0"/>
    <x v="0"/>
    <s v="BR3-5, BR-7"/>
    <s v="62-304.520 (10), F.A.C."/>
    <n v="0.59"/>
    <n v="0.64"/>
    <s v="City of Cocoa Beach"/>
    <n v="6.8880981577999995E-4"/>
    <n v="3738.66490964901"/>
    <n v="10.176386056100799"/>
    <n v="1.7898962071248701"/>
    <n v="7.00959460462E-3"/>
    <n v="1.2328980766899999E-3"/>
    <n v="2.57522908768596"/>
    <n v="1210"/>
    <s v="Fixed Single Family Units"/>
    <n v="1210"/>
    <s v="City of Cocoa Beach           Brevard County"/>
    <s v="City of Cocoa Beach"/>
    <m/>
    <m/>
    <m/>
    <n v="0"/>
    <n v="1"/>
    <n v="7.00959460462E-3"/>
    <n v="1.2328980766899999E-3"/>
    <n v="2.5752290876859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2.720569294498603"/>
    <n v="2.7875144268095302"/>
    <n v="2.0885881000000002E-3"/>
  </r>
  <r>
    <n v="840000"/>
    <n v="2400000"/>
    <n v="2400000"/>
    <x v="0"/>
    <x v="0"/>
    <s v="BR3-5, BR-7"/>
    <s v="62-304.520 (10), F.A.C."/>
    <n v="0.59"/>
    <n v="0.64"/>
    <s v="City of Cocoa Beach"/>
    <n v="2.0514869651000001E-4"/>
    <n v="3738.66490964901"/>
    <n v="10.176386056100799"/>
    <n v="1.7898962071248701"/>
    <n v="2.0876723346000001E-3"/>
    <n v="3.6719487378000001E-4"/>
    <n v="0.76698223290591006"/>
    <n v="1210"/>
    <s v="Fixed Single Family Units"/>
    <n v="1210"/>
    <s v="City of Cocoa Beach           Brevard County"/>
    <s v="City of Cocoa Beach"/>
    <m/>
    <m/>
    <m/>
    <n v="0"/>
    <n v="1"/>
    <n v="2.0876723346000001E-3"/>
    <n v="3.6719487378000001E-4"/>
    <n v="1.5517836744530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.9487392386526"/>
    <n v="0.83020732002425002"/>
    <n v="1.2585431E-3"/>
  </r>
  <r>
    <n v="840000"/>
    <n v="2400000"/>
    <n v="2400000"/>
    <x v="0"/>
    <x v="0"/>
    <s v="BR3-5, BR-7"/>
    <s v="62-304.520 (10), F.A.C."/>
    <n v="0.59"/>
    <n v="0.64"/>
    <s v="City of Cocoa Beach"/>
    <n v="1.0297659180300001E-3"/>
    <n v="3753.31698130307"/>
    <n v="9.9456634254991698"/>
    <n v="1.7438898703919601"/>
    <n v="1.024170522785E-2"/>
    <n v="1.79579835334E-3"/>
    <n v="3.86503790693917"/>
    <n v="1300"/>
    <s v="Residential, High Density"/>
    <n v="1300"/>
    <s v="City of Cocoa Beach           Brevard County"/>
    <s v="City of Cocoa Beach"/>
    <m/>
    <m/>
    <m/>
    <n v="0"/>
    <n v="1"/>
    <n v="1.024170522785E-2"/>
    <n v="1.79579835334E-3"/>
    <n v="3.8650379069406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7.529106972479703"/>
    <n v="4.1673148189823097"/>
    <n v="3.1346617000000002E-3"/>
  </r>
  <r>
    <n v="840000"/>
    <n v="2400000"/>
    <n v="2400000"/>
    <x v="0"/>
    <x v="0"/>
    <s v="BR3-5, BR-7"/>
    <s v="62-304.520 (10), F.A.C."/>
    <n v="0.59"/>
    <n v="0.64"/>
    <s v="City of Cocoa Beach"/>
    <n v="0.11620399070092"/>
    <n v="3753.31698130307"/>
    <n v="9.9456634254991698"/>
    <n v="1.7438898703919601"/>
    <n v="1.15572578021124"/>
    <n v="0.20264696228246001"/>
    <n v="436.15041159296999"/>
    <n v="1210"/>
    <s v="Fixed Single Family Units"/>
    <n v="1210"/>
    <s v="City of Cocoa Beach           Brevard County"/>
    <s v="City of Cocoa Beach"/>
    <m/>
    <m/>
    <m/>
    <n v="0"/>
    <n v="1"/>
    <n v="1.15572578021124"/>
    <n v="0.20264696228246001"/>
    <n v="664.50527082634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1.418070045223899"/>
    <n v="470.260866076551"/>
    <n v="0.5389337152"/>
  </r>
  <r>
    <n v="840000"/>
    <n v="2400000"/>
    <n v="2400000"/>
    <x v="0"/>
    <x v="0"/>
    <s v="BR3-5, BR-7"/>
    <s v="62-304.520 (10), F.A.C."/>
    <n v="0.59"/>
    <n v="0.64"/>
    <s v="City of Cocoa Beach"/>
    <n v="6.688215335363E-2"/>
    <n v="3753.31698130307"/>
    <n v="9.9456634254991698"/>
    <n v="1.7438898703919601"/>
    <n v="0.66518738642784003"/>
    <n v="0.1166351097434"/>
    <n v="251.0299219283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66518738642784003"/>
    <n v="0.1166351097434"/>
    <n v="386.645607502892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6.812566233359107"/>
    <n v="270.66247184308497"/>
    <n v="0.31358119020000003"/>
  </r>
  <r>
    <n v="840000"/>
    <n v="2400000"/>
    <n v="2400000"/>
    <x v="0"/>
    <x v="0"/>
    <s v="BR3-5, BR-7"/>
    <s v="62-304.520 (10), F.A.C."/>
    <n v="0.59"/>
    <n v="0.64"/>
    <s v="City of Cocoa Beach"/>
    <n v="1.043730682878E-2"/>
    <n v="3618.6125122257199"/>
    <n v="8.9028021953563101"/>
    <n v="1.5077956406829101"/>
    <n v="9.2921278148869996E-2"/>
    <n v="1.5737325736899999E-2"/>
    <n v="37.768569084562202"/>
    <n v="1200"/>
    <s v="Residential, Medium Density-Two-five dwellingunits per acre"/>
    <n v="1200"/>
    <s v="City of Cocoa Beach           Brevard County"/>
    <s v="City of Cocoa Beach"/>
    <m/>
    <m/>
    <m/>
    <n v="0"/>
    <n v="1"/>
    <n v="9.2921278148869996E-2"/>
    <n v="1.5737325736899999E-2"/>
    <n v="66.389104141944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7.859151547027999"/>
    <n v="42.238282172609601"/>
    <n v="5.3843555699999997E-2"/>
  </r>
  <r>
    <n v="840000"/>
    <n v="2400000"/>
    <n v="2400000"/>
    <x v="0"/>
    <x v="0"/>
    <s v="BR3-5, BR-7"/>
    <s v="62-304.520 (10), F.A.C."/>
    <n v="0.59"/>
    <n v="0.64"/>
    <s v="City of Cocoa Beach"/>
    <n v="7.9092566472300004E-3"/>
    <n v="3618.6125122257199"/>
    <n v="8.9028021953563101"/>
    <n v="1.5077956406829101"/>
    <n v="7.041454744266E-2"/>
    <n v="1.192554269374E-2"/>
    <n v="28.620535066099801"/>
    <n v="1200"/>
    <s v="Residential, Medium Density-Two-five dwellingunits per acre"/>
    <n v="1200"/>
    <s v="City of Cocoa Beach           Brevard County"/>
    <s v="City of Cocoa Beach"/>
    <m/>
    <m/>
    <m/>
    <n v="0"/>
    <n v="1"/>
    <n v="7.041454744266E-2"/>
    <n v="1.192554269374E-2"/>
    <n v="66.389104141944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5.698951257424898"/>
    <n v="32.007626059283801"/>
    <n v="5.3843555699999997E-2"/>
  </r>
  <r>
    <n v="840000"/>
    <n v="2400000"/>
    <n v="2400000"/>
    <x v="0"/>
    <x v="0"/>
    <s v="BR3-5, BR-7"/>
    <s v="62-304.520 (10), F.A.C."/>
    <n v="0.59"/>
    <n v="0.64"/>
    <s v="City of Cocoa Beach"/>
    <n v="3.4409676926640001E-2"/>
    <n v="3618.6125122257199"/>
    <n v="8.9028021953563101"/>
    <n v="1.5077956406829101"/>
    <n v="0.30634254728407001"/>
    <n v="5.1882760867300003E-2"/>
    <n v="124.51528746841601"/>
    <n v="1300"/>
    <s v="Residential, High Density"/>
    <n v="1300"/>
    <s v="City of Cocoa Beach           Brevard County"/>
    <s v="City of Cocoa Beach"/>
    <m/>
    <m/>
    <m/>
    <n v="0"/>
    <n v="1"/>
    <n v="0.30634254728407001"/>
    <n v="5.1882760867300003E-2"/>
    <n v="783.78818837516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5.617364922478899"/>
    <n v="139.25102206331701"/>
    <n v="0.6356757408"/>
  </r>
  <r>
    <n v="840000"/>
    <n v="2400000"/>
    <n v="2400000"/>
    <x v="0"/>
    <x v="0"/>
    <s v="BR3-5, BR-7"/>
    <s v="62-304.520 (10), F.A.C."/>
    <n v="0.59"/>
    <n v="0.64"/>
    <s v="City of Cocoa Beach"/>
    <n v="0.18218941620019"/>
    <n v="3618.6125122257199"/>
    <n v="8.9028021953563101"/>
    <n v="1.5077956406829101"/>
    <n v="1.6219963345177999"/>
    <n v="0.27470440752522002"/>
    <n v="659.272901057132"/>
    <n v="1300"/>
    <s v="Residential, High Density"/>
    <n v="1300"/>
    <s v="City of Cocoa Beach           Brevard County"/>
    <s v="City of Cocoa Beach"/>
    <m/>
    <m/>
    <m/>
    <n v="0"/>
    <n v="1"/>
    <n v="1.6219963345177999"/>
    <n v="0.27470440752522002"/>
    <n v="783.7881883751699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27.75809358727199"/>
    <n v="737.29440904307296"/>
    <n v="0.6356757408"/>
  </r>
  <r>
    <n v="840000"/>
    <n v="2400000"/>
    <n v="2400000"/>
    <x v="0"/>
    <x v="0"/>
    <s v="BR3-5, BR-7"/>
    <s v="62-304.520 (10), F.A.C."/>
    <n v="0.59"/>
    <n v="0.64"/>
    <s v="FDOT District 5"/>
    <n v="1.6411070137E-4"/>
    <n v="3618.6125122257199"/>
    <n v="8.9028021953563101"/>
    <n v="1.5077956406829101"/>
    <n v="1.4610451124600001E-3"/>
    <n v="2.4744540012000001E-4"/>
    <n v="0.59385303737846995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4610451124600001E-3"/>
    <n v="2.4744540012000001E-4"/>
    <n v="4.9515531870417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.236668245519301"/>
    <n v="0.66413244583414999"/>
    <n v="4.0158581999999998E-3"/>
  </r>
  <r>
    <n v="840000"/>
    <n v="2400000"/>
    <n v="2400000"/>
    <x v="0"/>
    <x v="0"/>
    <s v="BR3-5, BR-7"/>
    <s v="62-304.520 (10), F.A.C."/>
    <n v="0.59"/>
    <n v="0.64"/>
    <s v="FDOT District 5"/>
    <n v="1.20424609835E-3"/>
    <n v="3618.6125122257199"/>
    <n v="8.9028021953563101"/>
    <n v="1.5077956406829101"/>
    <n v="1.072116480822E-2"/>
    <n v="1.81575701741E-3"/>
    <n v="4.3576999993208796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1.072116480822E-2"/>
    <n v="1.81575701741E-3"/>
    <n v="4.9515531870417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0.246662469555702"/>
    <n v="4.8734110572951996"/>
    <n v="4.0158581999999998E-3"/>
  </r>
  <r>
    <n v="840000"/>
    <n v="2400000"/>
    <n v="2400000"/>
    <x v="0"/>
    <x v="0"/>
    <s v="BR3-5, BR-7"/>
    <s v="62-304.520 (10), F.A.C."/>
    <n v="0.59"/>
    <n v="0.64"/>
    <s v="Natural Lands"/>
    <n v="9.4271478051120003E-2"/>
    <n v="3618.6125122257199"/>
    <n v="8.9028021953563101"/>
    <n v="1.5077956406829101"/>
    <n v="0.83928032175302003"/>
    <n v="0.14214212364621001"/>
    <n v="341.13195002180601"/>
    <n v="4340"/>
    <s v="Hardwood Conifer Mixed"/>
    <n v="4340"/>
    <s v="City of Cocoa Beach           Brevard County"/>
    <s v="City of Cocoa Beach"/>
    <m/>
    <m/>
    <s v="Natural Lands"/>
    <n v="0"/>
    <n v="1"/>
    <n v="0.83928032175302003"/>
    <n v="0.14214212364621001"/>
    <n v="341.13195002180498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2.777510039456"/>
    <n v="381.50313640032698"/>
    <n v="0.27666824820000002"/>
  </r>
  <r>
    <n v="840000"/>
    <n v="2400000"/>
    <n v="2400000"/>
    <x v="0"/>
    <x v="0"/>
    <s v="BR3-5, BR-7"/>
    <s v="62-304.520 (10), F.A.C."/>
    <n v="0.59"/>
    <n v="0.64"/>
    <s v="City of Cocoa Beach"/>
    <n v="2.56124627369E-3"/>
    <n v="3618.6125122257199"/>
    <n v="8.9028021953563101"/>
    <n v="1.5077956406829101"/>
    <n v="2.2802268948329998E-2"/>
    <n v="3.8618359661900001E-3"/>
    <n v="9.2681578128986999"/>
    <n v="1200"/>
    <s v="Residential, Medium Density-Two-five dwellingunits per acre"/>
    <n v="1200"/>
    <s v="City of Cocoa Beach           Brevard County"/>
    <s v="City of Cocoa Beach"/>
    <m/>
    <m/>
    <m/>
    <n v="0"/>
    <n v="1"/>
    <n v="2.2802268948329998E-2"/>
    <n v="3.8618359661900001E-3"/>
    <n v="9.2681578128979094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9.8597661273513"/>
    <n v="10.3649959320659"/>
    <n v="7.5167541000000001E-3"/>
  </r>
  <r>
    <n v="840000"/>
    <n v="2400000"/>
    <n v="2400000"/>
    <x v="0"/>
    <x v="0"/>
    <s v="BR3-5, BR-7"/>
    <s v="62-304.520 (10), F.A.C."/>
    <n v="0.59"/>
    <n v="0.64"/>
    <s v="City of Cocoa Beach"/>
    <n v="8.0070380774279998E-2"/>
    <n v="3618.6125122257199"/>
    <n v="8.9028021953563101"/>
    <n v="1.5077956406829101"/>
    <n v="0.71285076174031003"/>
    <n v="0.12072977107928"/>
    <n v="289.74368172850097"/>
    <n v="1210"/>
    <s v="Fixed Single Family Units"/>
    <n v="1210"/>
    <s v="City of Cocoa Beach           Brevard County"/>
    <s v="City of Cocoa Beach"/>
    <m/>
    <m/>
    <m/>
    <n v="0"/>
    <n v="1"/>
    <n v="0.71285076174031003"/>
    <n v="0.12072977107928"/>
    <n v="289.74368172850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73.183564758257901"/>
    <n v="324.033334680422"/>
    <n v="0.2349908205"/>
  </r>
  <r>
    <n v="840000"/>
    <n v="2400000"/>
    <n v="2400000"/>
    <x v="0"/>
    <x v="0"/>
    <s v="BR3-5, BR-7"/>
    <s v="62-304.520 (10), F.A.C."/>
    <n v="0.59"/>
    <n v="0.64"/>
    <s v="City of Cocoa Beach"/>
    <n v="6.8704302676499997E-3"/>
    <n v="3618.6125122257199"/>
    <n v="8.9028021953563101"/>
    <n v="1.5077956406829101"/>
    <n v="6.1166081669919999E-2"/>
    <n v="1.035920480718E-2"/>
    <n v="24.861424930910701"/>
    <n v="1210"/>
    <s v="Fixed Single Family Units"/>
    <n v="1210"/>
    <s v="City of Cocoa Beach           Brevard County"/>
    <s v="City of Cocoa Beach"/>
    <m/>
    <m/>
    <m/>
    <n v="0"/>
    <n v="1"/>
    <n v="6.1166081669919999E-2"/>
    <n v="1.035920480718E-2"/>
    <n v="24.8614249309093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5.258683241355698"/>
    <n v="27.8036448533095"/>
    <n v="2.01633617E-2"/>
  </r>
  <r>
    <n v="840000"/>
    <n v="2400000"/>
    <n v="2400000"/>
    <x v="0"/>
    <x v="0"/>
    <s v="BR3-5, BR-7"/>
    <s v="62-304.520 (10), F.A.C."/>
    <n v="0.59"/>
    <n v="0.64"/>
    <s v="FDOT District 5"/>
    <n v="1.505721411E-5"/>
    <n v="3618.6125122257199"/>
    <n v="8.9028021953563101"/>
    <n v="1.5077956406829101"/>
    <n v="1.3405139883E-4"/>
    <n v="2.2703201789999999E-5"/>
    <n v="5.4486223377699997E-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1.3405139883E-4"/>
    <n v="2.2703201789999999E-5"/>
    <n v="5.448622337747E-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4.1046844949349701"/>
    <n v="6.0934383624240002E-2"/>
    <n v="4.4190000000000002E-5"/>
  </r>
  <r>
    <n v="840000"/>
    <n v="2400000"/>
    <n v="2400000"/>
    <x v="0"/>
    <x v="0"/>
    <s v="BR3-5, BR-7"/>
    <s v="62-304.520 (10), F.A.C."/>
    <n v="0.59"/>
    <n v="0.64"/>
    <s v="City of Cocoa Beach"/>
    <n v="5.3905353843939997E-2"/>
    <n v="3618.6125122257199"/>
    <n v="8.9028021953563101"/>
    <n v="1.5077956406829101"/>
    <n v="0.47990870254328"/>
    <n v="8.1278257535359999E-2"/>
    <n v="195.062587895636"/>
    <n v="1210"/>
    <s v="Fixed Single Family Units"/>
    <n v="1210"/>
    <s v="City of Cocoa Beach           Brevard County"/>
    <s v="City of Cocoa Beach"/>
    <m/>
    <m/>
    <m/>
    <n v="0"/>
    <n v="1"/>
    <n v="0.47990870254328"/>
    <n v="8.1278257535359999E-2"/>
    <n v="195.06258789563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9.166284330353001"/>
    <n v="218.14722740509399"/>
    <n v="0.15820161220000001"/>
  </r>
  <r>
    <n v="840000"/>
    <n v="2400000"/>
    <n v="2400000"/>
    <x v="0"/>
    <x v="0"/>
    <s v="BR3-5, BR-7"/>
    <s v="62-304.520 (10), F.A.C."/>
    <n v="0.59"/>
    <n v="0.64"/>
    <s v="FDOT District 5"/>
    <n v="7.8586911129999992E-6"/>
    <n v="3618.6125122257199"/>
    <n v="8.9028021953563101"/>
    <n v="1.5077956406829101"/>
    <n v="6.9964372489999995E-5"/>
    <n v="1.18493002E-5"/>
    <n v="2.8437557991210002E-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6.9964372489999995E-5"/>
    <n v="1.18493002E-5"/>
    <n v="2.8437557989600001E-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5.7366395072694898"/>
    <n v="3.1802994600489999E-2"/>
    <n v="2.3063700000000001E-5"/>
  </r>
  <r>
    <n v="840000"/>
    <n v="2400000"/>
    <n v="2400000"/>
    <x v="0"/>
    <x v="0"/>
    <s v="BR3-5, BR-7"/>
    <s v="62-304.520 (10), F.A.C."/>
    <n v="0.59"/>
    <n v="0.64"/>
    <s v="City of Cocoa Beach"/>
    <n v="0.19598380778209001"/>
    <n v="3761.35678253276"/>
    <n v="8.7597005472687606"/>
    <n v="1.41947732791967"/>
    <n v="1.7167594682846401"/>
    <n v="0.27819457178605"/>
    <n v="737.16502466778502"/>
    <n v="1390"/>
    <s v="High Density Under Construction"/>
    <n v="1390"/>
    <s v="City of Cocoa Beach           Brevard County"/>
    <s v="City of Cocoa Beach"/>
    <m/>
    <m/>
    <m/>
    <n v="0"/>
    <n v="1"/>
    <n v="1.7167594682846401"/>
    <n v="0.27819457178605"/>
    <n v="737.165024667785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20.799167843943"/>
    <n v="793.11833120938195"/>
    <n v="0.59786295590000005"/>
  </r>
  <r>
    <n v="840000"/>
    <n v="2400000"/>
    <n v="2400000"/>
    <x v="0"/>
    <x v="0"/>
    <s v="BR3-5, BR-7"/>
    <s v="62-304.520 (10), F.A.C."/>
    <n v="0.59"/>
    <n v="0.64"/>
    <s v="City of Cocoa Beach"/>
    <n v="7.2890600396829999E-2"/>
    <n v="3761.35678253276"/>
    <n v="8.7597005472687606"/>
    <n v="1.41947732791967"/>
    <n v="0.63849983218688999"/>
    <n v="0.10346655468175001"/>
    <n v="274.16755418551702"/>
    <n v="1300"/>
    <s v="Residential, High Density"/>
    <n v="1300"/>
    <s v="City of Cocoa Beach           Brevard County"/>
    <s v="City of Cocoa Beach"/>
    <m/>
    <m/>
    <m/>
    <n v="0"/>
    <n v="1"/>
    <n v="0.63849983218688999"/>
    <n v="0.10346655468175001"/>
    <n v="546.26207006210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1.54653867627501"/>
    <n v="294.977794348521"/>
    <n v="0.44303493109999997"/>
  </r>
  <r>
    <n v="840000"/>
    <n v="2400000"/>
    <n v="2400000"/>
    <x v="0"/>
    <x v="0"/>
    <s v="BR3-5, BR-7"/>
    <s v="62-304.520 (10), F.A.C."/>
    <n v="0.59"/>
    <n v="0.64"/>
    <s v="City of Cocoa Beach"/>
    <n v="7.233945929834E-2"/>
    <n v="3761.35678253276"/>
    <n v="8.7597005472687606"/>
    <n v="1.41947732791967"/>
    <n v="0.63367200120485001"/>
    <n v="0.10268422238797"/>
    <n v="272.09451587658998"/>
    <n v="1300"/>
    <s v="Residential, High Density"/>
    <n v="1300"/>
    <s v="City of Cocoa Beach           Brevard County"/>
    <s v="City of Cocoa Beach"/>
    <m/>
    <m/>
    <m/>
    <n v="0"/>
    <n v="1"/>
    <n v="0.63367200120485001"/>
    <n v="0.10268422238797"/>
    <n v="546.262070062107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5.045545247601"/>
    <n v="292.74740545445701"/>
    <n v="0.44303493109999997"/>
  </r>
  <r>
    <n v="840000"/>
    <n v="2400000"/>
    <n v="2400000"/>
    <x v="0"/>
    <x v="0"/>
    <s v="BR3-5, BR-7"/>
    <s v="62-304.520 (10), F.A.C."/>
    <n v="0.59"/>
    <n v="0.64"/>
    <s v="City of Cocoa Beach"/>
    <n v="0.14445554223575999"/>
    <n v="3761.35678253276"/>
    <n v="8.7597005472687606"/>
    <n v="1.41947732791967"/>
    <n v="1.26538729237864"/>
    <n v="0.20505136709600999"/>
    <n v="543.34883356294699"/>
    <n v="1210"/>
    <s v="Fixed Single Family Units"/>
    <n v="1210"/>
    <s v="City of Cocoa Beach           Brevard County"/>
    <s v="City of Cocoa Beach"/>
    <m/>
    <m/>
    <m/>
    <n v="0"/>
    <n v="1"/>
    <n v="1.26538729237864"/>
    <n v="0.20505136709600999"/>
    <n v="543.348833562946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4.333542483633"/>
    <n v="584.59083884808501"/>
    <n v="0.44067220889999997"/>
  </r>
  <r>
    <n v="840000"/>
    <n v="2400000"/>
    <n v="2400000"/>
    <x v="0"/>
    <x v="0"/>
    <s v="BR3-5, BR-7"/>
    <s v="62-304.520 (10), F.A.C."/>
    <n v="0.59"/>
    <n v="0.64"/>
    <s v="City of Cocoa Beach"/>
    <n v="2.5777943088390001E-2"/>
    <n v="3761.35678253276"/>
    <n v="8.7597005472687606"/>
    <n v="1.41947732791967"/>
    <n v="0.22580706217883001"/>
    <n v="3.659120577437E-2"/>
    <n v="96.960041075259397"/>
    <n v="1210"/>
    <s v="Fixed Single Family Units"/>
    <n v="1210"/>
    <s v="City of Cocoa Beach           Brevard County"/>
    <s v="City of Cocoa Beach"/>
    <m/>
    <m/>
    <m/>
    <n v="0"/>
    <n v="1"/>
    <n v="0.22580706217883001"/>
    <n v="3.659120577437E-2"/>
    <n v="96.9600410752579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67.512398551240295"/>
    <n v="104.319634543511"/>
    <n v="7.8637502900000003E-2"/>
  </r>
  <r>
    <n v="840000"/>
    <n v="2400000"/>
    <n v="2400000"/>
    <x v="0"/>
    <x v="0"/>
    <s v="BR3-5, BR-7"/>
    <s v="62-304.520 (10), F.A.C."/>
    <n v="0.59"/>
    <n v="0.64"/>
    <s v="City of Cocoa Beach"/>
    <n v="0.10334947220644"/>
    <n v="3761.35678253276"/>
    <n v="8.7597005472687606"/>
    <n v="1.41947732791967"/>
    <n v="0.90531042824675001"/>
    <n v="0.14670223264950999"/>
    <n v="388.73423825490102"/>
    <n v="1210"/>
    <s v="Fixed Single Family Units"/>
    <n v="1210"/>
    <s v="City of Cocoa Beach           Brevard County"/>
    <s v="City of Cocoa Beach"/>
    <m/>
    <m/>
    <m/>
    <n v="0"/>
    <n v="1"/>
    <n v="0.90531042824675001"/>
    <n v="0.14670223264950999"/>
    <n v="388.734238254901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3.972997361425001"/>
    <n v="418.240475350309"/>
    <n v="0.31527513239999999"/>
  </r>
  <r>
    <n v="840000"/>
    <n v="2400000"/>
    <n v="2400000"/>
    <x v="0"/>
    <x v="0"/>
    <s v="BR3-5, BR-7"/>
    <s v="62-304.520 (10), F.A.C."/>
    <n v="0.59"/>
    <n v="0.64"/>
    <s v="City of Cocoa Beach"/>
    <n v="4.6997659216E-4"/>
    <n v="3761.35678253276"/>
    <n v="8.7597005472687606"/>
    <n v="1.41947732791967"/>
    <n v="4.1168542116000002E-3"/>
    <n v="6.6712111723000002E-4"/>
    <n v="1.7677496425752199"/>
    <n v="1210"/>
    <s v="Fixed Single Family Units"/>
    <n v="1210"/>
    <s v="City of Cocoa Beach           Brevard County"/>
    <s v="City of Cocoa Beach"/>
    <m/>
    <m/>
    <m/>
    <n v="0"/>
    <n v="1"/>
    <n v="4.1168542116000002E-3"/>
    <n v="6.6712111723000002E-4"/>
    <n v="1.7677496425739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5.353461810011101"/>
    <n v="1.9019277903832199"/>
    <n v="1.433698E-3"/>
  </r>
  <r>
    <n v="840000"/>
    <n v="2400000"/>
    <n v="2400000"/>
    <x v="0"/>
    <x v="0"/>
    <s v="BR3-5, BR-7"/>
    <s v="62-304.520 (10), F.A.C."/>
    <n v="0.59"/>
    <n v="0.64"/>
    <s v="City of Cocoa Beach"/>
    <n v="2.4966520218400001E-3"/>
    <n v="3761.35678253276"/>
    <n v="8.7597005472687606"/>
    <n v="1.41947732791967"/>
    <n v="2.186992408206E-2"/>
    <n v="3.5439409406999999E-3"/>
    <n v="9.390799015975790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186992408206E-2"/>
    <n v="3.5439409406999999E-3"/>
    <n v="9.39079901597533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8.952434380327297"/>
    <n v="10.1035922690847"/>
    <n v="7.6162197999999999E-3"/>
  </r>
  <r>
    <n v="840000"/>
    <n v="2400000"/>
    <n v="2400000"/>
    <x v="0"/>
    <x v="0"/>
    <s v="BR3-5, BR-7"/>
    <s v="62-304.520 (10), F.A.C."/>
    <n v="0.59"/>
    <n v="0.64"/>
    <s v="City of Cocoa Beach"/>
    <n v="0.13627153488883001"/>
    <n v="3770.6719591851202"/>
    <n v="11.2297498236424"/>
    <n v="1.79496199580031"/>
    <n v="1.53029524488532"/>
    <n v="0.24460222623482"/>
    <n v="513.83525544042902"/>
    <n v="1300"/>
    <s v="Residential, High Density"/>
    <n v="1300"/>
    <s v="City of Cocoa Beach           Brevard County"/>
    <s v="City of Cocoa Beach"/>
    <m/>
    <m/>
    <m/>
    <n v="0"/>
    <n v="1"/>
    <n v="1.53029524488532"/>
    <n v="0.24460222623482"/>
    <n v="579.70453268285496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13.41121900455801"/>
    <n v="551.47133615516805"/>
    <n v="0.47015777180000001"/>
  </r>
  <r>
    <n v="840000"/>
    <n v="2400000"/>
    <n v="2400000"/>
    <x v="0"/>
    <x v="0"/>
    <s v="BR3-5, BR-7"/>
    <s v="62-304.520 (10), F.A.C."/>
    <n v="0.59"/>
    <n v="0.64"/>
    <s v="City of Cocoa Beach"/>
    <n v="3.5620328449220001E-2"/>
    <n v="3770.6719591851202"/>
    <n v="11.2297498236424"/>
    <n v="1.79496199580031"/>
    <n v="0.40000737712079998"/>
    <n v="6.3937135844279999E-2"/>
    <n v="134.31257366046799"/>
    <n v="1400"/>
    <s v="Commercial and Services"/>
    <n v="1400"/>
    <s v="City of Cocoa Beach           Brevard County"/>
    <s v="City of Cocoa Beach"/>
    <m/>
    <m/>
    <m/>
    <n v="0"/>
    <n v="1"/>
    <n v="0.40000737712079998"/>
    <n v="6.3937135844279999E-2"/>
    <n v="253.930732543910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94.647342135286095"/>
    <n v="144.150354952756"/>
    <n v="0.20594544410000001"/>
  </r>
  <r>
    <n v="840000"/>
    <n v="2400000"/>
    <n v="2400000"/>
    <x v="0"/>
    <x v="0"/>
    <s v="BR3-5, BR-7"/>
    <s v="62-304.520 (10), F.A.C."/>
    <n v="0.59"/>
    <n v="0.64"/>
    <s v="FDOT District 5"/>
    <n v="9.3914628676699998E-3"/>
    <n v="3770.6719591851202"/>
    <n v="11.2297498236424"/>
    <n v="1.79496199580031"/>
    <n v="0.10546377848195999"/>
    <n v="1.6857318932430001E-2"/>
    <n v="35.41212569085160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0546377848195999"/>
    <n v="1.6857318932430001E-2"/>
    <n v="325.49442020341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89.739139240879396"/>
    <n v="38.005901821759799"/>
    <n v="0.26398574229999999"/>
  </r>
  <r>
    <n v="840000"/>
    <n v="2500000"/>
    <n v="2500000"/>
    <x v="0"/>
    <x v="0"/>
    <s v="BR3-5, BR-7"/>
    <s v="62-304.520 (10), F.A.C."/>
    <n v="0.59"/>
    <n v="0.64"/>
    <s v="City of Cocoa Beach"/>
    <n v="0.30716249918998001"/>
    <n v="3782.56191348942"/>
    <n v="9.5830836593905993"/>
    <n v="1.6952882494625601"/>
    <n v="2.9435639267651599"/>
    <n v="0.52072897555233999"/>
    <n v="1161.86117068827"/>
    <n v="1390"/>
    <s v="High Density Under Construction"/>
    <n v="1390"/>
    <s v="City of Cocoa Beach           Brevard County"/>
    <s v="City of Cocoa Beach"/>
    <m/>
    <m/>
    <m/>
    <n v="0"/>
    <n v="1"/>
    <n v="2.9435639267651599"/>
    <n v="0.52072897555233999"/>
    <n v="1191.0985619220801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48.904095630222"/>
    <n v="1243.04253256744"/>
    <n v="0.96601667629999999"/>
  </r>
  <r>
    <n v="840000"/>
    <n v="2500000"/>
    <n v="2500000"/>
    <x v="0"/>
    <x v="0"/>
    <s v="BR3-5, BR-7"/>
    <s v="62-304.520 (10), F.A.C."/>
    <n v="0.59"/>
    <n v="0.64"/>
    <s v="FDOT District 5"/>
    <n v="3.5031942640489998E-2"/>
    <n v="3782.56191348942"/>
    <n v="9.5830836593905993"/>
    <n v="1.6952882494625601"/>
    <n v="0.33571403707483"/>
    <n v="5.938924071427E-2"/>
    <n v="132.510491987482"/>
    <n v="1390"/>
    <s v="High Density Under Construction"/>
    <n v="1390"/>
    <s v="FDOT District 5                                 City of Cocoa Beach           Brevard County"/>
    <s v="FDOT District 5"/>
    <m/>
    <m/>
    <m/>
    <n v="0"/>
    <n v="1"/>
    <n v="0.33571403707483"/>
    <n v="5.938924071427E-2"/>
    <n v="139.59794414314399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1.874199959118"/>
    <n v="141.769242063836"/>
    <n v="0.1132181218"/>
  </r>
  <r>
    <n v="840000"/>
    <n v="2500000"/>
    <n v="2500000"/>
    <x v="0"/>
    <x v="0"/>
    <s v="BR3-5, BR-7"/>
    <s v="62-304.520 (10), F.A.C."/>
    <n v="0.59"/>
    <n v="0.64"/>
    <s v="FDOT District 5"/>
    <n v="7.625048420161E-2"/>
    <n v="3782.56191348942"/>
    <n v="9.5830836593905993"/>
    <n v="1.6952882494625601"/>
    <n v="0.73071476917311995"/>
    <n v="0.12926654988283001"/>
    <n v="288.42217742615901"/>
    <n v="1300"/>
    <s v="Residential, High Density"/>
    <n v="1300"/>
    <s v="FDOT District 5                                 City of Cocoa Beach           Brevard County"/>
    <s v="FDOT District 5"/>
    <m/>
    <m/>
    <m/>
    <n v="0"/>
    <n v="1"/>
    <n v="0.73071476917311995"/>
    <n v="0.12926654988283001"/>
    <n v="735.94598253935305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106.376224928959"/>
    <n v="308.57476170242097"/>
    <n v="0.5968742762"/>
  </r>
  <r>
    <n v="840000"/>
    <n v="2500000"/>
    <n v="2500000"/>
    <x v="0"/>
    <x v="0"/>
    <s v="BR3-5, BR-7"/>
    <s v="62-304.520 (10), F.A.C."/>
    <n v="0.59"/>
    <n v="0.64"/>
    <s v="City of Cocoa Beach"/>
    <n v="2.4340030775299999E-3"/>
    <n v="3759.5042782194901"/>
    <n v="7.9930859852977703"/>
    <n v="1.17370814340202"/>
    <n v="1.9455195887229999E-2"/>
    <n v="2.8568092331699999E-3"/>
    <n v="9.1506449831997703"/>
    <n v="1390"/>
    <s v="High Density Under Construction"/>
    <n v="1390"/>
    <s v="City of Cocoa Beach           Brevard County"/>
    <s v="City of Cocoa Beach"/>
    <m/>
    <m/>
    <m/>
    <n v="0"/>
    <n v="1"/>
    <n v="1.9455195887229999E-2"/>
    <n v="2.8568092331699999E-3"/>
    <n v="941.223251892614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7.360955277757899"/>
    <n v="9.8500609864713304"/>
    <n v="0.76336030160000001"/>
  </r>
  <r>
    <n v="840000"/>
    <n v="2500000"/>
    <n v="2500000"/>
    <x v="0"/>
    <x v="0"/>
    <s v="BR3-5, BR-7"/>
    <s v="62-304.520 (10), F.A.C."/>
    <n v="0.59"/>
    <n v="0.64"/>
    <s v="City of Cocoa Beach"/>
    <n v="2.5820842574100001E-3"/>
    <n v="3759.5042782194901"/>
    <n v="7.9930859852977703"/>
    <n v="1.17370814340202"/>
    <n v="2.0638821490790001E-2"/>
    <n v="3.03061331987E-3"/>
    <n v="9.70735681247114"/>
    <n v="1210"/>
    <s v="Fixed Single Family Units"/>
    <n v="1210"/>
    <s v="City of Cocoa Beach           Brevard County"/>
    <s v="City of Cocoa Beach"/>
    <m/>
    <m/>
    <m/>
    <n v="0"/>
    <n v="1"/>
    <n v="2.0638821490790001E-2"/>
    <n v="3.03061331987E-3"/>
    <n v="365.30709740207402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20.518187462894701"/>
    <n v="10.449324260294899"/>
    <n v="0.29627501820000002"/>
  </r>
  <r>
    <n v="840000"/>
    <n v="2500000"/>
    <n v="2500000"/>
    <x v="0"/>
    <x v="0"/>
    <s v="BR3-5, BR-7"/>
    <s v="62-304.520 (10), F.A.C."/>
    <n v="0.59"/>
    <n v="0.64"/>
    <s v="City of Cocoa Beach"/>
    <n v="5.2285549870200003E-3"/>
    <n v="3759.5042782194901"/>
    <n v="7.9930859852977703"/>
    <n v="1.17370814340202"/>
    <n v="4.1792289590109999E-2"/>
    <n v="6.1367975664900001E-3"/>
    <n v="19.656774842611298"/>
    <n v="1210"/>
    <s v="Fixed Single Family Units"/>
    <n v="1210"/>
    <s v="City of Cocoa Beach           Brevard County"/>
    <s v="City of Cocoa Beach"/>
    <m/>
    <m/>
    <m/>
    <n v="0"/>
    <n v="1"/>
    <n v="4.1792289590109999E-2"/>
    <n v="6.1367975664900001E-3"/>
    <n v="47.637136485802003"/>
    <m/>
    <n v="-1"/>
    <n v="-1"/>
    <n v="-1"/>
    <n v="-1"/>
    <n v="0"/>
    <m/>
    <m/>
    <s v="Banana River B"/>
    <n v="-1"/>
    <m/>
    <m/>
    <n v="358"/>
    <x v="22"/>
    <s v="2nd Street South PCD"/>
    <x v="0"/>
    <n v="86.412649999999999"/>
    <n v="39.724939701967202"/>
    <n v="21.1592113290979"/>
    <n v="3.8635147199999997E-2"/>
  </r>
  <r>
    <n v="830000"/>
    <n v="1400000"/>
    <n v="1400000"/>
    <x v="0"/>
    <x v="0"/>
    <s v="BR3-5, BR-7"/>
    <s v="62-304.520 (10), F.A.C."/>
    <n v="0.59"/>
    <n v="0.64"/>
    <s v="City of Cocoa Beach"/>
    <n v="1.0023882916630001E-2"/>
    <n v="3720.51563159427"/>
    <n v="10.089659234571201"/>
    <n v="1.49967869675028"/>
    <n v="0.10113756283612001"/>
    <n v="1.50326036688E-2"/>
    <n v="37.2940130806262"/>
    <n v="1720"/>
    <s v="Religious"/>
    <n v="1720"/>
    <s v="City of Cocoa Beach           Brevard County"/>
    <s v="City of Cocoa Beach"/>
    <m/>
    <m/>
    <m/>
    <n v="0"/>
    <n v="1"/>
    <n v="0.10113756283612001"/>
    <n v="1.50326036688E-2"/>
    <n v="37.29401308062659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34.453036359645402"/>
    <n v="40.565214958586701"/>
    <n v="3.02465637E-2"/>
  </r>
  <r>
    <n v="830000"/>
    <n v="1400000"/>
    <n v="1400000"/>
    <x v="0"/>
    <x v="0"/>
    <s v="BR3-5, BR-7"/>
    <s v="62-304.520 (10), F.A.C."/>
    <n v="0.59"/>
    <n v="0.64"/>
    <s v="City of Cocoa Beach"/>
    <n v="0.15532530239983"/>
    <n v="3636.74345265701"/>
    <n v="6.9540699950102498"/>
    <n v="0.94500787573306999"/>
    <n v="1.08014302488456"/>
    <n v="0.14678363406846001"/>
    <n v="564.87827653455599"/>
    <n v="1720"/>
    <s v="Religious"/>
    <n v="1720"/>
    <s v="City of Cocoa Beach           Brevard County"/>
    <s v="City of Cocoa Beach"/>
    <m/>
    <m/>
    <m/>
    <n v="0"/>
    <n v="1"/>
    <n v="1.08014302488456"/>
    <n v="0.14678363406846001"/>
    <n v="2246.64719541755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23.077690082502"/>
    <n v="628.57919757797799"/>
    <n v="1.8220982931"/>
  </r>
  <r>
    <n v="830000"/>
    <n v="1400000"/>
    <n v="1400000"/>
    <x v="0"/>
    <x v="0"/>
    <s v="BR3-5, BR-7"/>
    <s v="62-304.520 (10), F.A.C."/>
    <n v="0.59"/>
    <n v="0.64"/>
    <s v="City of Cocoa Beach"/>
    <n v="5.025069980533E-2"/>
    <n v="3708.0193617524901"/>
    <n v="8.6679520336998692"/>
    <n v="1.1503253976306"/>
    <n v="0.43557065557247998"/>
    <n v="5.7804656234779997E-2"/>
    <n v="186.33056781978999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43557065557247998"/>
    <n v="5.7804656234779997E-2"/>
    <n v="186.33056781978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4.92404199899801"/>
    <n v="203.35736723730801"/>
    <n v="0.1511196819"/>
  </r>
  <r>
    <n v="830000"/>
    <n v="1400000"/>
    <n v="1400000"/>
    <x v="0"/>
    <x v="0"/>
    <s v="BR3-5, BR-7"/>
    <s v="62-304.520 (10), F.A.C."/>
    <n v="0.59"/>
    <n v="0.64"/>
    <s v="City of Cocoa Beach"/>
    <n v="0.15716050677441001"/>
    <n v="3708.0193617524901"/>
    <n v="8.6679520336998692"/>
    <n v="1.1503253976306"/>
    <n v="1.36225973431259"/>
    <n v="0.18078572244710001"/>
    <n v="582.75420202236501"/>
    <n v="1720"/>
    <s v="Religious"/>
    <n v="1720"/>
    <s v="City of Cocoa Beach           Brevard County"/>
    <s v="City of Cocoa Beach"/>
    <m/>
    <m/>
    <m/>
    <n v="0"/>
    <n v="1"/>
    <n v="1.36225973431259"/>
    <n v="0.18078572244710001"/>
    <n v="582.754202022365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23.08597215304999"/>
    <n v="636.00600618767999"/>
    <n v="0.47263114519999999"/>
  </r>
  <r>
    <n v="830000"/>
    <n v="1400000"/>
    <n v="1400000"/>
    <x v="0"/>
    <x v="0"/>
    <s v="BR3-5, BR-7"/>
    <s v="62-304.520 (10), F.A.C."/>
    <n v="0.59"/>
    <n v="0.64"/>
    <s v="FDOT District 5"/>
    <n v="7.2116423837729995E-2"/>
    <n v="3666.6911608320902"/>
    <n v="8.2451658430068893"/>
    <n v="1.0921359216669"/>
    <n v="0.59461187454665998"/>
    <n v="7.8760937015339996E-2"/>
    <n v="264.42865383662502"/>
    <n v="1700"/>
    <s v="Institutional (Educational,religious,health and military facilities)"/>
    <n v="1700"/>
    <s v="FDOT District 5                                 City of Cocoa Beach           Brevard County"/>
    <s v="FDOT District 5"/>
    <m/>
    <m/>
    <m/>
    <n v="0"/>
    <n v="1"/>
    <n v="0.59461187454665998"/>
    <n v="7.8760937015339996E-2"/>
    <n v="444.718253825713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23.798082312061"/>
    <n v="291.84481296823901"/>
    <n v="0.360679849"/>
  </r>
  <r>
    <n v="830000"/>
    <n v="1400000"/>
    <n v="1400000"/>
    <x v="0"/>
    <x v="0"/>
    <s v="BR3-5, BR-7"/>
    <s v="62-304.520 (10), F.A.C."/>
    <n v="0.59"/>
    <n v="0.64"/>
    <s v="City of Cocoa Beach"/>
    <n v="8.3671031253699998E-3"/>
    <n v="3705.5460158799001"/>
    <n v="10.531581358038499"/>
    <n v="2.0146657860314199"/>
    <n v="8.811882729593E-2"/>
    <n v="1.685691639488E-2"/>
    <n v="31.004685650671099"/>
    <n v="1720"/>
    <s v="Religious"/>
    <n v="1720"/>
    <s v="City of Cocoa Beach           Brevard County"/>
    <s v="City of Cocoa Beach"/>
    <m/>
    <m/>
    <m/>
    <n v="0"/>
    <n v="1"/>
    <n v="8.811882729593E-2"/>
    <n v="1.685691639488E-2"/>
    <n v="89.732033935935604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32.643191372795499"/>
    <n v="33.860465019785103"/>
    <n v="7.2775372199999994E-2"/>
  </r>
  <r>
    <n v="830000"/>
    <n v="1400000"/>
    <n v="1400000"/>
    <x v="0"/>
    <x v="0"/>
    <s v="BR3-5, BR-7"/>
    <s v="62-304.520 (10), F.A.C."/>
    <n v="0.59"/>
    <n v="0.64"/>
    <s v="City of Cocoa Beach"/>
    <n v="9.8210193153000004E-4"/>
    <n v="3638.1839443929698"/>
    <n v="7.1108989332351502"/>
    <n v="0.96275120530325997"/>
    <n v="6.9836275772799999E-3"/>
    <n v="9.4551981830999997E-4"/>
    <n v="3.57306747906796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6.9836275772799999E-3"/>
    <n v="9.4551981830999997E-4"/>
    <n v="267.796656706927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.4721177027076"/>
    <n v="3.9744255090826801"/>
    <n v="0.21719112469999999"/>
  </r>
  <r>
    <n v="830000"/>
    <n v="1400000"/>
    <n v="1400000"/>
    <x v="0"/>
    <x v="0"/>
    <s v="BR3-5, BR-7"/>
    <s v="62-304.520 (10), F.A.C."/>
    <n v="0.59"/>
    <n v="0.64"/>
    <s v="City of Cocoa Beach"/>
    <n v="5.9440090218299997E-3"/>
    <n v="3638.1839443929698"/>
    <n v="7.1108989332351502"/>
    <n v="0.96275120530325997"/>
    <n v="4.22672474125E-2"/>
    <n v="5.7226018500999998E-3"/>
    <n v="21.625398188563398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4.22672474125E-2"/>
    <n v="5.7226018500999998E-3"/>
    <n v="21.625398188561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33.860400905069397"/>
    <n v="24.054551084810502"/>
    <n v="1.7538846899999998E-2"/>
  </r>
  <r>
    <n v="830000"/>
    <n v="1400000"/>
    <n v="1400000"/>
    <x v="0"/>
    <x v="0"/>
    <s v="BR3-5, BR-7"/>
    <s v="62-304.520 (10), F.A.C."/>
    <n v="0.59"/>
    <n v="0.64"/>
    <s v="FDOT District 5"/>
    <n v="2.4803423446010001E-2"/>
    <n v="3638.1839443929698"/>
    <n v="7.1108989332351502"/>
    <n v="0.96275120530325997"/>
    <n v="0.17637463732285"/>
    <n v="2.387952581829E-2"/>
    <n v="90.2394169472756"/>
    <n v="1700"/>
    <s v="Institutional (Educational,religious,health and military facilities)"/>
    <n v="1700"/>
    <s v="FDOT District 5                                 City of Cocoa Beach           Brevard County"/>
    <s v="FDOT District 5"/>
    <m/>
    <m/>
    <m/>
    <n v="0"/>
    <n v="1"/>
    <n v="0.17637463732285"/>
    <n v="2.387952581829E-2"/>
    <n v="96.7621110664617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47.224635420178402"/>
    <n v="100.375893470017"/>
    <n v="7.8476975700000007E-2"/>
  </r>
  <r>
    <n v="830000"/>
    <n v="1400000"/>
    <n v="1400000"/>
    <x v="0"/>
    <x v="0"/>
    <s v="BR3-5, BR-7"/>
    <s v="62-304.520 (10), F.A.C."/>
    <n v="0.59"/>
    <n v="0.64"/>
    <s v="City of Cocoa Beach"/>
    <n v="4.2129805815269997E-2"/>
    <n v="3638.1839443929698"/>
    <n v="7.1108989332351502"/>
    <n v="0.96275120530325997"/>
    <n v="0.29958079122925002"/>
    <n v="4.0560521327849999E-2"/>
    <n v="153.27598309753401"/>
    <n v="1720"/>
    <s v="Religious"/>
    <n v="1720"/>
    <s v="City of Cocoa Beach           Brevard County"/>
    <s v="City of Cocoa Beach"/>
    <m/>
    <m/>
    <m/>
    <n v="0"/>
    <n v="1"/>
    <n v="0.29958079122925002"/>
    <n v="4.0560521327849999E-2"/>
    <n v="1845.57197097301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98.797879729990996"/>
    <n v="170.493275238016"/>
    <n v="1.4968142506"/>
  </r>
  <r>
    <n v="830000"/>
    <n v="1400000"/>
    <n v="1400000"/>
    <x v="0"/>
    <x v="0"/>
    <s v="BR3-5, BR-7"/>
    <s v="62-304.520 (10), F.A.C."/>
    <n v="0.59"/>
    <n v="0.64"/>
    <s v="FDOT District 5"/>
    <n v="1.9748857082E-4"/>
    <n v="3638.1839443929698"/>
    <n v="7.1108989332351502"/>
    <n v="0.96275120530325997"/>
    <n v="1.4043212675700001E-3"/>
    <n v="1.9013235959E-4"/>
    <n v="0.71849974755843005"/>
    <n v="1720"/>
    <s v="Religious"/>
    <n v="1720"/>
    <s v="FDOT District 5                                 City of Cocoa Beach           Brevard County"/>
    <s v="FDOT District 5"/>
    <m/>
    <m/>
    <m/>
    <n v="0"/>
    <n v="1"/>
    <n v="1.4043212675700001E-3"/>
    <n v="1.9013235959E-4"/>
    <n v="0.7184997475572599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.3308006314733101"/>
    <n v="0.79920789117220004"/>
    <n v="5.8272490000000005E-4"/>
  </r>
  <r>
    <n v="830000"/>
    <n v="1400000"/>
    <n v="1400000"/>
    <x v="0"/>
    <x v="0"/>
    <s v="BR3-5, BR-7"/>
    <s v="62-304.520 (10), F.A.C."/>
    <n v="0.59"/>
    <n v="0.64"/>
    <s v="FDOT District 5"/>
    <n v="1.386424436512E-2"/>
    <n v="3747.2550809065501"/>
    <n v="9.6337619029891499"/>
    <n v="1.2744579733302099"/>
    <n v="0.13356482917842"/>
    <n v="1.766939677532E-2"/>
    <n v="51.952860140125999"/>
    <n v="1700"/>
    <s v="Institutional (Educational,religious,health and military facilities)"/>
    <n v="1700"/>
    <s v="FDOT District 5                                 City of Cocoa Beach           Brevard County"/>
    <s v="FDOT District 5"/>
    <m/>
    <m/>
    <m/>
    <n v="0"/>
    <n v="1"/>
    <n v="0.13356482917842"/>
    <n v="1.766939677532E-2"/>
    <n v="156.977971368694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0.130378945832902"/>
    <n v="56.106606350709001"/>
    <n v="0.12731384539999999"/>
  </r>
  <r>
    <n v="830000"/>
    <n v="1400000"/>
    <n v="1400000"/>
    <x v="0"/>
    <x v="0"/>
    <s v="BR3-5, BR-7"/>
    <s v="62-304.520 (10), F.A.C."/>
    <n v="0.59"/>
    <n v="0.64"/>
    <s v="City of Cocoa Beach"/>
    <n v="4.4603974224179999E-2"/>
    <n v="3720.1448432840002"/>
    <n v="9.8542963554243705"/>
    <n v="1.3000097112692901"/>
    <n v="0.43954078063483998"/>
    <n v="5.7985599652640003E-2"/>
    <n v="165.93324470008201"/>
    <n v="1700"/>
    <s v="Institutional (Educational,religious,health and military facilities)"/>
    <n v="1700"/>
    <s v="City of Cocoa Beach           Brevard County"/>
    <s v="City of Cocoa Beach"/>
    <m/>
    <m/>
    <m/>
    <n v="0"/>
    <n v="1"/>
    <n v="0.43954078063483998"/>
    <n v="5.7985599652640003E-2"/>
    <n v="165.933244700080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76.074145551355997"/>
    <n v="180.50587955371401"/>
    <n v="0.13457684080000001"/>
  </r>
  <r>
    <n v="830000"/>
    <n v="1400000"/>
    <n v="1400000"/>
    <x v="0"/>
    <x v="0"/>
    <s v="BR3-5, BR-7"/>
    <s v="62-304.520 (10), F.A.C."/>
    <n v="0.59"/>
    <n v="0.64"/>
    <s v="FDOT District 5"/>
    <n v="9.4482915493800008E-3"/>
    <n v="3720.1448432840002"/>
    <n v="9.8542963554243705"/>
    <n v="1.3000097112692901"/>
    <n v="9.3106264980099995E-2"/>
    <n v="1.22828707691E-2"/>
    <n v="35.149013085292196"/>
    <n v="1700"/>
    <s v="Institutional (Educational,religious,health and military facilities)"/>
    <n v="1700"/>
    <s v="FDOT District 5                                 City of Cocoa Beach           Brevard County"/>
    <s v="FDOT District 5"/>
    <m/>
    <m/>
    <m/>
    <n v="0"/>
    <n v="1"/>
    <n v="9.3106264980099995E-2"/>
    <n v="1.22828707691E-2"/>
    <n v="35.14901308529069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37.868548795610998"/>
    <n v="38.235879337338801"/>
    <n v="2.8506904400000001E-2"/>
  </r>
  <r>
    <n v="830000"/>
    <n v="1400000"/>
    <n v="1400000"/>
    <x v="0"/>
    <x v="0"/>
    <s v="BR3-5, BR-7"/>
    <s v="62-304.520 (10), F.A.C."/>
    <n v="0.59"/>
    <n v="0.64"/>
    <s v="City of Cocoa Beach"/>
    <n v="2.4949062992450002E-2"/>
    <n v="3720.1448432840002"/>
    <n v="9.8542963554243705"/>
    <n v="1.3000097112692901"/>
    <n v="0.24585546051782001"/>
    <n v="3.2434024177259997E-2"/>
    <n v="92.814128036156802"/>
    <n v="1720"/>
    <s v="Religious"/>
    <n v="1720"/>
    <s v="City of Cocoa Beach           Brevard County"/>
    <s v="City of Cocoa Beach"/>
    <m/>
    <m/>
    <m/>
    <n v="0"/>
    <n v="1"/>
    <n v="0.24585546051782001"/>
    <n v="3.2434024177259997E-2"/>
    <n v="92.8141280361571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8.4273550073679"/>
    <n v="100.965275803887"/>
    <n v="7.5275043E-2"/>
  </r>
  <r>
    <n v="830000"/>
    <n v="2400000"/>
    <n v="2400000"/>
    <x v="0"/>
    <x v="0"/>
    <s v="BR3-5, BR-7"/>
    <s v="62-304.520 (10), F.A.C."/>
    <n v="0.59"/>
    <n v="0.64"/>
    <s v="City of Cocoa Beach"/>
    <n v="0.11620714842787"/>
    <n v="3731.9019144570302"/>
    <n v="10.285234340199301"/>
    <n v="1.3596103123832199"/>
    <n v="1.1952177535869799"/>
    <n v="0.15799643737517999"/>
    <n v="433.673679691568"/>
    <n v="1400"/>
    <s v="Commercial and Services"/>
    <n v="1400"/>
    <s v="City of Cocoa Beach           Brevard County"/>
    <s v="City of Cocoa Beach"/>
    <m/>
    <m/>
    <m/>
    <n v="0"/>
    <n v="1"/>
    <n v="1.1952177535869799"/>
    <n v="0.15799643737517999"/>
    <n v="433.67367969156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8.43582686026099"/>
    <n v="470.273644944122"/>
    <n v="0.35172236800000001"/>
  </r>
  <r>
    <n v="830000"/>
    <n v="2400000"/>
    <n v="2400000"/>
    <x v="0"/>
    <x v="0"/>
    <s v="BR3-5, BR-7"/>
    <s v="62-304.520 (10), F.A.C."/>
    <n v="0.59"/>
    <n v="0.64"/>
    <s v="City of Cocoa Beach"/>
    <n v="4.1276299165200004E-3"/>
    <n v="3731.9019144570302"/>
    <n v="10.285234340199301"/>
    <n v="1.3596103123832199"/>
    <n v="4.2453640961049997E-2"/>
    <n v="5.6119682002E-3"/>
    <n v="15.403909987642299"/>
    <n v="1400"/>
    <s v="Commercial and Services"/>
    <n v="1400"/>
    <s v="City of Cocoa Beach           Brevard County"/>
    <s v="City of Cocoa Beach"/>
    <m/>
    <m/>
    <m/>
    <n v="0"/>
    <n v="1"/>
    <n v="4.2453640961049997E-2"/>
    <n v="5.6119682002E-3"/>
    <n v="239.260692012633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49.335591963151003"/>
    <n v="16.703925636971199"/>
    <n v="0.19404760099999999"/>
  </r>
  <r>
    <n v="830000"/>
    <n v="2400000"/>
    <n v="2400000"/>
    <x v="0"/>
    <x v="0"/>
    <s v="BR3-5, BR-7"/>
    <s v="62-304.520 (10), F.A.C."/>
    <n v="0.59"/>
    <n v="0.64"/>
    <s v="FDOT District 5"/>
    <n v="7.1089069881999996E-4"/>
    <n v="3731.9019144570302"/>
    <n v="10.285234340199301"/>
    <n v="1.3596103123832199"/>
    <n v="7.3116774276500004E-3"/>
    <n v="9.6653432508999996E-4"/>
    <n v="2.65297435990351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7.3116774276500004E-3"/>
    <n v="9.6653432508999996E-4"/>
    <n v="5.3934237938567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0.325703787381002"/>
    <n v="2.8768725901529302"/>
    <n v="4.3742284999999997E-3"/>
  </r>
  <r>
    <n v="830000"/>
    <n v="2400000"/>
    <n v="2400000"/>
    <x v="0"/>
    <x v="0"/>
    <s v="BR3-5, BR-7"/>
    <s v="62-304.520 (10), F.A.C."/>
    <n v="0.59"/>
    <n v="0.64"/>
    <s v="City of Cocoa Beach"/>
    <n v="1.6257384764900001E-3"/>
    <n v="3731.9019144570302"/>
    <n v="10.285234340199301"/>
    <n v="1.3596103123832199"/>
    <n v="1.672110120666E-2"/>
    <n v="2.21037079788E-3"/>
    <n v="6.06709653284934"/>
    <n v="8140"/>
    <s v="Roads and Highways"/>
    <n v="8140"/>
    <s v="City of Cocoa Beach           Brevard County"/>
    <s v="City of Cocoa Beach"/>
    <m/>
    <m/>
    <m/>
    <n v="0"/>
    <n v="1"/>
    <n v="1.672110120666E-2"/>
    <n v="2.21037079788E-3"/>
    <n v="6.0670965328490096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0.28821687326101"/>
    <n v="6.57913019475835"/>
    <n v="4.9205973999999998E-3"/>
  </r>
  <r>
    <n v="830000"/>
    <n v="2400000"/>
    <n v="2400000"/>
    <x v="0"/>
    <x v="0"/>
    <s v="BR3-5, BR-7"/>
    <s v="62-304.520 (10), F.A.C."/>
    <n v="0.59"/>
    <n v="0.64"/>
    <s v="FDOT District 5"/>
    <n v="0.23684348164791999"/>
    <n v="3731.9019144570302"/>
    <n v="10.285234340199301"/>
    <n v="1.3596103123832199"/>
    <n v="2.43599071069763"/>
    <n v="0.32201484006927"/>
    <n v="883.87664258857103"/>
    <n v="8140"/>
    <s v="Roads and Highways"/>
    <n v="8140"/>
    <s v="FDOT District 5                                 City of Cocoa Beach           Brevard County"/>
    <s v="FDOT District 5"/>
    <m/>
    <m/>
    <m/>
    <n v="0"/>
    <n v="1"/>
    <n v="2.43599071069763"/>
    <n v="0.32201484006927"/>
    <n v="913.2447340488789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7.67587061101099"/>
    <n v="958.47156481049501"/>
    <n v="0.74066888409999998"/>
  </r>
  <r>
    <n v="830000"/>
    <n v="2400000"/>
    <n v="2400000"/>
    <x v="0"/>
    <x v="0"/>
    <s v="BR3-5, BR-7"/>
    <s v="62-304.520 (10), F.A.C."/>
    <n v="0.59"/>
    <n v="0.64"/>
    <s v="City of Cocoa Beach"/>
    <n v="5.7278129752799996E-3"/>
    <n v="3731.9019144570302"/>
    <n v="10.285234340199301"/>
    <n v="1.3596103123832199"/>
    <n v="5.8911898707610003E-2"/>
    <n v="7.7875935885900003E-3"/>
    <n v="21.375636208106702"/>
    <n v="1300"/>
    <s v="Residential, High Density"/>
    <n v="1300"/>
    <s v="City of Cocoa Beach           Brevard County"/>
    <s v="City of Cocoa Beach"/>
    <m/>
    <m/>
    <m/>
    <n v="0"/>
    <n v="1"/>
    <n v="5.8911898707610003E-2"/>
    <n v="7.7875935885900003E-3"/>
    <n v="21.3756362081062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30.817141271724701"/>
    <n v="23.179636725325398"/>
    <n v="1.73362824E-2"/>
  </r>
  <r>
    <n v="830000"/>
    <n v="2400000"/>
    <n v="2400000"/>
    <x v="0"/>
    <x v="0"/>
    <s v="BR3-5, BR-7"/>
    <s v="62-304.520 (10), F.A.C."/>
    <n v="0.59"/>
    <n v="0.64"/>
    <s v="City of Cocoa Beach"/>
    <n v="0.10958732337794"/>
    <n v="3731.9019144570302"/>
    <n v="10.285234340199301"/>
    <n v="1.3596103123832199"/>
    <n v="1.1271313016573701"/>
    <n v="0.14899605497113"/>
    <n v="408.96914191437799"/>
    <n v="1410"/>
    <s v="Retail Sales and Services"/>
    <n v="1410"/>
    <s v="City of Cocoa Beach           Brevard County"/>
    <s v="City of Cocoa Beach"/>
    <m/>
    <m/>
    <m/>
    <n v="0"/>
    <n v="1"/>
    <n v="1.1271313016573701"/>
    <n v="0.14899605497113"/>
    <n v="409.2884578720069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92.974745539004005"/>
    <n v="443.48416342566497"/>
    <n v="0.33194522129999998"/>
  </r>
  <r>
    <n v="830000"/>
    <n v="2400000"/>
    <n v="2400000"/>
    <x v="0"/>
    <x v="0"/>
    <s v="BR3-5, BR-7"/>
    <s v="62-304.520 (10), F.A.C."/>
    <n v="0.59"/>
    <n v="0.64"/>
    <s v="City of Cocoa Beach"/>
    <n v="7.2343152790640006E-2"/>
    <n v="3720.51563159427"/>
    <n v="10.089659234571201"/>
    <n v="1.49967869675028"/>
    <n v="0.72991775961215999"/>
    <n v="0.10849148509588"/>
    <n v="269.15383079642203"/>
    <n v="1400"/>
    <s v="Commercial and Services"/>
    <n v="1400"/>
    <s v="City of Cocoa Beach           Brevard County"/>
    <s v="City of Cocoa Beach"/>
    <m/>
    <m/>
    <m/>
    <n v="0"/>
    <n v="1"/>
    <n v="0.72991775961215999"/>
    <n v="0.10849148509588"/>
    <n v="269.15383079642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11.678462721283"/>
    <n v="292.762352487501"/>
    <n v="0.21829183360000001"/>
  </r>
  <r>
    <n v="830000"/>
    <n v="2400000"/>
    <n v="2400000"/>
    <x v="0"/>
    <x v="0"/>
    <s v="BR3-5, BR-7"/>
    <s v="62-304.520 (10), F.A.C."/>
    <n v="0.59"/>
    <n v="0.64"/>
    <s v="City of Cocoa Beach"/>
    <n v="7.2923052224800004E-3"/>
    <n v="3720.51563159427"/>
    <n v="10.089659234571201"/>
    <n v="1.49967869675028"/>
    <n v="7.357687472933E-2"/>
    <n v="1.093611479235E-2"/>
    <n v="27.131135570604599"/>
    <n v="1400"/>
    <s v="Commercial and Services"/>
    <n v="1400"/>
    <s v="City of Cocoa Beach           Brevard County"/>
    <s v="City of Cocoa Beach"/>
    <m/>
    <m/>
    <m/>
    <n v="0"/>
    <n v="1"/>
    <n v="7.357687472933E-2"/>
    <n v="1.093611479235E-2"/>
    <n v="162.043342373909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7.956641652277199"/>
    <n v="29.510912223704299"/>
    <n v="0.1314220133"/>
  </r>
  <r>
    <n v="830000"/>
    <n v="2400000"/>
    <n v="2400000"/>
    <x v="0"/>
    <x v="0"/>
    <s v="BR3-5, BR-7"/>
    <s v="62-304.520 (10), F.A.C."/>
    <n v="0.59"/>
    <n v="0.64"/>
    <s v="FDOT District 5"/>
    <n v="8.3999533014000004E-4"/>
    <n v="3720.51563159427"/>
    <n v="10.089659234571201"/>
    <n v="1.49967869675028"/>
    <n v="8.4752666397600006E-3"/>
    <n v="1.2597231019800001E-3"/>
    <n v="3.1252157562595002"/>
    <n v="1400"/>
    <s v="Commercial and Services"/>
    <n v="1400"/>
    <s v="FDOT District 5                                 City of Cocoa Beach           Brevard County"/>
    <s v="FDOT District 5"/>
    <m/>
    <m/>
    <m/>
    <n v="0"/>
    <n v="1"/>
    <n v="8.4752666397600006E-3"/>
    <n v="1.2597231019800001E-3"/>
    <n v="5.3911802764929604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9.191217781749103"/>
    <n v="3.3993404965729401"/>
    <n v="4.3724089999999998E-3"/>
  </r>
  <r>
    <n v="830000"/>
    <n v="2400000"/>
    <n v="2400000"/>
    <x v="0"/>
    <x v="0"/>
    <s v="BR3-5, BR-7"/>
    <s v="62-304.520 (10), F.A.C."/>
    <n v="0.59"/>
    <n v="0.64"/>
    <s v="City of Cocoa Beach"/>
    <n v="1.63301541875E-3"/>
    <n v="3720.51563159427"/>
    <n v="10.089659234571201"/>
    <n v="1.49967869675028"/>
    <n v="1.6476569100030002E-2"/>
    <n v="2.4489984349700001E-3"/>
    <n v="6.07565939211245"/>
    <n v="8140"/>
    <s v="Roads and Highways"/>
    <n v="8140"/>
    <s v="City of Cocoa Beach           Brevard County"/>
    <s v="City of Cocoa Beach"/>
    <m/>
    <m/>
    <m/>
    <n v="0"/>
    <n v="1"/>
    <n v="1.6476569100030002E-2"/>
    <n v="2.4489984349700001E-3"/>
    <n v="6.075659392111189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0.29379897017"/>
    <n v="6.6085789352655402"/>
    <n v="4.9275420999999996E-3"/>
  </r>
  <r>
    <n v="830000"/>
    <n v="2400000"/>
    <n v="2400000"/>
    <x v="0"/>
    <x v="0"/>
    <s v="BR3-5, BR-7"/>
    <s v="62-304.520 (10), F.A.C."/>
    <n v="0.59"/>
    <n v="0.64"/>
    <s v="FDOT District 5"/>
    <n v="0.23580337770074"/>
    <n v="3720.51563159427"/>
    <n v="10.089659234571201"/>
    <n v="1.49967869675028"/>
    <n v="2.3791757273614098"/>
    <n v="0.35362930215956001"/>
    <n v="877.31015271835497"/>
    <n v="8140"/>
    <s v="Roads and Highways"/>
    <n v="8140"/>
    <s v="FDOT District 5                                 City of Cocoa Beach           Brevard County"/>
    <s v="FDOT District 5"/>
    <m/>
    <m/>
    <m/>
    <n v="0"/>
    <n v="1"/>
    <n v="2.3791757273614098"/>
    <n v="0.35362930215956001"/>
    <n v="886.101274378904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7.02954562435301"/>
    <n v="954.26241347187795"/>
    <n v="0.71865472370000005"/>
  </r>
  <r>
    <n v="830000"/>
    <n v="2400000"/>
    <n v="2400000"/>
    <x v="0"/>
    <x v="0"/>
    <s v="BR3-5, BR-7"/>
    <s v="62-304.520 (10), F.A.C."/>
    <n v="0.59"/>
    <n v="0.64"/>
    <s v="City of Cocoa Beach"/>
    <n v="0.16377124032987"/>
    <n v="3720.51563159427"/>
    <n v="10.089659234571201"/>
    <n v="1.49967869675028"/>
    <n v="1.65239600735153"/>
    <n v="0.24560424026308"/>
    <n v="609.31345965289404"/>
    <n v="1300"/>
    <s v="Residential, High Density"/>
    <n v="1300"/>
    <s v="City of Cocoa Beach           Brevard County"/>
    <s v="City of Cocoa Beach"/>
    <m/>
    <m/>
    <m/>
    <n v="0"/>
    <n v="1"/>
    <n v="1.65239600735153"/>
    <n v="0.24560424026308"/>
    <n v="609.31345965289404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22.46906369245301"/>
    <n v="662.758695733379"/>
    <n v="0.49417150009999999"/>
  </r>
  <r>
    <n v="830000"/>
    <n v="2400000"/>
    <n v="2400000"/>
    <x v="0"/>
    <x v="0"/>
    <s v="BR3-5, BR-7"/>
    <s v="62-304.520 (10), F.A.C."/>
    <n v="0.59"/>
    <n v="0.64"/>
    <s v="City of Cocoa Beach"/>
    <n v="0.11883848579469999"/>
    <n v="3827.9816825064099"/>
    <n v="9.4399913936842701"/>
    <n v="1.26946749418379"/>
    <n v="1.1218342831404799"/>
    <n v="0.1508615947744"/>
    <n v="454.91154679892901"/>
    <n v="1400"/>
    <s v="Commercial and Services"/>
    <n v="1400"/>
    <s v="City of Cocoa Beach           Brevard County"/>
    <s v="City of Cocoa Beach"/>
    <m/>
    <m/>
    <m/>
    <n v="0"/>
    <n v="1"/>
    <n v="1.1218342831404799"/>
    <n v="0.1508615947744"/>
    <n v="686.43400865086005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98.392338227512894"/>
    <n v="480.92228946659299"/>
    <n v="0.55671857960000004"/>
  </r>
  <r>
    <n v="830000"/>
    <n v="2400000"/>
    <n v="2400000"/>
    <x v="0"/>
    <x v="0"/>
    <s v="BR3-5, BR-7"/>
    <s v="62-304.520 (10), F.A.C."/>
    <n v="0.59"/>
    <n v="0.64"/>
    <s v="City of Cocoa Beach"/>
    <n v="1.5186411573E-4"/>
    <n v="3827.9816825064099"/>
    <n v="9.4399913936842701"/>
    <n v="1.26946749418379"/>
    <n v="1.4335959455199999E-3"/>
    <n v="1.9278655845E-4"/>
    <n v="0.58133305325213003"/>
    <n v="1300"/>
    <s v="Residential, High Density"/>
    <n v="1300"/>
    <s v="City of Cocoa Beach           Brevard County"/>
    <s v="City of Cocoa Beach"/>
    <m/>
    <m/>
    <m/>
    <n v="0"/>
    <n v="1"/>
    <n v="1.4335959455199999E-3"/>
    <n v="1.9278655845E-4"/>
    <n v="0.58133305325044005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.792454844813101"/>
    <n v="0.61457227208036003"/>
    <n v="4.7147859999999999E-4"/>
  </r>
  <r>
    <n v="830000"/>
    <n v="2400000"/>
    <n v="2400000"/>
    <x v="0"/>
    <x v="0"/>
    <s v="BR3-5, BR-7"/>
    <s v="62-304.520 (10), F.A.C."/>
    <n v="0.59"/>
    <n v="0.64"/>
    <s v="City of Cocoa Beach"/>
    <n v="9.7891663228209996E-2"/>
    <n v="3827.9816825064099"/>
    <n v="9.4399913936842701"/>
    <n v="1.26946749418379"/>
    <n v="0.92409645838781995"/>
    <n v="0.12427028441981"/>
    <n v="374.72749370770902"/>
    <n v="1450"/>
    <s v="Tourist Services"/>
    <n v="1450"/>
    <s v="City of Cocoa Beach           Brevard County"/>
    <s v="City of Cocoa Beach"/>
    <m/>
    <m/>
    <m/>
    <n v="0"/>
    <n v="1"/>
    <n v="0.92409645838781995"/>
    <n v="0.12427028441981"/>
    <n v="1426.38476837232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0.769806397887"/>
    <n v="396.15350603453601"/>
    <n v="1.1568408503000001"/>
  </r>
  <r>
    <n v="830000"/>
    <n v="2400000"/>
    <n v="2400000"/>
    <x v="0"/>
    <x v="0"/>
    <s v="BR3-5, BR-7"/>
    <s v="62-304.520 (10), F.A.C."/>
    <n v="0.59"/>
    <n v="0.64"/>
    <s v="City of Cocoa Beach"/>
    <n v="2.1007703410999999E-3"/>
    <n v="3827.9816825064099"/>
    <n v="9.4399913936842701"/>
    <n v="1.26946749418379"/>
    <n v="1.983125394011E-2"/>
    <n v="2.6668596607700001E-3"/>
    <n v="8.0417103848912106"/>
    <n v="1410"/>
    <s v="Retail Sales and Services"/>
    <n v="1410"/>
    <s v="City of Cocoa Beach           Brevard County"/>
    <s v="City of Cocoa Beach"/>
    <m/>
    <m/>
    <m/>
    <n v="0"/>
    <n v="1"/>
    <n v="1.983125394011E-2"/>
    <n v="2.6668596607700001E-3"/>
    <n v="251.387073893377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8.729932458508401"/>
    <n v="8.5015159468777899"/>
    <n v="0.20388246060000001"/>
  </r>
  <r>
    <n v="830000"/>
    <n v="2400000"/>
    <n v="2400000"/>
    <x v="0"/>
    <x v="0"/>
    <s v="BR3-5, BR-7"/>
    <s v="62-304.520 (10), F.A.C."/>
    <n v="0.59"/>
    <n v="0.64"/>
    <s v="City of Cocoa Beach"/>
    <n v="1.8361688915769999E-2"/>
    <n v="3751.8455631706502"/>
    <n v="9.8371476462871907"/>
    <n v="1.3008708939886"/>
    <n v="0.18062664489967001"/>
    <n v="2.3886186675000001E-2"/>
    <n v="68.890221090970201"/>
    <n v="1400"/>
    <s v="Commercial and Services"/>
    <n v="1400"/>
    <s v="City of Cocoa Beach           Brevard County"/>
    <s v="City of Cocoa Beach"/>
    <m/>
    <m/>
    <m/>
    <n v="0"/>
    <n v="1"/>
    <n v="0.18062664489967001"/>
    <n v="2.3886186675000001E-2"/>
    <n v="211.057219104320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3.02530374080099"/>
    <n v="74.307118714916101"/>
    <n v="0.1711737381"/>
  </r>
  <r>
    <n v="830000"/>
    <n v="2400000"/>
    <n v="2400000"/>
    <x v="0"/>
    <x v="0"/>
    <s v="BR3-5, BR-7"/>
    <s v="62-304.520 (10), F.A.C."/>
    <n v="0.59"/>
    <n v="0.64"/>
    <s v="FDOT District 5"/>
    <n v="1.4767213345800001E-3"/>
    <n v="3751.8455631706502"/>
    <n v="9.8371476462871907"/>
    <n v="1.3008708939886"/>
    <n v="1.452672580077E-2"/>
    <n v="1.92102380269E-3"/>
    <n v="5.540430387217179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452672580077E-2"/>
    <n v="1.92102380269E-3"/>
    <n v="5.540430387217029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0.271714092266"/>
    <n v="5.9760792169764398"/>
    <n v="4.4934553E-3"/>
  </r>
  <r>
    <n v="830000"/>
    <n v="2400000"/>
    <n v="2400000"/>
    <x v="0"/>
    <x v="0"/>
    <s v="BR3-5, BR-7"/>
    <s v="62-304.520 (10), F.A.C."/>
    <n v="0.59"/>
    <n v="0.64"/>
    <s v="FDOT District 5"/>
    <n v="0.20008524889320001"/>
    <n v="3751.8455631706502"/>
    <n v="9.8371476462871907"/>
    <n v="1.3008708939886"/>
    <n v="1.9682681352065901"/>
    <n v="0.26028507660163003"/>
    <n v="750.688953315871"/>
    <n v="8140"/>
    <s v="Roads and Highways"/>
    <n v="8140"/>
    <s v="FDOT District 5                                 City of Cocoa Beach           Brevard County"/>
    <s v="FDOT District 5"/>
    <m/>
    <m/>
    <m/>
    <n v="0"/>
    <n v="1"/>
    <n v="1.9682681352065901"/>
    <n v="0.26028507660163003"/>
    <n v="838.2004078727729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2.06895020084801"/>
    <n v="809.71627451097504"/>
    <n v="0.67980568360000004"/>
  </r>
  <r>
    <n v="830000"/>
    <n v="2400000"/>
    <n v="2400000"/>
    <x v="0"/>
    <x v="0"/>
    <s v="BR3-5, BR-7"/>
    <s v="62-304.520 (10), F.A.C."/>
    <n v="0.59"/>
    <n v="0.64"/>
    <s v="City of Cocoa Beach"/>
    <n v="2.2338260397500001E-3"/>
    <n v="3735.7463900309599"/>
    <n v="9.8046623770544503"/>
    <n v="1.38981009479947"/>
    <n v="2.1901910128899998E-2"/>
    <n v="3.1045939800799999E-3"/>
    <n v="8.3450075639831098"/>
    <n v="1400"/>
    <s v="Commercial and Services"/>
    <n v="1400"/>
    <s v="City of Cocoa Beach           Brevard County"/>
    <s v="City of Cocoa Beach"/>
    <m/>
    <m/>
    <m/>
    <n v="0"/>
    <n v="1"/>
    <n v="2.1901910128899998E-2"/>
    <n v="3.1045939800799999E-3"/>
    <n v="316.035843876560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20.544351016017998"/>
    <n v="9.0399732555181007"/>
    <n v="0.256314553"/>
  </r>
  <r>
    <n v="830000"/>
    <n v="2400000"/>
    <n v="2400000"/>
    <x v="0"/>
    <x v="0"/>
    <s v="BR3-5, BR-7"/>
    <s v="62-304.520 (10), F.A.C."/>
    <n v="0.59"/>
    <n v="0.64"/>
    <s v="FDOT District 5"/>
    <n v="2.8755656707000002E-4"/>
    <n v="3735.7463900309599"/>
    <n v="9.8046623770544503"/>
    <n v="1.38981009479947"/>
    <n v="2.8193950544800001E-3"/>
    <n v="3.9964901974000002E-4"/>
    <n v="1.0742384073838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8193950544800001E-3"/>
    <n v="3.9964901974000002E-4"/>
    <n v="3.179934027003669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9.956855605077301"/>
    <n v="1.16370014027558"/>
    <n v="2.5790218999999998E-3"/>
  </r>
  <r>
    <n v="830000"/>
    <n v="2400000"/>
    <n v="2400000"/>
    <x v="0"/>
    <x v="0"/>
    <s v="BR3-5, BR-7"/>
    <s v="62-304.520 (10), F.A.C."/>
    <n v="0.59"/>
    <n v="0.64"/>
    <s v="FDOT District 5"/>
    <n v="8.5757194243619994E-2"/>
    <n v="3735.7463900309599"/>
    <n v="9.8046623770544503"/>
    <n v="1.38981009479947"/>
    <n v="0.84082033596221994"/>
    <n v="0.11918621426146001"/>
    <n v="320.36712881480599"/>
    <n v="8140"/>
    <s v="Roads and Highways"/>
    <n v="8140"/>
    <s v="FDOT District 5                                 City of Cocoa Beach           Brevard County"/>
    <s v="FDOT District 5"/>
    <m/>
    <m/>
    <m/>
    <n v="0"/>
    <n v="1"/>
    <n v="0.84082033596221994"/>
    <n v="0.11918621426146001"/>
    <n v="732.28297074989302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78.475322973776002"/>
    <n v="347.04705229181701"/>
    <n v="0.59390346370000002"/>
  </r>
  <r>
    <n v="830000"/>
    <n v="2400000"/>
    <n v="2400000"/>
    <x v="0"/>
    <x v="0"/>
    <s v="BR3-5, BR-7"/>
    <s v="62-304.520 (10), F.A.C."/>
    <n v="0.59"/>
    <n v="0.64"/>
    <s v="City of Cocoa Beach"/>
    <n v="5.9150799685199996E-3"/>
    <n v="3708.0193617524901"/>
    <n v="8.6679520336998692"/>
    <n v="1.1503253976306"/>
    <n v="5.1271629442630001E-2"/>
    <n v="6.8042667168000002E-3"/>
    <n v="21.933231049590201"/>
    <n v="1400"/>
    <s v="Commercial and Services"/>
    <n v="1400"/>
    <s v="City of Cocoa Beach           Brevard County"/>
    <s v="City of Cocoa Beach"/>
    <m/>
    <m/>
    <m/>
    <n v="0"/>
    <n v="1"/>
    <n v="5.1271629442630001E-2"/>
    <n v="6.8042667168000002E-3"/>
    <n v="21.9332310495917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20.018658122342799"/>
    <n v="23.9374793596205"/>
    <n v="1.7788508599999999E-2"/>
  </r>
  <r>
    <n v="830000"/>
    <n v="2400000"/>
    <n v="2400000"/>
    <x v="0"/>
    <x v="0"/>
    <s v="BR3-5, BR-7"/>
    <s v="62-304.520 (10), F.A.C."/>
    <n v="0.59"/>
    <n v="0.64"/>
    <s v="City of Cocoa Beach"/>
    <n v="3.4145987358999999E-4"/>
    <n v="3708.0193617524901"/>
    <n v="8.6679520336998692"/>
    <n v="1.1503253976306"/>
    <n v="2.9597578057799999E-3"/>
    <n v="3.9278996486999997E-4"/>
    <n v="1.2661398225629401"/>
    <n v="1400"/>
    <s v="Commercial and Services"/>
    <n v="1400"/>
    <s v="City of Cocoa Beach           Brevard County"/>
    <s v="City of Cocoa Beach"/>
    <m/>
    <m/>
    <m/>
    <n v="0"/>
    <n v="1"/>
    <n v="2.9597578057799999E-3"/>
    <n v="3.9278996486999997E-4"/>
    <n v="401.917504862055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.5403393268396"/>
    <n v="1.38183908246077"/>
    <n v="0.32596715720000002"/>
  </r>
  <r>
    <n v="830000"/>
    <n v="2400000"/>
    <n v="2400000"/>
    <x v="0"/>
    <x v="0"/>
    <s v="BR3-5, BR-7"/>
    <s v="62-304.520 (10), F.A.C."/>
    <n v="0.59"/>
    <n v="0.64"/>
    <s v="FDOT District 5"/>
    <n v="1.5529960388000001E-4"/>
    <n v="3708.0193617524901"/>
    <n v="8.6679520336998692"/>
    <n v="1.1503253976306"/>
    <n v="1.3461295173099999E-3"/>
    <n v="1.7864507857999999E-4"/>
    <n v="0.57585393807065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3461295173099999E-3"/>
    <n v="1.7864507857999999E-4"/>
    <n v="5.3981238654816703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2.238316695141499"/>
    <n v="0.62847519937055996"/>
    <n v="4.3780403999999998E-3"/>
  </r>
  <r>
    <n v="830000"/>
    <n v="2400000"/>
    <n v="2400000"/>
    <x v="0"/>
    <x v="0"/>
    <s v="BR3-5, BR-7"/>
    <s v="62-304.520 (10), F.A.C."/>
    <n v="0.59"/>
    <n v="0.64"/>
    <s v="City of Cocoa Beach"/>
    <n v="1.60405653978E-3"/>
    <n v="3708.0193617524901"/>
    <n v="8.6679520336998692"/>
    <n v="1.1503253976306"/>
    <n v="1.390388514615E-2"/>
    <n v="1.84518697694E-3"/>
    <n v="5.9478727068499504"/>
    <n v="8140"/>
    <s v="Roads and Highways"/>
    <n v="8140"/>
    <s v="City of Cocoa Beach           Brevard County"/>
    <s v="City of Cocoa Beach"/>
    <m/>
    <m/>
    <m/>
    <n v="0"/>
    <n v="1"/>
    <n v="1.390388514615E-2"/>
    <n v="1.84518697694E-3"/>
    <n v="5.94787270684962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1.44226835070501"/>
    <n v="6.4913865099010701"/>
    <n v="4.8239032000000001E-3"/>
  </r>
  <r>
    <n v="830000"/>
    <n v="2400000"/>
    <n v="2400000"/>
    <x v="0"/>
    <x v="0"/>
    <s v="BR3-5, BR-7"/>
    <s v="62-304.520 (10), F.A.C."/>
    <n v="0.59"/>
    <n v="0.64"/>
    <s v="FDOT District 5"/>
    <n v="0.22655311177799001"/>
    <n v="3708.0193617524901"/>
    <n v="8.6679520336998692"/>
    <n v="1.1503253976306"/>
    <n v="1.96375150597711"/>
    <n v="0.26060979839046999"/>
    <n v="840.06332493808702"/>
    <n v="8140"/>
    <s v="Roads and Highways"/>
    <n v="8140"/>
    <s v="FDOT District 5                                 City of Cocoa Beach           Brevard County"/>
    <s v="FDOT District 5"/>
    <m/>
    <m/>
    <m/>
    <n v="0"/>
    <n v="1"/>
    <n v="1.96375150597711"/>
    <n v="0.26060979839046999"/>
    <n v="878.779301967249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7.69617875310499"/>
    <n v="916.82791541348797"/>
    <n v="0.71271638439999996"/>
  </r>
  <r>
    <n v="830000"/>
    <n v="2400000"/>
    <n v="2400000"/>
    <x v="0"/>
    <x v="0"/>
    <s v="BR3-5, BR-7"/>
    <s v="62-304.520 (10), F.A.C."/>
    <n v="0.59"/>
    <n v="0.64"/>
    <s v="City of Cocoa Beach"/>
    <n v="4.2545671122199997E-3"/>
    <n v="3666.6911608320902"/>
    <n v="8.2451658430068893"/>
    <n v="1.0921359216669"/>
    <n v="3.5079611430529997E-2"/>
    <n v="4.6465655743999999E-3"/>
    <n v="15.6001836235769"/>
    <n v="1400"/>
    <s v="Commercial and Services"/>
    <n v="1400"/>
    <s v="City of Cocoa Beach           Brevard County"/>
    <s v="City of Cocoa Beach"/>
    <m/>
    <m/>
    <m/>
    <n v="0"/>
    <n v="1"/>
    <n v="3.5079611430529997E-2"/>
    <n v="4.6465655743999999E-3"/>
    <n v="46.477364976478803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29.0659173986365"/>
    <n v="17.217622242654599"/>
    <n v="3.7694537700000003E-2"/>
  </r>
  <r>
    <n v="830000"/>
    <n v="2400000"/>
    <n v="2400000"/>
    <x v="0"/>
    <x v="0"/>
    <s v="BR3-5, BR-7"/>
    <s v="62-304.520 (10), F.A.C."/>
    <n v="0.59"/>
    <n v="0.64"/>
    <s v="FDOT District 5"/>
    <n v="1.9184454221180001E-2"/>
    <n v="3666.6911608320902"/>
    <n v="8.2451658430068893"/>
    <n v="1.0921359216669"/>
    <n v="0.15817900666122001"/>
    <n v="2.0952031592520001E-2"/>
    <n v="70.34346871819950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5817900666122001"/>
    <n v="2.0952031592520001E-2"/>
    <n v="71.7272300112092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2.895387327438698"/>
    <n v="77.636731775232903"/>
    <n v="5.81729359E-2"/>
  </r>
  <r>
    <n v="830000"/>
    <n v="2400000"/>
    <n v="2400000"/>
    <x v="0"/>
    <x v="0"/>
    <s v="BR3-5, BR-7"/>
    <s v="62-304.520 (10), F.A.C."/>
    <n v="0.59"/>
    <n v="0.64"/>
    <s v="FDOT District 5"/>
    <n v="0.18332553375027"/>
    <n v="3666.6911608320902"/>
    <n v="8.2451658430068893"/>
    <n v="1.0921359216669"/>
    <n v="1.5115494290288001"/>
    <n v="0.20021640076743"/>
    <n v="672.19811415696904"/>
    <n v="8140"/>
    <s v="Roads and Highways"/>
    <n v="8140"/>
    <s v="FDOT District 5                                 City of Cocoa Beach           Brevard County"/>
    <s v="FDOT District 5"/>
    <m/>
    <m/>
    <m/>
    <n v="0"/>
    <n v="1"/>
    <n v="1.5115494290288001"/>
    <n v="0.20021640076743"/>
    <n v="672.19811415696904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5.469168670263"/>
    <n v="741.89211364721803"/>
    <n v="0.54517284200000005"/>
  </r>
  <r>
    <n v="830000"/>
    <n v="2400000"/>
    <n v="2400000"/>
    <x v="0"/>
    <x v="0"/>
    <s v="BR3-5, BR-7"/>
    <s v="62-304.520 (10), F.A.C."/>
    <n v="0.59"/>
    <n v="0.64"/>
    <s v="City of Cocoa Beach"/>
    <n v="1.5391038047E-3"/>
    <n v="3712.06764069561"/>
    <n v="10.6500961765539"/>
    <n v="2.0409906917150198"/>
    <n v="1.6391603545749998E-2"/>
    <n v="3.1412965389700002E-3"/>
    <n v="5.7132574290983804"/>
    <n v="1400"/>
    <s v="Commercial and Services"/>
    <n v="1400"/>
    <s v="City of Cocoa Beach           Brevard County"/>
    <s v="City of Cocoa Beach"/>
    <m/>
    <m/>
    <m/>
    <n v="0"/>
    <n v="1"/>
    <n v="1.6391603545749998E-2"/>
    <n v="3.1412965389700002E-3"/>
    <n v="22.7155945145871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43.9862249822325"/>
    <n v="6.2285321167921897"/>
    <n v="1.8423028800000001E-2"/>
  </r>
  <r>
    <n v="830000"/>
    <n v="2400000"/>
    <n v="2400000"/>
    <x v="0"/>
    <x v="0"/>
    <s v="BR3-5, BR-7"/>
    <s v="62-304.520 (10), F.A.C."/>
    <n v="0.59"/>
    <n v="0.64"/>
    <s v="City of Cocoa Beach"/>
    <n v="0.17168918331989999"/>
    <n v="3712.06764069561"/>
    <n v="10.6500961765539"/>
    <n v="2.0409906917150198"/>
    <n v="1.8285063148310099"/>
    <n v="0.35041602502407998"/>
    <n v="637.32186165928397"/>
    <n v="1300"/>
    <s v="Residential, High Density"/>
    <n v="1300"/>
    <s v="City of Cocoa Beach           Brevard County"/>
    <s v="City of Cocoa Beach"/>
    <m/>
    <m/>
    <m/>
    <n v="0"/>
    <n v="1"/>
    <n v="1.8285063148310099"/>
    <n v="0.35041602502407998"/>
    <n v="2241.4673530106802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13.149883316928"/>
    <n v="694.80147417477701"/>
    <n v="1.8178972855"/>
  </r>
  <r>
    <n v="830000"/>
    <n v="2400000"/>
    <n v="2400000"/>
    <x v="0"/>
    <x v="0"/>
    <s v="BR3-5, BR-7"/>
    <s v="62-304.520 (10), F.A.C."/>
    <n v="0.59"/>
    <n v="0.64"/>
    <s v="City of Cocoa Beach"/>
    <n v="2.4677630513150001E-2"/>
    <n v="3774.99789739789"/>
    <n v="9.2844612299036307"/>
    <n v="1.2335403708746"/>
    <n v="0.22911850374525999"/>
    <n v="3.0440853495499999E-2"/>
    <n v="93.158003299918505"/>
    <n v="1400"/>
    <s v="Commercial and Services"/>
    <n v="1400"/>
    <s v="City of Cocoa Beach           Brevard County"/>
    <s v="City of Cocoa Beach"/>
    <m/>
    <m/>
    <m/>
    <n v="0"/>
    <n v="1"/>
    <n v="0.22911850374525999"/>
    <n v="3.0440853495499999E-2"/>
    <n v="255.877745992788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0.815139638174202"/>
    <n v="99.866827531773495"/>
    <n v="0.20752453039999999"/>
  </r>
  <r>
    <n v="830000"/>
    <n v="2400000"/>
    <n v="2400000"/>
    <x v="0"/>
    <x v="0"/>
    <s v="BR3-5, BR-7"/>
    <s v="62-304.520 (10), F.A.C."/>
    <n v="0.59"/>
    <n v="0.64"/>
    <s v="City of Cocoa Beach"/>
    <n v="4.0984034917999998E-4"/>
    <n v="3774.99789739789"/>
    <n v="9.2844612299036307"/>
    <n v="1.2335403708746"/>
    <n v="3.8051468324199998E-3"/>
    <n v="5.0555461631999999E-4"/>
    <n v="1.54714645642709"/>
    <n v="1400"/>
    <s v="Commercial and Services"/>
    <n v="1400"/>
    <s v="City of Cocoa Beach           Brevard County"/>
    <s v="City of Cocoa Beach"/>
    <m/>
    <m/>
    <m/>
    <n v="0"/>
    <n v="1"/>
    <n v="3.8051468324199998E-3"/>
    <n v="5.0555461631999999E-4"/>
    <n v="144.289881785520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7.297725429281801"/>
    <n v="1.6585650492436299"/>
    <n v="0.117023424"/>
  </r>
  <r>
    <n v="830000"/>
    <n v="2400000"/>
    <n v="2400000"/>
    <x v="0"/>
    <x v="0"/>
    <s v="BR3-5, BR-7"/>
    <s v="62-304.520 (10), F.A.C."/>
    <n v="0.59"/>
    <n v="0.64"/>
    <s v="FDOT District 5"/>
    <n v="2.8598329996999997E-4"/>
    <n v="3774.99789739789"/>
    <n v="9.2844612299036307"/>
    <n v="1.2335403708746"/>
    <n v="2.655200861E-3"/>
    <n v="3.5277194591E-4"/>
    <n v="1.07958635609276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655200861E-3"/>
    <n v="3.5277194591E-4"/>
    <n v="5.5179581242032603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22.149766659833201"/>
    <n v="1.1573333542003801"/>
    <n v="4.4752296E-3"/>
  </r>
  <r>
    <n v="830000"/>
    <n v="2400000"/>
    <n v="2400000"/>
    <x v="0"/>
    <x v="0"/>
    <s v="BR3-5, BR-7"/>
    <s v="62-304.520 (10), F.A.C."/>
    <n v="0.59"/>
    <n v="0.64"/>
    <s v="City of Cocoa Beach"/>
    <n v="7.0460708984000002E-4"/>
    <n v="3774.99789739789"/>
    <n v="9.2844612299036307"/>
    <n v="1.2335403708746"/>
    <n v="6.5418972079899999E-3"/>
    <n v="8.6916129092999995E-4"/>
    <n v="2.6598902826602999"/>
    <n v="8140"/>
    <s v="Roads and Highways"/>
    <n v="8140"/>
    <s v="City of Cocoa Beach           Brevard County"/>
    <s v="City of Cocoa Beach"/>
    <m/>
    <m/>
    <m/>
    <n v="0"/>
    <n v="1"/>
    <n v="6.5418972079899999E-3"/>
    <n v="8.6916129092999995E-4"/>
    <n v="6.05675803169877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44.099165889306001"/>
    <n v="2.8514437268107602"/>
    <n v="4.9122124999999997E-3"/>
  </r>
  <r>
    <n v="830000"/>
    <n v="2400000"/>
    <n v="2400000"/>
    <x v="0"/>
    <x v="0"/>
    <s v="BR3-5, BR-7"/>
    <s v="62-304.520 (10), F.A.C."/>
    <n v="0.59"/>
    <n v="0.64"/>
    <s v="FDOT District 5"/>
    <n v="0.22190280228774001"/>
    <n v="3774.99789739789"/>
    <n v="9.2844612299036307"/>
    <n v="1.2335403708746"/>
    <n v="2.0602479646475298"/>
    <n v="0.27372606503212998"/>
    <n v="837.68261206293403"/>
    <n v="8140"/>
    <s v="Roads and Highways"/>
    <n v="8140"/>
    <s v="FDOT District 5                                 City of Cocoa Beach           Brevard County"/>
    <s v="FDOT District 5"/>
    <m/>
    <m/>
    <m/>
    <n v="0"/>
    <n v="1"/>
    <n v="2.0602479646475298"/>
    <n v="0.27372606503212998"/>
    <n v="878.25775821814796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5.566498818875"/>
    <n v="898.00878058671606"/>
    <n v="0.71229339680000003"/>
  </r>
  <r>
    <n v="830000"/>
    <n v="2400000"/>
    <n v="2400000"/>
    <x v="0"/>
    <x v="0"/>
    <s v="BR3-5, BR-7"/>
    <s v="62-304.520 (10), F.A.C."/>
    <n v="0.59"/>
    <n v="0.64"/>
    <s v="City of Cocoa Beach"/>
    <n v="2.2284452142389999E-2"/>
    <n v="3774.99789739789"/>
    <n v="9.2844612299036307"/>
    <n v="1.2335403708746"/>
    <n v="0.20689913194573001"/>
    <n v="2.748877136047E-2"/>
    <n v="84.123759982216399"/>
    <n v="1410"/>
    <s v="Retail Sales and Services"/>
    <n v="1410"/>
    <s v="City of Cocoa Beach           Brevard County"/>
    <s v="City of Cocoa Beach"/>
    <m/>
    <m/>
    <m/>
    <n v="0"/>
    <n v="1"/>
    <n v="0.20689913194573001"/>
    <n v="2.748877136047E-2"/>
    <n v="146.038805802582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42.653447506941603"/>
    <n v="90.181978272127495"/>
    <n v="0.1184418539"/>
  </r>
  <r>
    <n v="830000"/>
    <n v="2400000"/>
    <n v="2400000"/>
    <x v="0"/>
    <x v="0"/>
    <s v="BR3-5, BR-7"/>
    <s v="62-304.520 (10), F.A.C."/>
    <n v="0.59"/>
    <n v="0.64"/>
    <s v="City of Cocoa Beach"/>
    <n v="6.7620913176999996E-4"/>
    <n v="3774.99789739789"/>
    <n v="9.2844612299036307"/>
    <n v="1.2335403708746"/>
    <n v="6.2782374672700004E-3"/>
    <n v="8.3413126318999996E-4"/>
    <n v="2.5526880506518799"/>
    <n v="1450"/>
    <s v="Tourist Services"/>
    <n v="1450"/>
    <s v="City of Cocoa Beach           Brevard County"/>
    <s v="City of Cocoa Beach"/>
    <m/>
    <m/>
    <m/>
    <n v="0"/>
    <n v="1"/>
    <n v="6.2782374672700004E-3"/>
    <n v="8.3413126318999996E-4"/>
    <n v="327.4025719669119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8.0310351840803396"/>
    <n v="2.73652126781043"/>
    <n v="0.26553331060000002"/>
  </r>
  <r>
    <n v="830000"/>
    <n v="2400000"/>
    <n v="2400000"/>
    <x v="0"/>
    <x v="0"/>
    <s v="BR3-5, BR-7"/>
    <s v="62-304.520 (10), F.A.C."/>
    <n v="0.59"/>
    <n v="0.64"/>
    <s v="City of Cocoa Beach"/>
    <n v="0.43743122916686"/>
    <n v="3705.5460158799001"/>
    <n v="10.531581358038499"/>
    <n v="2.0146657860314199"/>
    <n v="4.6068425785176004"/>
    <n v="0.88127773114413999"/>
    <n v="1620.92154846071"/>
    <n v="1300"/>
    <s v="Residential, High Density"/>
    <n v="1300"/>
    <s v="City of Cocoa Beach           Brevard County"/>
    <s v="City of Cocoa Beach"/>
    <m/>
    <m/>
    <m/>
    <n v="0"/>
    <n v="1"/>
    <n v="4.6068425785176004"/>
    <n v="0.88127773114413999"/>
    <n v="2199.418948844169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89.18019350698799"/>
    <n v="1770.2213791122299"/>
    <n v="1.7837947678999999"/>
  </r>
  <r>
    <n v="830000"/>
    <n v="2400000"/>
    <n v="2400000"/>
    <x v="0"/>
    <x v="0"/>
    <s v="BR3-5, BR-7"/>
    <s v="62-304.520 (10), F.A.C."/>
    <n v="0.59"/>
    <n v="0.64"/>
    <s v="FDOT District 5"/>
    <n v="4.1401861659099998E-3"/>
    <n v="3638.1839443929698"/>
    <n v="7.1108989332351502"/>
    <n v="0.96275120530325997"/>
    <n v="2.9440445390609998E-2"/>
    <n v="3.9859692214100004E-3"/>
    <n v="15.0627588356371"/>
    <n v="8140"/>
    <s v="Roads and Highways"/>
    <n v="8140"/>
    <s v="FDOT District 5                                 City of Cocoa Beach           Brevard County"/>
    <s v="FDOT District 5"/>
    <m/>
    <m/>
    <m/>
    <n v="0"/>
    <n v="1"/>
    <n v="2.9440445390609998E-2"/>
    <n v="3.9859692214100004E-3"/>
    <n v="15.0627588356369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21.495295257293598"/>
    <n v="16.754738975472598"/>
    <n v="1.22163494E-2"/>
  </r>
  <r>
    <n v="830000"/>
    <n v="2400000"/>
    <n v="2400000"/>
    <x v="0"/>
    <x v="0"/>
    <s v="BR3-5, BR-7"/>
    <s v="62-304.520 (10), F.A.C."/>
    <n v="0.59"/>
    <n v="0.64"/>
    <s v="City of Cocoa Beach"/>
    <n v="3.5556209742510003E-2"/>
    <n v="3739.7483514464102"/>
    <n v="10.933043748172899"/>
    <n v="1.5148136045526499"/>
    <n v="0.38873759663416002"/>
    <n v="5.3861030244290002E-2"/>
    <n v="132.971276768264"/>
    <n v="1400"/>
    <s v="Commercial and Services"/>
    <n v="1400"/>
    <s v="City of Cocoa Beach           Brevard County"/>
    <s v="City of Cocoa Beach"/>
    <m/>
    <m/>
    <m/>
    <n v="0"/>
    <n v="1"/>
    <n v="0.38873759663416002"/>
    <n v="5.3861030244290002E-2"/>
    <n v="916.92185895520095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90.692520765621893"/>
    <n v="143.89087575271"/>
    <n v="0.74365114269999999"/>
  </r>
  <r>
    <n v="830000"/>
    <n v="2400000"/>
    <n v="2400000"/>
    <x v="0"/>
    <x v="0"/>
    <s v="BR3-5, BR-7"/>
    <s v="62-304.520 (10), F.A.C."/>
    <n v="0.59"/>
    <n v="0.64"/>
    <s v="FDOT District 5"/>
    <n v="8.4980099964900007E-3"/>
    <n v="3739.7483514464102"/>
    <n v="10.933043748172899"/>
    <n v="1.5148136045526499"/>
    <n v="9.2909115064109996E-2"/>
    <n v="1.287290115431E-2"/>
    <n v="31.7804188749747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9.2909115064109996E-2"/>
    <n v="1.287290115431E-2"/>
    <n v="31.7804188749746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78.724157087144505"/>
    <n v="34.390226331943097"/>
    <n v="2.5774873399999999E-2"/>
  </r>
  <r>
    <n v="830000"/>
    <n v="2400000"/>
    <n v="2400000"/>
    <x v="0"/>
    <x v="0"/>
    <s v="BR3-5, BR-7"/>
    <s v="62-304.520 (10), F.A.C."/>
    <n v="0.59"/>
    <n v="0.64"/>
    <s v="FDOT District 5"/>
    <n v="6.119634311206E-2"/>
    <n v="3739.7483514464102"/>
    <n v="10.933043748172899"/>
    <n v="1.5148136045526499"/>
    <n v="0.66906229647240001"/>
    <n v="9.2701053095019997E-2"/>
    <n v="228.858923267894"/>
    <n v="8140"/>
    <s v="Roads and Highways"/>
    <n v="8140"/>
    <s v="FDOT District 5                                 City of Cocoa Beach           Brevard County"/>
    <s v="FDOT District 5"/>
    <m/>
    <m/>
    <m/>
    <n v="0"/>
    <n v="1"/>
    <n v="0.66906229647240001"/>
    <n v="9.2701053095019997E-2"/>
    <n v="228.858923267892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78.841207260053807"/>
    <n v="247.652814150452"/>
    <n v="0.18561145439999999"/>
  </r>
  <r>
    <n v="830000"/>
    <n v="2400000"/>
    <n v="2400000"/>
    <x v="0"/>
    <x v="0"/>
    <s v="BR3-5, BR-7"/>
    <s v="62-304.520 (10), F.A.C."/>
    <n v="0.59"/>
    <n v="0.64"/>
    <s v="City of Cocoa Beach"/>
    <n v="1.6666404308080002E-2"/>
    <n v="3767.4897911189"/>
    <n v="9.5491253366914606"/>
    <n v="1.2666141720820401"/>
    <n v="0.15914958364986001"/>
    <n v="2.1109903894259999E-2"/>
    <n v="62.790508085366596"/>
    <n v="1400"/>
    <s v="Commercial and Services"/>
    <n v="1400"/>
    <s v="City of Cocoa Beach           Brevard County"/>
    <s v="City of Cocoa Beach"/>
    <m/>
    <m/>
    <m/>
    <n v="0"/>
    <n v="1"/>
    <n v="0.15914958364986001"/>
    <n v="2.1109903894259999E-2"/>
    <n v="353.092753367459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2.24452788020101"/>
    <n v="67.446545312485497"/>
    <n v="0.28636881860000002"/>
  </r>
  <r>
    <n v="830000"/>
    <n v="2400000"/>
    <n v="2400000"/>
    <x v="0"/>
    <x v="0"/>
    <s v="BR3-5, BR-7"/>
    <s v="62-304.520 (10), F.A.C."/>
    <n v="0.59"/>
    <n v="0.64"/>
    <s v="FDOT District 5"/>
    <n v="1.4774948724899999E-3"/>
    <n v="3767.4897911189"/>
    <n v="9.5491253366914606"/>
    <n v="1.2666141720820401"/>
    <n v="1.4108783721769999E-2"/>
    <n v="1.87141594468E-3"/>
    <n v="5.56644684855544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4108783721769999E-2"/>
    <n v="1.87141594468E-3"/>
    <n v="5.5664468485541603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0.322522814566"/>
    <n v="5.9792096138181003"/>
    <n v="4.5145554000000001E-3"/>
  </r>
  <r>
    <n v="830000"/>
    <n v="2400000"/>
    <n v="2400000"/>
    <x v="0"/>
    <x v="0"/>
    <s v="BR3-5, BR-7"/>
    <s v="62-304.520 (10), F.A.C."/>
    <n v="0.59"/>
    <n v="0.64"/>
    <s v="FDOT District 5"/>
    <n v="0.20932077244047001"/>
    <n v="3767.4897911189"/>
    <n v="9.5491253366914606"/>
    <n v="1.2666141720820401"/>
    <n v="1.9988302916071601"/>
    <n v="0.26512865688426002"/>
    <n v="788.613873238613"/>
    <n v="8140"/>
    <s v="Roads and Highways"/>
    <n v="8140"/>
    <s v="FDOT District 5                                 City of Cocoa Beach           Brevard County"/>
    <s v="FDOT District 5"/>
    <m/>
    <m/>
    <m/>
    <n v="0"/>
    <n v="1"/>
    <n v="1.9988302916071601"/>
    <n v="0.26512865688426002"/>
    <n v="819.19767568468603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34.27765311024399"/>
    <n v="847.09111229246298"/>
    <n v="0.66439389760000001"/>
  </r>
  <r>
    <n v="830000"/>
    <n v="2400000"/>
    <n v="2400000"/>
    <x v="0"/>
    <x v="0"/>
    <s v="BR3-5, BR-7"/>
    <s v="62-304.520 (10), F.A.C."/>
    <n v="0.59"/>
    <n v="0.64"/>
    <s v="City of Cocoa Beach"/>
    <n v="0.18436470354413001"/>
    <n v="3772.6922084645898"/>
    <n v="10.778642701514199"/>
    <n v="1.44193701871698"/>
    <n v="1.98720126627285"/>
    <n v="0.26584229098507001"/>
    <n v="695.55128057685397"/>
    <n v="1400"/>
    <s v="Commercial and Services"/>
    <n v="1400"/>
    <s v="City of Cocoa Beach           Brevard County"/>
    <s v="City of Cocoa Beach"/>
    <m/>
    <m/>
    <m/>
    <n v="0"/>
    <n v="1"/>
    <n v="1.98720126627285"/>
    <n v="0.26584229098507001"/>
    <n v="695.5512805768539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29.87691512975101"/>
    <n v="746.09748460146795"/>
    <n v="0.56411296070000005"/>
  </r>
  <r>
    <n v="830000"/>
    <n v="2400000"/>
    <n v="2400000"/>
    <x v="0"/>
    <x v="0"/>
    <s v="BR3-5, BR-7"/>
    <s v="62-304.520 (10), F.A.C."/>
    <n v="0.59"/>
    <n v="0.64"/>
    <s v="City of Cocoa Beach"/>
    <n v="1.0431025071200001E-2"/>
    <n v="3772.6922084645898"/>
    <n v="10.778642701514199"/>
    <n v="1.44193701871698"/>
    <n v="0.11243229225302"/>
    <n v="1.504088119333E-2"/>
    <n v="39.3530470124226"/>
    <n v="1300"/>
    <s v="Residential, High Density"/>
    <n v="1300"/>
    <s v="City of Cocoa Beach           Brevard County"/>
    <s v="City of Cocoa Beach"/>
    <m/>
    <m/>
    <m/>
    <n v="0"/>
    <n v="1"/>
    <n v="0.11243229225302"/>
    <n v="1.504088119333E-2"/>
    <n v="39.353047012421797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01.70612730881599"/>
    <n v="42.212860801608301"/>
    <n v="3.1916501999999999E-2"/>
  </r>
  <r>
    <n v="830000"/>
    <n v="2400000"/>
    <n v="2400000"/>
    <x v="0"/>
    <x v="0"/>
    <s v="BR3-5, BR-7"/>
    <s v="62-304.520 (10), F.A.C."/>
    <n v="0.59"/>
    <n v="0.64"/>
    <s v="City of Cocoa Beach"/>
    <n v="0.17132237818032001"/>
    <n v="3772.6922084645898"/>
    <n v="10.778642701514199"/>
    <n v="1.44193701871698"/>
    <n v="1.8466227011794001"/>
    <n v="0.24703607923283"/>
    <n v="646.346601296529"/>
    <n v="1410"/>
    <s v="Retail Sales and Services"/>
    <n v="1410"/>
    <s v="City of Cocoa Beach           Brevard County"/>
    <s v="City of Cocoa Beach"/>
    <m/>
    <m/>
    <m/>
    <n v="0"/>
    <n v="1"/>
    <n v="1.8466227011794001"/>
    <n v="0.24703607923283"/>
    <n v="1026.1231847446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18.768995763771"/>
    <n v="693.31706643988002"/>
    <n v="0.83221669480000005"/>
  </r>
  <r>
    <n v="830000"/>
    <n v="2400000"/>
    <n v="2400000"/>
    <x v="0"/>
    <x v="0"/>
    <s v="BR3-5, BR-7"/>
    <s v="62-304.520 (10), F.A.C."/>
    <n v="0.59"/>
    <n v="0.64"/>
    <s v="City of Cocoa Beach"/>
    <n v="6.2477457454249999E-2"/>
    <n v="3772.6922084645898"/>
    <n v="10.778642701514199"/>
    <n v="1.44193701871698"/>
    <n v="0.67342219079842003"/>
    <n v="9.00885587386E-2"/>
    <n v="235.70821694233101"/>
    <n v="1450"/>
    <s v="Tourist Services"/>
    <n v="1450"/>
    <s v="City of Cocoa Beach           Brevard County"/>
    <s v="City of Cocoa Beach"/>
    <m/>
    <m/>
    <m/>
    <n v="0"/>
    <n v="1"/>
    <n v="0.67342219079842003"/>
    <n v="9.00885587386E-2"/>
    <n v="569.60385642726601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65.244273177633204"/>
    <n v="252.83729995395899"/>
    <n v="0.4619658203"/>
  </r>
  <r>
    <n v="830000"/>
    <n v="2400000"/>
    <n v="2400000"/>
    <x v="0"/>
    <x v="0"/>
    <s v="BR3-5, BR-7"/>
    <s v="62-304.520 (10), F.A.C."/>
    <n v="0.59"/>
    <n v="0.64"/>
    <s v="FDOT District 5"/>
    <n v="6.1556989228700003E-3"/>
    <n v="3747.2550809065501"/>
    <n v="9.6337619029891499"/>
    <n v="1.2744579733302099"/>
    <n v="5.9302537769500001E-2"/>
    <n v="7.8451795736800001E-3"/>
    <n v="23.0669740652893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5.9302537769500001E-2"/>
    <n v="7.8451795736800001E-3"/>
    <n v="224.12063615970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35.654762184873398"/>
    <n v="24.9112297204118"/>
    <n v="0.1817685614"/>
  </r>
  <r>
    <n v="830000"/>
    <n v="2400000"/>
    <n v="2400000"/>
    <x v="0"/>
    <x v="0"/>
    <s v="BR3-5, BR-7"/>
    <s v="62-304.520 (10), F.A.C."/>
    <n v="0.59"/>
    <n v="0.64"/>
    <s v="FDOT District 5"/>
    <n v="0.11384982616556"/>
    <n v="3747.2550809065501"/>
    <n v="9.6337619029891499"/>
    <n v="1.2744579733302099"/>
    <n v="1.0968021179757199"/>
    <n v="0.14509681871895"/>
    <n v="426.62433955923001"/>
    <n v="8140"/>
    <s v="Roads and Highways"/>
    <n v="8140"/>
    <s v="FDOT District 5                                 City of Cocoa Beach           Brevard County"/>
    <s v="FDOT District 5"/>
    <m/>
    <m/>
    <m/>
    <n v="0"/>
    <n v="1"/>
    <n v="1.0968021179757199"/>
    <n v="0.14509681871895"/>
    <n v="811.1427350636109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95.301155406546499"/>
    <n v="460.73390020722599"/>
    <n v="0.657861099"/>
  </r>
  <r>
    <n v="830000"/>
    <n v="2400000"/>
    <n v="2400000"/>
    <x v="0"/>
    <x v="0"/>
    <s v="BR3-5, BR-7"/>
    <s v="62-304.520 (10), F.A.C."/>
    <n v="0.59"/>
    <n v="0.64"/>
    <s v="City of Cocoa Beach"/>
    <n v="7.7668110882100003E-3"/>
    <n v="3720.1448432840002"/>
    <n v="9.8542963554243705"/>
    <n v="1.3000097112692901"/>
    <n v="7.6536458199889995E-2"/>
    <n v="1.009692984027E-2"/>
    <n v="28.8936622185952"/>
    <n v="1400"/>
    <s v="Commercial and Services"/>
    <n v="1400"/>
    <s v="City of Cocoa Beach           Brevard County"/>
    <s v="City of Cocoa Beach"/>
    <m/>
    <m/>
    <m/>
    <n v="0"/>
    <n v="1"/>
    <n v="7.6536458199889995E-2"/>
    <n v="1.009692984027E-2"/>
    <n v="892.50664443949802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82.207761781242795"/>
    <n v="31.431169333921101"/>
    <n v="0.72384967109999998"/>
  </r>
  <r>
    <n v="830000"/>
    <n v="2400000"/>
    <n v="2400000"/>
    <x v="0"/>
    <x v="0"/>
    <s v="BR3-5, BR-7"/>
    <s v="62-304.520 (10), F.A.C."/>
    <n v="0.59"/>
    <n v="0.64"/>
    <s v="FDOT District 5"/>
    <n v="1.1009447020300001E-3"/>
    <n v="3720.1448432840002"/>
    <n v="9.8542963554243705"/>
    <n v="1.3000097112692901"/>
    <n v="1.0849035364770001E-2"/>
    <n v="1.4312388042100001E-3"/>
    <n v="4.0956737560126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0849035364770001E-2"/>
    <n v="1.4312388042100001E-3"/>
    <n v="5.1614919644187198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86.111962019589896"/>
    <n v="4.4553651381350399"/>
    <n v="4.1861249000000001E-3"/>
  </r>
  <r>
    <n v="830000"/>
    <n v="2400000"/>
    <n v="2400000"/>
    <x v="0"/>
    <x v="0"/>
    <s v="BR3-5, BR-7"/>
    <s v="62-304.520 (10), F.A.C."/>
    <n v="0.59"/>
    <n v="0.64"/>
    <s v="City of Cocoa Beach"/>
    <n v="6.7753856730000004E-4"/>
    <n v="3720.1448432840002"/>
    <n v="9.8542963554243705"/>
    <n v="1.3000097112692901"/>
    <n v="6.6766658343999996E-3"/>
    <n v="8.8080671723999996E-4"/>
    <n v="2.5205416072671301"/>
    <n v="8140"/>
    <s v="Roads and Highways"/>
    <n v="8140"/>
    <s v="City of Cocoa Beach           Brevard County"/>
    <s v="City of Cocoa Beach"/>
    <m/>
    <m/>
    <m/>
    <n v="0"/>
    <n v="1"/>
    <n v="6.6766658343999996E-3"/>
    <n v="8.8080671723999996E-4"/>
    <n v="2.5205416072687599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51.486821063752501"/>
    <n v="2.7419013025034702"/>
    <n v="2.0442349000000001E-3"/>
  </r>
  <r>
    <n v="830000"/>
    <n v="2400000"/>
    <n v="2400000"/>
    <x v="0"/>
    <x v="0"/>
    <s v="BR3-5, BR-7"/>
    <s v="62-304.520 (10), F.A.C."/>
    <n v="0.59"/>
    <n v="0.64"/>
    <s v="FDOT District 5"/>
    <n v="0.24328125570347001"/>
    <n v="3720.1448432840002"/>
    <n v="9.8542963554243705"/>
    <n v="1.3000097112692901"/>
    <n v="2.3973655914218499"/>
    <n v="0.31626799498431002"/>
    <n v="905.04150887295498"/>
    <n v="8140"/>
    <s v="Roads and Highways"/>
    <n v="8140"/>
    <s v="FDOT District 5                                 City of Cocoa Beach           Brevard County"/>
    <s v="FDOT District 5"/>
    <m/>
    <m/>
    <m/>
    <n v="0"/>
    <n v="1"/>
    <n v="2.3973655914218499"/>
    <n v="0.31626799498431002"/>
    <n v="906.79121579280604"/>
    <m/>
    <n v="-1"/>
    <n v="-1"/>
    <n v="-1"/>
    <n v="-1"/>
    <n v="0"/>
    <m/>
    <m/>
    <s v="Banana River B"/>
    <n v="-1"/>
    <m/>
    <m/>
    <n v="385"/>
    <x v="23"/>
    <s v="Shepard Drive Swale"/>
    <x v="0"/>
    <n v="4.5650820000000003"/>
    <n v="141.51168799191001"/>
    <n v="984.52431209316205"/>
    <n v="0.73543488710000005"/>
  </r>
  <r>
    <n v="830000"/>
    <n v="2400000"/>
    <n v="2400000"/>
    <x v="0"/>
    <x v="0"/>
    <s v="BR3-5, BR-7"/>
    <s v="62-304.520 (10), F.A.C."/>
    <n v="0.59"/>
    <n v="0.64"/>
    <s v="City of Cocoa Beach"/>
    <n v="0.10316542341069999"/>
    <n v="3676.5149713402202"/>
    <n v="9.1679297974106593"/>
    <n v="1.3484741990996001"/>
    <n v="0.94581335934945998"/>
    <n v="0.13911591170851001"/>
    <n v="379.28922369409901"/>
    <n v="1200"/>
    <s v="Residential, Medium Density-Two-five dwellingunits per acre"/>
    <n v="1200"/>
    <s v="City of Cocoa Beach           Brevard County"/>
    <s v="City of Cocoa Beach"/>
    <m/>
    <m/>
    <m/>
    <n v="0"/>
    <n v="1"/>
    <n v="0.94581335934945998"/>
    <n v="0.13911591170851001"/>
    <n v="698.31813779814502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17.17824359502799"/>
    <n v="417.495656299215"/>
    <n v="0.56635696499999999"/>
  </r>
  <r>
    <n v="830000"/>
    <n v="2400000"/>
    <n v="2400000"/>
    <x v="0"/>
    <x v="0"/>
    <s v="BR3-5, BR-7"/>
    <s v="62-304.520 (10), F.A.C."/>
    <n v="0.59"/>
    <n v="0.64"/>
    <s v="City of Cocoa Beach"/>
    <n v="2.4866731816869998E-2"/>
    <n v="3676.5149713402202"/>
    <n v="9.1679297974106593"/>
    <n v="1.3484741990996001"/>
    <n v="0.22797645158815"/>
    <n v="3.3532146270980001E-2"/>
    <n v="91.422911813046795"/>
    <n v="1210"/>
    <s v="Fixed Single Family Units"/>
    <n v="1210"/>
    <s v="City of Cocoa Beach           Brevard County"/>
    <s v="City of Cocoa Beach"/>
    <m/>
    <m/>
    <m/>
    <n v="0"/>
    <n v="1"/>
    <n v="0.22797645158815"/>
    <n v="3.3532146270980001E-2"/>
    <n v="91.422911813048302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54.935935952674399"/>
    <n v="100.63209335722399"/>
    <n v="7.4146724900000002E-2"/>
  </r>
  <r>
    <n v="830000"/>
    <n v="2400000"/>
    <n v="2400000"/>
    <x v="0"/>
    <x v="0"/>
    <s v="BR3-5, BR-7"/>
    <s v="62-304.520 (10), F.A.C."/>
    <n v="0.59"/>
    <n v="0.64"/>
    <s v="City of Cocoa Beach"/>
    <n v="9.1366741279500004E-3"/>
    <n v="3676.5149713402202"/>
    <n v="9.1679297974106593"/>
    <n v="1.3484741990996001"/>
    <n v="8.376438698692E-2"/>
    <n v="1.232056932713E-2"/>
    <n v="33.591119219690697"/>
    <n v="1210"/>
    <s v="Fixed Single Family Units"/>
    <n v="1210"/>
    <s v="City of Cocoa Beach           Brevard County"/>
    <s v="City of Cocoa Beach"/>
    <m/>
    <m/>
    <m/>
    <n v="0"/>
    <n v="1"/>
    <n v="8.376438698692E-2"/>
    <n v="1.232056932713E-2"/>
    <n v="33.5911192196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52.697819166608603"/>
    <n v="36.974808374097798"/>
    <n v="2.7243405700000001E-2"/>
  </r>
  <r>
    <n v="830000"/>
    <n v="2400000"/>
    <n v="2400000"/>
    <x v="0"/>
    <x v="0"/>
    <s v="BR3-5, BR-7"/>
    <s v="62-304.520 (10), F.A.C."/>
    <n v="0.59"/>
    <n v="0.64"/>
    <s v="City of Cocoa Beach"/>
    <n v="7.3538161700000001E-5"/>
    <n v="3676.5149709293401"/>
    <n v="9.1679297963860709"/>
    <n v="1.34847419894889"/>
    <n v="6.7419270390000003E-4"/>
    <n v="9.9164313700000005E-5"/>
    <n v="0.27036415245776002"/>
    <n v="1200"/>
    <s v="Residential, Medium Density-Two-five dwellingunits per acre"/>
    <n v="1200"/>
    <s v="City of Cocoa Beach           Brevard County"/>
    <s v="City of Cocoa Beach"/>
    <m/>
    <m/>
    <m/>
    <n v="0"/>
    <n v="1"/>
    <n v="6.7419270390000003E-4"/>
    <n v="9.9164313700000005E-5"/>
    <n v="0.27036415245603002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4.72779053941969"/>
    <n v="0.29759838200165001"/>
    <n v="2.192734E-4"/>
  </r>
  <r>
    <n v="830000"/>
    <n v="2400000"/>
    <n v="2400000"/>
    <x v="0"/>
    <x v="0"/>
    <s v="BR3-5, BR-7"/>
    <s v="62-304.520 (10), F.A.C."/>
    <n v="0.59"/>
    <n v="0.64"/>
    <s v="City of Cocoa Beach"/>
    <n v="5.5938593890719999E-2"/>
    <n v="3676.5149709293401"/>
    <n v="9.1679297963860709"/>
    <n v="1.34847419894889"/>
    <n v="0.51284110169872998"/>
    <n v="7.5431750587119997E-2"/>
    <n v="205.659077891994"/>
    <n v="1210"/>
    <s v="Fixed Single Family Units"/>
    <n v="1210"/>
    <s v="City of Cocoa Beach           Brevard County"/>
    <s v="City of Cocoa Beach"/>
    <m/>
    <m/>
    <m/>
    <n v="0"/>
    <n v="1"/>
    <n v="0.51284110169872998"/>
    <n v="7.5431750587119997E-2"/>
    <n v="716.83254973950397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65.491231161848901"/>
    <n v="226.375457946712"/>
    <n v="0.58137270860000001"/>
  </r>
  <r>
    <n v="830000"/>
    <n v="2400000"/>
    <n v="2400000"/>
    <x v="0"/>
    <x v="0"/>
    <s v="BR3-5, BR-7"/>
    <s v="62-304.520 (10), F.A.C."/>
    <n v="0.59"/>
    <n v="0.64"/>
    <s v="City of Cocoa Beach"/>
    <n v="9.0337845591909993E-2"/>
    <n v="3676.5149709293401"/>
    <n v="9.1679297963860709"/>
    <n v="1.34847419894889"/>
    <n v="0.82821102634345001"/>
    <n v="0.12181825396932"/>
    <n v="332.128441760182"/>
    <n v="1210"/>
    <s v="Fixed Single Family Units"/>
    <n v="1210"/>
    <s v="City of Cocoa Beach           Brevard County"/>
    <s v="City of Cocoa Beach"/>
    <m/>
    <m/>
    <m/>
    <n v="0"/>
    <n v="1"/>
    <n v="0.82821102634345001"/>
    <n v="0.12181825396932"/>
    <n v="970.88406395597497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79.529501251278703"/>
    <n v="365.58429061942297"/>
    <n v="0.78741611030000003"/>
  </r>
  <r>
    <n v="830000"/>
    <n v="2400000"/>
    <n v="2400000"/>
    <x v="0"/>
    <x v="0"/>
    <s v="BR3-5, BR-7"/>
    <s v="62-304.520 (10), F.A.C."/>
    <n v="0.59"/>
    <n v="0.64"/>
    <s v="City of Cocoa Beach"/>
    <n v="7.7907912949900003E-3"/>
    <n v="3676.5149709293401"/>
    <n v="9.1679297963860709"/>
    <n v="1.34847419894889"/>
    <n v="7.1425427650799997E-2"/>
    <n v="1.050568105069E-2"/>
    <n v="28.642960831431399"/>
    <n v="1210"/>
    <s v="Fixed Single Family Units"/>
    <n v="1210"/>
    <s v="City of Cocoa Beach           Brevard County"/>
    <s v="City of Cocoa Beach"/>
    <m/>
    <m/>
    <m/>
    <n v="0"/>
    <n v="1"/>
    <n v="7.1425427650799997E-2"/>
    <n v="1.050568105069E-2"/>
    <n v="143.6731010947509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34.823138134059398"/>
    <n v="31.5282137877232"/>
    <n v="0.11652319630000001"/>
  </r>
  <r>
    <n v="830000"/>
    <n v="2400000"/>
    <n v="2400000"/>
    <x v="0"/>
    <x v="0"/>
    <s v="BR3-5, BR-7"/>
    <s v="62-304.520 (10), F.A.C."/>
    <n v="0.59"/>
    <n v="0.64"/>
    <s v="FDOT District 5"/>
    <n v="1.7515601846000001E-2"/>
    <n v="3688.8151883057199"/>
    <n v="9.0538569533620095"/>
    <n v="1.29966393168446"/>
    <n v="0.15858375356577001"/>
    <n v="2.2764395960989999E-2"/>
    <n v="64.611818121859002"/>
    <n v="8140"/>
    <s v="Roads and Highways"/>
    <n v="8140"/>
    <s v="FDOT District 5                                 City of Cocoa Beach           Brevard County"/>
    <s v="FDOT District 5"/>
    <m/>
    <m/>
    <m/>
    <n v="0"/>
    <n v="1"/>
    <n v="0.15858375356577001"/>
    <n v="2.2764395960989999E-2"/>
    <n v="431.93371798278798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59.0023265656014"/>
    <n v="70.883125822704898"/>
    <n v="0.3503112068"/>
  </r>
  <r>
    <n v="830000"/>
    <n v="2400000"/>
    <n v="2400000"/>
    <x v="0"/>
    <x v="0"/>
    <s v="BR3-5, BR-7"/>
    <s v="62-304.520 (10), F.A.C."/>
    <n v="0.59"/>
    <n v="0.64"/>
    <s v="City of Cocoa Beach"/>
    <n v="2.9780239056500001E-3"/>
    <n v="3685.7273752743499"/>
    <n v="9.2296157415098108"/>
    <n v="1.35886223884501"/>
    <n v="2.7486016318190001E-2"/>
    <n v="4.0467242317599999E-3"/>
    <n v="10.976184233283"/>
    <n v="1200"/>
    <s v="Residential, Medium Density-Two-five dwellingunits per acre"/>
    <n v="1200"/>
    <s v="City of Cocoa Beach           Brevard County"/>
    <s v="City of Cocoa Beach"/>
    <m/>
    <m/>
    <m/>
    <n v="0"/>
    <n v="1"/>
    <n v="2.7486016318190001E-2"/>
    <n v="4.0467242317599999E-3"/>
    <n v="865.99991299891406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29.627166006494999"/>
    <n v="12.0516351686472"/>
    <n v="0.70235191649999995"/>
  </r>
  <r>
    <n v="830000"/>
    <n v="2400000"/>
    <n v="2400000"/>
    <x v="0"/>
    <x v="0"/>
    <s v="BR3-5, BR-7"/>
    <s v="62-304.520 (10), F.A.C."/>
    <n v="0.59"/>
    <n v="0.64"/>
    <s v="City of Cocoa Beach"/>
    <n v="4.0548728614210001E-2"/>
    <n v="3682.4933670356299"/>
    <n v="9.1820781403385094"/>
    <n v="1.35052942043086"/>
    <n v="0.37232159462712999"/>
    <n v="5.4762250954559999E-2"/>
    <n v="149.32042416358499"/>
    <n v="1200"/>
    <s v="Residential, Medium Density-Two-five dwellingunits per acre"/>
    <n v="1200"/>
    <s v="City of Cocoa Beach           Brevard County"/>
    <s v="City of Cocoa Beach"/>
    <m/>
    <m/>
    <m/>
    <n v="0"/>
    <n v="1"/>
    <n v="0.37232159462712999"/>
    <n v="5.4762250954559999E-2"/>
    <n v="149.3204241635839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06.92600179586501"/>
    <n v="164.09488281260101"/>
    <n v="0.1211033448"/>
  </r>
  <r>
    <n v="830000"/>
    <n v="2400000"/>
    <n v="2400000"/>
    <x v="0"/>
    <x v="0"/>
    <s v="BR3-5, BR-7"/>
    <s v="62-304.520 (10), F.A.C."/>
    <n v="0.59"/>
    <n v="0.64"/>
    <s v="City of Cocoa Beach"/>
    <n v="8.6202955270770001E-2"/>
    <n v="3682.4933670356299"/>
    <n v="9.1820781403385094"/>
    <n v="1.35052942043086"/>
    <n v="0.79152227122433005"/>
    <n v="0.11641962722125999"/>
    <n v="317.44181100348698"/>
    <n v="1210"/>
    <s v="Fixed Single Family Units"/>
    <n v="1210"/>
    <s v="City of Cocoa Beach           Brevard County"/>
    <s v="City of Cocoa Beach"/>
    <m/>
    <m/>
    <m/>
    <n v="0"/>
    <n v="1"/>
    <n v="0.79152227122433005"/>
    <n v="0.11641962722125999"/>
    <n v="862.19417031352305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76.784009727062397"/>
    <n v="348.85098316738498"/>
    <n v="0.69926534490000003"/>
  </r>
  <r>
    <n v="830000"/>
    <n v="2400000"/>
    <n v="2400000"/>
    <x v="0"/>
    <x v="0"/>
    <s v="BR3-5, BR-7"/>
    <s v="62-304.520 (10), F.A.C."/>
    <n v="0.59"/>
    <n v="0.64"/>
    <s v="City of Cocoa Beach"/>
    <n v="8.5306454869500004E-2"/>
    <n v="3682.4933670356299"/>
    <n v="9.1820781403385094"/>
    <n v="1.35052942043086"/>
    <n v="0.78329053448708996"/>
    <n v="0.11520887705393"/>
    <n v="314.140454222291"/>
    <n v="1210"/>
    <s v="Fixed Single Family Units"/>
    <n v="1210"/>
    <s v="City of Cocoa Beach           Brevard County"/>
    <s v="City of Cocoa Beach"/>
    <m/>
    <m/>
    <m/>
    <n v="0"/>
    <n v="1"/>
    <n v="0.78329053448708996"/>
    <n v="0.11520887705393"/>
    <n v="1005.94587400707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80.193137955322598"/>
    <n v="345.22297476084901"/>
    <n v="0.81585229039999996"/>
  </r>
  <r>
    <n v="830000"/>
    <n v="2400000"/>
    <n v="2400000"/>
    <x v="0"/>
    <x v="0"/>
    <s v="BR3-5, BR-7"/>
    <s v="62-304.520 (10), F.A.C."/>
    <n v="0.59"/>
    <n v="0.64"/>
    <s v="City of Cocoa Beach"/>
    <n v="2.5277502583299998E-3"/>
    <n v="3682.4933670356299"/>
    <n v="9.1820781403385094"/>
    <n v="1.35052942043086"/>
    <n v="2.3210000391260002E-2"/>
    <n v="3.4138010913699998E-3"/>
    <n v="9.3084235598301905"/>
    <n v="1210"/>
    <s v="Fixed Single Family Units"/>
    <n v="1210"/>
    <s v="City of Cocoa Beach           Brevard County"/>
    <s v="City of Cocoa Beach"/>
    <m/>
    <m/>
    <m/>
    <n v="0"/>
    <n v="1"/>
    <n v="2.3210000391260002E-2"/>
    <n v="3.4138010913699998E-3"/>
    <n v="91.426112185940795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27.9030985659628"/>
    <n v="10.229442367155199"/>
    <n v="7.4149320500000004E-2"/>
  </r>
  <r>
    <n v="830000"/>
    <n v="2400000"/>
    <n v="2400000"/>
    <x v="0"/>
    <x v="0"/>
    <s v="BR3-5, BR-7"/>
    <s v="62-304.520 (10), F.A.C."/>
    <n v="0.59"/>
    <n v="0.64"/>
    <s v="City of Cocoa Beach"/>
    <n v="0.1017445903446"/>
    <n v="3686.47868703839"/>
    <n v="9.1915098277003793"/>
    <n v="1.3518994934617401"/>
    <n v="0.93518640206779002"/>
    <n v="0.13754846014934"/>
    <n v="375.07926382684201"/>
    <n v="1200"/>
    <s v="Residential, Medium Density-Two-five dwellingunits per acre"/>
    <n v="1200"/>
    <s v="City of Cocoa Beach           Brevard County"/>
    <s v="City of Cocoa Beach"/>
    <m/>
    <m/>
    <m/>
    <n v="0"/>
    <n v="1"/>
    <n v="0.93518640206779002"/>
    <n v="0.13754846014934"/>
    <n v="1070.05316542692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30.52370965050801"/>
    <n v="411.74574888052598"/>
    <n v="0.86784522740000003"/>
  </r>
  <r>
    <n v="830000"/>
    <n v="2400000"/>
    <n v="2400000"/>
    <x v="0"/>
    <x v="0"/>
    <s v="BR3-5, BR-7"/>
    <s v="62-304.520 (10), F.A.C."/>
    <n v="0.59"/>
    <n v="0.64"/>
    <s v="City of Cocoa Beach"/>
    <n v="4.304791593E-5"/>
    <n v="3686.47868703839"/>
    <n v="9.1915098277003793"/>
    <n v="1.3518994934617401"/>
    <n v="3.9567534238000001E-4"/>
    <n v="5.8196455740000002E-5"/>
    <n v="0.15869522461947999"/>
    <n v="1210"/>
    <s v="Fixed Single Family Units"/>
    <n v="1210"/>
    <s v="City of Cocoa Beach           Brevard County"/>
    <s v="City of Cocoa Beach"/>
    <m/>
    <m/>
    <m/>
    <n v="0"/>
    <n v="1"/>
    <n v="3.9567534238000001E-4"/>
    <n v="5.8196455740000002E-5"/>
    <n v="0.15869522462093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3.6348613972208601"/>
    <n v="0.17420873507813001"/>
    <n v="1.2870660000000001E-4"/>
  </r>
  <r>
    <n v="830000"/>
    <n v="2400000"/>
    <n v="2400000"/>
    <x v="0"/>
    <x v="0"/>
    <s v="BR3-5, BR-7"/>
    <s v="62-304.520 (10), F.A.C."/>
    <n v="0.59"/>
    <n v="0.64"/>
    <s v="City of Cocoa Beach"/>
    <n v="0.12273003372022"/>
    <n v="3686.47868703839"/>
    <n v="9.1915098277003793"/>
    <n v="1.3518994934617401"/>
    <n v="1.1280743110934599"/>
    <n v="0.16591867041891001"/>
    <n v="452.44165356911998"/>
    <n v="1210"/>
    <s v="Fixed Single Family Units"/>
    <n v="1210"/>
    <s v="City of Cocoa Beach           Brevard County"/>
    <s v="City of Cocoa Beach"/>
    <m/>
    <m/>
    <m/>
    <n v="0"/>
    <n v="1"/>
    <n v="1.1280743110934599"/>
    <n v="0.16591867041891001"/>
    <n v="902.20162030713504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91.005071758593701"/>
    <n v="496.670825182069"/>
    <n v="0.7317125874"/>
  </r>
  <r>
    <n v="830000"/>
    <n v="2400000"/>
    <n v="2400000"/>
    <x v="0"/>
    <x v="0"/>
    <s v="BR3-5, BR-7"/>
    <s v="62-304.520 (10), F.A.C."/>
    <n v="0.59"/>
    <n v="0.64"/>
    <s v="FDOT District 5"/>
    <n v="2.3211332973270001E-2"/>
    <n v="3678.80686335871"/>
    <n v="9.1467762742201906"/>
    <n v="1.33941775501181"/>
    <n v="0.21230886973296001"/>
    <n v="3.1089671501890001E-2"/>
    <n v="85.390011049784903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21230886973296001"/>
    <n v="3.1089671501890001E-2"/>
    <n v="336.0311328599719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53.286359457457898"/>
    <n v="93.932931915358907"/>
    <n v="0.27253133239999999"/>
  </r>
  <r>
    <n v="830000"/>
    <n v="2400000"/>
    <n v="2400000"/>
    <x v="0"/>
    <x v="0"/>
    <s v="BR3-5, BR-7"/>
    <s v="62-304.520 (10), F.A.C."/>
    <n v="0.59"/>
    <n v="0.64"/>
    <s v="FDOT District 5"/>
    <n v="2.1106188228930001E-2"/>
    <n v="3678.80686335871"/>
    <n v="9.1467762742201906"/>
    <n v="1.33941775501181"/>
    <n v="0.19305358173166001"/>
    <n v="2.827000325446E-2"/>
    <n v="77.645590115954406"/>
    <n v="8140"/>
    <s v="Roads and Highways"/>
    <n v="8140"/>
    <s v="FDOT District 5                                 City of Cocoa Beach           Brevard County"/>
    <s v="FDOT District 5"/>
    <m/>
    <m/>
    <m/>
    <n v="0"/>
    <n v="1"/>
    <n v="0.19305358173166001"/>
    <n v="2.827000325446E-2"/>
    <n v="94.603730192942095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55.8020975453747"/>
    <n v="85.413713386656994"/>
    <n v="7.6726464100000002E-2"/>
  </r>
  <r>
    <n v="830000"/>
    <n v="2400000"/>
    <n v="2400000"/>
    <x v="0"/>
    <x v="0"/>
    <s v="BR3-5, BR-7"/>
    <s v="62-304.520 (10), F.A.C."/>
    <n v="0.59"/>
    <n v="0.64"/>
    <s v="City of Cocoa Beach"/>
    <n v="1.0321487668270001E-2"/>
    <n v="3678.80686335871"/>
    <n v="9.1467762742201906"/>
    <n v="1.33941775501181"/>
    <n v="9.4408338518779999E-2"/>
    <n v="1.382478384101E-2"/>
    <n v="37.970759674104002"/>
    <n v="1210"/>
    <s v="Fixed Single Family Units"/>
    <n v="1210"/>
    <s v="City of Cocoa Beach           Brevard County"/>
    <s v="City of Cocoa Beach"/>
    <m/>
    <m/>
    <m/>
    <n v="0"/>
    <n v="1"/>
    <n v="9.4408338518779999E-2"/>
    <n v="1.382478384101E-2"/>
    <n v="440.236617847042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31.2963501791284"/>
    <n v="41.769578659059299"/>
    <n v="0.35704510769999998"/>
  </r>
  <r>
    <n v="830000"/>
    <n v="2400000"/>
    <n v="2400000"/>
    <x v="0"/>
    <x v="0"/>
    <s v="BR3-5, BR-7"/>
    <s v="62-304.520 (10), F.A.C."/>
    <n v="0.59"/>
    <n v="0.64"/>
    <s v="FDOT District 5"/>
    <n v="1.9209961437079998E-2"/>
    <n v="3678.80686335871"/>
    <n v="9.1467762742201906"/>
    <n v="1.33941775501181"/>
    <n v="0.17570921950144999"/>
    <n v="2.5730163421919999E-2"/>
    <n v="70.6697379796192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0.17570921950144999"/>
    <n v="2.5730163421919999E-2"/>
    <n v="114.33362287073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42.358278046677903"/>
    <n v="77.739955815739705"/>
    <n v="9.27279991E-2"/>
  </r>
  <r>
    <n v="830000"/>
    <n v="2400000"/>
    <n v="2400000"/>
    <x v="0"/>
    <x v="0"/>
    <s v="BR3-5, BR-7"/>
    <s v="62-304.520 (10), F.A.C."/>
    <n v="0.59"/>
    <n v="0.64"/>
    <s v="City of Cocoa Beach"/>
    <n v="2.9414203258439998E-2"/>
    <n v="3676.5149706554098"/>
    <n v="9.1679297957029995"/>
    <n v="1.3484741988484199"/>
    <n v="0.26966735046992002"/>
    <n v="3.9664294173690003E-2"/>
    <n v="108.14175862955901"/>
    <n v="1210"/>
    <s v="Fixed Single Family Units"/>
    <n v="1210"/>
    <s v="City of Cocoa Beach           Brevard County"/>
    <s v="City of Cocoa Beach"/>
    <m/>
    <m/>
    <m/>
    <n v="0"/>
    <n v="1"/>
    <n v="0.26966735046992002"/>
    <n v="3.9664294173690003E-2"/>
    <n v="552.43597233883997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52.880484888443803"/>
    <n v="119.03505736619999"/>
    <n v="0.44804215110000001"/>
  </r>
  <r>
    <n v="830000"/>
    <n v="2400000"/>
    <n v="2400000"/>
    <x v="0"/>
    <x v="0"/>
    <s v="BR3-5, BR-7"/>
    <s v="62-304.520 (10), F.A.C."/>
    <n v="0.59"/>
    <n v="0.64"/>
    <s v="City of Cocoa Beach"/>
    <n v="4.9159564942359998E-2"/>
    <n v="3676.5149706554098"/>
    <n v="9.1679297957029995"/>
    <n v="1.3484741988484199"/>
    <n v="0.4506914401789"/>
    <n v="6.6290404951390006E-2"/>
    <n v="180.73587646151199"/>
    <n v="1210"/>
    <s v="Fixed Single Family Units"/>
    <n v="1210"/>
    <s v="City of Cocoa Beach           Brevard County"/>
    <s v="City of Cocoa Beach"/>
    <m/>
    <m/>
    <m/>
    <n v="0"/>
    <n v="1"/>
    <n v="0.4506914401789"/>
    <n v="6.6290404951390006E-2"/>
    <n v="824.5161377192409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67.165498894036801"/>
    <n v="198.94170110939899"/>
    <n v="0.66870732990000004"/>
  </r>
  <r>
    <n v="830000"/>
    <n v="2400000"/>
    <n v="2400000"/>
    <x v="0"/>
    <x v="0"/>
    <s v="BR3-5, BR-7"/>
    <s v="62-304.520 (10), F.A.C."/>
    <n v="0.59"/>
    <n v="0.64"/>
    <s v="City of Cocoa Beach"/>
    <n v="7.8557647365900003E-3"/>
    <n v="3676.5149706554098"/>
    <n v="9.1679297957029995"/>
    <n v="1.3484741988484199"/>
    <n v="7.2021099596640006E-2"/>
    <n v="1.059329605951E-2"/>
    <n v="28.881836660030999"/>
    <n v="1210"/>
    <s v="Fixed Single Family Units"/>
    <n v="1210"/>
    <s v="City of Cocoa Beach           Brevard County"/>
    <s v="City of Cocoa Beach"/>
    <m/>
    <m/>
    <m/>
    <n v="0"/>
    <n v="1"/>
    <n v="7.2021099596640006E-2"/>
    <n v="1.059329605951E-2"/>
    <n v="180.9011670177939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24.594535152752702"/>
    <n v="31.791151977145699"/>
    <n v="0.14671627500000001"/>
  </r>
  <r>
    <n v="830000"/>
    <n v="2400000"/>
    <n v="2400000"/>
    <x v="0"/>
    <x v="0"/>
    <s v="BR3-5, BR-7"/>
    <s v="62-304.520 (10), F.A.C."/>
    <n v="0.59"/>
    <n v="0.64"/>
    <s v="FDOT District 5"/>
    <n v="7.2129294894709997E-2"/>
    <n v="3693.0431339332199"/>
    <n v="9.0143298737518496"/>
    <n v="1.28276681606152"/>
    <n v="0.65019725774207004"/>
    <n v="9.2525065956850006E-2"/>
    <n v="266.37659726636798"/>
    <n v="8140"/>
    <s v="Roads and Highways"/>
    <n v="8140"/>
    <s v="FDOT District 5                                 City of Cocoa Beach           Brevard County"/>
    <s v="FDOT District 5"/>
    <m/>
    <m/>
    <m/>
    <n v="0"/>
    <n v="1"/>
    <n v="0.65019725774207004"/>
    <n v="9.2525065956850006E-2"/>
    <n v="606.94846971817401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11.848490936747"/>
    <n v="291.89690028785498"/>
    <n v="0.49225342230000002"/>
  </r>
  <r>
    <n v="830000"/>
    <n v="2400000"/>
    <n v="2400000"/>
    <x v="0"/>
    <x v="0"/>
    <s v="BR3-5, BR-7"/>
    <s v="62-304.520 (10), F.A.C."/>
    <n v="0.59"/>
    <n v="0.64"/>
    <s v="City of Cocoa Beach"/>
    <n v="6.0014151752459999E-2"/>
    <n v="3682.4933674471799"/>
    <n v="9.1820781413646895"/>
    <n v="1.3505294205817899"/>
    <n v="0.55105463097887997"/>
    <n v="8.105087759297E-2"/>
    <n v="221.001715781435"/>
    <n v="1200"/>
    <s v="Residential, Medium Density-Two-five dwellingunits per acre"/>
    <n v="1200"/>
    <s v="City of Cocoa Beach           Brevard County"/>
    <s v="City of Cocoa Beach"/>
    <m/>
    <m/>
    <m/>
    <n v="0"/>
    <n v="1"/>
    <n v="0.55105463097887997"/>
    <n v="8.105087759297E-2"/>
    <n v="550.49871567346304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10.103197315605"/>
    <n v="242.868655454367"/>
    <n v="0.4464709778"/>
  </r>
  <r>
    <n v="830000"/>
    <n v="2400000"/>
    <n v="2400000"/>
    <x v="0"/>
    <x v="0"/>
    <s v="BR3-5, BR-7"/>
    <s v="62-304.520 (10), F.A.C."/>
    <n v="0.59"/>
    <n v="0.64"/>
    <s v="City of Cocoa Beach"/>
    <n v="6.5912572802300007E-2"/>
    <n v="3688.6581817451201"/>
    <n v="9.0553216233600704"/>
    <n v="1.3002902112957999"/>
    <n v="0.59685954574799005"/>
    <n v="8.5705473216150005E-2"/>
    <n v="243.12895094709"/>
    <n v="1200"/>
    <s v="Residential, Medium Density-Two-five dwellingunits per acre"/>
    <n v="1200"/>
    <s v="City of Cocoa Beach           Brevard County"/>
    <s v="City of Cocoa Beach"/>
    <m/>
    <m/>
    <m/>
    <n v="0"/>
    <n v="1"/>
    <n v="0.59685954574799005"/>
    <n v="8.5705473216150005E-2"/>
    <n v="421.38338159962802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78.701031741333793"/>
    <n v="266.73871856190999"/>
    <n v="0.34175456739999999"/>
  </r>
  <r>
    <n v="830000"/>
    <n v="2400000"/>
    <n v="2400000"/>
    <x v="0"/>
    <x v="0"/>
    <s v="BR3-5, BR-7"/>
    <s v="62-304.520 (10), F.A.C."/>
    <n v="0.59"/>
    <n v="0.64"/>
    <s v="FDOT District 5"/>
    <n v="3.6194684095199998E-2"/>
    <n v="3688.6581817451201"/>
    <n v="9.0553216233600704"/>
    <n v="1.3002902112957999"/>
    <n v="0.32775450553794999"/>
    <n v="4.7063593429930002E-2"/>
    <n v="133.50981762343901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32775450553794999"/>
    <n v="4.7063593429930002E-2"/>
    <n v="267.590538323212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67.721394474265196"/>
    <n v="146.4746897874"/>
    <n v="0.2170239565"/>
  </r>
  <r>
    <n v="830000"/>
    <n v="2400000"/>
    <n v="2400000"/>
    <x v="0"/>
    <x v="0"/>
    <s v="BR3-5, BR-7"/>
    <s v="62-304.520 (10), F.A.C."/>
    <n v="0.59"/>
    <n v="0.64"/>
    <s v="FDOT District 5"/>
    <n v="6.5902741308880006E-2"/>
    <n v="3688.6581817451201"/>
    <n v="9.0553216233600704"/>
    <n v="1.3002902112957999"/>
    <n v="0.596770518413"/>
    <n v="8.5692689421489998E-2"/>
    <n v="243.09268592843199"/>
    <n v="8140"/>
    <s v="Roads and Highways"/>
    <n v="8140"/>
    <s v="FDOT District 5                                 City of Cocoa Beach           Brevard County"/>
    <s v="FDOT District 5"/>
    <m/>
    <m/>
    <m/>
    <n v="0"/>
    <n v="1"/>
    <n v="0.596770518413"/>
    <n v="8.5692689421489998E-2"/>
    <n v="504.55699842562501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72.640063479127804"/>
    <n v="266.698931919605"/>
    <n v="0.40921086649999999"/>
  </r>
  <r>
    <n v="830000"/>
    <n v="2400000"/>
    <n v="2400000"/>
    <x v="0"/>
    <x v="0"/>
    <s v="BR3-5, BR-7"/>
    <s v="62-304.520 (10), F.A.C."/>
    <n v="0.59"/>
    <n v="0.64"/>
    <s v="City of Cocoa Beach"/>
    <n v="9.2234659191070004E-2"/>
    <n v="3688.6581817451201"/>
    <n v="9.0553216233600704"/>
    <n v="1.3002902112957999"/>
    <n v="0.83521450379617002"/>
    <n v="0.11993182448835001"/>
    <n v="340.22213026562798"/>
    <n v="1210"/>
    <s v="Fixed Single Family Units"/>
    <n v="1210"/>
    <s v="City of Cocoa Beach           Brevard County"/>
    <s v="City of Cocoa Beach"/>
    <m/>
    <m/>
    <m/>
    <n v="0"/>
    <n v="1"/>
    <n v="0.83521450379617002"/>
    <n v="0.11993182448835001"/>
    <n v="340.22213026562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81.578810119177902"/>
    <n v="373.26042291527301"/>
    <n v="0.27593035710000002"/>
  </r>
  <r>
    <n v="830000"/>
    <n v="2400000"/>
    <n v="2400000"/>
    <x v="0"/>
    <x v="0"/>
    <s v="BR3-5, BR-7"/>
    <s v="62-304.520 (10), F.A.C."/>
    <n v="0.59"/>
    <n v="0.64"/>
    <s v="FDOT District 5"/>
    <n v="1.7657572650029998E-2"/>
    <n v="3688.6581817451201"/>
    <n v="9.0553216233600704"/>
    <n v="1.3002902112957999"/>
    <n v="0.15989499943388"/>
    <n v="2.2959968872079999E-2"/>
    <n v="65.132749825299499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0.15989499943388"/>
    <n v="2.2959968872079999E-2"/>
    <n v="65.132749825299101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40.672537583405202"/>
    <n v="71.457661282776101"/>
    <n v="5.28246146E-2"/>
  </r>
  <r>
    <n v="830000"/>
    <n v="2400000"/>
    <n v="2400000"/>
    <x v="0"/>
    <x v="0"/>
    <s v="BR3-5, BR-7"/>
    <s v="62-304.520 (10), F.A.C."/>
    <n v="0.59"/>
    <n v="0.64"/>
    <s v="City of Cocoa Beach"/>
    <n v="1.357595459996E-2"/>
    <n v="3688.6581817451201"/>
    <n v="9.0553216233600704"/>
    <n v="1.3002902112957999"/>
    <n v="0.12293463524683999"/>
    <n v="1.765268087533E-2"/>
    <n v="50.077056010172299"/>
    <n v="1210"/>
    <s v="Fixed Single Family Units"/>
    <n v="1210"/>
    <s v="City of Cocoa Beach           Brevard County"/>
    <s v="City of Cocoa Beach"/>
    <m/>
    <m/>
    <m/>
    <n v="0"/>
    <n v="1"/>
    <n v="0.12293463524683999"/>
    <n v="1.765268087533E-2"/>
    <n v="50.07705601017229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33.266587791230201"/>
    <n v="54.939939063091302"/>
    <n v="4.0613995100000001E-2"/>
  </r>
  <r>
    <n v="830000"/>
    <n v="2400000"/>
    <n v="2400000"/>
    <x v="0"/>
    <x v="0"/>
    <s v="BR3-5, BR-7"/>
    <s v="62-304.520 (10), F.A.C."/>
    <n v="0.59"/>
    <n v="0.64"/>
    <s v="FDOT District 5"/>
    <n v="5.8853157824389997E-2"/>
    <n v="3698.2326025676398"/>
    <n v="8.9655838478567595"/>
    <n v="1.2619402701629501"/>
    <n v="0.52765292118571006"/>
    <n v="7.4269169884849995E-2"/>
    <n v="217.652667030218"/>
    <n v="8140"/>
    <s v="Roads and Highways"/>
    <n v="8140"/>
    <s v="FDOT District 5                                 City of Cocoa Beach           Brevard County"/>
    <s v="FDOT District 5"/>
    <m/>
    <m/>
    <m/>
    <n v="0"/>
    <n v="1"/>
    <n v="0.52765292118571006"/>
    <n v="7.4269169884849995E-2"/>
    <n v="749.023354276041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71.705488209366393"/>
    <n v="238.170279720151"/>
    <n v="0.6074804171"/>
  </r>
  <r>
    <n v="830000"/>
    <n v="2400000"/>
    <n v="2400000"/>
    <x v="0"/>
    <x v="0"/>
    <s v="BR3-5, BR-7"/>
    <s v="62-304.520 (10), F.A.C."/>
    <n v="0.59"/>
    <n v="0.64"/>
    <s v="FDOT District 5"/>
    <n v="4.8583785498479998E-2"/>
    <n v="3684.7036721086001"/>
    <n v="9.0921379452283997"/>
    <n v="1.31603626066477"/>
    <n v="0.44173047965360002"/>
    <n v="6.3938023396359997E-2"/>
    <n v="179.0168528312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44173047965360002"/>
    <n v="6.3938023396359997E-2"/>
    <n v="179.0168528312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08.842158535794"/>
    <n v="196.61160436904299"/>
    <n v="0.14518803960000001"/>
  </r>
  <r>
    <n v="830000"/>
    <n v="2400000"/>
    <n v="2400000"/>
    <x v="0"/>
    <x v="0"/>
    <s v="BR3-5, BR-7"/>
    <s v="62-304.520 (10), F.A.C."/>
    <n v="0.59"/>
    <n v="0.64"/>
    <s v="FDOT District 5"/>
    <n v="9.2095125579430004E-2"/>
    <n v="3684.7036721086001"/>
    <n v="9.0921379452283997"/>
    <n v="1.31603626066477"/>
    <n v="0.83734158585134999"/>
    <n v="0.12120052469301"/>
    <n v="339.34324740584702"/>
    <n v="8140"/>
    <s v="Roads and Highways"/>
    <n v="8140"/>
    <s v="FDOT District 5                                 City of Cocoa Beach           Brevard County"/>
    <s v="FDOT District 5"/>
    <m/>
    <m/>
    <m/>
    <n v="0"/>
    <n v="1"/>
    <n v="0.83734158585134999"/>
    <n v="0.12120052469301"/>
    <n v="339.3432474058479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14.523677626143"/>
    <n v="372.69575042287198"/>
    <n v="0.27521755669999998"/>
  </r>
  <r>
    <n v="830000"/>
    <n v="2400000"/>
    <n v="2400000"/>
    <x v="0"/>
    <x v="0"/>
    <s v="BR3-5, BR-7"/>
    <s v="62-304.520 (10), F.A.C."/>
    <n v="0.59"/>
    <n v="0.64"/>
    <s v="City of Cocoa Beach"/>
    <n v="8.4894945152539994E-2"/>
    <n v="3684.7036721086001"/>
    <n v="9.0921379452283997"/>
    <n v="1.31603626066477"/>
    <n v="0.77187655217950002"/>
    <n v="0.11172482616789001"/>
    <n v="312.81271614702598"/>
    <n v="1210"/>
    <s v="Fixed Single Family Units"/>
    <n v="1210"/>
    <s v="City of Cocoa Beach           Brevard County"/>
    <s v="City of Cocoa Beach"/>
    <m/>
    <m/>
    <m/>
    <n v="0"/>
    <n v="1"/>
    <n v="0.77187655217950002"/>
    <n v="0.11172482616789001"/>
    <n v="673.09787665828003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07.38601247352101"/>
    <n v="343.55765401985599"/>
    <n v="0.54590257639999995"/>
  </r>
  <r>
    <n v="830000"/>
    <n v="2400000"/>
    <n v="2400000"/>
    <x v="0"/>
    <x v="0"/>
    <s v="BR3-5, BR-7"/>
    <s v="62-304.520 (10), F.A.C."/>
    <n v="0.59"/>
    <n v="0.64"/>
    <s v="FDOT District 5"/>
    <n v="3.3017770468270001E-2"/>
    <n v="3684.7036721086001"/>
    <n v="9.0921379452283997"/>
    <n v="1.31603626066477"/>
    <n v="0.30020212374140998"/>
    <n v="4.3452583182549999E-2"/>
    <n v="121.66070008928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0.30020212374140998"/>
    <n v="4.3452583182549999E-2"/>
    <n v="121.66070008928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63.895220605378398"/>
    <n v="133.618176472854"/>
    <n v="9.86704786E-2"/>
  </r>
  <r>
    <n v="830000"/>
    <n v="2400000"/>
    <n v="2400000"/>
    <x v="0"/>
    <x v="0"/>
    <s v="BR3-5, BR-7"/>
    <s v="62-304.520 (10), F.A.C."/>
    <n v="0.59"/>
    <n v="0.64"/>
    <s v="City of Cocoa Beach"/>
    <n v="7.4735006448700004E-3"/>
    <n v="3684.7036721086001"/>
    <n v="9.0921379452283997"/>
    <n v="1.31603626066477"/>
    <n v="6.7950098796920003E-2"/>
    <n v="9.8353978427499992E-3"/>
    <n v="27.5376352696622"/>
    <n v="1210"/>
    <s v="Fixed Single Family Units"/>
    <n v="1210"/>
    <s v="City of Cocoa Beach           Brevard County"/>
    <s v="City of Cocoa Beach"/>
    <m/>
    <m/>
    <m/>
    <n v="0"/>
    <n v="1"/>
    <n v="6.7950098796920003E-2"/>
    <n v="9.8353978427499992E-3"/>
    <n v="199.311173584805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22.043774793583399"/>
    <n v="30.244184082508198"/>
    <n v="0.1616473427"/>
  </r>
  <r>
    <n v="830000"/>
    <n v="2400000"/>
    <n v="2400000"/>
    <x v="0"/>
    <x v="0"/>
    <s v="BR3-5, BR-7"/>
    <s v="62-304.520 (10), F.A.C."/>
    <n v="0.59"/>
    <n v="0.64"/>
    <s v="City of Cocoa Beach"/>
    <n v="5.1498322957139998E-2"/>
    <n v="3684.7036721086001"/>
    <n v="9.0921379452283997"/>
    <n v="1.31603626066477"/>
    <n v="0.46822985627425001"/>
    <n v="6.7773660375020001E-2"/>
    <n v="189.756059707616"/>
    <n v="1210"/>
    <s v="Fixed Single Family Units"/>
    <n v="1210"/>
    <s v="City of Cocoa Beach           Brevard County"/>
    <s v="City of Cocoa Beach"/>
    <m/>
    <m/>
    <m/>
    <n v="0"/>
    <n v="1"/>
    <n v="0.46822985627425001"/>
    <n v="6.7773660375020001E-2"/>
    <n v="473.01887653010101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62.4506778921074"/>
    <n v="208.40631900194001"/>
    <n v="0.38363250329999998"/>
  </r>
  <r>
    <n v="830000"/>
    <n v="2400000"/>
    <n v="2400000"/>
    <x v="0"/>
    <x v="0"/>
    <s v="BR3-5, BR-7"/>
    <s v="62-304.520 (10), F.A.C."/>
    <n v="0.59"/>
    <n v="0.64"/>
    <s v="FDOT District 5"/>
    <n v="3.0865637259299999E-2"/>
    <n v="3684.7036721086001"/>
    <n v="9.0921379452283997"/>
    <n v="1.31603626066477"/>
    <n v="0.28063463172896003"/>
    <n v="4.0620297841760002E-2"/>
    <n v="113.730726951326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0.28063463172896003"/>
    <n v="4.0620297841760002E-2"/>
    <n v="113.730726951327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57.106154087972399"/>
    <n v="124.90880237428"/>
    <n v="9.2239032400000004E-2"/>
  </r>
  <r>
    <n v="830000"/>
    <n v="2400000"/>
    <n v="2400000"/>
    <x v="0"/>
    <x v="0"/>
    <s v="BR3-5, BR-7"/>
    <s v="62-304.520 (10), F.A.C."/>
    <n v="0.59"/>
    <n v="0.64"/>
    <s v="City of Cocoa Beach"/>
    <n v="0.10591430354263"/>
    <n v="3676.5149710662999"/>
    <n v="9.1679297967276003"/>
    <n v="1.34847419899913"/>
    <n v="0.97101489934813001"/>
    <n v="0.14282270563220001"/>
    <n v="389.39552262454299"/>
    <n v="1200"/>
    <s v="Residential, Medium Density-Two-five dwellingunits per acre"/>
    <n v="1200"/>
    <s v="City of Cocoa Beach           Brevard County"/>
    <s v="City of Cocoa Beach"/>
    <m/>
    <m/>
    <m/>
    <n v="0"/>
    <n v="1"/>
    <n v="0.97101489934813001"/>
    <n v="0.14282270563220001"/>
    <n v="698.528085865967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17.89537016136801"/>
    <n v="428.619979515517"/>
    <n v="0.56652723910000002"/>
  </r>
  <r>
    <n v="830000"/>
    <n v="2400000"/>
    <n v="2400000"/>
    <x v="0"/>
    <x v="0"/>
    <s v="BR3-5, BR-7"/>
    <s v="62-304.520 (10), F.A.C."/>
    <n v="0.59"/>
    <n v="0.64"/>
    <s v="City of Cocoa Beach"/>
    <n v="5.5290271689459998E-2"/>
    <n v="3676.5149710662999"/>
    <n v="9.1679297967276003"/>
    <n v="1.34847419899913"/>
    <n v="0.50689732929095999"/>
    <n v="7.4557504828880003E-2"/>
    <n v="203.27551162062201"/>
    <n v="1210"/>
    <s v="Fixed Single Family Units"/>
    <n v="1210"/>
    <s v="City of Cocoa Beach           Brevard County"/>
    <s v="City of Cocoa Beach"/>
    <m/>
    <m/>
    <m/>
    <n v="0"/>
    <n v="1"/>
    <n v="0.50689732929095999"/>
    <n v="7.4557504828880003E-2"/>
    <n v="203.27551162062301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63.764092776129203"/>
    <n v="223.75179108273201"/>
    <n v="0.16486253980000001"/>
  </r>
  <r>
    <n v="830000"/>
    <n v="2400000"/>
    <n v="2400000"/>
    <x v="0"/>
    <x v="0"/>
    <s v="BR3-5, BR-7"/>
    <s v="62-304.520 (10), F.A.C."/>
    <n v="0.59"/>
    <n v="0.64"/>
    <s v="City of Cocoa Beach"/>
    <n v="4.8950758226619998E-2"/>
    <n v="3676.5149710662999"/>
    <n v="9.1679297967276003"/>
    <n v="1.34847419899913"/>
    <n v="0.44877711491832001"/>
    <n v="6.6008834490050003E-2"/>
    <n v="179.96819546524799"/>
    <n v="1210"/>
    <s v="Fixed Single Family Units"/>
    <n v="1210"/>
    <s v="City of Cocoa Beach           Brevard County"/>
    <s v="City of Cocoa Beach"/>
    <m/>
    <m/>
    <m/>
    <n v="0"/>
    <n v="1"/>
    <n v="0.44877711491832001"/>
    <n v="6.6008834490050003E-2"/>
    <n v="179.96819546524799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67.220163671537506"/>
    <n v="198.096690310783"/>
    <n v="0.14595960699999999"/>
  </r>
  <r>
    <n v="830000"/>
    <n v="2400000"/>
    <n v="2400000"/>
    <x v="0"/>
    <x v="0"/>
    <s v="BR3-5, BR-7"/>
    <s v="62-304.520 (10), F.A.C."/>
    <n v="0.59"/>
    <n v="0.64"/>
    <s v="City of Cocoa Beach"/>
    <n v="4.1681735771600002E-3"/>
    <n v="3676.5149710662999"/>
    <n v="9.1679297967276003"/>
    <n v="1.34847419899913"/>
    <n v="3.8213522736059997E-2"/>
    <n v="5.6206745257599998E-3"/>
    <n v="15.324352558464801"/>
    <n v="1210"/>
    <s v="Fixed Single Family Units"/>
    <n v="1210"/>
    <s v="City of Cocoa Beach           Brevard County"/>
    <s v="City of Cocoa Beach"/>
    <m/>
    <m/>
    <m/>
    <n v="0"/>
    <n v="1"/>
    <n v="3.8213522736059997E-2"/>
    <n v="5.6206745257599998E-3"/>
    <n v="15.324352558466"/>
    <m/>
    <n v="-1"/>
    <n v="-1"/>
    <n v="-1"/>
    <n v="-1"/>
    <n v="0"/>
    <m/>
    <m/>
    <s v="Banana River B"/>
    <n v="-1"/>
    <m/>
    <m/>
    <n v="386"/>
    <x v="24"/>
    <s v="W Gadsden/Banana Swale"/>
    <x v="0"/>
    <n v="1.956413"/>
    <n v="17.570918629639198"/>
    <n v="16.868000010445702"/>
    <n v="1.2428509799999999E-2"/>
  </r>
  <r>
    <n v="830000"/>
    <n v="2400000"/>
    <n v="2400000"/>
    <x v="0"/>
    <x v="0"/>
    <s v="BR3-5, BR-7"/>
    <s v="62-304.520 (10), F.A.C."/>
    <n v="0.59"/>
    <n v="0.64"/>
    <s v="City of Cocoa Beach"/>
    <n v="5.672825510579E-2"/>
    <n v="3679.5933121150802"/>
    <n v="9.1751705456820396"/>
    <n v="1.3495244185545301"/>
    <n v="0.52049141535461996"/>
    <n v="7.6556165487260006E-2"/>
    <n v="208.73690809524101"/>
    <n v="1200"/>
    <s v="Residential, Medium Density-Two-five dwellingunits per acre"/>
    <n v="1200"/>
    <s v="City of Cocoa Beach           Brevard County"/>
    <s v="City of Cocoa Beach"/>
    <m/>
    <m/>
    <m/>
    <n v="0"/>
    <n v="1"/>
    <n v="0.52049141535461996"/>
    <n v="7.6556165487260006E-2"/>
    <n v="856.82480023980702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70.959988789037098"/>
    <n v="229.571103506432"/>
    <n v="0.69491062469999998"/>
  </r>
  <r>
    <n v="830000"/>
    <n v="2400000"/>
    <n v="2400000"/>
    <x v="0"/>
    <x v="0"/>
    <s v="BR3-5, BR-7"/>
    <s v="62-304.520 (10), F.A.C."/>
    <n v="0.59"/>
    <n v="0.64"/>
    <s v="City of Cocoa Beach"/>
    <n v="3.5006041046480002E-2"/>
    <n v="3679.5933121150802"/>
    <n v="9.1751705456820396"/>
    <n v="1.3495244185545301"/>
    <n v="0.32118639673061999"/>
    <n v="4.7241507189150003E-2"/>
    <n v="128.807994518264"/>
    <n v="1210"/>
    <s v="Fixed Single Family Units"/>
    <n v="1210"/>
    <s v="City of Cocoa Beach           Brevard County"/>
    <s v="City of Cocoa Beach"/>
    <m/>
    <m/>
    <m/>
    <n v="0"/>
    <n v="1"/>
    <n v="0.32118639673061999"/>
    <n v="4.7241507189150003E-2"/>
    <n v="499.349366167990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52.595575348532599"/>
    <n v="141.66442203175799"/>
    <n v="0.40498732050000003"/>
  </r>
  <r>
    <n v="830000"/>
    <n v="2400000"/>
    <n v="2400000"/>
    <x v="0"/>
    <x v="0"/>
    <s v="BR3-5, BR-7"/>
    <s v="62-304.520 (10), F.A.C."/>
    <n v="0.59"/>
    <n v="0.64"/>
    <s v="City of Cocoa Beach"/>
    <n v="4.0082119118000003E-3"/>
    <n v="3679.5933121150802"/>
    <n v="9.1751705456820396"/>
    <n v="1.3495244185545301"/>
    <n v="3.6776027874009999E-2"/>
    <n v="5.4091798497100003E-3"/>
    <n v="14.748589744206599"/>
    <n v="1210"/>
    <s v="Fixed Single Family Units"/>
    <n v="1210"/>
    <s v="City of Cocoa Beach           Brevard County"/>
    <s v="City of Cocoa Beach"/>
    <m/>
    <m/>
    <m/>
    <n v="0"/>
    <n v="1"/>
    <n v="3.6776027874009999E-2"/>
    <n v="5.4091798497100003E-3"/>
    <n v="729.65198408941899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19.5091862200488"/>
    <n v="16.220658117617301"/>
    <n v="0.59176965459999997"/>
  </r>
  <r>
    <n v="830000"/>
    <n v="2400000"/>
    <n v="2400000"/>
    <x v="0"/>
    <x v="0"/>
    <s v="BR3-5, BR-7"/>
    <s v="62-304.520 (10), F.A.C."/>
    <n v="0.59"/>
    <n v="0.64"/>
    <s v="City of Cocoa Beach"/>
    <n v="1.019930855839E-2"/>
    <n v="3696.3952718925898"/>
    <n v="8.9471193945755907"/>
    <n v="1.2560851798363999"/>
    <n v="9.125443141405E-2"/>
    <n v="1.2811200324770001E-2"/>
    <n v="37.7006759318175"/>
    <n v="1210"/>
    <s v="Fixed Single Family Units"/>
    <n v="1210"/>
    <s v="City of Cocoa Beach           Brevard County"/>
    <s v="City of Cocoa Beach"/>
    <m/>
    <m/>
    <m/>
    <n v="0"/>
    <n v="1"/>
    <n v="9.125443141405E-2"/>
    <n v="1.2811200324770001E-2"/>
    <n v="184.340442938719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27.3275383575447"/>
    <n v="41.2751373435704"/>
    <n v="0.14950563089999999"/>
  </r>
  <r>
    <n v="830000"/>
    <n v="2400000"/>
    <n v="2400000"/>
    <x v="0"/>
    <x v="0"/>
    <s v="BR3-5, BR-7"/>
    <s v="62-304.520 (10), F.A.C."/>
    <n v="0.59"/>
    <n v="0.64"/>
    <s v="FDOT District 5"/>
    <n v="9.669270767E-4"/>
    <n v="3696.3952718925898"/>
    <n v="8.9471193945755907"/>
    <n v="1.2560851798363999"/>
    <n v="8.6512120010800008E-3"/>
    <n v="1.2145427710199999E-3"/>
    <n v="3.5741446745788101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8.6512120010800008E-3"/>
    <n v="1.2145427710199999E-3"/>
    <n v="213.354256053157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10.2732903398178"/>
    <n v="3.9130150503347201"/>
    <n v="0.17303670400000001"/>
  </r>
  <r>
    <n v="830000"/>
    <n v="2400000"/>
    <n v="2400000"/>
    <x v="0"/>
    <x v="0"/>
    <s v="BR3-5, BR-7"/>
    <s v="62-304.520 (10), F.A.C."/>
    <n v="0.59"/>
    <n v="0.64"/>
    <s v="City of Cocoa Beach"/>
    <n v="9.5730898736040002E-2"/>
    <n v="3673.4181151697098"/>
    <n v="9.1605557876678692"/>
    <n v="1.34740142071922"/>
    <n v="0.87694823847508996"/>
    <n v="0.12898794896367"/>
    <n v="351.65961759845402"/>
    <n v="1200"/>
    <s v="Residential, Medium Density-Two-five dwellingunits per acre"/>
    <n v="1200"/>
    <s v="City of Cocoa Beach           Brevard County"/>
    <s v="City of Cocoa Beach"/>
    <m/>
    <m/>
    <m/>
    <n v="0"/>
    <n v="1"/>
    <n v="0.87694823847508996"/>
    <n v="0.12898794896367"/>
    <n v="699.24624956684499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116.283985605118"/>
    <n v="387.40920237207598"/>
    <n v="0.56710969150000001"/>
  </r>
  <r>
    <n v="830000"/>
    <n v="2400000"/>
    <n v="2400000"/>
    <x v="0"/>
    <x v="0"/>
    <s v="BR3-5, BR-7"/>
    <s v="62-304.520 (10), F.A.C."/>
    <n v="0.59"/>
    <n v="0.64"/>
    <s v="City of Cocoa Beach"/>
    <n v="6.3413890879069998E-2"/>
    <n v="3673.4181151697098"/>
    <n v="9.1605557876678692"/>
    <n v="1.34740142071922"/>
    <n v="0.58090648511086995"/>
    <n v="8.5443966663799997E-2"/>
    <n v="232.9457355086"/>
    <n v="1210"/>
    <s v="Fixed Single Family Units"/>
    <n v="1210"/>
    <s v="City of Cocoa Beach           Brevard County"/>
    <s v="City of Cocoa Beach"/>
    <m/>
    <m/>
    <m/>
    <n v="0"/>
    <n v="1"/>
    <n v="0.58090648511086995"/>
    <n v="8.5443966663799997E-2"/>
    <n v="232.945735508602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64.1927099921039"/>
    <n v="256.62691157337099"/>
    <n v="0.1889259818"/>
  </r>
  <r>
    <n v="830000"/>
    <n v="2400000"/>
    <n v="2400000"/>
    <x v="0"/>
    <x v="0"/>
    <s v="BR3-5, BR-7"/>
    <s v="62-304.520 (10), F.A.C."/>
    <n v="0.59"/>
    <n v="0.64"/>
    <s v="City of Cocoa Beach"/>
    <n v="0.11646244850020999"/>
    <n v="3673.4181151697098"/>
    <n v="9.1605557876678692"/>
    <n v="1.34740142071922"/>
    <n v="1.0668607566546"/>
    <n v="0.15692166856962"/>
    <n v="427.81526805770602"/>
    <n v="1210"/>
    <s v="Fixed Single Family Units"/>
    <n v="1210"/>
    <s v="City of Cocoa Beach           Brevard County"/>
    <s v="City of Cocoa Beach"/>
    <m/>
    <m/>
    <m/>
    <n v="0"/>
    <n v="1"/>
    <n v="1.0668607566546"/>
    <n v="0.15692166856962"/>
    <n v="436.123891512356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87.125905773861405"/>
    <n v="471.30680768152001"/>
    <n v="0.35370956329999997"/>
  </r>
  <r>
    <n v="830000"/>
    <n v="2400000"/>
    <n v="2400000"/>
    <x v="0"/>
    <x v="0"/>
    <s v="BR3-5, BR-7"/>
    <s v="62-304.520 (10), F.A.C."/>
    <n v="0.59"/>
    <n v="0.64"/>
    <s v="City of Cocoa Beach"/>
    <n v="3.7086791989089998E-2"/>
    <n v="3673.4181151697098"/>
    <n v="9.1605557876678692"/>
    <n v="1.34740142071922"/>
    <n v="0.33973562700170001"/>
    <n v="4.9970796216009999E-2"/>
    <n v="136.235293526258"/>
    <n v="1210"/>
    <s v="Fixed Single Family Units"/>
    <n v="1210"/>
    <s v="City of Cocoa Beach           Brevard County"/>
    <s v="City of Cocoa Beach"/>
    <m/>
    <m/>
    <m/>
    <n v="0"/>
    <n v="1"/>
    <n v="0.33973562700170001"/>
    <n v="4.9970796216009999E-2"/>
    <n v="152.982594758264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52.822567706943403"/>
    <n v="150.08492234726299"/>
    <n v="0.1240734751"/>
  </r>
  <r>
    <n v="830000"/>
    <n v="2400000"/>
    <n v="2400000"/>
    <x v="0"/>
    <x v="0"/>
    <s v="BR3-5, BR-7"/>
    <s v="62-304.520 (10), F.A.C."/>
    <n v="0.59"/>
    <n v="0.64"/>
    <s v="City of Cocoa Beach"/>
    <n v="0.10218738439902"/>
    <n v="3673.4181154434"/>
    <n v="9.1605557883503899"/>
    <n v="1.3474014208196099"/>
    <n v="0.93609323565286995"/>
    <n v="0.13768742692908001"/>
    <n v="375.37698902115699"/>
    <n v="1200"/>
    <s v="Residential, Medium Density-Two-five dwellingunits per acre"/>
    <n v="1200"/>
    <s v="City of Cocoa Beach           Brevard County"/>
    <s v="City of Cocoa Beach"/>
    <m/>
    <m/>
    <m/>
    <n v="0"/>
    <n v="1"/>
    <n v="0.93609323565286995"/>
    <n v="0.13768742692908001"/>
    <n v="698.75644842436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117.329226473432"/>
    <n v="413.53767284345003"/>
    <n v="0.56671244799999998"/>
  </r>
  <r>
    <n v="830000"/>
    <n v="2400000"/>
    <n v="2400000"/>
    <x v="0"/>
    <x v="0"/>
    <s v="BR3-5, BR-7"/>
    <s v="62-304.520 (10), F.A.C."/>
    <n v="0.59"/>
    <n v="0.64"/>
    <s v="City of Cocoa Beach"/>
    <n v="7.2457572619660002E-2"/>
    <n v="3673.4181154434"/>
    <n v="9.1605557883503899"/>
    <n v="1.3474014208196099"/>
    <n v="0.66375163627087996"/>
    <n v="9.7629436296870001E-2"/>
    <n v="266.16695986213"/>
    <n v="1210"/>
    <s v="Fixed Single Family Units"/>
    <n v="1210"/>
    <s v="City of Cocoa Beach           Brevard County"/>
    <s v="City of Cocoa Beach"/>
    <m/>
    <m/>
    <m/>
    <n v="0"/>
    <n v="1"/>
    <n v="0.66375163627087996"/>
    <n v="9.7629436296870001E-2"/>
    <n v="356.21658117794198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68.821600783146806"/>
    <n v="293.22539310740001"/>
    <n v="0.28890233669999998"/>
  </r>
  <r>
    <n v="830000"/>
    <n v="2400000"/>
    <n v="2400000"/>
    <x v="0"/>
    <x v="0"/>
    <s v="BR3-5, BR-7"/>
    <s v="62-304.520 (10), F.A.C."/>
    <n v="0.59"/>
    <n v="0.64"/>
    <s v="City of Cocoa Beach"/>
    <n v="9.0293284171020005E-2"/>
    <n v="3673.4181154434"/>
    <n v="9.1605557883503899"/>
    <n v="1.3474014208196099"/>
    <n v="0.82713666696205002"/>
    <n v="0.1216612993825"/>
    <n v="331.68498577672199"/>
    <n v="1210"/>
    <s v="Fixed Single Family Units"/>
    <n v="1210"/>
    <s v="City of Cocoa Beach           Brevard County"/>
    <s v="City of Cocoa Beach"/>
    <m/>
    <m/>
    <m/>
    <n v="0"/>
    <n v="1"/>
    <n v="0.82713666696205002"/>
    <n v="0.1216612993825"/>
    <n v="582.278664271421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79.505757160967406"/>
    <n v="365.40395694710003"/>
    <n v="0.47224546979999998"/>
  </r>
  <r>
    <n v="830000"/>
    <n v="2400000"/>
    <n v="2400000"/>
    <x v="0"/>
    <x v="0"/>
    <s v="BR3-5, BR-7"/>
    <s v="62-304.520 (10), F.A.C."/>
    <n v="0.59"/>
    <n v="0.64"/>
    <s v="City of Cocoa Beach"/>
    <n v="1.9445868950339999E-2"/>
    <n v="3673.4181154434"/>
    <n v="9.1605557883503899"/>
    <n v="1.3474014208196099"/>
    <n v="0.17813496737257001"/>
    <n v="2.6201391452760001E-2"/>
    <n v="71.432807272732106"/>
    <n v="1210"/>
    <s v="Fixed Single Family Units"/>
    <n v="1210"/>
    <s v="City of Cocoa Beach           Brevard County"/>
    <s v="City of Cocoa Beach"/>
    <m/>
    <m/>
    <m/>
    <n v="0"/>
    <n v="1"/>
    <n v="0.17813496737257001"/>
    <n v="2.6201391452760001E-2"/>
    <n v="156.838527935330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36.408657803798"/>
    <n v="78.694639650847805"/>
    <n v="0.12720075259999999"/>
  </r>
  <r>
    <n v="830000"/>
    <n v="2400000"/>
    <n v="2400000"/>
    <x v="0"/>
    <x v="0"/>
    <s v="BR3-5, BR-7"/>
    <s v="62-304.520 (10), F.A.C."/>
    <n v="0.59"/>
    <n v="0.64"/>
    <s v="City of Cocoa Beach"/>
    <n v="1.9756365617509999E-2"/>
    <n v="3673.4181154434"/>
    <n v="9.1605557883503899"/>
    <n v="1.3474014208196099"/>
    <n v="0.18097928941433"/>
    <n v="2.6619755103269999E-2"/>
    <n v="72.5733913547176"/>
    <n v="1210"/>
    <s v="Fixed Single Family Units"/>
    <n v="1210"/>
    <s v="City of Cocoa Beach           Brevard County"/>
    <s v="City of Cocoa Beach"/>
    <m/>
    <m/>
    <m/>
    <n v="0"/>
    <n v="1"/>
    <n v="0.18097928941433"/>
    <n v="2.6619755103269999E-2"/>
    <n v="400.65425536766003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40.953104742003603"/>
    <n v="79.951175082539393"/>
    <n v="0.32494262400000001"/>
  </r>
  <r>
    <n v="830000"/>
    <n v="2400000"/>
    <n v="2400000"/>
    <x v="0"/>
    <x v="0"/>
    <s v="BR3-5, BR-7"/>
    <s v="62-304.520 (10), F.A.C."/>
    <n v="0.59"/>
    <n v="0.64"/>
    <s v="City of Cocoa Beach"/>
    <n v="2.313982947795E-2"/>
    <n v="3673.4181154434"/>
    <n v="9.1605557883503899"/>
    <n v="1.3474014208196099"/>
    <n v="0.21197369886574"/>
    <n v="3.117863911612E-2"/>
    <n v="85.002268792602294"/>
    <n v="1210"/>
    <s v="Fixed Single Family Units"/>
    <n v="1210"/>
    <s v="City of Cocoa Beach           Brevard County"/>
    <s v="City of Cocoa Beach"/>
    <m/>
    <m/>
    <m/>
    <n v="0"/>
    <n v="1"/>
    <n v="0.21197369886574"/>
    <n v="3.117863911612E-2"/>
    <n v="570.267731021156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59.031552843701299"/>
    <n v="93.643567536117203"/>
    <n v="0.4625042425"/>
  </r>
  <r>
    <n v="830000"/>
    <n v="2400000"/>
    <n v="2400000"/>
    <x v="0"/>
    <x v="0"/>
    <s v="BR3-5, BR-7"/>
    <s v="62-304.520 (10), F.A.C."/>
    <n v="0.59"/>
    <n v="0.64"/>
    <s v="City of Cocoa Beach"/>
    <n v="4.1271055781300003E-3"/>
    <n v="3673.4181154434"/>
    <n v="9.1605557883503899"/>
    <n v="1.3474014208196099"/>
    <n v="3.780658089287E-2"/>
    <n v="5.5608679198399999E-3"/>
    <n v="15.160584395050201"/>
    <n v="1210"/>
    <s v="Fixed Single Family Units"/>
    <n v="1210"/>
    <s v="City of Cocoa Beach           Brevard County"/>
    <s v="City of Cocoa Beach"/>
    <m/>
    <m/>
    <m/>
    <n v="0"/>
    <n v="1"/>
    <n v="3.780658089287E-2"/>
    <n v="5.5608679198399999E-3"/>
    <n v="155.76161354631199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21.6750158598932"/>
    <n v="16.7018037147791"/>
    <n v="0.12632734270000001"/>
  </r>
  <r>
    <n v="830000"/>
    <n v="2400000"/>
    <n v="2400000"/>
    <x v="0"/>
    <x v="0"/>
    <s v="BR3-5, BR-7"/>
    <s v="62-304.520 (10), F.A.C."/>
    <n v="0.59"/>
    <n v="0.64"/>
    <s v="City of Cocoa Beach"/>
    <n v="8.877088809698E-2"/>
    <n v="3673.4181154434"/>
    <n v="9.1605557883503899"/>
    <n v="1.3474014208196099"/>
    <n v="0.81319067279386004"/>
    <n v="0.11961002074929999"/>
    <n v="326.092588459475"/>
    <n v="1200"/>
    <s v="Residential, Medium Density-Two-five dwellingunits per acre"/>
    <n v="1200"/>
    <s v="City of Cocoa Beach           Brevard County"/>
    <s v="City of Cocoa Beach"/>
    <m/>
    <m/>
    <m/>
    <n v="0"/>
    <n v="1"/>
    <n v="0.81319067279386004"/>
    <n v="0.11961002074929999"/>
    <n v="699.74811326249198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115.097531037032"/>
    <n v="359.24303861744602"/>
    <n v="0.56751671800000003"/>
  </r>
  <r>
    <n v="830000"/>
    <n v="2400000"/>
    <n v="2400000"/>
    <x v="0"/>
    <x v="0"/>
    <s v="BR3-5, BR-7"/>
    <s v="62-304.520 (10), F.A.C."/>
    <n v="0.59"/>
    <n v="0.64"/>
    <s v="City of Cocoa Beach"/>
    <n v="3.5032345237639997E-2"/>
    <n v="3673.4181154434"/>
    <n v="9.1605557883503899"/>
    <n v="1.3474014208196099"/>
    <n v="0.32091575294621999"/>
    <n v="4.7202631747849999E-2"/>
    <n v="128.68845162244301"/>
    <n v="1210"/>
    <s v="Fixed Single Family Units"/>
    <n v="1210"/>
    <s v="City of Cocoa Beach           Brevard County"/>
    <s v="City of Cocoa Beach"/>
    <m/>
    <m/>
    <m/>
    <n v="0"/>
    <n v="1"/>
    <n v="0.32091575294621999"/>
    <n v="4.7202631747849999E-2"/>
    <n v="128.688451622445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48.508761296730398"/>
    <n v="141.77087131671101"/>
    <n v="0.104370196"/>
  </r>
  <r>
    <n v="830000"/>
    <n v="2400000"/>
    <n v="2400000"/>
    <x v="0"/>
    <x v="0"/>
    <s v="BR3-5, BR-7"/>
    <s v="62-304.520 (10), F.A.C."/>
    <n v="0.59"/>
    <n v="0.64"/>
    <s v="City of Cocoa Beach"/>
    <n v="7.8937908408820007E-2"/>
    <n v="3673.4181154434"/>
    <n v="9.1605557883503899"/>
    <n v="1.3474014208196099"/>
    <n v="0.72311511379468996"/>
    <n v="0.10636104994657"/>
    <n v="289.97194274417501"/>
    <n v="1210"/>
    <s v="Fixed Single Family Units"/>
    <n v="1210"/>
    <s v="City of Cocoa Beach           Brevard County"/>
    <s v="City of Cocoa Beach"/>
    <m/>
    <m/>
    <m/>
    <n v="0"/>
    <n v="1"/>
    <n v="0.72311511379468996"/>
    <n v="0.10636104994657"/>
    <n v="289.97194274417598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76.606640023794498"/>
    <n v="319.45038161506102"/>
    <n v="0.2351759471"/>
  </r>
  <r>
    <n v="830000"/>
    <n v="2400000"/>
    <n v="2400000"/>
    <x v="0"/>
    <x v="0"/>
    <s v="BR3-5, BR-7"/>
    <s v="62-304.520 (10), F.A.C."/>
    <n v="0.59"/>
    <n v="0.64"/>
    <s v="City of Cocoa Beach"/>
    <n v="3.5416979164639997E-2"/>
    <n v="3673.4181154434"/>
    <n v="9.1605557883503899"/>
    <n v="1.3474014208196099"/>
    <n v="0.32443921349254001"/>
    <n v="4.772088804757E-2"/>
    <n v="130.10137285767701"/>
    <n v="1210"/>
    <s v="Fixed Single Family Units"/>
    <n v="1210"/>
    <s v="City of Cocoa Beach           Brevard County"/>
    <s v="City of Cocoa Beach"/>
    <m/>
    <m/>
    <m/>
    <n v="0"/>
    <n v="1"/>
    <n v="0.32443921349254001"/>
    <n v="4.772088804757E-2"/>
    <n v="130.101372857679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48.844188946219603"/>
    <n v="143.32742959443999"/>
    <n v="0.10551611750000001"/>
  </r>
  <r>
    <n v="830000"/>
    <n v="2400000"/>
    <n v="2400000"/>
    <x v="0"/>
    <x v="0"/>
    <s v="BR3-5, BR-7"/>
    <s v="62-304.520 (10), F.A.C."/>
    <n v="0.59"/>
    <n v="0.64"/>
    <s v="City of Cocoa Beach"/>
    <n v="5.12602349089E-3"/>
    <n v="3673.4181151697098"/>
    <n v="9.1605557876678692"/>
    <n v="1.34740142071922"/>
    <n v="4.6957224157239998E-2"/>
    <n v="6.9068113342700002E-3"/>
    <n v="18.8300275502428"/>
    <n v="1210"/>
    <s v="Fixed Single Family Units"/>
    <n v="1210"/>
    <s v="City of Cocoa Beach           Brevard County"/>
    <s v="City of Cocoa Beach"/>
    <m/>
    <m/>
    <m/>
    <n v="0"/>
    <n v="1"/>
    <n v="4.6957224157239998E-2"/>
    <n v="6.9068113342700002E-3"/>
    <n v="341.42682449738402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36.5347240930966"/>
    <n v="20.744281085506898"/>
    <n v="0.27690740019999999"/>
  </r>
  <r>
    <n v="830000"/>
    <n v="2400000"/>
    <n v="2400000"/>
    <x v="0"/>
    <x v="0"/>
    <s v="BR3-5, BR-7"/>
    <s v="62-304.520 (10), F.A.C."/>
    <n v="0.59"/>
    <n v="0.64"/>
    <s v="City of Cocoa Beach"/>
    <n v="2.6794198326699999E-3"/>
    <n v="3673.4181151697098"/>
    <n v="9.1605557876678692"/>
    <n v="1.34740142071922"/>
    <n v="2.4544974855830001E-2"/>
    <n v="3.61025408925E-3"/>
    <n v="9.8426293515043799"/>
    <n v="1210"/>
    <s v="Fixed Single Family Units"/>
    <n v="1210"/>
    <s v="City of Cocoa Beach           Brevard County"/>
    <s v="City of Cocoa Beach"/>
    <m/>
    <m/>
    <m/>
    <n v="0"/>
    <n v="1"/>
    <n v="2.4544974855830001E-2"/>
    <n v="3.61025408925E-3"/>
    <n v="424.112627903568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33.522019074006202"/>
    <n v="10.8432273581807"/>
    <n v="0.34396806800000002"/>
  </r>
  <r>
    <n v="830000"/>
    <n v="2400000"/>
    <n v="2400000"/>
    <x v="0"/>
    <x v="0"/>
    <s v="BR3-5, BR-7"/>
    <s v="62-304.520 (10), F.A.C."/>
    <n v="0.59"/>
    <n v="0.64"/>
    <s v="City of Cocoa Beach"/>
    <n v="1.7515354810029998E-2"/>
    <n v="3695.1569297418901"/>
    <n v="8.9587466605989103"/>
    <n v="1.26105350545918"/>
    <n v="0.15691562641362"/>
    <n v="2.208779958255E-2"/>
    <n v="64.721984703196199"/>
    <n v="1200"/>
    <s v="Residential, Medium Density-Two-five dwellingunits per acre"/>
    <n v="1200"/>
    <s v="City of Cocoa Beach           Brevard County"/>
    <s v="City of Cocoa Beach"/>
    <m/>
    <m/>
    <m/>
    <n v="0"/>
    <n v="1"/>
    <n v="0.15691562641362"/>
    <n v="2.208779958255E-2"/>
    <n v="156.84811043289599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34.668931056232999"/>
    <n v="70.882126103611597"/>
    <n v="0.12720852429999999"/>
  </r>
  <r>
    <n v="830000"/>
    <n v="2400000"/>
    <n v="2400000"/>
    <x v="0"/>
    <x v="0"/>
    <s v="BR3-5, BR-7"/>
    <s v="62-304.520 (10), F.A.C."/>
    <n v="0.59"/>
    <n v="0.64"/>
    <s v="FDOT District 5"/>
    <n v="2.6526597989889999E-2"/>
    <n v="3695.1569297418901"/>
    <n v="8.9587466605989103"/>
    <n v="1.26105350545918"/>
    <n v="0.23764507115903"/>
    <n v="3.3451459383060003E-2"/>
    <n v="98.019942384841599"/>
    <n v="1200"/>
    <s v="Residential, Medium Density-Two-five dwellingunits per acre"/>
    <n v="1200"/>
    <s v="FDOT District 5                                 City of Cocoa Beach           Brevard County"/>
    <s v="FDOT District 5"/>
    <m/>
    <m/>
    <m/>
    <n v="0"/>
    <n v="1"/>
    <n v="0.23764507115903"/>
    <n v="3.3451459383060003E-2"/>
    <n v="429.87316315588498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48.764788364789602"/>
    <n v="107.349333439834"/>
    <n v="0.34864003500000001"/>
  </r>
  <r>
    <n v="830000"/>
    <n v="2400000"/>
    <n v="2400000"/>
    <x v="0"/>
    <x v="0"/>
    <s v="BR3-5, BR-7"/>
    <s v="62-304.520 (10), F.A.C."/>
    <n v="0.59"/>
    <n v="0.64"/>
    <s v="FDOT District 5"/>
    <n v="4.0025899425599996E-3"/>
    <n v="3695.1569297418901"/>
    <n v="8.9587466605989103"/>
    <n v="1.26105350545918"/>
    <n v="3.585818928172E-2"/>
    <n v="5.0474800779899999E-3"/>
    <n v="14.7901979631953"/>
    <n v="8140"/>
    <s v="Roads and Highways"/>
    <n v="8140"/>
    <s v="FDOT District 5                                 City of Cocoa Beach           Brevard County"/>
    <s v="FDOT District 5"/>
    <m/>
    <m/>
    <m/>
    <n v="0"/>
    <n v="1"/>
    <n v="3.585818928172E-2"/>
    <n v="5.0474800779899999E-3"/>
    <n v="690.49011911161801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20.646599494452499"/>
    <n v="16.197906815313601"/>
    <n v="0.56000820689999997"/>
  </r>
  <r>
    <n v="830000"/>
    <n v="2400000"/>
    <n v="2400000"/>
    <x v="0"/>
    <x v="0"/>
    <s v="BR3-5, BR-7"/>
    <s v="62-304.520 (10), F.A.C."/>
    <n v="0.59"/>
    <n v="0.64"/>
    <s v="City of Cocoa Beach"/>
    <n v="2.0510129574359999E-2"/>
    <n v="3695.1569297418901"/>
    <n v="8.9587466605989103"/>
    <n v="1.26105350545918"/>
    <n v="0.18374505483282"/>
    <n v="2.5864370797170001E-2"/>
    <n v="75.788147426630104"/>
    <n v="1210"/>
    <s v="Fixed Single Family Units"/>
    <n v="1210"/>
    <s v="City of Cocoa Beach           Brevard County"/>
    <s v="City of Cocoa Beach"/>
    <m/>
    <m/>
    <m/>
    <n v="0"/>
    <n v="1"/>
    <n v="0.18374505483282"/>
    <n v="2.5864370797170001E-2"/>
    <n v="75.788147426629294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36.599037544349699"/>
    <n v="83.001549592286494"/>
    <n v="6.1466461799999997E-2"/>
  </r>
  <r>
    <n v="830000"/>
    <n v="2400000"/>
    <n v="2400000"/>
    <x v="0"/>
    <x v="0"/>
    <s v="BR3-5, BR-7"/>
    <s v="62-304.520 (10), F.A.C."/>
    <n v="0.59"/>
    <n v="0.64"/>
    <s v="FDOT District 5"/>
    <n v="1.3374344208719999E-2"/>
    <n v="3695.1569297418901"/>
    <n v="8.9587466605989103"/>
    <n v="1.26105350545918"/>
    <n v="0.11981736151760999"/>
    <n v="1.6865763647630001E-2"/>
    <n v="49.420300683623502"/>
    <n v="1210"/>
    <s v="Fixed Single Family Units"/>
    <n v="1210"/>
    <s v="FDOT District 5                                 City of Cocoa Beach           Brevard County"/>
    <s v="FDOT District 5"/>
    <m/>
    <m/>
    <m/>
    <n v="0"/>
    <n v="1"/>
    <n v="0.11981736151760999"/>
    <n v="1.6865763647630001E-2"/>
    <n v="54.814326409408999"/>
    <m/>
    <n v="-1"/>
    <n v="-1"/>
    <n v="-1"/>
    <n v="-1"/>
    <n v="0"/>
    <m/>
    <m/>
    <s v="Banana River B"/>
    <n v="-1"/>
    <m/>
    <m/>
    <n v="388"/>
    <x v="25"/>
    <s v="W Pasco/Banana Swale"/>
    <x v="0"/>
    <n v="1.0789029999999999"/>
    <n v="29.476428227519701"/>
    <n v="54.124050756465302"/>
    <n v="4.4456063599999998E-2"/>
  </r>
  <r>
    <n v="830000"/>
    <n v="2400000"/>
    <n v="2400000"/>
    <x v="0"/>
    <x v="0"/>
    <s v="BR3-5, BR-7"/>
    <s v="62-304.520 (10), F.A.C."/>
    <n v="0.59"/>
    <n v="0.64"/>
    <s v="City of Cocoa Beach"/>
    <n v="8.6438122032350004E-2"/>
    <n v="3679.5933121150802"/>
    <n v="9.1751705456820396"/>
    <n v="1.3495244185545301"/>
    <n v="0.79308451129534996"/>
    <n v="0.11665035637666001"/>
    <n v="318.05713574204799"/>
    <n v="1200"/>
    <s v="Residential, Medium Density-Two-five dwellingunits per acre"/>
    <n v="1200"/>
    <s v="City of Cocoa Beach           Brevard County"/>
    <s v="City of Cocoa Beach"/>
    <m/>
    <m/>
    <m/>
    <n v="0"/>
    <n v="1"/>
    <n v="0.79308451129534996"/>
    <n v="0.11665035637666001"/>
    <n v="856.82480023980702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127.914948819896"/>
    <n v="349.80266928683898"/>
    <n v="0.69491062469999998"/>
  </r>
  <r>
    <n v="830000"/>
    <n v="2400000"/>
    <n v="2400000"/>
    <x v="0"/>
    <x v="0"/>
    <s v="BR3-5, BR-7"/>
    <s v="62-304.520 (10), F.A.C."/>
    <n v="0.59"/>
    <n v="0.64"/>
    <s v="City of Cocoa Beach"/>
    <n v="0.10070171896705001"/>
    <n v="3679.5933121150802"/>
    <n v="9.1751705456820396"/>
    <n v="1.3495244185545301"/>
    <n v="0.92395544576601996"/>
    <n v="0.13589942873645"/>
    <n v="370.54137162964901"/>
    <n v="1210"/>
    <s v="Fixed Single Family Units"/>
    <n v="1210"/>
    <s v="City of Cocoa Beach           Brevard County"/>
    <s v="City of Cocoa Beach"/>
    <m/>
    <m/>
    <m/>
    <n v="0"/>
    <n v="1"/>
    <n v="0.92395544576601996"/>
    <n v="0.13589942873645"/>
    <n v="499.3493661679900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82.131027954211106"/>
    <n v="407.525398148524"/>
    <n v="0.40498732050000003"/>
  </r>
  <r>
    <n v="830000"/>
    <n v="2400000"/>
    <n v="2400000"/>
    <x v="0"/>
    <x v="0"/>
    <s v="BR3-5, BR-7"/>
    <s v="62-304.520 (10), F.A.C."/>
    <n v="0.59"/>
    <n v="0.64"/>
    <s v="City of Cocoa Beach"/>
    <n v="0.19428869815512001"/>
    <n v="3679.5933121150802"/>
    <n v="9.1751705456820396"/>
    <n v="1.3495244185545301"/>
    <n v="1.7826319406718401"/>
    <n v="0.26219734240950998"/>
    <n v="714.903394351158"/>
    <n v="1210"/>
    <s v="Fixed Single Family Units"/>
    <n v="1210"/>
    <s v="City of Cocoa Beach           Brevard County"/>
    <s v="City of Cocoa Beach"/>
    <m/>
    <m/>
    <m/>
    <n v="0"/>
    <n v="1"/>
    <n v="1.7826319406718401"/>
    <n v="0.26219734240950998"/>
    <n v="729.65198408941899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110.645771314757"/>
    <n v="786.25846592881896"/>
    <n v="0.59176965459999997"/>
  </r>
  <r>
    <n v="830000"/>
    <n v="2400000"/>
    <n v="2400000"/>
    <x v="0"/>
    <x v="0"/>
    <s v="BR3-5, BR-7"/>
    <s v="62-304.520 (10), F.A.C."/>
    <n v="0.59"/>
    <n v="0.64"/>
    <s v="City of Cocoa Beach"/>
    <n v="8.1864348755699996E-3"/>
    <n v="3679.5933121150802"/>
    <n v="9.1751705456820396"/>
    <n v="1.3495244185545301"/>
    <n v="7.5111936144530003E-2"/>
    <n v="1.104779376549E-2"/>
    <n v="30.122751018238802"/>
    <n v="1200"/>
    <s v="Residential, Medium Density-Two-five dwellingunits per acre"/>
    <n v="1200"/>
    <s v="City of Cocoa Beach           Brevard County"/>
    <s v="City of Cocoa Beach"/>
    <m/>
    <m/>
    <m/>
    <n v="0"/>
    <n v="1"/>
    <n v="7.5111936144530003E-2"/>
    <n v="1.104779376549E-2"/>
    <n v="317.62931919542302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50.125219689532202"/>
    <n v="33.1293265527895"/>
    <n v="0.25760690930000002"/>
  </r>
  <r>
    <n v="830000"/>
    <n v="2400000"/>
    <n v="2400000"/>
    <x v="0"/>
    <x v="0"/>
    <s v="BR3-5, BR-7"/>
    <s v="62-304.520 (10), F.A.C."/>
    <n v="0.59"/>
    <n v="0.64"/>
    <s v="City of Cocoa Beach"/>
    <n v="0.13633064726134"/>
    <n v="3679.5933121150802"/>
    <n v="9.1751705456820396"/>
    <n v="1.3495244185545301"/>
    <n v="1.25085693922603"/>
    <n v="0.18398153747651999"/>
    <n v="501.641337899154"/>
    <n v="1210"/>
    <s v="Fixed Single Family Units"/>
    <n v="1210"/>
    <s v="City of Cocoa Beach           Brevard County"/>
    <s v="City of Cocoa Beach"/>
    <m/>
    <m/>
    <m/>
    <n v="0"/>
    <n v="1"/>
    <n v="1.25085693922603"/>
    <n v="0.18398153747651999"/>
    <n v="809.47829218823199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94.488601410666604"/>
    <n v="551.71055543951002"/>
    <n v="0.65651118590000002"/>
  </r>
  <r>
    <n v="830000"/>
    <n v="2400000"/>
    <n v="2400000"/>
    <x v="0"/>
    <x v="0"/>
    <s v="BR3-5, BR-7"/>
    <s v="62-304.520 (10), F.A.C."/>
    <n v="0.59"/>
    <n v="0.64"/>
    <s v="City of Cocoa Beach"/>
    <n v="0.15266801969898999"/>
    <n v="3679.5933121150802"/>
    <n v="9.1751705456820396"/>
    <n v="1.3495244185545301"/>
    <n v="1.4007551176098001"/>
    <n v="0.20602922051615"/>
    <n v="561.75622425826805"/>
    <n v="1210"/>
    <s v="Fixed Single Family Units"/>
    <n v="1210"/>
    <s v="City of Cocoa Beach           Brevard County"/>
    <s v="City of Cocoa Beach"/>
    <m/>
    <m/>
    <m/>
    <n v="0"/>
    <n v="1"/>
    <n v="1.4007551176098001"/>
    <n v="0.20602922051615"/>
    <n v="846.07557793649698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99.108857013860799"/>
    <n v="617.82555601395802"/>
    <n v="0.68619268280000001"/>
  </r>
  <r>
    <n v="830000"/>
    <n v="2400000"/>
    <n v="2400000"/>
    <x v="0"/>
    <x v="0"/>
    <s v="BR3-5, BR-7"/>
    <s v="62-304.520 (10), F.A.C."/>
    <n v="0.59"/>
    <n v="0.64"/>
    <s v="City of Cocoa Beach"/>
    <n v="4.5166174768419998E-2"/>
    <n v="3679.5933121150802"/>
    <n v="9.1751705456820396"/>
    <n v="1.3495244185545301"/>
    <n v="0.41440735639634002"/>
    <n v="6.0952855742680001E-2"/>
    <n v="166.193154611702"/>
    <n v="1210"/>
    <s v="Fixed Single Family Units"/>
    <n v="1210"/>
    <s v="City of Cocoa Beach           Brevard County"/>
    <s v="City of Cocoa Beach"/>
    <m/>
    <m/>
    <m/>
    <n v="0"/>
    <n v="1"/>
    <n v="0.41440735639634002"/>
    <n v="6.0952855742680001E-2"/>
    <n v="166.193154611702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60.248967902760697"/>
    <n v="182.781024436824"/>
    <n v="0.1347876355"/>
  </r>
  <r>
    <n v="830000"/>
    <n v="2400000"/>
    <n v="2400000"/>
    <x v="0"/>
    <x v="0"/>
    <s v="BR3-5, BR-7"/>
    <s v="62-304.520 (10), F.A.C."/>
    <n v="0.59"/>
    <n v="0.64"/>
    <s v="City of Cocoa Beach"/>
    <n v="3.5881855533889999E-2"/>
    <n v="3679.5933121150802"/>
    <n v="9.1751705456820396"/>
    <n v="1.3495244185545301"/>
    <n v="0.32922214401902999"/>
    <n v="4.8423440226039997E-2"/>
    <n v="132.03063564881001"/>
    <n v="1210"/>
    <s v="Fixed Single Family Units"/>
    <n v="1210"/>
    <s v="City of Cocoa Beach           Brevard County"/>
    <s v="City of Cocoa Beach"/>
    <m/>
    <m/>
    <m/>
    <n v="0"/>
    <n v="1"/>
    <n v="0.32922214401902999"/>
    <n v="4.8423440226039997E-2"/>
    <n v="132.03063564881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63.129501940924399"/>
    <n v="145.20871751498399"/>
    <n v="0.1070808075"/>
  </r>
  <r>
    <n v="830000"/>
    <n v="2400000"/>
    <n v="2400000"/>
    <x v="0"/>
    <x v="0"/>
    <s v="BR3-5, BR-7"/>
    <s v="62-304.520 (10), F.A.C."/>
    <n v="0.59"/>
    <n v="0.64"/>
    <s v="City of Cocoa Beach"/>
    <n v="9.3726011223759995E-2"/>
    <n v="3683.70981387647"/>
    <n v="9.1849131389234593"/>
    <n v="1.3509396707455501"/>
    <n v="0.86086527194808005"/>
    <n v="0.12661818674292999"/>
    <n v="345.25942736049399"/>
    <n v="1200"/>
    <s v="Residential, Medium Density-Two-five dwellingunits per acre"/>
    <n v="1200"/>
    <s v="City of Cocoa Beach           Brevard County"/>
    <s v="City of Cocoa Beach"/>
    <m/>
    <m/>
    <m/>
    <n v="0"/>
    <n v="1"/>
    <n v="0.86086527194808005"/>
    <n v="0.12661818674292999"/>
    <n v="1234.99207554707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81.139264215878498"/>
    <n v="379.29571046684401"/>
    <n v="1.0016156329999999"/>
  </r>
  <r>
    <n v="830000"/>
    <n v="2400000"/>
    <n v="2400000"/>
    <x v="0"/>
    <x v="0"/>
    <s v="BR3-5, BR-7"/>
    <s v="62-304.520 (10), F.A.C."/>
    <n v="0.59"/>
    <n v="0.64"/>
    <s v="City of Cocoa Beach"/>
    <n v="3.1066705773000002E-4"/>
    <n v="3683.70981387647"/>
    <n v="9.1849131389234593"/>
    <n v="1.3509396707455501"/>
    <n v="2.8534499404200002E-3"/>
    <n v="4.1969245267999998E-4"/>
    <n v="1.14440728942654"/>
    <n v="1210"/>
    <s v="Fixed Single Family Units"/>
    <n v="1210"/>
    <s v="City of Cocoa Beach           Brevard County"/>
    <s v="City of Cocoa Beach"/>
    <m/>
    <m/>
    <m/>
    <n v="0"/>
    <n v="1"/>
    <n v="2.8534499404200002E-3"/>
    <n v="4.1969245267999998E-4"/>
    <n v="15.6275510956643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9.7639573073639205"/>
    <n v="1.2572249778229001"/>
    <n v="1.2674412899999999E-2"/>
  </r>
  <r>
    <n v="830000"/>
    <n v="2400000"/>
    <n v="2400000"/>
    <x v="0"/>
    <x v="0"/>
    <s v="BR3-5, BR-7"/>
    <s v="62-304.520 (10), F.A.C."/>
    <n v="0.59"/>
    <n v="0.64"/>
    <s v="City of Cocoa Beach"/>
    <n v="0.10275143683082"/>
    <n v="3683.70981387647"/>
    <n v="9.1849131389234593"/>
    <n v="1.3509396707455501"/>
    <n v="0.94376302219070995"/>
    <n v="0.13881099224085999"/>
    <n v="378.50647624362199"/>
    <n v="1210"/>
    <s v="Fixed Single Family Units"/>
    <n v="1210"/>
    <s v="City of Cocoa Beach           Brevard County"/>
    <s v="City of Cocoa Beach"/>
    <m/>
    <m/>
    <m/>
    <n v="0"/>
    <n v="1"/>
    <n v="0.94376302219070995"/>
    <n v="0.13881099224085999"/>
    <n v="981.14886167479494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80.422287288081407"/>
    <n v="415.82031204965398"/>
    <n v="0.79574116920000004"/>
  </r>
  <r>
    <n v="830000"/>
    <n v="2400000"/>
    <n v="2400000"/>
    <x v="0"/>
    <x v="0"/>
    <s v="BR3-5, BR-7"/>
    <s v="62-304.520 (10), F.A.C."/>
    <n v="0.59"/>
    <n v="0.64"/>
    <s v="City of Cocoa Beach"/>
    <n v="1.9425674310199999E-3"/>
    <n v="3683.70981387647"/>
    <n v="9.1849131389234593"/>
    <n v="1.3509396707455501"/>
    <n v="1.7842313120470001E-2"/>
    <n v="2.6242914056700001E-3"/>
    <n v="7.15585470978729"/>
    <n v="1210"/>
    <s v="Fixed Single Family Units"/>
    <n v="1210"/>
    <s v="City of Cocoa Beach           Brevard County"/>
    <s v="City of Cocoa Beach"/>
    <m/>
    <m/>
    <m/>
    <n v="0"/>
    <n v="1"/>
    <n v="1.7842313120470001E-2"/>
    <n v="2.6242914056700001E-3"/>
    <n v="7.1558547097878797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24.545141999662199"/>
    <n v="7.8612914841932602"/>
    <n v="5.8036129000000004E-3"/>
  </r>
  <r>
    <n v="830000"/>
    <n v="2400000"/>
    <n v="2400000"/>
    <x v="0"/>
    <x v="0"/>
    <s v="BR3-5, BR-7"/>
    <s v="62-304.520 (10), F.A.C."/>
    <n v="0.59"/>
    <n v="0.64"/>
    <s v="City of Cocoa Beach"/>
    <n v="2.2618234837399999E-3"/>
    <n v="3673.4181151697098"/>
    <n v="9.1605557876678692"/>
    <n v="1.34740142071922"/>
    <n v="2.071956020471E-2"/>
    <n v="3.0475841754100002E-3"/>
    <n v="8.3086233585088305"/>
    <n v="1210"/>
    <s v="Fixed Single Family Units"/>
    <n v="1210"/>
    <s v="City of Cocoa Beach           Brevard County"/>
    <s v="City of Cocoa Beach"/>
    <m/>
    <m/>
    <m/>
    <n v="0"/>
    <n v="1"/>
    <n v="2.071956020471E-2"/>
    <n v="3.0475841754100002E-3"/>
    <n v="436.1238915123560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21.319050296927301"/>
    <n v="9.15327489153462"/>
    <n v="0.35370956329999997"/>
  </r>
  <r>
    <n v="830000"/>
    <n v="2400000"/>
    <n v="2400000"/>
    <x v="0"/>
    <x v="0"/>
    <s v="BR3-5, BR-7"/>
    <s v="62-304.520 (10), F.A.C."/>
    <n v="0.59"/>
    <n v="0.64"/>
    <s v="City of Cocoa Beach"/>
    <n v="4.5590512169000003E-3"/>
    <n v="3673.4181151697098"/>
    <n v="9.1605557876678692"/>
    <n v="1.34740142071922"/>
    <n v="4.1763443011239999E-2"/>
    <n v="6.1428720867799996E-3"/>
    <n v="16.747301328147"/>
    <n v="1210"/>
    <s v="Fixed Single Family Units"/>
    <n v="1210"/>
    <s v="City of Cocoa Beach           Brevard County"/>
    <s v="City of Cocoa Beach"/>
    <m/>
    <m/>
    <m/>
    <n v="0"/>
    <n v="1"/>
    <n v="4.1763443011239999E-2"/>
    <n v="6.1428720867799996E-3"/>
    <n v="152.9825947582640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19.508121085768199"/>
    <n v="18.449825697162701"/>
    <n v="0.1240734751"/>
  </r>
  <r>
    <n v="830000"/>
    <n v="2400000"/>
    <n v="2400000"/>
    <x v="0"/>
    <x v="0"/>
    <s v="BR3-5, BR-7"/>
    <s v="62-304.520 (10), F.A.C."/>
    <n v="0.59"/>
    <n v="0.64"/>
    <s v="City of Cocoa Beach"/>
    <n v="2.4513850144899998E-2"/>
    <n v="3673.4181154434"/>
    <n v="9.1605557883503899"/>
    <n v="1.3474014208196099"/>
    <n v="0.22456049183967999"/>
    <n v="3.3029996515E-2"/>
    <n v="90.049621201566396"/>
    <n v="1210"/>
    <s v="Fixed Single Family Units"/>
    <n v="1210"/>
    <s v="City of Cocoa Beach           Brevard County"/>
    <s v="City of Cocoa Beach"/>
    <m/>
    <m/>
    <m/>
    <n v="0"/>
    <n v="1"/>
    <n v="0.22456049183967999"/>
    <n v="3.3029996515E-2"/>
    <n v="356.21658117794198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48.306938292461801"/>
    <n v="99.204031896666805"/>
    <n v="0.28890233669999998"/>
  </r>
  <r>
    <n v="830000"/>
    <n v="2400000"/>
    <n v="2400000"/>
    <x v="0"/>
    <x v="0"/>
    <s v="BR3-5, BR-7"/>
    <s v="62-304.520 (10), F.A.C."/>
    <n v="0.59"/>
    <n v="0.64"/>
    <s v="City of Cocoa Beach"/>
    <n v="6.8218120202519994E-2"/>
    <n v="3673.4181154434"/>
    <n v="9.1605557883503899"/>
    <n v="1.3474014208196099"/>
    <n v="0.62491589589159002"/>
    <n v="9.1917192086519994E-2"/>
    <n v="250.59367855343999"/>
    <n v="1210"/>
    <s v="Fixed Single Family Units"/>
    <n v="1210"/>
    <s v="City of Cocoa Beach           Brevard County"/>
    <s v="City of Cocoa Beach"/>
    <m/>
    <m/>
    <m/>
    <n v="0"/>
    <n v="1"/>
    <n v="0.62491589589159002"/>
    <n v="9.1917192086519994E-2"/>
    <n v="582.2786642714210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74.6687773550629"/>
    <n v="276.06893786563001"/>
    <n v="0.47224546979999998"/>
  </r>
  <r>
    <n v="830000"/>
    <n v="2400000"/>
    <n v="2400000"/>
    <x v="0"/>
    <x v="0"/>
    <s v="BR3-5, BR-7"/>
    <s v="62-304.520 (10), F.A.C."/>
    <n v="0.59"/>
    <n v="0.64"/>
    <s v="City of Cocoa Beach"/>
    <n v="2.324965959062E-2"/>
    <n v="3673.4181154434"/>
    <n v="9.1605557883503899"/>
    <n v="1.3474014208196099"/>
    <n v="0.21297980374011"/>
    <n v="3.1326624365980001E-2"/>
    <n v="85.405720718109094"/>
    <n v="1210"/>
    <s v="Fixed Single Family Units"/>
    <n v="1210"/>
    <s v="City of Cocoa Beach           Brevard County"/>
    <s v="City of Cocoa Beach"/>
    <m/>
    <m/>
    <m/>
    <n v="0"/>
    <n v="1"/>
    <n v="0.21297980374011"/>
    <n v="3.1326624365980001E-2"/>
    <n v="156.8385279353300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44.215827698476197"/>
    <n v="94.088034232949497"/>
    <n v="0.12720075259999999"/>
  </r>
  <r>
    <n v="830000"/>
    <n v="2400000"/>
    <n v="2400000"/>
    <x v="0"/>
    <x v="0"/>
    <s v="BR3-5, BR-7"/>
    <s v="62-304.520 (10), F.A.C."/>
    <n v="0.59"/>
    <n v="0.64"/>
    <s v="City of Cocoa Beach"/>
    <n v="0.15729400554350001"/>
    <n v="3673.4181154434"/>
    <n v="9.1605557883503899"/>
    <n v="1.3474014208196099"/>
    <n v="1.44090051295433"/>
    <n v="0.21193816655572001"/>
    <n v="577.80664941415205"/>
    <n v="1210"/>
    <s v="Fixed Single Family Units"/>
    <n v="1210"/>
    <s v="City of Cocoa Beach           Brevard County"/>
    <s v="City of Cocoa Beach"/>
    <m/>
    <m/>
    <m/>
    <n v="0"/>
    <n v="1"/>
    <n v="1.44090051295433"/>
    <n v="0.21193816655572001"/>
    <n v="858.52959187713395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100.411696383349"/>
    <n v="636.54625653873904"/>
    <n v="0.69629326189999996"/>
  </r>
  <r>
    <n v="830000"/>
    <n v="2400000"/>
    <n v="2400000"/>
    <x v="0"/>
    <x v="0"/>
    <s v="BR3-5, BR-7"/>
    <s v="62-304.520 (10), F.A.C."/>
    <n v="0.59"/>
    <n v="0.64"/>
    <s v="City of Cocoa Beach"/>
    <n v="1.3370623253099999E-2"/>
    <n v="3673.4181154434"/>
    <n v="9.1605557883503899"/>
    <n v="1.3474014208196099"/>
    <n v="0.12248234023505999"/>
    <n v="1.8015596768470001E-2"/>
    <n v="49.115889672717401"/>
    <n v="1210"/>
    <s v="Fixed Single Family Units"/>
    <n v="1210"/>
    <s v="City of Cocoa Beach           Brevard County"/>
    <s v="City of Cocoa Beach"/>
    <m/>
    <m/>
    <m/>
    <n v="0"/>
    <n v="1"/>
    <n v="0.12248234023505999"/>
    <n v="1.8015596768470001E-2"/>
    <n v="52.118784598892802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51.933352971230697"/>
    <n v="54.108992583312002"/>
    <n v="4.2269898299999997E-2"/>
  </r>
  <r>
    <n v="830000"/>
    <n v="2400000"/>
    <n v="2400000"/>
    <x v="0"/>
    <x v="0"/>
    <s v="BR3-5, BR-7"/>
    <s v="62-304.520 (10), F.A.C."/>
    <n v="0.59"/>
    <n v="0.64"/>
    <s v="City of Cocoa Beach"/>
    <n v="0.13382044463911"/>
    <n v="3673.4181154434"/>
    <n v="9.1605557883503899"/>
    <n v="1.3474014208196099"/>
    <n v="1.2258696487384999"/>
    <n v="0.18030985724146001"/>
    <n v="491.57844555403102"/>
    <n v="1210"/>
    <s v="Fixed Single Family Units"/>
    <n v="1210"/>
    <s v="City of Cocoa Beach           Brevard County"/>
    <s v="City of Cocoa Beach"/>
    <m/>
    <m/>
    <m/>
    <n v="0"/>
    <n v="1"/>
    <n v="1.2258696487384999"/>
    <n v="0.18030985724146001"/>
    <n v="737.16605788378604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93.415346486532698"/>
    <n v="541.55212583624302"/>
    <n v="0.5978637939"/>
  </r>
  <r>
    <n v="830000"/>
    <n v="2400000"/>
    <n v="2400000"/>
    <x v="0"/>
    <x v="0"/>
    <s v="BR3-5, BR-7"/>
    <s v="62-304.520 (10), F.A.C."/>
    <n v="0.59"/>
    <n v="0.64"/>
    <s v="City of Cocoa Beach"/>
    <n v="7.1645394305460006E-2"/>
    <n v="3673.4181154434"/>
    <n v="9.1605557883503899"/>
    <n v="1.3474014208196099"/>
    <n v="0.65631163151359995"/>
    <n v="9.6535106082360003E-2"/>
    <n v="263.183489329792"/>
    <n v="1210"/>
    <s v="Fixed Single Family Units"/>
    <n v="1210"/>
    <s v="City of Cocoa Beach           Brevard County"/>
    <s v="City of Cocoa Beach"/>
    <m/>
    <m/>
    <m/>
    <n v="0"/>
    <n v="1"/>
    <n v="0.65631163151359995"/>
    <n v="9.6535106082360003E-2"/>
    <n v="263.18348932979097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69.062893987948698"/>
    <n v="289.93862408046198"/>
    <n v="0.2134497075"/>
  </r>
  <r>
    <n v="830000"/>
    <n v="2400000"/>
    <n v="2400000"/>
    <x v="0"/>
    <x v="0"/>
    <s v="BR3-5, BR-7"/>
    <s v="62-304.520 (10), F.A.C."/>
    <n v="0.59"/>
    <n v="0.64"/>
    <s v="City of Cocoa Beach"/>
    <n v="7.5668219809039997E-2"/>
    <n v="3673.4181154434"/>
    <n v="9.1605557883503899"/>
    <n v="1.3474014208196099"/>
    <n v="0.69316294896589004"/>
    <n v="0.10195546688159"/>
    <n v="277.96100940989197"/>
    <n v="1210"/>
    <s v="Fixed Single Family Units"/>
    <n v="1210"/>
    <s v="City of Cocoa Beach           Brevard County"/>
    <s v="City of Cocoa Beach"/>
    <m/>
    <m/>
    <m/>
    <n v="0"/>
    <n v="1"/>
    <n v="0.69316294896589004"/>
    <n v="0.10195546688159"/>
    <n v="277.96100940989197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75.583114328060404"/>
    <n v="306.21842130580097"/>
    <n v="0.22543471970000001"/>
  </r>
  <r>
    <n v="830000"/>
    <n v="2400000"/>
    <n v="2400000"/>
    <x v="0"/>
    <x v="0"/>
    <s v="BR3-5, BR-7"/>
    <s v="62-304.520 (10), F.A.C."/>
    <n v="0.59"/>
    <n v="0.64"/>
    <s v="City of Cocoa Beach"/>
    <n v="1.060807280174E-2"/>
    <n v="3673.4181154434"/>
    <n v="9.1605557883503899"/>
    <n v="1.3474014208196099"/>
    <n v="9.7175842707259999E-2"/>
    <n v="1.4293332365220001E-2"/>
    <n v="38.967886799872602"/>
    <n v="1210"/>
    <s v="Fixed Single Family Units"/>
    <n v="1210"/>
    <s v="City of Cocoa Beach           Brevard County"/>
    <s v="City of Cocoa Beach"/>
    <m/>
    <m/>
    <m/>
    <n v="0"/>
    <n v="1"/>
    <n v="9.7175842707259999E-2"/>
    <n v="1.4293332365220001E-2"/>
    <n v="38.967886799874002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28.6489341420268"/>
    <n v="42.929347547029899"/>
    <n v="3.1604125499999997E-2"/>
  </r>
  <r>
    <n v="830000"/>
    <n v="2400000"/>
    <n v="2400000"/>
    <x v="0"/>
    <x v="0"/>
    <s v="BR3-5, BR-7"/>
    <s v="62-304.520 (10), F.A.C."/>
    <n v="0.59"/>
    <n v="0.64"/>
    <s v="City of Cocoa Beach"/>
    <n v="7.2311154887549994E-2"/>
    <n v="3673.4181151697098"/>
    <n v="9.1605557876678692"/>
    <n v="1.34740142071922"/>
    <n v="0.66241036841812995"/>
    <n v="9.7432152829330002E-2"/>
    <n v="265.629106292784"/>
    <n v="1210"/>
    <s v="Fixed Single Family Units"/>
    <n v="1210"/>
    <s v="City of Cocoa Beach           Brevard County"/>
    <s v="City of Cocoa Beach"/>
    <m/>
    <m/>
    <m/>
    <n v="0"/>
    <n v="1"/>
    <n v="0.66241036841812995"/>
    <n v="9.7432152829330002E-2"/>
    <n v="564.822770792798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69.7488593243596"/>
    <n v="292.63286156786"/>
    <n v="0.45808821640000003"/>
  </r>
  <r>
    <n v="830000"/>
    <n v="2400000"/>
    <n v="2400000"/>
    <x v="0"/>
    <x v="0"/>
    <s v="BR3-5, BR-7"/>
    <s v="62-304.520 (10), F.A.C."/>
    <n v="0.59"/>
    <n v="0.64"/>
    <s v="City of Cocoa Beach"/>
    <n v="0.15053672221587999"/>
    <n v="3673.4181151697098"/>
    <n v="9.1605557876678692"/>
    <n v="1.34740142071922"/>
    <n v="1.37900004195131"/>
    <n v="0.2028333933841"/>
    <n v="552.98432238611804"/>
    <n v="1210"/>
    <s v="Fixed Single Family Units"/>
    <n v="1210"/>
    <s v="City of Cocoa Beach           Brevard County"/>
    <s v="City of Cocoa Beach"/>
    <m/>
    <m/>
    <m/>
    <n v="0"/>
    <n v="1"/>
    <n v="1.37900004195131"/>
    <n v="0.2028333933841"/>
    <n v="757.7612591548900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98.487832882084206"/>
    <n v="609.200501106415"/>
    <n v="0.61456712020000004"/>
  </r>
  <r>
    <n v="830000"/>
    <n v="2400000"/>
    <n v="2400000"/>
    <x v="0"/>
    <x v="0"/>
    <s v="BR3-5, BR-7"/>
    <s v="62-304.520 (10), F.A.C."/>
    <n v="0.59"/>
    <n v="0.64"/>
    <s v="City of Cocoa Beach"/>
    <n v="2.1355947267689999E-2"/>
    <n v="3673.4181151697098"/>
    <n v="9.1605557876678692"/>
    <n v="1.34740142071922"/>
    <n v="0.19563234634418999"/>
    <n v="2.8775033689289999E-2"/>
    <n v="78.449323559752699"/>
    <n v="1210"/>
    <s v="Fixed Single Family Units"/>
    <n v="1210"/>
    <s v="City of Cocoa Beach           Brevard County"/>
    <s v="City of Cocoa Beach"/>
    <m/>
    <m/>
    <m/>
    <n v="0"/>
    <n v="1"/>
    <n v="0.19563234634418999"/>
    <n v="2.8775033689289999E-2"/>
    <n v="93.326667902403798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54.965383071928997"/>
    <n v="86.424452356700399"/>
    <n v="7.5690728200000001E-2"/>
  </r>
  <r>
    <n v="830000"/>
    <n v="2400000"/>
    <n v="2400000"/>
    <x v="0"/>
    <x v="0"/>
    <s v="BR3-5, BR-7"/>
    <s v="62-304.520 (10), F.A.C."/>
    <n v="0.59"/>
    <n v="0.64"/>
    <s v="City of Cocoa Beach"/>
    <n v="3.9427796788630003E-2"/>
    <n v="3673.4181151697098"/>
    <n v="9.1605557876678692"/>
    <n v="1.34740142071922"/>
    <n v="0.36118053206714001"/>
    <n v="5.3125069408830002E-2"/>
    <n v="144.83478296460899"/>
    <n v="1210"/>
    <s v="Fixed Single Family Units"/>
    <n v="1210"/>
    <s v="City of Cocoa Beach           Brevard County"/>
    <s v="City of Cocoa Beach"/>
    <m/>
    <m/>
    <m/>
    <n v="0"/>
    <n v="1"/>
    <n v="0.36118053206714001"/>
    <n v="5.3125069408830002E-2"/>
    <n v="341.42682449738402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51.778237186792701"/>
    <n v="159.558632655179"/>
    <n v="0.27690740019999999"/>
  </r>
  <r>
    <n v="830000"/>
    <n v="2400000"/>
    <n v="2400000"/>
    <x v="0"/>
    <x v="0"/>
    <s v="BR3-5, BR-7"/>
    <s v="62-304.520 (10), F.A.C."/>
    <n v="0.59"/>
    <n v="0.64"/>
    <s v="City of Cocoa Beach"/>
    <n v="0.10358593437391"/>
    <n v="3673.4181151697098"/>
    <n v="9.1605557876678692"/>
    <n v="1.34740142071922"/>
    <n v="0.94890473064995995"/>
    <n v="0.13957183514193999"/>
    <n v="380.51444780592402"/>
    <n v="1210"/>
    <s v="Fixed Single Family Units"/>
    <n v="1210"/>
    <s v="City of Cocoa Beach           Brevard County"/>
    <s v="City of Cocoa Beach"/>
    <m/>
    <m/>
    <m/>
    <n v="0"/>
    <n v="1"/>
    <n v="0.94890473064995995"/>
    <n v="0.13957183514193999"/>
    <n v="424.1126279035680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88.104479372128907"/>
    <n v="419.19740379138699"/>
    <n v="0.34396806800000002"/>
  </r>
  <r>
    <n v="830000"/>
    <n v="2400000"/>
    <n v="2400000"/>
    <x v="0"/>
    <x v="0"/>
    <s v="BR3-5, BR-7"/>
    <s v="62-304.520 (10), F.A.C."/>
    <n v="0.59"/>
    <n v="0.64"/>
    <s v="City of Cocoa Beach"/>
    <n v="2.391595745109E-2"/>
    <n v="3673.4181151697098"/>
    <n v="9.1605557876678692"/>
    <n v="1.34740142071922"/>
    <n v="0.21908346244624"/>
    <n v="3.2224395047459997E-2"/>
    <n v="87.853311342480495"/>
    <n v="1210"/>
    <s v="Fixed Single Family Units"/>
    <n v="1210"/>
    <s v="City of Cocoa Beach           Brevard County"/>
    <s v="City of Cocoa Beach"/>
    <m/>
    <m/>
    <m/>
    <n v="0"/>
    <n v="1"/>
    <n v="0.21908346244624"/>
    <n v="3.2224395047459997E-2"/>
    <n v="87.853311342480893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44.331619661792303"/>
    <n v="96.784446008809198"/>
    <n v="7.1251671799999999E-2"/>
  </r>
  <r>
    <n v="830000"/>
    <n v="2400000"/>
    <n v="2400000"/>
    <x v="0"/>
    <x v="0"/>
    <s v="BR3-5, BR-7"/>
    <s v="62-304.520 (10), F.A.C."/>
    <n v="0.59"/>
    <n v="0.64"/>
    <s v="City of Cocoa Beach"/>
    <n v="0.10262130368425"/>
    <n v="3683.70981387647"/>
    <n v="9.1849131389234593"/>
    <n v="1.3509396707455501"/>
    <n v="0.94256776054296998"/>
    <n v="0.13863519021067999"/>
    <n v="378.02710349449097"/>
    <n v="1200"/>
    <s v="Residential, Medium Density-Two-five dwellingunits per acre"/>
    <n v="1200"/>
    <s v="City of Cocoa Beach           Brevard County"/>
    <s v="City of Cocoa Beach"/>
    <m/>
    <m/>
    <m/>
    <n v="0"/>
    <n v="1"/>
    <n v="0.94256776054296998"/>
    <n v="0.13863519021067999"/>
    <n v="447.20104309688998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100.853294206798"/>
    <n v="415.29368188969102"/>
    <n v="0.36269346559999999"/>
  </r>
  <r>
    <n v="830000"/>
    <n v="2400000"/>
    <n v="2400000"/>
    <x v="0"/>
    <x v="0"/>
    <s v="BR3-5, BR-7"/>
    <s v="62-304.520 (10), F.A.C."/>
    <n v="0.59"/>
    <n v="0.64"/>
    <s v="City of Cocoa Beach"/>
    <n v="1.2440712270400001E-3"/>
    <n v="3683.70981387647"/>
    <n v="9.1849131389234593"/>
    <n v="1.3509396707455501"/>
    <n v="1.1426686159050001E-2"/>
    <n v="1.68066517385E-3"/>
    <n v="4.5827973882307003"/>
    <n v="1210"/>
    <s v="Fixed Single Family Units"/>
    <n v="1210"/>
    <s v="City of Cocoa Beach           Brevard County"/>
    <s v="City of Cocoa Beach"/>
    <m/>
    <m/>
    <m/>
    <n v="0"/>
    <n v="1"/>
    <n v="1.1426686159050001E-2"/>
    <n v="1.68066517385E-3"/>
    <n v="28.019901418192301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19.642236670072901"/>
    <n v="5.0345776350952098"/>
    <n v="2.27249809E-2"/>
  </r>
  <r>
    <n v="830000"/>
    <n v="2400000"/>
    <n v="2400000"/>
    <x v="0"/>
    <x v="0"/>
    <s v="BR3-5, BR-7"/>
    <s v="62-304.520 (10), F.A.C."/>
    <n v="0.59"/>
    <n v="0.64"/>
    <s v="City of Cocoa Beach"/>
    <n v="0.11258296292896"/>
    <n v="3683.70981387647"/>
    <n v="9.1849131389234593"/>
    <n v="1.3509396707455501"/>
    <n v="1.03406473542513"/>
    <n v="0.15209279087079999"/>
    <n v="414.72296541670102"/>
    <n v="1210"/>
    <s v="Fixed Single Family Units"/>
    <n v="1210"/>
    <s v="City of Cocoa Beach           Brevard County"/>
    <s v="City of Cocoa Beach"/>
    <m/>
    <m/>
    <m/>
    <n v="0"/>
    <n v="1"/>
    <n v="1.03406473542513"/>
    <n v="0.15209279087079999"/>
    <n v="710.418276067958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84.602046143233196"/>
    <n v="455.60708658188202"/>
    <n v="0.57617054020000003"/>
  </r>
  <r>
    <n v="830000"/>
    <n v="2400000"/>
    <n v="2400000"/>
    <x v="0"/>
    <x v="0"/>
    <s v="BR3-5, BR-7"/>
    <s v="62-304.520 (10), F.A.C."/>
    <n v="0.59"/>
    <n v="0.64"/>
    <s v="City of Cocoa Beach"/>
    <n v="8.1003522759939994E-2"/>
    <n v="3683.70981387647"/>
    <n v="9.1849131389234593"/>
    <n v="1.3509396707455501"/>
    <n v="0.74401032049686999"/>
    <n v="0.10943087236654001"/>
    <n v="298.39347174936398"/>
    <n v="1210"/>
    <s v="Fixed Single Family Units"/>
    <n v="1210"/>
    <s v="City of Cocoa Beach           Brevard County"/>
    <s v="City of Cocoa Beach"/>
    <m/>
    <m/>
    <m/>
    <n v="0"/>
    <n v="1"/>
    <n v="0.74401032049686999"/>
    <n v="0.10943087236654001"/>
    <n v="717.58377704734505"/>
    <m/>
    <n v="-1"/>
    <n v="-1"/>
    <n v="-1"/>
    <n v="-1"/>
    <n v="0"/>
    <m/>
    <m/>
    <s v="Banana River B"/>
    <n v="-1"/>
    <m/>
    <m/>
    <n v="387"/>
    <x v="26"/>
    <s v="W Pasco/Banana Swale"/>
    <x v="0"/>
    <n v="2.2521870000000002"/>
    <n v="74.107284259815899"/>
    <n v="327.80962631809399"/>
    <n v="0.58198197650000005"/>
  </r>
  <r>
    <n v="830000"/>
    <n v="2400000"/>
    <n v="2400000"/>
    <x v="0"/>
    <x v="0"/>
    <s v="BR3-5, BR-7"/>
    <s v="62-304.520 (10), F.A.C."/>
    <n v="0.59"/>
    <n v="0.64"/>
    <s v="City of Cocoa Beach"/>
    <n v="0.18420677268009999"/>
    <n v="3707.07245430496"/>
    <n v="9.2388239347589103"/>
    <n v="1.3587215360876099"/>
    <n v="1.7018539403816599"/>
    <n v="0.25028570913365"/>
    <n v="682.86785289884097"/>
    <n v="1200"/>
    <s v="Residential, Medium Density-Two-five dwellingunits per acre"/>
    <n v="1200"/>
    <s v="City of Cocoa Beach           Brevard County"/>
    <s v="City of Cocoa Beach"/>
    <m/>
    <m/>
    <m/>
    <n v="0"/>
    <n v="1"/>
    <n v="1.7018539403816599"/>
    <n v="0.25028570913365"/>
    <n v="682.86785289884097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129.84779105026001"/>
    <n v="745.45836107006596"/>
    <n v="0.55382632030000001"/>
  </r>
  <r>
    <n v="830000"/>
    <n v="2400000"/>
    <n v="2400000"/>
    <x v="0"/>
    <x v="0"/>
    <s v="BR3-5, BR-7"/>
    <s v="62-304.520 (10), F.A.C."/>
    <n v="0.59"/>
    <n v="0.64"/>
    <s v="City of Cocoa Beach"/>
    <n v="7.7450754658950002E-2"/>
    <n v="3707.07245430496"/>
    <n v="9.2388239347589103"/>
    <n v="1.3587215360876099"/>
    <n v="0.71555388590827995"/>
    <n v="0.10523400834134999"/>
    <n v="287.11555916134"/>
    <n v="1210"/>
    <s v="Fixed Single Family Units"/>
    <n v="1210"/>
    <s v="City of Cocoa Beach           Brevard County"/>
    <s v="City of Cocoa Beach"/>
    <m/>
    <m/>
    <m/>
    <n v="0"/>
    <n v="1"/>
    <n v="0.71555388590827995"/>
    <n v="0.10523400834134999"/>
    <n v="400.898968167838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71.340441146728296"/>
    <n v="313.43208391131299"/>
    <n v="0.32514109340000003"/>
  </r>
  <r>
    <n v="830000"/>
    <n v="2400000"/>
    <n v="2400000"/>
    <x v="0"/>
    <x v="0"/>
    <s v="BR3-5, BR-7"/>
    <s v="62-304.520 (10), F.A.C."/>
    <n v="0.59"/>
    <n v="0.64"/>
    <s v="City of Cocoa Beach"/>
    <n v="4.8345712392110003E-2"/>
    <n v="3707.07245430496"/>
    <n v="9.2388239347589103"/>
    <n v="1.3587215360876099"/>
    <n v="0.44665752479125997"/>
    <n v="6.5688360604660004E-2"/>
    <n v="179.221058692567"/>
    <n v="1210"/>
    <s v="Fixed Single Family Units"/>
    <n v="1210"/>
    <s v="City of Cocoa Beach           Brevard County"/>
    <s v="City of Cocoa Beach"/>
    <m/>
    <m/>
    <m/>
    <n v="0"/>
    <n v="1"/>
    <n v="0.44665752479125997"/>
    <n v="6.5688360604660004E-2"/>
    <n v="179.221058692565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57.369266952440199"/>
    <n v="195.64815668954"/>
    <n v="0.1453536567"/>
  </r>
  <r>
    <n v="830000"/>
    <n v="2400000"/>
    <n v="2400000"/>
    <x v="0"/>
    <x v="0"/>
    <s v="BR3-5, BR-7"/>
    <s v="62-304.520 (10), F.A.C."/>
    <n v="0.59"/>
    <n v="0.64"/>
    <s v="City of Cocoa Beach"/>
    <n v="0.15690083096249"/>
    <n v="3707.07245430496"/>
    <n v="9.2388239347589103"/>
    <n v="1.3587215360876099"/>
    <n v="1.44957915247983"/>
    <n v="0.21318453805877999"/>
    <n v="581.64274851861296"/>
    <n v="1210"/>
    <s v="Fixed Single Family Units"/>
    <n v="1210"/>
    <s v="City of Cocoa Beach           Brevard County"/>
    <s v="City of Cocoa Beach"/>
    <m/>
    <m/>
    <m/>
    <n v="0"/>
    <n v="1"/>
    <n v="1.44957915247983"/>
    <n v="0.21318453805877999"/>
    <n v="669.686746965525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103.10516830816"/>
    <n v="634.955135460458"/>
    <n v="0.54313604780000002"/>
  </r>
  <r>
    <n v="830000"/>
    <n v="2400000"/>
    <n v="2400000"/>
    <x v="0"/>
    <x v="0"/>
    <s v="BR3-5, BR-7"/>
    <s v="62-304.520 (10), F.A.C."/>
    <n v="0.59"/>
    <n v="0.64"/>
    <s v="City of Cocoa Beach"/>
    <n v="7.9180830720250006E-2"/>
    <n v="3707.07245430496"/>
    <n v="9.2388239347589103"/>
    <n v="1.3587215360876099"/>
    <n v="0.73153775403234"/>
    <n v="0.10758469994491"/>
    <n v="293.52907647202602"/>
    <n v="1210"/>
    <s v="Fixed Single Family Units"/>
    <n v="1210"/>
    <s v="City of Cocoa Beach           Brevard County"/>
    <s v="City of Cocoa Beach"/>
    <m/>
    <m/>
    <m/>
    <n v="0"/>
    <n v="1"/>
    <n v="0.73153775403234"/>
    <n v="0.10758469994491"/>
    <n v="293.52907647202699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81.681200891215099"/>
    <n v="320.43345333121601"/>
    <n v="0.23806088929999999"/>
  </r>
  <r>
    <n v="830000"/>
    <n v="2400000"/>
    <n v="2400000"/>
    <x v="0"/>
    <x v="0"/>
    <s v="BR3-5, BR-7"/>
    <s v="62-304.520 (10), F.A.C."/>
    <n v="0.59"/>
    <n v="0.64"/>
    <s v="City of Cocoa Beach"/>
    <n v="5.6830588197300004E-3"/>
    <n v="3707.07245430496"/>
    <n v="9.2388239347589103"/>
    <n v="1.3587215360876099"/>
    <n v="5.2504779846409999E-2"/>
    <n v="7.7216944092200002E-3"/>
    <n v="21.067510806834498"/>
    <n v="1210"/>
    <s v="Fixed Single Family Units"/>
    <n v="1210"/>
    <s v="City of Cocoa Beach           Brevard County"/>
    <s v="City of Cocoa Beach"/>
    <m/>
    <m/>
    <m/>
    <n v="0"/>
    <n v="1"/>
    <n v="5.2504779846409999E-2"/>
    <n v="7.7216944092200002E-3"/>
    <n v="21.0675108068346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24.913251332203"/>
    <n v="22.9985230835217"/>
    <n v="1.70863835E-2"/>
  </r>
  <r>
    <n v="830000"/>
    <n v="2400000"/>
    <n v="2400000"/>
    <x v="0"/>
    <x v="0"/>
    <s v="BR3-5, BR-7"/>
    <s v="62-304.520 (10), F.A.C."/>
    <n v="0.59"/>
    <n v="0.64"/>
    <s v="City of Cocoa Beach"/>
    <n v="1.155161361122E-2"/>
    <n v="3707.07245430496"/>
    <n v="9.2388239347589103"/>
    <n v="1.3587215360876099"/>
    <n v="0.10672332431643"/>
    <n v="1.5695426190120002E-2"/>
    <n v="42.822668620931601"/>
    <n v="1210"/>
    <s v="Fixed Single Family Units"/>
    <n v="1210"/>
    <s v="City of Cocoa Beach           Brevard County"/>
    <s v="City of Cocoa Beach"/>
    <m/>
    <m/>
    <m/>
    <n v="0"/>
    <n v="1"/>
    <n v="0.10672332431643"/>
    <n v="1.5695426190120002E-2"/>
    <n v="42.8226686209316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53.541615009655303"/>
    <n v="46.747721731653002"/>
    <n v="3.4730469299999997E-2"/>
  </r>
  <r>
    <n v="830000"/>
    <n v="2400000"/>
    <n v="2400000"/>
    <x v="0"/>
    <x v="0"/>
    <s v="BR3-5, BR-7"/>
    <s v="62-304.520 (10), F.A.C."/>
    <n v="0.59"/>
    <n v="0.64"/>
    <s v="City of Cocoa Beach"/>
    <n v="1.484156667879E-2"/>
    <n v="1809.2894258204999"/>
    <n v="4.6366325514504796"/>
    <n v="0.6862261232379"/>
    <n v="6.8814891177419998E-2"/>
    <n v="1.018467076476E-2"/>
    <n v="26.8526896545537"/>
    <n v="1210"/>
    <s v="Fixed Single Family Units"/>
    <n v="1210"/>
    <s v="City of Cocoa Beach           Brevard County"/>
    <s v="City of Cocoa Beach"/>
    <m/>
    <m/>
    <m/>
    <n v="0"/>
    <n v="1"/>
    <n v="6.8814891177419998E-2"/>
    <n v="1.018467076476E-2"/>
    <n v="189.353661669903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41.944447864260198"/>
    <n v="60.061689432560101"/>
    <n v="0.15357150180000001"/>
  </r>
  <r>
    <n v="830000"/>
    <n v="2400000"/>
    <n v="2400000"/>
    <x v="0"/>
    <x v="0"/>
    <s v="BR3-5, BR-7"/>
    <s v="62-304.520 (10), F.A.C."/>
    <n v="0.59"/>
    <n v="0.64"/>
    <s v="City of Cocoa Beach"/>
    <n v="4.3439149143109999E-2"/>
    <n v="1809.2894258204999"/>
    <n v="4.6366325514504796"/>
    <n v="0.6862261232379"/>
    <n v="0.20141137292426001"/>
    <n v="2.9809078913230001E-2"/>
    <n v="78.593993211270501"/>
    <n v="1210"/>
    <s v="Fixed Single Family Units"/>
    <n v="1210"/>
    <s v="City of Cocoa Beach           Brevard County"/>
    <s v="City of Cocoa Beach"/>
    <m/>
    <m/>
    <m/>
    <n v="0"/>
    <n v="1"/>
    <n v="0.20141137292426001"/>
    <n v="2.9809078913230001E-2"/>
    <n v="341.998389299086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71.775564129691304"/>
    <n v="175.79199969338899"/>
    <n v="0.27737095639999998"/>
  </r>
  <r>
    <n v="830000"/>
    <n v="2400000"/>
    <n v="2400000"/>
    <x v="0"/>
    <x v="0"/>
    <s v="BR3-5, BR-7"/>
    <s v="62-304.520 (10), F.A.C."/>
    <n v="0.59"/>
    <n v="0.64"/>
    <s v="City of Cocoa Beach"/>
    <n v="4.2287241559999999E-3"/>
    <n v="1809.2894258204999"/>
    <n v="4.6366325514504796"/>
    <n v="0.6862261232379"/>
    <n v="1.9607040072819999E-2"/>
    <n v="2.9018609838100001E-3"/>
    <n v="7.6509859001679601"/>
    <n v="1210"/>
    <s v="Fixed Single Family Units"/>
    <n v="1210"/>
    <s v="City of Cocoa Beach           Brevard County"/>
    <s v="City of Cocoa Beach"/>
    <m/>
    <m/>
    <m/>
    <n v="0"/>
    <n v="1"/>
    <n v="1.9607040072819999E-2"/>
    <n v="2.9018609838100001E-3"/>
    <n v="30.875324847121199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18.8333576042989"/>
    <n v="17.113039509277101"/>
    <n v="2.5040815000000001E-2"/>
  </r>
  <r>
    <n v="830000"/>
    <n v="2400000"/>
    <n v="2400000"/>
    <x v="0"/>
    <x v="0"/>
    <s v="BR3-5, BR-7"/>
    <s v="62-304.520 (10), F.A.C."/>
    <n v="0.59"/>
    <n v="0.64"/>
    <s v="City of Cocoa Beach"/>
    <n v="5.1804360246000001E-4"/>
    <n v="2365.8964729934901"/>
    <n v="6.6479893454949197"/>
    <n v="0.92303951773994997"/>
    <n v="3.4439483496799999E-3"/>
    <n v="4.7817471697999999E-4"/>
    <n v="1.22563753192878"/>
    <n v="1210"/>
    <s v="Fixed Single Family Units"/>
    <n v="1210"/>
    <s v="City of Cocoa Beach           Brevard County"/>
    <s v="City of Cocoa Beach"/>
    <m/>
    <m/>
    <m/>
    <n v="0"/>
    <n v="1"/>
    <n v="3.4439483496799999E-3"/>
    <n v="4.7817471697999999E-4"/>
    <n v="175.68950333843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16.8663792389411"/>
    <n v="2.0964480797190799"/>
    <n v="0.14248945930000001"/>
  </r>
  <r>
    <n v="830000"/>
    <n v="2400000"/>
    <n v="2400000"/>
    <x v="0"/>
    <x v="0"/>
    <s v="BR3-5, BR-7"/>
    <s v="62-304.520 (10), F.A.C."/>
    <n v="0.59"/>
    <n v="0.64"/>
    <s v="City of Cocoa Beach"/>
    <n v="2.07720849992E-2"/>
    <n v="1942.0029700980499"/>
    <n v="4.9736617326458399"/>
    <n v="0.73600519493811001"/>
    <n v="0.10331332426779"/>
    <n v="1.52883624691E-2"/>
    <n v="40.339450763579499"/>
    <n v="1210"/>
    <s v="Fixed Single Family Units"/>
    <n v="1210"/>
    <s v="City of Cocoa Beach           Brevard County"/>
    <s v="City of Cocoa Beach"/>
    <m/>
    <m/>
    <m/>
    <n v="0"/>
    <n v="1"/>
    <n v="0.10331332426779"/>
    <n v="1.52883624691E-2"/>
    <n v="315.48892023682703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39.459134174196201"/>
    <n v="84.061645585657303"/>
    <n v="0.25587098149999998"/>
  </r>
  <r>
    <n v="830000"/>
    <n v="2400000"/>
    <n v="2400000"/>
    <x v="0"/>
    <x v="0"/>
    <s v="BR3-5, BR-7"/>
    <s v="62-304.520 (10), F.A.C."/>
    <n v="0.59"/>
    <n v="0.64"/>
    <s v="City of Cocoa Beach"/>
    <n v="5.9952034827020002E-2"/>
    <n v="3703.0713650375301"/>
    <n v="9.2293722285684101"/>
    <n v="1.3573491742313699"/>
    <n v="0.55331964527873001"/>
    <n v="8.1375844965950003E-2"/>
    <n v="222.00666344370001"/>
    <n v="1200"/>
    <s v="Residential, Medium Density-Two-five dwellingunits per acre"/>
    <n v="1200"/>
    <s v="City of Cocoa Beach           Brevard County"/>
    <s v="City of Cocoa Beach"/>
    <m/>
    <m/>
    <m/>
    <n v="0"/>
    <n v="1"/>
    <n v="0.55331964527873001"/>
    <n v="8.1375844965950003E-2"/>
    <n v="682.12926671367995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62.365232304710602"/>
    <n v="242.61727717570699"/>
    <n v="0.55322730470000003"/>
  </r>
  <r>
    <n v="830000"/>
    <n v="2400000"/>
    <n v="2400000"/>
    <x v="0"/>
    <x v="0"/>
    <s v="BR3-5, BR-7"/>
    <s v="62-304.520 (10), F.A.C."/>
    <n v="0.59"/>
    <n v="0.64"/>
    <s v="City of Cocoa Beach"/>
    <n v="3.7354439731840001E-2"/>
    <n v="3703.0713650375301"/>
    <n v="9.2293722285684101"/>
    <n v="1.3573491742313699"/>
    <n v="0.34475802867484001"/>
    <n v="5.0703017923890002E-2"/>
    <n v="138.32615612802201"/>
    <n v="1210"/>
    <s v="Fixed Single Family Units"/>
    <n v="1210"/>
    <s v="City of Cocoa Beach           Brevard County"/>
    <s v="City of Cocoa Beach"/>
    <m/>
    <m/>
    <m/>
    <n v="0"/>
    <n v="1"/>
    <n v="0.34475802867484001"/>
    <n v="5.0703017923890002E-2"/>
    <n v="233.222364638778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50.343731228546901"/>
    <n v="151.16805433397701"/>
    <n v="0.1891503363"/>
  </r>
  <r>
    <n v="830000"/>
    <n v="2400000"/>
    <n v="2400000"/>
    <x v="0"/>
    <x v="0"/>
    <s v="BR3-5, BR-7"/>
    <s v="62-304.520 (10), F.A.C."/>
    <n v="0.59"/>
    <n v="0.64"/>
    <s v="City of Cocoa Beach"/>
    <n v="0.10464758151382"/>
    <n v="3703.0713650375301"/>
    <n v="9.2293722285684101"/>
    <n v="1.3573491742313699"/>
    <n v="0.96583148261050999"/>
    <n v="0.14204330835309001"/>
    <n v="387.517462524265"/>
    <n v="1210"/>
    <s v="Fixed Single Family Units"/>
    <n v="1210"/>
    <s v="City of Cocoa Beach           Brevard County"/>
    <s v="City of Cocoa Beach"/>
    <m/>
    <m/>
    <m/>
    <n v="0"/>
    <n v="1"/>
    <n v="0.96583148261050999"/>
    <n v="0.14204330835309001"/>
    <n v="626.892296183727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83.3980766674064"/>
    <n v="423.49373733783602"/>
    <n v="0.50842846409999998"/>
  </r>
  <r>
    <n v="830000"/>
    <n v="2400000"/>
    <n v="2400000"/>
    <x v="0"/>
    <x v="0"/>
    <s v="BR3-5, BR-7"/>
    <s v="62-304.520 (10), F.A.C."/>
    <n v="0.59"/>
    <n v="0.64"/>
    <s v="City of Cocoa Beach"/>
    <n v="2.6619429194499999E-2"/>
    <n v="1338.9812469317801"/>
    <n v="3.4581221029766902"/>
    <n v="0.51268917561446004"/>
    <n v="9.2053236466139998E-2"/>
    <n v="1.364749320905E-2"/>
    <n v="35.642916495470701"/>
    <n v="1210"/>
    <s v="Fixed Single Family Units"/>
    <n v="1210"/>
    <s v="City of Cocoa Beach           Brevard County"/>
    <s v="City of Cocoa Beach"/>
    <m/>
    <m/>
    <m/>
    <n v="0"/>
    <n v="1"/>
    <n v="9.2053236466139998E-2"/>
    <n v="1.364749320905E-2"/>
    <n v="210.527653307808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48.004618249974598"/>
    <n v="107.725007996405"/>
    <n v="0.17074424439999999"/>
  </r>
  <r>
    <n v="830000"/>
    <n v="2400000"/>
    <n v="2400000"/>
    <x v="0"/>
    <x v="0"/>
    <s v="BR3-5, BR-7"/>
    <s v="62-304.520 (10), F.A.C."/>
    <n v="0.59"/>
    <n v="0.64"/>
    <s v="City of Cocoa Beach"/>
    <n v="1.018607411173E-2"/>
    <n v="1338.9812469317801"/>
    <n v="3.4581221029766902"/>
    <n v="0.51268917561446004"/>
    <n v="3.5224688028359999E-2"/>
    <n v="5.22228993909E-3"/>
    <n v="13.6389622154758"/>
    <n v="1210"/>
    <s v="Fixed Single Family Units"/>
    <n v="1210"/>
    <s v="City of Cocoa Beach           Brevard County"/>
    <s v="City of Cocoa Beach"/>
    <m/>
    <m/>
    <m/>
    <n v="0"/>
    <n v="1"/>
    <n v="3.5224688028359999E-2"/>
    <n v="5.22228993909E-3"/>
    <n v="92.3631125778857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30.379939214464802"/>
    <n v="41.221579438131997"/>
    <n v="7.4909255899999999E-2"/>
  </r>
  <r>
    <n v="830000"/>
    <n v="2400000"/>
    <n v="2400000"/>
    <x v="0"/>
    <x v="0"/>
    <s v="BR3-5, BR-7"/>
    <s v="62-304.520 (10), F.A.C."/>
    <n v="0.59"/>
    <n v="0.64"/>
    <s v="City of Cocoa Beach"/>
    <n v="0.11875600914084999"/>
    <n v="3076.60293017412"/>
    <n v="7.6853069249488497"/>
    <n v="1.13085441052082"/>
    <n v="0.91267637942946001"/>
    <n v="0.13429575671277999"/>
    <n v="365.36508569852401"/>
    <n v="1200"/>
    <s v="Residential, Medium Density-Two-five dwellingunits per acre"/>
    <n v="1200"/>
    <s v="City of Cocoa Beach           Brevard County"/>
    <s v="City of Cocoa Beach"/>
    <m/>
    <m/>
    <m/>
    <n v="0"/>
    <n v="1"/>
    <n v="0.91267637942946001"/>
    <n v="0.13429575671277999"/>
    <n v="593.631877102227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94.138097117764701"/>
    <n v="480.58851829024002"/>
    <n v="0.4814532661"/>
  </r>
  <r>
    <n v="830000"/>
    <n v="2400000"/>
    <n v="2400000"/>
    <x v="0"/>
    <x v="0"/>
    <s v="BR3-5, BR-7"/>
    <s v="62-304.520 (10), F.A.C."/>
    <n v="0.59"/>
    <n v="0.64"/>
    <s v="City of Cocoa Beach"/>
    <n v="9.3543330307690006E-2"/>
    <n v="3076.60293017412"/>
    <n v="7.6853069249488497"/>
    <n v="1.13085441052082"/>
    <n v="0.71890920419647997"/>
    <n v="0.10578388765325999"/>
    <n v="287.79568412289098"/>
    <n v="1210"/>
    <s v="Fixed Single Family Units"/>
    <n v="1210"/>
    <s v="City of Cocoa Beach           Brevard County"/>
    <s v="City of Cocoa Beach"/>
    <m/>
    <m/>
    <m/>
    <n v="0"/>
    <n v="1"/>
    <n v="0.71890920419647997"/>
    <n v="0.10578388765325999"/>
    <n v="470.66010461844598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76.875171820488703"/>
    <n v="378.55642702836599"/>
    <n v="0.38171946849999999"/>
  </r>
  <r>
    <n v="830000"/>
    <n v="2400000"/>
    <n v="2400000"/>
    <x v="0"/>
    <x v="0"/>
    <s v="BR3-5, BR-7"/>
    <s v="62-304.520 (10), F.A.C."/>
    <n v="0.59"/>
    <n v="0.64"/>
    <s v="City of Cocoa Beach"/>
    <n v="6.2544321460910005E-2"/>
    <n v="3076.60293017412"/>
    <n v="7.6853069249488497"/>
    <n v="1.13085441052082"/>
    <n v="0.48067230683980999"/>
    <n v="7.0728521777110004E-2"/>
    <n v="192.424042672409"/>
    <n v="1210"/>
    <s v="Fixed Single Family Units"/>
    <n v="1210"/>
    <s v="City of Cocoa Beach           Brevard County"/>
    <s v="City of Cocoa Beach"/>
    <m/>
    <m/>
    <m/>
    <n v="0"/>
    <n v="1"/>
    <n v="0.48067230683980999"/>
    <n v="7.0728521777110004E-2"/>
    <n v="243.350316398186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65.588238031649198"/>
    <n v="253.107888988762"/>
    <n v="0.1973644091"/>
  </r>
  <r>
    <n v="830000"/>
    <n v="2400000"/>
    <n v="2400000"/>
    <x v="0"/>
    <x v="0"/>
    <s v="BR3-5, BR-7"/>
    <s v="62-304.520 (10), F.A.C."/>
    <n v="0.59"/>
    <n v="0.64"/>
    <s v="City of Cocoa Beach"/>
    <n v="4.501198741832E-2"/>
    <n v="3076.60293017412"/>
    <n v="7.6853069249488497"/>
    <n v="1.13085441052082"/>
    <n v="0.34593093861176999"/>
    <n v="5.0902004498319997E-2"/>
    <n v="138.48401238418501"/>
    <n v="1210"/>
    <s v="Fixed Single Family Units"/>
    <n v="1210"/>
    <s v="City of Cocoa Beach           Brevard County"/>
    <s v="City of Cocoa Beach"/>
    <m/>
    <m/>
    <m/>
    <n v="0"/>
    <n v="1"/>
    <n v="0.34593093861176999"/>
    <n v="5.0902004498319997E-2"/>
    <n v="190.27827961280499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55.527681969841403"/>
    <n v="182.15705036884401"/>
    <n v="0.1543213947"/>
  </r>
  <r>
    <n v="830000"/>
    <n v="2400000"/>
    <n v="2400000"/>
    <x v="0"/>
    <x v="0"/>
    <s v="BR3-5, BR-7"/>
    <s v="62-304.520 (10), F.A.C."/>
    <n v="0.59"/>
    <n v="0.64"/>
    <s v="City of Cocoa Beach"/>
    <n v="3.1033773102740001E-2"/>
    <n v="3076.60293017412"/>
    <n v="7.6853069249488497"/>
    <n v="1.13085441052082"/>
    <n v="0.23850407133377"/>
    <n v="3.5094679188330001E-2"/>
    <n v="95.478597262248798"/>
    <n v="1210"/>
    <s v="Fixed Single Family Units"/>
    <n v="1210"/>
    <s v="City of Cocoa Beach           Brevard County"/>
    <s v="City of Cocoa Beach"/>
    <m/>
    <m/>
    <m/>
    <n v="0"/>
    <n v="1"/>
    <n v="0.23850407133377"/>
    <n v="3.5094679188330001E-2"/>
    <n v="95.478597262250304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44.846992148579702"/>
    <n v="125.58922399212901"/>
    <n v="7.7436007500000001E-2"/>
  </r>
  <r>
    <n v="830000"/>
    <n v="2400000"/>
    <n v="2400000"/>
    <x v="0"/>
    <x v="0"/>
    <s v="BR3-5, BR-7"/>
    <s v="62-304.520 (10), F.A.C."/>
    <n v="0.59"/>
    <n v="0.64"/>
    <s v="City of Cocoa Beach"/>
    <n v="2.4597917641999998E-4"/>
    <n v="2431.5070642957398"/>
    <n v="6.7556750793336002"/>
    <n v="0.94297393693562004"/>
    <n v="1.66175539223E-3"/>
    <n v="2.319519524E-4"/>
    <n v="0.59810010515432999"/>
    <n v="1210"/>
    <s v="Fixed Single Family Units"/>
    <n v="1210"/>
    <s v="City of Cocoa Beach           Brevard County"/>
    <s v="City of Cocoa Beach"/>
    <m/>
    <m/>
    <m/>
    <n v="0"/>
    <n v="1"/>
    <n v="1.66175539223E-3"/>
    <n v="2.319519524E-4"/>
    <n v="208.44802445065301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10.286485473306"/>
    <n v="0.99544240990366994"/>
    <n v="0.169057603"/>
  </r>
  <r>
    <n v="830000"/>
    <n v="2400000"/>
    <n v="2400000"/>
    <x v="0"/>
    <x v="0"/>
    <s v="BR3-5, BR-7"/>
    <s v="62-304.520 (10), F.A.C."/>
    <n v="0.59"/>
    <n v="0.64"/>
    <s v="City of Cocoa Beach"/>
    <n v="1.0979176534E-4"/>
    <n v="2431.5070642957398"/>
    <n v="6.7556750793336002"/>
    <n v="0.94297393693562004"/>
    <n v="7.4171749305000005E-4"/>
    <n v="1.0353077320999999E-4"/>
    <n v="0.26695945303543001"/>
    <n v="1210"/>
    <s v="Fixed Single Family Units"/>
    <n v="1210"/>
    <s v="City of Cocoa Beach           Brevard County"/>
    <s v="City of Cocoa Beach"/>
    <m/>
    <m/>
    <m/>
    <n v="0"/>
    <n v="1"/>
    <n v="7.4171749305000005E-4"/>
    <n v="1.0353077320999999E-4"/>
    <n v="10.8177003326403"/>
    <m/>
    <n v="-1"/>
    <n v="-1"/>
    <n v="-1"/>
    <n v="-1"/>
    <n v="0"/>
    <m/>
    <m/>
    <s v="Banana River B"/>
    <n v="-1"/>
    <m/>
    <m/>
    <n v="389"/>
    <x v="27"/>
    <s v="Dino museum/ store, S Cayer, 250 W CBCswy"/>
    <x v="0"/>
    <n v="1.2371239999999999"/>
    <n v="3.8881775060114898"/>
    <n v="0.44431151070753"/>
    <n v="8.7734796E-3"/>
  </r>
  <r>
    <n v="830000"/>
    <n v="2400000"/>
    <n v="2400000"/>
    <x v="0"/>
    <x v="0"/>
    <s v="BR3-5, BR-7"/>
    <s v="62-304.520 (10), F.A.C."/>
    <n v="0.59"/>
    <n v="0.64"/>
    <s v="City of Cocoa Beach"/>
    <n v="8.4089476108060002E-2"/>
    <n v="3746.3508542428799"/>
    <n v="10.6164183950444"/>
    <n v="1.7517267097703599"/>
    <n v="0.89272906098328997"/>
    <n v="0.14730178130909"/>
    <n v="315.028680650277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89272906098328997"/>
    <n v="0.14730178130909"/>
    <n v="487.782690316375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98.521856356569302"/>
    <n v="340.29803644416501"/>
    <n v="0.39560639930000002"/>
  </r>
  <r>
    <n v="830000"/>
    <n v="2400000"/>
    <n v="2400000"/>
    <x v="0"/>
    <x v="0"/>
    <s v="BR3-5, BR-7"/>
    <s v="62-304.520 (10), F.A.C."/>
    <n v="0.59"/>
    <n v="0.64"/>
    <s v="City of Cocoa Beach"/>
    <n v="5.0483330615039998E-2"/>
    <n v="3746.3508542428799"/>
    <n v="10.6164183950444"/>
    <n v="1.7517267097703599"/>
    <n v="0.53595215978467003"/>
    <n v="8.843299863654E-2"/>
    <n v="189.128268774699"/>
    <n v="1430"/>
    <s v="Professional Services"/>
    <n v="1430"/>
    <s v="City of Cocoa Beach           Brevard County"/>
    <s v="City of Cocoa Beach"/>
    <m/>
    <m/>
    <m/>
    <n v="0"/>
    <n v="1"/>
    <n v="0.53595215978467003"/>
    <n v="8.843299863654E-2"/>
    <n v="189.128268774699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57.319734134297001"/>
    <n v="204.29879072363701"/>
    <n v="0.15338870139999999"/>
  </r>
  <r>
    <n v="830000"/>
    <n v="2400000"/>
    <n v="2400000"/>
    <x v="0"/>
    <x v="0"/>
    <s v="BR3-5, BR-7"/>
    <s v="62-304.520 (10), F.A.C."/>
    <n v="0.59"/>
    <n v="0.64"/>
    <s v="City of Cocoa Beach"/>
    <n v="4.1556499037480002E-2"/>
    <n v="3746.3508542428799"/>
    <n v="10.6164183950444"/>
    <n v="1.7517267097703599"/>
    <n v="0.44118118081522001"/>
    <n v="7.2795629328509998E-2"/>
    <n v="155.68522566843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44118118081522001"/>
    <n v="7.2795629328509998E-2"/>
    <n v="627.98307708879702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59.933743106095399"/>
    <n v="168.173185022312"/>
    <n v="0.50931312009999996"/>
  </r>
  <r>
    <n v="830000"/>
    <n v="2400000"/>
    <n v="2400000"/>
    <x v="0"/>
    <x v="0"/>
    <s v="BR3-5, BR-7"/>
    <s v="62-304.520 (10), F.A.C."/>
    <n v="0.59"/>
    <n v="0.64"/>
    <s v="City of Cocoa Beach"/>
    <n v="5.965680767144E-2"/>
    <n v="3746.3508542428799"/>
    <n v="10.6164183950444"/>
    <n v="1.7517267097703599"/>
    <n v="0.63334163035277002"/>
    <n v="0.1045024234177"/>
    <n v="223.49533238132801"/>
    <n v="1430"/>
    <s v="Professional Services"/>
    <n v="1430"/>
    <s v="City of Cocoa Beach           Brevard County"/>
    <s v="City of Cocoa Beach"/>
    <m/>
    <m/>
    <m/>
    <n v="0"/>
    <n v="1"/>
    <n v="0.63334163035277002"/>
    <n v="0.1045024234177"/>
    <n v="227.234736984768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62.366984133290799"/>
    <n v="241.42253526507599"/>
    <n v="0.18429419059999999"/>
  </r>
  <r>
    <n v="830000"/>
    <n v="2400000"/>
    <n v="2400000"/>
    <x v="0"/>
    <x v="0"/>
    <s v="BR3-5, BR-7"/>
    <s v="62-304.520 (10), F.A.C."/>
    <n v="0.59"/>
    <n v="0.64"/>
    <s v="City of Cocoa Beach"/>
    <n v="5.6864843078000004E-4"/>
    <n v="3746.3508542428799"/>
    <n v="10.6164183950444"/>
    <n v="1.7517267097703599"/>
    <n v="6.0370096608699996E-3"/>
    <n v="9.9611664466999991E-4"/>
    <n v="2.1303565344277602"/>
    <n v="1410"/>
    <s v="Retail Sales and Services"/>
    <n v="1410"/>
    <s v="City of Cocoa Beach           Brevard County"/>
    <s v="City of Cocoa Beach"/>
    <m/>
    <m/>
    <m/>
    <n v="0"/>
    <n v="1"/>
    <n v="6.0370096608699996E-3"/>
    <n v="9.9611664466999991E-4"/>
    <n v="202.46814167231599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13.8248256260206"/>
    <n v="2.3012385542004798"/>
    <n v="0.16420773860000001"/>
  </r>
  <r>
    <n v="830000"/>
    <n v="2400000"/>
    <n v="2400000"/>
    <x v="0"/>
    <x v="0"/>
    <s v="BR3-5, BR-7"/>
    <s v="62-304.520 (10), F.A.C."/>
    <n v="0.59"/>
    <n v="0.64"/>
    <s v="City of Cocoa Beach"/>
    <n v="1.6367973459059999E-2"/>
    <n v="3771.00953680673"/>
    <n v="11.4788758931294"/>
    <n v="1.522438305648"/>
    <n v="0.18788593595858"/>
    <n v="2.49192297799E-2"/>
    <n v="61.723784012314702"/>
    <n v="1400"/>
    <s v="Commercial and Services"/>
    <n v="1400"/>
    <s v="City of Cocoa Beach           Brevard County"/>
    <s v="City of Cocoa Beach"/>
    <m/>
    <m/>
    <m/>
    <n v="0"/>
    <n v="1"/>
    <n v="0.18788593595858"/>
    <n v="2.49192297799E-2"/>
    <n v="461.765876126360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36.196697406862903"/>
    <n v="66.238838514470004"/>
    <n v="0.37450598229999998"/>
  </r>
  <r>
    <n v="830000"/>
    <n v="2400000"/>
    <n v="2400000"/>
    <x v="0"/>
    <x v="0"/>
    <s v="BR3-5, BR-7"/>
    <s v="62-304.520 (10), F.A.C."/>
    <n v="0.59"/>
    <n v="0.64"/>
    <s v="City of Cocoa Beach"/>
    <n v="5.8885465198700001E-3"/>
    <n v="3728.6644159901998"/>
    <n v="10.158219903811201"/>
    <n v="1.7889256866015599"/>
    <n v="5.9817150462739999E-2"/>
    <n v="1.053417212615E-2"/>
    <n v="21.956413870572"/>
    <n v="1300"/>
    <s v="Residential, High Density"/>
    <n v="1300"/>
    <s v="City of Cocoa Beach           Brevard County"/>
    <s v="City of Cocoa Beach"/>
    <m/>
    <m/>
    <m/>
    <n v="0"/>
    <n v="1"/>
    <n v="5.9817150462739999E-2"/>
    <n v="1.053417212615E-2"/>
    <n v="727.65058775470902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19.954057256021301"/>
    <n v="23.8301023025688"/>
    <n v="0.59014646209999999"/>
  </r>
  <r>
    <n v="830000"/>
    <n v="2400000"/>
    <n v="2400000"/>
    <x v="0"/>
    <x v="0"/>
    <s v="BR3-5, BR-7"/>
    <s v="62-304.520 (10), F.A.C."/>
    <n v="0.59"/>
    <n v="0.64"/>
    <s v="City of Cocoa Beach"/>
    <n v="3.1412085965600001E-3"/>
    <n v="3728.6644159901998"/>
    <n v="10.158219903811201"/>
    <n v="1.7889256866015599"/>
    <n v="3.190908768767E-2"/>
    <n v="5.6193887453700004E-3"/>
    <n v="11.712512717221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3.190908768767E-2"/>
    <n v="5.6193887453700004E-3"/>
    <n v="50.206316230901997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14.5373832945254"/>
    <n v="12.712020183115101"/>
    <n v="4.0718829099999999E-2"/>
  </r>
  <r>
    <n v="830000"/>
    <n v="2400000"/>
    <n v="2400000"/>
    <x v="0"/>
    <x v="0"/>
    <s v="BR3-5, BR-7"/>
    <s v="62-304.520 (10), F.A.C."/>
    <n v="0.59"/>
    <n v="0.64"/>
    <s v="City of Cocoa Beach"/>
    <n v="1.3877975320999999E-4"/>
    <n v="3772.9255719768798"/>
    <n v="11.5521709158636"/>
    <n v="1.52778958766508"/>
    <n v="1.6032074287600001E-3"/>
    <n v="2.1202626192999999E-4"/>
    <n v="0.52360567976618999"/>
    <n v="1400"/>
    <s v="Commercial and Services"/>
    <n v="1400"/>
    <s v="City of Cocoa Beach           Brevard County"/>
    <s v="City of Cocoa Beach"/>
    <m/>
    <m/>
    <m/>
    <n v="0"/>
    <n v="1"/>
    <n v="1.6032074287600001E-3"/>
    <n v="2.1202626192999999E-4"/>
    <n v="7.8270815214919596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6.9854602062679696"/>
    <n v="0.56162173558336004"/>
    <n v="6.3479979999999997E-3"/>
  </r>
  <r>
    <n v="830000"/>
    <n v="2400000"/>
    <n v="2400000"/>
    <x v="0"/>
    <x v="0"/>
    <s v="BR3-5, BR-7"/>
    <s v="62-304.520 (10), F.A.C."/>
    <n v="0.59"/>
    <n v="0.64"/>
    <s v="FDOT District 5"/>
    <n v="8.3915071193999997E-3"/>
    <n v="3772.9255719768798"/>
    <n v="11.5521709158636"/>
    <n v="1.52778958766508"/>
    <n v="9.6940124485010007E-2"/>
    <n v="1.282045720184E-2"/>
    <n v="31.660531798217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9.6940124485010007E-2"/>
    <n v="1.282045720184E-2"/>
    <n v="826.865537549397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25.6757376586324"/>
    <n v="33.959224479765403"/>
    <n v="0.67061276359999999"/>
  </r>
  <r>
    <n v="830000"/>
    <n v="2400000"/>
    <n v="2400000"/>
    <x v="0"/>
    <x v="0"/>
    <s v="BR3-5, BR-7"/>
    <s v="62-304.520 (10), F.A.C."/>
    <n v="0.59"/>
    <n v="0.64"/>
    <s v="City of Cocoa Beach"/>
    <n v="3.5832008668000002E-3"/>
    <n v="3772.9255719768798"/>
    <n v="11.5521709158636"/>
    <n v="1.52778958766508"/>
    <n v="4.1393748839210001E-2"/>
    <n v="5.4743769748099996E-3"/>
    <n v="13.5191501799021"/>
    <n v="1410"/>
    <s v="Retail Sales and Services"/>
    <n v="1410"/>
    <s v="City of Cocoa Beach           Brevard County"/>
    <s v="City of Cocoa Beach"/>
    <m/>
    <m/>
    <m/>
    <n v="0"/>
    <n v="1"/>
    <n v="4.1393748839210001E-2"/>
    <n v="5.4743769748099996E-3"/>
    <n v="1367.7553347042999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65.744274146980203"/>
    <n v="14.500699440584899"/>
    <n v="1.1092906201999999"/>
  </r>
  <r>
    <n v="830000"/>
    <n v="2400000"/>
    <n v="2400000"/>
    <x v="0"/>
    <x v="0"/>
    <s v="BR3-5, BR-7"/>
    <s v="62-304.520 (10), F.A.C."/>
    <n v="0.59"/>
    <n v="0.64"/>
    <s v="City of Cocoa Beach"/>
    <n v="2.235987340728E-2"/>
    <n v="3772.9255719768798"/>
    <n v="11.5521709158636"/>
    <n v="1.52778958766508"/>
    <n v="0.25830507925805002"/>
    <n v="3.416118177316E-2"/>
    <n v="84.362138164518996"/>
    <n v="1430"/>
    <s v="Professional Services"/>
    <n v="1430"/>
    <s v="City of Cocoa Beach           Brevard County"/>
    <s v="City of Cocoa Beach"/>
    <m/>
    <m/>
    <m/>
    <n v="0"/>
    <n v="1"/>
    <n v="0.25830507925805002"/>
    <n v="3.416118177316E-2"/>
    <n v="84.362138164518299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70.053352074416296"/>
    <n v="90.487197302329605"/>
    <n v="6.8420225599999995E-2"/>
  </r>
  <r>
    <n v="830000"/>
    <n v="2400000"/>
    <n v="2400000"/>
    <x v="0"/>
    <x v="0"/>
    <s v="BR3-5, BR-7"/>
    <s v="62-304.520 (10), F.A.C."/>
    <n v="0.59"/>
    <n v="0.64"/>
    <s v="City of Cocoa Beach"/>
    <n v="5.1331015769999998E-5"/>
    <n v="3754.25453105215"/>
    <n v="10.8753204258255"/>
    <n v="1.92413357922148"/>
    <n v="5.5824124436000002E-4"/>
    <n v="9.8767731109999999E-5"/>
    <n v="0.19270969856806"/>
    <n v="1210"/>
    <s v="Fixed Single Family Units"/>
    <n v="1210"/>
    <s v="City of Cocoa Beach           Brevard County"/>
    <s v="City of Cocoa Beach"/>
    <m/>
    <m/>
    <m/>
    <n v="0"/>
    <n v="1"/>
    <n v="5.5824124436000002E-4"/>
    <n v="9.8767731109999999E-5"/>
    <n v="127.665569348095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4.7170686439036702"/>
    <n v="0.20772925087079999"/>
    <n v="0.1035406077"/>
  </r>
  <r>
    <n v="830000"/>
    <n v="2400000"/>
    <n v="2400000"/>
    <x v="0"/>
    <x v="0"/>
    <s v="BR3-5, BR-7"/>
    <s v="62-304.520 (10), F.A.C."/>
    <n v="0.59"/>
    <n v="0.64"/>
    <s v="City of Cocoa Beach"/>
    <n v="9.253334245698E-2"/>
    <n v="3754.25453105215"/>
    <n v="10.8753204258255"/>
    <n v="1.92413357922148"/>
    <n v="1.0063297492923"/>
    <n v="0.17804651141906999"/>
    <n v="347.3937201925169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0063297492923"/>
    <n v="0.17804651141906999"/>
    <n v="349.56214555348498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94.127305414771499"/>
    <n v="374.46915120816698"/>
    <n v="0.2835053897"/>
  </r>
  <r>
    <n v="830000"/>
    <n v="2400000"/>
    <n v="2400000"/>
    <x v="0"/>
    <x v="0"/>
    <s v="BR3-5, BR-7"/>
    <s v="62-304.520 (10), F.A.C."/>
    <n v="0.59"/>
    <n v="0.64"/>
    <s v="City of Cocoa Beach"/>
    <n v="0.15986494317052"/>
    <n v="3754.25453105215"/>
    <n v="10.8753204258255"/>
    <n v="1.92413357922148"/>
    <n v="1.73858248183583"/>
    <n v="0.30760150529474001"/>
    <n v="600.173687254334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73858248183583"/>
    <n v="0.30760150529474001"/>
    <n v="600.17368725433403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108.763576259071"/>
    <n v="646.95047198624695"/>
    <n v="0.48675887039999999"/>
  </r>
  <r>
    <n v="830000"/>
    <n v="2400000"/>
    <n v="2400000"/>
    <x v="0"/>
    <x v="0"/>
    <s v="BR3-5, BR-7"/>
    <s v="62-304.520 (10), F.A.C."/>
    <n v="0.59"/>
    <n v="0.64"/>
    <s v="City of Cocoa Beach"/>
    <n v="1.383655459411E-2"/>
    <n v="3754.25453105215"/>
    <n v="10.8753204258255"/>
    <n v="1.92413357922148"/>
    <n v="0.15047696480045999"/>
    <n v="2.662337931527E-2"/>
    <n v="51.945947779117901"/>
    <n v="1410"/>
    <s v="Retail Sales and Services"/>
    <n v="1410"/>
    <s v="City of Cocoa Beach           Brevard County"/>
    <s v="City of Cocoa Beach"/>
    <m/>
    <m/>
    <m/>
    <n v="0"/>
    <n v="1"/>
    <n v="0.15047696480045999"/>
    <n v="2.662337931527E-2"/>
    <n v="443.59995610625799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96.370552193594705"/>
    <n v="55.994549823094303"/>
    <n v="0.35977287600000002"/>
  </r>
  <r>
    <n v="830000"/>
    <n v="2400000"/>
    <n v="2400000"/>
    <x v="0"/>
    <x v="0"/>
    <s v="BR3-5, BR-7"/>
    <s v="62-304.520 (10), F.A.C."/>
    <n v="0.59"/>
    <n v="0.64"/>
    <s v="City of Cocoa Beach"/>
    <n v="0.16826221511365"/>
    <n v="3754.25453105215"/>
    <n v="10.8753204258255"/>
    <n v="1.92413357922148"/>
    <n v="1.82990550492017"/>
    <n v="0.32375897821437"/>
    <n v="631.69918349530701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1.82990550492017"/>
    <n v="0.32375897821437"/>
    <n v="631.699183495307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110.479336174236"/>
    <n v="680.93302587993901"/>
    <n v="0.51232699390000003"/>
  </r>
  <r>
    <n v="830000"/>
    <n v="2400000"/>
    <n v="2400000"/>
    <x v="0"/>
    <x v="0"/>
    <s v="BR3-5, BR-7"/>
    <s v="62-304.520 (10), F.A.C."/>
    <n v="0.59"/>
    <n v="0.64"/>
    <s v="City of Cocoa Beach"/>
    <n v="3.2728672308970003E-2"/>
    <n v="3754.25453105215"/>
    <n v="10.8753204258255"/>
    <n v="1.92413357922148"/>
    <n v="0.35593479847192999"/>
    <n v="6.2974337393030003E-2"/>
    <n v="122.871766311286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5593479847192999"/>
    <n v="6.2974337393030003E-2"/>
    <n v="122.871766311287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80.452693390264102"/>
    <n v="132.44823773019701"/>
    <n v="9.9652689599999997E-2"/>
  </r>
  <r>
    <n v="830000"/>
    <n v="2400000"/>
    <n v="2400000"/>
    <x v="0"/>
    <x v="0"/>
    <s v="BR3-5, BR-7"/>
    <s v="62-304.520 (10), F.A.C."/>
    <n v="0.59"/>
    <n v="0.64"/>
    <s v="City of Cocoa Beach"/>
    <n v="1.1631853109689999E-2"/>
    <n v="3754.25453105215"/>
    <n v="10.8753204258255"/>
    <n v="1.92413357922148"/>
    <n v="0.12650012971409999"/>
    <n v="2.238123915694E-2"/>
    <n v="43.668937241616703"/>
    <n v="1430"/>
    <s v="Professional Services"/>
    <n v="1430"/>
    <s v="City of Cocoa Beach           Brevard County"/>
    <s v="City of Cocoa Beach"/>
    <m/>
    <m/>
    <m/>
    <n v="0"/>
    <n v="1"/>
    <n v="0.12650012971409999"/>
    <n v="2.238123915694E-2"/>
    <n v="43.6689372416171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33.8208892326845"/>
    <n v="47.072439461395"/>
    <n v="3.5416818500000002E-2"/>
  </r>
  <r>
    <n v="830000"/>
    <n v="2400000"/>
    <n v="2400000"/>
    <x v="0"/>
    <x v="0"/>
    <s v="BR3-5, BR-7"/>
    <s v="62-304.520 (10), F.A.C."/>
    <n v="0.59"/>
    <n v="0.64"/>
    <s v="City of Cocoa Beach"/>
    <n v="8.2120292885039997E-2"/>
    <n v="3746.2083678803801"/>
    <n v="10.660739132837"/>
    <n v="1.91296277301511"/>
    <n v="0.87546301995960996"/>
    <n v="0.15709306319818001"/>
    <n v="307.63972837873598"/>
    <n v="1300"/>
    <s v="Residential, High Density"/>
    <n v="1300"/>
    <s v="City of Cocoa Beach           Brevard County"/>
    <s v="City of Cocoa Beach"/>
    <m/>
    <m/>
    <m/>
    <n v="0"/>
    <n v="1"/>
    <n v="0.87546301995960996"/>
    <n v="0.15709306319818001"/>
    <n v="785.74021744302195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93.699719187139394"/>
    <n v="332.32903467120298"/>
    <n v="0.63725889489999998"/>
  </r>
  <r>
    <n v="830000"/>
    <n v="2400000"/>
    <n v="2400000"/>
    <x v="0"/>
    <x v="0"/>
    <s v="BR3-5, BR-7"/>
    <s v="62-304.520 (10), F.A.C."/>
    <n v="0.59"/>
    <n v="0.64"/>
    <s v="City of Cocoa Beach"/>
    <n v="2.3355537993579999E-2"/>
    <n v="3746.2083678803801"/>
    <n v="10.660739132837"/>
    <n v="1.91296277301511"/>
    <n v="0.24898729785663001"/>
    <n v="4.4678274725460002E-2"/>
    <n v="87.494711867901401"/>
    <n v="1400"/>
    <s v="Commercial and Services"/>
    <n v="1400"/>
    <s v="City of Cocoa Beach           Brevard County"/>
    <s v="City of Cocoa Beach"/>
    <m/>
    <m/>
    <m/>
    <n v="0"/>
    <n v="1"/>
    <n v="0.24898729785663001"/>
    <n v="4.4678274725460002E-2"/>
    <n v="168.684265141984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39.680445326512597"/>
    <n v="94.516508927931497"/>
    <n v="0.1368080009"/>
  </r>
  <r>
    <n v="830000"/>
    <n v="2400000"/>
    <n v="2400000"/>
    <x v="0"/>
    <x v="0"/>
    <s v="BR3-5, BR-7"/>
    <s v="62-304.520 (10), F.A.C."/>
    <n v="0.59"/>
    <n v="0.64"/>
    <s v="City of Cocoa Beach"/>
    <n v="4.6339834050840002E-2"/>
    <n v="3746.2083678803801"/>
    <n v="10.660739132837"/>
    <n v="1.91296277301511"/>
    <n v="0.49401688227496998"/>
    <n v="8.8646377446950003E-2"/>
    <n v="173.59867408744901"/>
    <n v="1210"/>
    <s v="Fixed Single Family Units"/>
    <n v="1210"/>
    <s v="City of Cocoa Beach           Brevard County"/>
    <s v="City of Cocoa Beach"/>
    <m/>
    <m/>
    <m/>
    <n v="0"/>
    <n v="1"/>
    <n v="0.49401688227496998"/>
    <n v="8.8646377446950003E-2"/>
    <n v="327.232398071259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71.695887276169302"/>
    <n v="187.53065504159699"/>
    <n v="0.26539529449999999"/>
  </r>
  <r>
    <n v="830000"/>
    <n v="2400000"/>
    <n v="2400000"/>
    <x v="0"/>
    <x v="0"/>
    <s v="BR3-5, BR-7"/>
    <s v="62-304.520 (10), F.A.C."/>
    <n v="0.59"/>
    <n v="0.64"/>
    <s v="City of Cocoa Beach"/>
    <n v="0.24912683909587999"/>
    <n v="3746.2083678803801"/>
    <n v="10.660739132837"/>
    <n v="1.91296277301511"/>
    <n v="2.6558762425894802"/>
    <n v="0.47657036894935001"/>
    <n v="933.28104928459095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2.6558762425894802"/>
    <n v="0.47657036894935001"/>
    <n v="933.30247828283905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128.32828875284"/>
    <n v="1008.18054878739"/>
    <n v="0.75693631650000004"/>
  </r>
  <r>
    <n v="830000"/>
    <n v="2400000"/>
    <n v="2400000"/>
    <x v="0"/>
    <x v="0"/>
    <s v="BR3-5, BR-7"/>
    <s v="62-304.520 (10), F.A.C."/>
    <n v="0.59"/>
    <n v="0.64"/>
    <s v="City of Cocoa Beach"/>
    <n v="1.42658720726E-3"/>
    <n v="3773.8699927094799"/>
    <n v="11.595923123810399"/>
    <n v="1.53094745641837"/>
    <n v="1.6542595584809999E-2"/>
    <n v="2.1840300563100001E-3"/>
    <n v="5.3837546534655099"/>
    <n v="1400"/>
    <s v="Commercial and Services"/>
    <n v="1400"/>
    <s v="City of Cocoa Beach           Brevard County"/>
    <s v="City of Cocoa Beach"/>
    <m/>
    <m/>
    <m/>
    <n v="0"/>
    <n v="1"/>
    <n v="1.6542595584809999E-2"/>
    <n v="2.1840300563100001E-3"/>
    <n v="7.8060874489259202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69.5636186237803"/>
    <n v="5.7731936018197398"/>
    <n v="6.3309712000000004E-3"/>
  </r>
  <r>
    <n v="830000"/>
    <n v="2400000"/>
    <n v="2400000"/>
    <x v="0"/>
    <x v="0"/>
    <s v="BR3-5, BR-7"/>
    <s v="62-304.520 (10), F.A.C."/>
    <n v="0.59"/>
    <n v="0.64"/>
    <s v="FDOT District 5"/>
    <n v="6.7006761938700005E-2"/>
    <n v="3773.8699927094799"/>
    <n v="11.595923123810399"/>
    <n v="1.53094745641837"/>
    <n v="0.77700526021664995"/>
    <n v="0.10258383175287999"/>
    <n v="252.874808189095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77700526021664995"/>
    <n v="0.10258383175287999"/>
    <n v="817.31187241777502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85.175302966823693"/>
    <n v="271.16674489586399"/>
    <n v="0.66286445449999998"/>
  </r>
  <r>
    <n v="830000"/>
    <n v="2400000"/>
    <n v="2400000"/>
    <x v="0"/>
    <x v="0"/>
    <s v="BR3-5, BR-7"/>
    <s v="62-304.520 (10), F.A.C."/>
    <n v="0.59"/>
    <n v="0.64"/>
    <s v="City of Cocoa Beach"/>
    <n v="0.12559858357139"/>
    <n v="3773.8699927094799"/>
    <n v="11.595923123810399"/>
    <n v="1.53094745641837"/>
    <n v="1.4564315195534101"/>
    <n v="0.19228483204838001"/>
    <n v="473.99272566691297"/>
    <n v="1430"/>
    <s v="Professional Services"/>
    <n v="1430"/>
    <s v="City of Cocoa Beach           Brevard County"/>
    <s v="City of Cocoa Beach"/>
    <m/>
    <m/>
    <m/>
    <n v="0"/>
    <n v="1"/>
    <n v="1.4564315195534101"/>
    <n v="0.19228483204838001"/>
    <n v="473.99272566691297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96.070131798013307"/>
    <n v="508.27943457025498"/>
    <n v="0.38442232409999999"/>
  </r>
  <r>
    <n v="830000"/>
    <n v="2400000"/>
    <n v="2400000"/>
    <x v="0"/>
    <x v="0"/>
    <s v="BR3-5, BR-7"/>
    <s v="62-304.520 (10), F.A.C."/>
    <n v="0.59"/>
    <n v="0.64"/>
    <s v="City of Cocoa Beach"/>
    <n v="0.14088729699572999"/>
    <n v="3773.8699927094799"/>
    <n v="11.595923123810399"/>
    <n v="1.53094745641837"/>
    <n v="1.6337182650840201"/>
    <n v="0.21569104897728"/>
    <n v="531.69034248616003"/>
    <n v="1430"/>
    <s v="Professional Services"/>
    <n v="1430"/>
    <s v="City of Cocoa Beach           Brevard County"/>
    <s v="City of Cocoa Beach"/>
    <m/>
    <m/>
    <m/>
    <n v="0"/>
    <n v="1"/>
    <n v="1.6337182650840201"/>
    <n v="0.21569104897728"/>
    <n v="531.69034248616003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99.919017520873297"/>
    <n v="570.15066268177497"/>
    <n v="0.43121682280000001"/>
  </r>
  <r>
    <n v="830000"/>
    <n v="2400000"/>
    <n v="2400000"/>
    <x v="0"/>
    <x v="0"/>
    <s v="BR3-5, BR-7"/>
    <s v="62-304.520 (10), F.A.C."/>
    <n v="0.59"/>
    <n v="0.64"/>
    <s v="City of Cocoa Beach"/>
    <n v="5.5641448753599998E-3"/>
    <n v="3773.8699927094799"/>
    <n v="11.595923123810399"/>
    <n v="1.53094745641837"/>
    <n v="6.4521396224429997E-2"/>
    <n v="8.5184134440700002E-3"/>
    <n v="20.998359380213099"/>
    <n v="1410"/>
    <s v="Retail Sales and Services"/>
    <n v="1410"/>
    <s v="City of Cocoa Beach           Brevard County"/>
    <s v="City of Cocoa Beach"/>
    <m/>
    <m/>
    <m/>
    <n v="0"/>
    <n v="1"/>
    <n v="6.4521396224429997E-2"/>
    <n v="8.5184134440700002E-3"/>
    <n v="500.557932109590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66.430737405326497"/>
    <n v="22.5172954240184"/>
    <n v="0.40596750370000001"/>
  </r>
  <r>
    <n v="830000"/>
    <n v="2400000"/>
    <n v="2400000"/>
    <x v="0"/>
    <x v="0"/>
    <s v="BR3-5, BR-7"/>
    <s v="62-304.520 (10), F.A.C."/>
    <n v="0.59"/>
    <n v="0.64"/>
    <s v="City of Cocoa Beach"/>
    <n v="7.0275449937600001E-2"/>
    <n v="3746.54296813685"/>
    <n v="10.686320575515801"/>
    <n v="2.03170003076078"/>
    <n v="0.75098598662188998"/>
    <n v="0.14277863379996"/>
    <n v="263.289992796398"/>
    <n v="1300"/>
    <s v="Residential, High Density"/>
    <n v="1300"/>
    <s v="City of Cocoa Beach           Brevard County"/>
    <s v="City of Cocoa Beach"/>
    <m/>
    <m/>
    <m/>
    <n v="0"/>
    <n v="1"/>
    <n v="0.75098598662188998"/>
    <n v="0.14277863379996"/>
    <n v="725.54263510485202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111.394331809734"/>
    <n v="284.39465591705999"/>
    <n v="0.58843684919999995"/>
  </r>
  <r>
    <n v="830000"/>
    <n v="2400000"/>
    <n v="2400000"/>
    <x v="0"/>
    <x v="0"/>
    <s v="BR3-5, BR-7"/>
    <s v="62-304.520 (10), F.A.C."/>
    <n v="0.59"/>
    <n v="0.64"/>
    <s v="City of Cocoa Beach"/>
    <n v="1.1104402903059999E-2"/>
    <n v="3746.54296813685"/>
    <n v="10.686320575515801"/>
    <n v="2.03170003076078"/>
    <n v="0.11866520922183001"/>
    <n v="2.2560815719729999E-2"/>
    <n v="41.6031226118329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11866520922183001"/>
    <n v="2.2560815719729999E-2"/>
    <n v="41.603122611834003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28.853675563614999"/>
    <n v="44.937924205183002"/>
    <n v="3.37413809E-2"/>
  </r>
  <r>
    <n v="830000"/>
    <n v="2400000"/>
    <n v="2400000"/>
    <x v="0"/>
    <x v="0"/>
    <s v="BR3-5, BR-7"/>
    <s v="62-304.520 (10), F.A.C."/>
    <n v="0.59"/>
    <n v="0.64"/>
    <s v="City of Cocoa Beach"/>
    <n v="1.9030606049669999E-2"/>
    <n v="3746.54296813685"/>
    <n v="10.686320575515801"/>
    <n v="2.03170003076078"/>
    <n v="0.20336715699321001"/>
    <n v="3.8664482896519997E-2"/>
    <n v="71.29898327480370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0336715699321001"/>
    <n v="3.8664482896519997E-2"/>
    <n v="71.298983274803007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43.707867201116599"/>
    <n v="77.014130314302903"/>
    <n v="5.7825614999999997E-2"/>
  </r>
  <r>
    <n v="830000"/>
    <n v="2400000"/>
    <n v="2400000"/>
    <x v="0"/>
    <x v="0"/>
    <s v="BR3-5, BR-7"/>
    <s v="62-304.520 (10), F.A.C."/>
    <n v="0.59"/>
    <n v="0.64"/>
    <s v="City of Cocoa Beach"/>
    <n v="2.0171667107710001E-2"/>
    <n v="3746.54296813685"/>
    <n v="10.686320575515801"/>
    <n v="2.03170003076078"/>
    <n v="0.21556090125558"/>
    <n v="4.0982776683229999E-2"/>
    <n v="75.574017557992093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21556090125558"/>
    <n v="4.0982776683229999E-2"/>
    <n v="75.5740175579932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46.886774593366901"/>
    <n v="81.631840585356301"/>
    <n v="6.1292796099999998E-2"/>
  </r>
  <r>
    <n v="830000"/>
    <n v="2400000"/>
    <n v="2400000"/>
    <x v="0"/>
    <x v="0"/>
    <s v="BR3-5, BR-7"/>
    <s v="62-304.520 (10), F.A.C."/>
    <n v="0.59"/>
    <n v="0.64"/>
    <s v="City of Cocoa Beach"/>
    <n v="3.6020137776899999E-3"/>
    <n v="3746.54296813685"/>
    <n v="10.686320575515801"/>
    <n v="2.03170003076078"/>
    <n v="3.8492273945909997E-2"/>
    <n v="7.31821150295E-3"/>
    <n v="13.4950993899702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3.8492273945909997E-2"/>
    <n v="7.31821150295E-3"/>
    <n v="13.495099389969001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15.329292674183"/>
    <n v="14.576832589853201"/>
    <n v="1.09449306E-2"/>
  </r>
  <r>
    <n v="830000"/>
    <n v="2400000"/>
    <n v="2500000"/>
    <x v="0"/>
    <x v="0"/>
    <s v="BR3-5, BR-7"/>
    <s v="62-304.520 (10), F.A.C."/>
    <n v="0.59"/>
    <n v="0.64"/>
    <s v="City of Cocoa Beach"/>
    <n v="7.2638717436300002E-2"/>
    <n v="3749.9078797765701"/>
    <n v="10.788175166197799"/>
    <n v="2.0785860412369201"/>
    <n v="0.78363920755076999"/>
    <n v="0.15098582411645001"/>
    <n v="272.38849889125203"/>
    <n v="1300"/>
    <s v="Residential, High Density"/>
    <n v="1300"/>
    <s v="City of Cocoa Beach           Brevard County"/>
    <s v="City of Cocoa Beach"/>
    <m/>
    <m/>
    <m/>
    <n v="0"/>
    <n v="1"/>
    <n v="0.78363920755076999"/>
    <n v="0.15098582411645001"/>
    <n v="1740.6663605466199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97.743385685601694"/>
    <n v="293.95846017199699"/>
    <n v="1.4117326525"/>
  </r>
  <r>
    <n v="830000"/>
    <n v="2400000"/>
    <n v="2500000"/>
    <x v="0"/>
    <x v="0"/>
    <s v="BR3-5, BR-7"/>
    <s v="62-304.520 (10), F.A.C."/>
    <n v="0.59"/>
    <n v="0.64"/>
    <s v="City of Cocoa Beach"/>
    <n v="3.2198737595519999E-2"/>
    <n v="3749.9078797765701"/>
    <n v="10.788175166197799"/>
    <n v="2.0785860412369201"/>
    <n v="0.34736562131099002"/>
    <n v="6.692784651151E-2"/>
    <n v="120.742299828328"/>
    <n v="1330"/>
    <s v="Residential, High density; Multiple Dwelling Units, Low Rise &lt;Two stories or less&gt;"/>
    <n v="1330"/>
    <s v="City of Cocoa Beach           Brevard County"/>
    <s v="City of Cocoa Beach"/>
    <m/>
    <m/>
    <m/>
    <n v="0"/>
    <n v="1"/>
    <n v="0.34736562131099002"/>
    <n v="6.692784651151E-2"/>
    <n v="120.742299828329"/>
    <m/>
    <n v="-1"/>
    <n v="-1"/>
    <n v="-1"/>
    <n v="-1"/>
    <n v="0"/>
    <m/>
    <m/>
    <s v="Banana River B"/>
    <n v="-1"/>
    <m/>
    <m/>
    <n v="390"/>
    <x v="28"/>
    <s v="332-334 N Orlando, contractor"/>
    <x v="0"/>
    <n v="1.745582"/>
    <n v="64.827120787591497"/>
    <n v="130.303668031635"/>
    <n v="9.7925628400000006E-2"/>
  </r>
  <r>
    <n v="830000"/>
    <n v="1400000"/>
    <n v="1400000"/>
    <x v="0"/>
    <x v="0"/>
    <s v="BR3-5, BR-7"/>
    <s v="62-304.520 (10), F.A.C."/>
    <n v="0.59"/>
    <n v="0.64"/>
    <s v="City of Cocoa Beach"/>
    <n v="9.7934966646800008E-3"/>
    <n v="3294.8136544918402"/>
    <n v="9.87096039206358"/>
    <n v="1.31625280227494"/>
    <n v="9.6671217676869994E-2"/>
    <n v="1.289071742895E-2"/>
    <n v="32.267746536011302"/>
    <n v="1750"/>
    <s v="Governmental"/>
    <n v="1750"/>
    <s v="City of Cocoa Beach           Brevard County"/>
    <s v="City of Cocoa Beach"/>
    <m/>
    <m/>
    <m/>
    <n v="0"/>
    <n v="1"/>
    <n v="9.6671217676869994E-2"/>
    <n v="1.289071742895E-2"/>
    <n v="45.5794636178231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1.8677930597627"/>
    <n v="39.6328748752167"/>
    <n v="3.6966312699999997E-2"/>
  </r>
  <r>
    <n v="830000"/>
    <n v="1400000"/>
    <n v="1400000"/>
    <x v="0"/>
    <x v="0"/>
    <s v="BR3-5, BR-7"/>
    <s v="62-304.520 (10), F.A.C."/>
    <n v="0.59"/>
    <n v="0.64"/>
    <s v="City of Cocoa Beach"/>
    <n v="3.82275522059E-3"/>
    <n v="3768.4617706860499"/>
    <n v="10.3370849493979"/>
    <n v="1.37513687899089"/>
    <n v="3.9516145455989998E-2"/>
    <n v="5.2568116831799997E-3"/>
    <n v="14.405906907483899"/>
    <n v="1750"/>
    <s v="Governmental"/>
    <n v="1750"/>
    <s v="City of Cocoa Beach           Brevard County"/>
    <s v="City of Cocoa Beach"/>
    <m/>
    <m/>
    <m/>
    <n v="0"/>
    <n v="1"/>
    <n v="3.9516145455989998E-2"/>
    <n v="5.2568116831799997E-3"/>
    <n v="22.0581775917739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9.8809697799018"/>
    <n v="15.470141515709701"/>
    <n v="1.7889843999999998E-2"/>
  </r>
  <r>
    <n v="830000"/>
    <n v="1400000"/>
    <n v="1400000"/>
    <x v="0"/>
    <x v="0"/>
    <s v="BR3-5, BR-7"/>
    <s v="62-304.520 (10), F.A.C."/>
    <n v="0.59"/>
    <n v="0.64"/>
    <s v="City of Cocoa Beach"/>
    <n v="4.176253212712E-2"/>
    <n v="3768.4617706860499"/>
    <n v="10.3370849493979"/>
    <n v="1.37513687899089"/>
    <n v="0.4317028423"/>
    <n v="5.742919808804E-2"/>
    <n v="157.38050576809999"/>
    <n v="1750"/>
    <s v="Governmental"/>
    <n v="1750"/>
    <s v="City of Cocoa Beach           Brevard County"/>
    <s v="City of Cocoa Beach"/>
    <m/>
    <m/>
    <m/>
    <n v="0"/>
    <n v="1"/>
    <n v="0.4317028423"/>
    <n v="5.742919808804E-2"/>
    <n v="701.8099356535119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4.163724669370296"/>
    <n v="169.00697135432"/>
    <n v="0.56918891780000003"/>
  </r>
  <r>
    <n v="830000"/>
    <n v="1400000"/>
    <n v="1400000"/>
    <x v="0"/>
    <x v="0"/>
    <s v="BR3-5, BR-7"/>
    <s v="62-304.520 (10), F.A.C."/>
    <n v="0.59"/>
    <n v="0.64"/>
    <s v="City of Cocoa Beach"/>
    <n v="0.11414772284762"/>
    <n v="3763.4851427663398"/>
    <n v="10.1014979891092"/>
    <n v="1.3440496003072899"/>
    <n v="1.15306299280669"/>
    <n v="0.15342020126934"/>
    <n v="429.59325901765101"/>
    <n v="1750"/>
    <s v="Governmental"/>
    <n v="1750"/>
    <s v="City of Cocoa Beach           Brevard County"/>
    <s v="City of Cocoa Beach"/>
    <m/>
    <m/>
    <m/>
    <n v="0"/>
    <n v="1"/>
    <n v="1.15306299280669"/>
    <n v="0.15342020126934"/>
    <n v="618.763832726864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6.545791605466903"/>
    <n v="461.93944530825001"/>
    <n v="0.50183603629999995"/>
  </r>
  <r>
    <n v="830000"/>
    <n v="1400000"/>
    <n v="1400000"/>
    <x v="0"/>
    <x v="0"/>
    <s v="BR3-5, BR-7"/>
    <s v="62-304.520 (10), F.A.C."/>
    <n v="0.59"/>
    <n v="0.64"/>
    <s v="City of Cocoa Beach"/>
    <n v="5.0144348341509999E-2"/>
    <n v="3763.4851427663398"/>
    <n v="10.1014979891092"/>
    <n v="1.3440496003072899"/>
    <n v="0.50653303393699001"/>
    <n v="6.7396491346080001E-2"/>
    <n v="188.717509976988"/>
    <n v="1750"/>
    <s v="Governmental"/>
    <n v="1750"/>
    <s v="City of Cocoa Beach           Brevard County"/>
    <s v="City of Cocoa Beach"/>
    <m/>
    <m/>
    <m/>
    <n v="0"/>
    <n v="1"/>
    <n v="0.50653303393699001"/>
    <n v="6.7396491346080001E-2"/>
    <n v="265.411168031146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57.049719487607597"/>
    <n v="202.92697813292"/>
    <n v="0.21525642179999999"/>
  </r>
  <r>
    <n v="830000"/>
    <n v="2400000"/>
    <n v="2400000"/>
    <x v="0"/>
    <x v="0"/>
    <s v="BR3-5, BR-7"/>
    <s v="62-304.520 (10), F.A.C."/>
    <n v="0.59"/>
    <n v="0.64"/>
    <s v="City of Cocoa Beach"/>
    <n v="4.1949764998769998E-2"/>
    <n v="2753.07631071587"/>
    <n v="6.9473149243145196"/>
    <n v="1.0393296164793999"/>
    <n v="0.29143822844747003"/>
    <n v="4.3599633167569998E-2"/>
    <n v="115.490904258225"/>
    <n v="1200"/>
    <s v="Residential, Medium Density-Two-five dwellingunits per acre"/>
    <n v="1200"/>
    <s v="City of Cocoa Beach           Brevard County"/>
    <s v="City of Cocoa Beach"/>
    <m/>
    <m/>
    <m/>
    <n v="0"/>
    <n v="1"/>
    <n v="0.29143822844747003"/>
    <n v="4.3599633167569998E-2"/>
    <n v="1062.15103904459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2.960665487943501"/>
    <n v="169.76467590346101"/>
    <n v="0.86143636580000005"/>
  </r>
  <r>
    <n v="830000"/>
    <n v="2400000"/>
    <n v="2400000"/>
    <x v="0"/>
    <x v="0"/>
    <s v="BR3-5, BR-7"/>
    <s v="62-304.520 (10), F.A.C."/>
    <n v="0.59"/>
    <n v="0.64"/>
    <s v="City of Cocoa Beach"/>
    <n v="1.5738150914099999E-3"/>
    <n v="2753.07631071587"/>
    <n v="6.9473149243145196"/>
    <n v="1.0393296164793999"/>
    <n v="1.09337890727E-2"/>
    <n v="1.63571263537E-3"/>
    <n v="4.3328330456245201"/>
    <n v="1300"/>
    <s v="Residential, High Density"/>
    <n v="1300"/>
    <s v="City of Cocoa Beach           Brevard County"/>
    <s v="City of Cocoa Beach"/>
    <m/>
    <m/>
    <m/>
    <n v="0"/>
    <n v="1"/>
    <n v="1.09337890727E-2"/>
    <n v="1.63571263537E-3"/>
    <n v="61.4846712975760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.7368020812218"/>
    <n v="6.3690037103661803"/>
    <n v="4.9865913499999998E-2"/>
  </r>
  <r>
    <n v="830000"/>
    <n v="2400000"/>
    <n v="2400000"/>
    <x v="0"/>
    <x v="0"/>
    <s v="BR3-5, BR-7"/>
    <s v="62-304.520 (10), F.A.C."/>
    <n v="0.59"/>
    <n v="0.64"/>
    <s v="City of Cocoa Beach"/>
    <n v="0.25734600627458998"/>
    <n v="3771.8377011716998"/>
    <n v="11.8600578658797"/>
    <n v="1.5631420130925699"/>
    <n v="3.0521385259696898"/>
    <n v="0.40226835430939001"/>
    <n v="970.66736871247303"/>
    <n v="1400"/>
    <s v="Commercial and Services"/>
    <n v="1400"/>
    <s v="City of Cocoa Beach           Brevard County"/>
    <s v="City of Cocoa Beach"/>
    <m/>
    <m/>
    <m/>
    <n v="0"/>
    <n v="1"/>
    <n v="3.0521385259696898"/>
    <n v="0.40226835430939001"/>
    <n v="970.667368712473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3.42101128859301"/>
    <n v="1041.4423382713101"/>
    <n v="0.78724036389999996"/>
  </r>
  <r>
    <n v="830000"/>
    <n v="2400000"/>
    <n v="2400000"/>
    <x v="0"/>
    <x v="0"/>
    <s v="BR3-5, BR-7"/>
    <s v="62-304.520 (10), F.A.C."/>
    <n v="0.59"/>
    <n v="0.64"/>
    <s v="FDOT District 5"/>
    <n v="9.0281102467469995E-2"/>
    <n v="3771.8377011716998"/>
    <n v="11.8600578658797"/>
    <n v="1.5631420130925699"/>
    <n v="1.0707390994596799"/>
    <n v="0.14112218425522"/>
    <n v="340.525665990172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0707390994596799"/>
    <n v="0.14112218425522"/>
    <n v="383.656044543410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6.590260909695"/>
    <n v="365.354659341858"/>
    <n v="0.31115656489999999"/>
  </r>
  <r>
    <n v="830000"/>
    <n v="2400000"/>
    <n v="2400000"/>
    <x v="0"/>
    <x v="0"/>
    <s v="BR3-5, BR-7"/>
    <s v="62-304.520 (10), F.A.C."/>
    <n v="0.59"/>
    <n v="0.64"/>
    <s v="City of Cocoa Beach"/>
    <n v="0.11207929672543"/>
    <n v="3771.8377011716998"/>
    <n v="11.8600578658797"/>
    <n v="1.5631420130925699"/>
    <n v="1.3292669447307801"/>
    <n v="0.1751958575094"/>
    <n v="422.74491690981398"/>
    <n v="1430"/>
    <s v="Professional Services"/>
    <n v="1430"/>
    <s v="City of Cocoa Beach           Brevard County"/>
    <s v="City of Cocoa Beach"/>
    <m/>
    <m/>
    <m/>
    <n v="0"/>
    <n v="1"/>
    <n v="1.3292669447307801"/>
    <n v="0.1751958575094"/>
    <n v="478.693969991883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3.863590320003098"/>
    <n v="453.56882177141"/>
    <n v="0.38823517439999999"/>
  </r>
  <r>
    <n v="830000"/>
    <n v="2400000"/>
    <n v="2400000"/>
    <x v="0"/>
    <x v="0"/>
    <s v="BR3-5, BR-7"/>
    <s v="62-304.520 (10), F.A.C."/>
    <n v="0.59"/>
    <n v="0.64"/>
    <s v="FDOT District 5"/>
    <n v="6.9142313717000001E-4"/>
    <n v="3771.8377011716998"/>
    <n v="11.8600578658797"/>
    <n v="1.5631420130925699"/>
    <n v="8.2003184167299993E-3"/>
    <n v="1.08079255454E-3"/>
    <n v="2.60793585627039"/>
    <n v="1430"/>
    <s v="Professional Services"/>
    <n v="1430"/>
    <s v="FDOT District 5                                 City of Cocoa Beach           Brevard County"/>
    <s v="FDOT District 5"/>
    <m/>
    <m/>
    <m/>
    <n v="0"/>
    <n v="1"/>
    <n v="8.2003184167299993E-3"/>
    <n v="1.08079255454E-3"/>
    <n v="3.22910274613527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5.640581864650699"/>
    <n v="2.7980901632864299"/>
    <n v="2.6188992000000001E-3"/>
  </r>
  <r>
    <n v="830000"/>
    <n v="2400000"/>
    <n v="2400000"/>
    <x v="0"/>
    <x v="0"/>
    <s v="BR3-5, BR-7"/>
    <s v="62-304.520 (10), F.A.C."/>
    <n v="0.59"/>
    <n v="0.64"/>
    <s v="City of Cocoa Beach"/>
    <n v="9.3177277808100006E-2"/>
    <n v="3771.8377011716998"/>
    <n v="11.8600578658797"/>
    <n v="1.5631420130925699"/>
    <n v="1.10508790658927"/>
    <n v="0.14564931760743999"/>
    <n v="351.44956932916"/>
    <n v="1410"/>
    <s v="Retail Sales and Services"/>
    <n v="1410"/>
    <s v="City of Cocoa Beach           Brevard County"/>
    <s v="City of Cocoa Beach"/>
    <m/>
    <m/>
    <m/>
    <n v="0"/>
    <n v="1"/>
    <n v="1.10508790658927"/>
    <n v="0.14564931760743999"/>
    <n v="421.817675091390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7.579906302087807"/>
    <n v="377.07506511947997"/>
    <n v="0.34210679249999998"/>
  </r>
  <r>
    <n v="830000"/>
    <n v="2400000"/>
    <n v="2400000"/>
    <x v="0"/>
    <x v="0"/>
    <s v="BR3-5, BR-7"/>
    <s v="62-304.520 (10), F.A.C."/>
    <n v="0.59"/>
    <n v="0.64"/>
    <s v="City of Cocoa Beach"/>
    <n v="2.0454484298999999E-4"/>
    <n v="3771.8377011716998"/>
    <n v="11.8600578658797"/>
    <n v="1.5631420130925699"/>
    <n v="2.4259136740600001E-3"/>
    <n v="3.1973263764000003E-4"/>
    <n v="0.77150995038124004"/>
    <n v="1410"/>
    <s v="Retail Sales and Services"/>
    <n v="1410"/>
    <s v="City of Cocoa Beach           Brevard County"/>
    <s v="City of Cocoa Beach"/>
    <m/>
    <m/>
    <m/>
    <n v="0"/>
    <n v="1"/>
    <n v="2.4259136740600001E-3"/>
    <n v="3.1973263764000003E-4"/>
    <n v="0.771509950382049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.79425049478861"/>
    <n v="0.82776361153588995"/>
    <n v="6.2571770000000005E-4"/>
  </r>
  <r>
    <n v="830000"/>
    <n v="2400000"/>
    <n v="2400000"/>
    <x v="0"/>
    <x v="0"/>
    <s v="BR3-5, BR-7"/>
    <s v="62-304.520 (10), F.A.C."/>
    <n v="0.59"/>
    <n v="0.64"/>
    <s v="City of Cocoa Beach"/>
    <n v="8.5274001050499992E-3"/>
    <n v="3771.8377011716998"/>
    <n v="11.8600578658797"/>
    <n v="1.5631420130925699"/>
    <n v="0.10113545869146"/>
    <n v="1.332953736666E-2"/>
    <n v="32.163969209222003"/>
    <n v="1410"/>
    <s v="Retail Sales and Services"/>
    <n v="1410"/>
    <s v="City of Cocoa Beach           Brevard County"/>
    <s v="City of Cocoa Beach"/>
    <m/>
    <m/>
    <m/>
    <n v="0"/>
    <n v="1"/>
    <n v="0.10113545869146"/>
    <n v="1.332953736666E-2"/>
    <n v="32.1639692092231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8.645689812819803"/>
    <n v="34.509163881517502"/>
    <n v="2.6085944199999999E-2"/>
  </r>
  <r>
    <n v="830000"/>
    <n v="2400000"/>
    <n v="2400000"/>
    <x v="0"/>
    <x v="0"/>
    <s v="BR3-5, BR-7"/>
    <s v="62-304.520 (10), F.A.C."/>
    <n v="0.59"/>
    <n v="0.64"/>
    <s v="City of Cocoa Beach"/>
    <n v="9.07930324676E-3"/>
    <n v="3771.8377011716998"/>
    <n v="11.8600578658797"/>
    <n v="1.5631420130925699"/>
    <n v="0.10768106188852"/>
    <n v="1.419224035462E-2"/>
    <n v="34.2456582865264"/>
    <n v="1410"/>
    <s v="Retail Sales and Services"/>
    <n v="1410"/>
    <s v="City of Cocoa Beach           Brevard County"/>
    <s v="City of Cocoa Beach"/>
    <m/>
    <m/>
    <m/>
    <n v="0"/>
    <n v="1"/>
    <n v="0.10768106188852"/>
    <n v="1.419224035462E-2"/>
    <n v="34.2456582865247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0.271704912576297"/>
    <n v="36.742636655094302"/>
    <n v="2.77742565E-2"/>
  </r>
  <r>
    <n v="830000"/>
    <n v="2400000"/>
    <n v="2400000"/>
    <x v="0"/>
    <x v="0"/>
    <s v="BR3-5, BR-7"/>
    <s v="62-304.520 (10), F.A.C."/>
    <n v="0.59"/>
    <n v="0.64"/>
    <s v="FDOT District 5"/>
    <n v="1.2880158793E-3"/>
    <n v="3771.8377011716998"/>
    <n v="11.8600578658797"/>
    <n v="1.5631420130925699"/>
    <n v="1.5275942860719999E-2"/>
    <n v="2.01335173447E-3"/>
    <n v="4.8581868532704204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5275942860719999E-2"/>
    <n v="2.01335173447E-3"/>
    <n v="4.85818685327094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.1343098308778004"/>
    <n v="5.21241533331919"/>
    <n v="3.9401352999999997E-3"/>
  </r>
  <r>
    <n v="830000"/>
    <n v="2400000"/>
    <n v="2400000"/>
    <x v="0"/>
    <x v="0"/>
    <s v="BR3-5, BR-7"/>
    <s v="62-304.520 (10), F.A.C."/>
    <n v="0.59"/>
    <n v="0.64"/>
    <s v="City of Cocoa Beach"/>
    <n v="7.4006133558699996E-3"/>
    <n v="3294.8136544918402"/>
    <n v="9.87096039206358"/>
    <n v="1.31625280227494"/>
    <n v="7.305116131278E-2"/>
    <n v="9.7410780682199993E-3"/>
    <n v="24.3836419365418"/>
    <n v="1200"/>
    <s v="Residential, Medium Density-Two-five dwellingunits per acre"/>
    <n v="1200"/>
    <s v="City of Cocoa Beach           Brevard County"/>
    <s v="City of Cocoa Beach"/>
    <m/>
    <m/>
    <m/>
    <n v="0"/>
    <n v="1"/>
    <n v="7.305116131278E-2"/>
    <n v="9.7410780682199993E-3"/>
    <n v="155.56572969243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2.946397281901799"/>
    <n v="29.949219688911398"/>
    <n v="0.126168475"/>
  </r>
  <r>
    <n v="830000"/>
    <n v="2400000"/>
    <n v="2400000"/>
    <x v="0"/>
    <x v="0"/>
    <s v="BR3-5, BR-7"/>
    <s v="62-304.520 (10), F.A.C."/>
    <n v="0.59"/>
    <n v="0.64"/>
    <s v="Brevard County"/>
    <n v="4.8149132354799997E-3"/>
    <n v="3294.8136544918402"/>
    <n v="9.87096039206358"/>
    <n v="1.31625280227494"/>
    <n v="4.7527817838689999E-2"/>
    <n v="6.3376430389099998E-3"/>
    <n v="15.864241873469499"/>
    <n v="1400"/>
    <s v="Commercial and Services"/>
    <n v="1400"/>
    <s v="Brevard County"/>
    <s v="Brevard County"/>
    <m/>
    <m/>
    <m/>
    <n v="0"/>
    <n v="1"/>
    <n v="4.7527817838689999E-2"/>
    <n v="6.3376430389099998E-3"/>
    <n v="49.1528486942929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7.231030373228798"/>
    <n v="19.485262550320801"/>
    <n v="3.9864435300000001E-2"/>
  </r>
  <r>
    <n v="830000"/>
    <n v="2400000"/>
    <n v="2400000"/>
    <x v="0"/>
    <x v="0"/>
    <s v="BR3-5, BR-7"/>
    <s v="62-304.520 (10), F.A.C."/>
    <n v="0.59"/>
    <n v="0.64"/>
    <s v="City of Cocoa Beach"/>
    <n v="0.33099961752996998"/>
    <n v="3294.8136544918402"/>
    <n v="9.87096039206358"/>
    <n v="1.31625280227494"/>
    <n v="3.2672841144265399"/>
    <n v="0.43567917412576002"/>
    <n v="1090.58205946932"/>
    <n v="1400"/>
    <s v="Commercial and Services"/>
    <n v="1400"/>
    <s v="City of Cocoa Beach           Brevard County"/>
    <s v="City of Cocoa Beach"/>
    <m/>
    <m/>
    <m/>
    <n v="0"/>
    <n v="1"/>
    <n v="3.2672841144265399"/>
    <n v="0.43567917412576002"/>
    <n v="1348.8910943909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09.43168075072799"/>
    <n v="1339.5079280130999"/>
    <n v="1.0939911551999999"/>
  </r>
  <r>
    <n v="830000"/>
    <n v="2400000"/>
    <n v="2400000"/>
    <x v="0"/>
    <x v="0"/>
    <s v="BR3-5, BR-7"/>
    <s v="62-304.520 (10), F.A.C."/>
    <n v="0.59"/>
    <n v="0.64"/>
    <s v="City of Cocoa Beach"/>
    <n v="4.9868573238999996E-3"/>
    <n v="3294.8136544918402"/>
    <n v="9.87096039206358"/>
    <n v="1.31625280227494"/>
    <n v="4.9225071125110001E-2"/>
    <n v="6.5639649271299998E-3"/>
    <n v="16.4307656037982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4.9225071125110001E-2"/>
    <n v="6.5639649271299998E-3"/>
    <n v="16.4307656037974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8.092167696265999"/>
    <n v="20.181095588828299"/>
    <n v="1.3325844E-2"/>
  </r>
  <r>
    <n v="830000"/>
    <n v="2400000"/>
    <n v="2400000"/>
    <x v="0"/>
    <x v="0"/>
    <s v="BR3-5, BR-7"/>
    <s v="62-304.520 (10), F.A.C."/>
    <n v="0.59"/>
    <n v="0.64"/>
    <s v="City of Cocoa Beach"/>
    <n v="1.9354935528779999E-2"/>
    <n v="3294.8136544918402"/>
    <n v="9.87096039206358"/>
    <n v="1.31625280227494"/>
    <n v="0.19105180199558"/>
    <n v="2.547598812761E-2"/>
    <n v="63.770905862050199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19105180199558"/>
    <n v="2.547598812761E-2"/>
    <n v="70.23272146381590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9.464731585578903"/>
    <n v="78.326645149801806"/>
    <n v="5.6960844699999999E-2"/>
  </r>
  <r>
    <n v="830000"/>
    <n v="2400000"/>
    <n v="2400000"/>
    <x v="0"/>
    <x v="0"/>
    <s v="BR3-5, BR-7"/>
    <s v="62-304.520 (10), F.A.C."/>
    <n v="0.59"/>
    <n v="0.64"/>
    <s v="City of Cocoa Beach"/>
    <n v="2.3372363021720001E-2"/>
    <n v="3294.8136544918402"/>
    <n v="9.87096039206358"/>
    <n v="1.31625280227494"/>
    <n v="0.23070766965636"/>
    <n v="3.076393832313E-2"/>
    <n v="77.007580821716601"/>
    <n v="1410"/>
    <s v="Retail Sales and Services"/>
    <n v="1410"/>
    <s v="City of Cocoa Beach           Brevard County"/>
    <s v="City of Cocoa Beach"/>
    <m/>
    <m/>
    <m/>
    <n v="0"/>
    <n v="1"/>
    <n v="0.23070766965636"/>
    <n v="3.076393832313E-2"/>
    <n v="77.0075808217178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3.333758687167197"/>
    <n v="94.584597401129798"/>
    <n v="6.2455458899999997E-2"/>
  </r>
  <r>
    <n v="830000"/>
    <n v="2400000"/>
    <n v="2400000"/>
    <x v="0"/>
    <x v="0"/>
    <s v="BR3-5, BR-7"/>
    <s v="62-304.520 (10), F.A.C."/>
    <n v="0.59"/>
    <n v="0.64"/>
    <s v="City of Cocoa Beach"/>
    <n v="5.1507897762749999E-2"/>
    <n v="3746.8621458481698"/>
    <n v="10.262090171841701"/>
    <n v="1.4352109683741601"/>
    <n v="0.52857869140340996"/>
    <n v="7.3924699827000007E-2"/>
    <n v="192.99299233948801"/>
    <n v="1200"/>
    <s v="Residential, Medium Density-Two-five dwellingunits per acre"/>
    <n v="1200"/>
    <s v="City of Cocoa Beach           Brevard County"/>
    <s v="City of Cocoa Beach"/>
    <m/>
    <m/>
    <m/>
    <n v="0"/>
    <n v="1"/>
    <n v="0.52857869140340996"/>
    <n v="7.3924699827000007E-2"/>
    <n v="1128.3290855495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8.40449005779"/>
    <n v="208.44506686553299"/>
    <n v="0.91510874740000003"/>
  </r>
  <r>
    <n v="830000"/>
    <n v="2400000"/>
    <n v="2400000"/>
    <x v="0"/>
    <x v="0"/>
    <s v="BR3-5, BR-7"/>
    <s v="62-304.520 (10), F.A.C."/>
    <n v="0.59"/>
    <n v="0.64"/>
    <s v="City of Cocoa Beach"/>
    <n v="0.18159873826421"/>
    <n v="3746.8621458481698"/>
    <n v="10.262090171841701"/>
    <n v="1.4352109683741601"/>
    <n v="1.8635826271600799"/>
    <n v="0.26063250099971003"/>
    <n v="680.42543813598104"/>
    <n v="1400"/>
    <s v="Commercial and Services"/>
    <n v="1400"/>
    <s v="City of Cocoa Beach           Brevard County"/>
    <s v="City of Cocoa Beach"/>
    <m/>
    <m/>
    <m/>
    <n v="0"/>
    <n v="1"/>
    <n v="1.8635826271600799"/>
    <n v="0.26063250099971003"/>
    <n v="680.4254381359810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3.43069700580099"/>
    <n v="734.90402024427897"/>
    <n v="0.55184544859999995"/>
  </r>
  <r>
    <n v="830000"/>
    <n v="2400000"/>
    <n v="2400000"/>
    <x v="0"/>
    <x v="0"/>
    <s v="BR3-5, BR-7"/>
    <s v="62-304.520 (10), F.A.C."/>
    <n v="0.59"/>
    <n v="0.64"/>
    <s v="City of Cocoa Beach"/>
    <n v="1.1307038262010001E-2"/>
    <n v="3746.8621458481698"/>
    <n v="10.262090171841701"/>
    <n v="1.4352109683741601"/>
    <n v="0.11603384622121"/>
    <n v="1.622798533346E-2"/>
    <n v="42.365913645582197"/>
    <n v="1410"/>
    <s v="Retail Sales and Services"/>
    <n v="1410"/>
    <s v="City of Cocoa Beach           Brevard County"/>
    <s v="City of Cocoa Beach"/>
    <m/>
    <m/>
    <m/>
    <n v="0"/>
    <n v="1"/>
    <n v="0.11603384622121"/>
    <n v="1.622798533346E-2"/>
    <n v="42.3659136455837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7.113783595590501"/>
    <n v="45.757960408939297"/>
    <n v="3.4360027299999998E-2"/>
  </r>
  <r>
    <n v="830000"/>
    <n v="2400000"/>
    <n v="2400000"/>
    <x v="0"/>
    <x v="0"/>
    <s v="BR3-5, BR-7"/>
    <s v="62-304.520 (10), F.A.C."/>
    <n v="0.59"/>
    <n v="0.64"/>
    <s v="City of Cocoa Beach"/>
    <n v="6.8013659757429998E-2"/>
    <n v="3746.8621458481698"/>
    <n v="10.262090171841701"/>
    <n v="1.4352109683741601"/>
    <n v="0.69796230934780001"/>
    <n v="9.7613950483140005E-2"/>
    <n v="254.83780714574499"/>
    <n v="1430"/>
    <s v="Professional Services"/>
    <n v="1430"/>
    <s v="City of Cocoa Beach           Brevard County"/>
    <s v="City of Cocoa Beach"/>
    <m/>
    <m/>
    <m/>
    <n v="0"/>
    <n v="1"/>
    <n v="0.69796230934780001"/>
    <n v="9.7613950483140005E-2"/>
    <n v="254.837807145743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3.194465362421894"/>
    <n v="275.24151580031901"/>
    <n v="0.20668110880000001"/>
  </r>
  <r>
    <n v="830000"/>
    <n v="2400000"/>
    <n v="2400000"/>
    <x v="0"/>
    <x v="0"/>
    <s v="BR3-5, BR-7"/>
    <s v="62-304.520 (10), F.A.C."/>
    <n v="0.59"/>
    <n v="0.64"/>
    <s v="City of Cocoa Beach"/>
    <n v="2.7902865892300002E-3"/>
    <n v="3783.0585014030898"/>
    <n v="11.6225764016911"/>
    <n v="1.5344819946492001"/>
    <n v="3.2430319066039999E-2"/>
    <n v="4.2816445310900004E-3"/>
    <n v="10.5558174027716"/>
    <n v="1400"/>
    <s v="Commercial and Services"/>
    <n v="1400"/>
    <s v="City of Cocoa Beach           Brevard County"/>
    <s v="City of Cocoa Beach"/>
    <m/>
    <m/>
    <m/>
    <n v="0"/>
    <n v="1"/>
    <n v="3.2430319066039999E-2"/>
    <n v="4.2816445310900004E-3"/>
    <n v="10.55581740277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0.487381311871"/>
    <n v="11.2918892039977"/>
    <n v="8.5610847000000007E-3"/>
  </r>
  <r>
    <n v="830000"/>
    <n v="2400000"/>
    <n v="2400000"/>
    <x v="0"/>
    <x v="0"/>
    <s v="BR3-5, BR-7"/>
    <s v="62-304.520 (10), F.A.C."/>
    <n v="0.59"/>
    <n v="0.64"/>
    <s v="FDOT District 5"/>
    <n v="0.21415982601507"/>
    <n v="3783.0585014030898"/>
    <n v="11.6225764016911"/>
    <n v="1.5344819946492001"/>
    <n v="2.4890889400330498"/>
    <n v="0.32862439699732998"/>
    <n v="810.1791504653259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4890889400330498"/>
    <n v="0.32862439699732998"/>
    <n v="810.1791504653259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4.645498610435"/>
    <n v="866.67406732916095"/>
    <n v="0.65707960300000001"/>
  </r>
  <r>
    <n v="830000"/>
    <n v="2400000"/>
    <n v="2400000"/>
    <x v="0"/>
    <x v="0"/>
    <s v="BR3-5, BR-7"/>
    <s v="62-304.520 (10), F.A.C."/>
    <n v="0.59"/>
    <n v="0.64"/>
    <s v="City of Cocoa Beach"/>
    <n v="0.14455256508451"/>
    <n v="3783.0585014030898"/>
    <n v="11.6225764016911"/>
    <n v="1.5344819946492001"/>
    <n v="1.6800732317551901"/>
    <n v="0.22181330840253999"/>
    <n v="546.850810242595"/>
    <n v="1410"/>
    <s v="Retail Sales and Services"/>
    <n v="1410"/>
    <s v="City of Cocoa Beach           Brevard County"/>
    <s v="City of Cocoa Beach"/>
    <m/>
    <m/>
    <m/>
    <n v="0"/>
    <n v="1"/>
    <n v="1.6800732317551901"/>
    <n v="0.22181330840253999"/>
    <n v="546.8508102425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1.172508297761"/>
    <n v="584.98347638666098"/>
    <n v="0.4435124171"/>
  </r>
  <r>
    <n v="830000"/>
    <n v="2400000"/>
    <n v="2400000"/>
    <x v="0"/>
    <x v="0"/>
    <s v="BR3-5, BR-7"/>
    <s v="62-304.520 (10), F.A.C."/>
    <n v="0.59"/>
    <n v="0.64"/>
    <s v="City of Cocoa Beach"/>
    <n v="0.25626077572594003"/>
    <n v="3783.0585014030898"/>
    <n v="11.6225764016911"/>
    <n v="1.5344819946492001"/>
    <n v="2.9784104446313702"/>
    <n v="0.39322754628628998"/>
    <n v="969.44950618616895"/>
    <n v="1410"/>
    <s v="Retail Sales and Services"/>
    <n v="1410"/>
    <s v="City of Cocoa Beach           Brevard County"/>
    <s v="City of Cocoa Beach"/>
    <m/>
    <m/>
    <m/>
    <n v="0"/>
    <n v="1"/>
    <n v="2.9784104446313702"/>
    <n v="0.39322754628628998"/>
    <n v="969.449506186168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8.81912382522501"/>
    <n v="1037.0505660557201"/>
    <n v="0.78625264090000002"/>
  </r>
  <r>
    <n v="830000"/>
    <n v="2400000"/>
    <n v="2400000"/>
    <x v="0"/>
    <x v="0"/>
    <s v="BR3-5, BR-7"/>
    <s v="62-304.520 (10), F.A.C."/>
    <n v="0.59"/>
    <n v="0.64"/>
    <s v="City of Cocoa Beach"/>
    <n v="4.5258802306919997E-2"/>
    <n v="3783.0585005575099"/>
    <n v="11.6225763990932"/>
    <n v="1.53448199430622"/>
    <n v="0.52602388754373997"/>
    <n v="6.9448817223839998E-2"/>
    <n v="171.21669679227901"/>
    <n v="1400"/>
    <s v="Commercial and Services"/>
    <n v="1400"/>
    <s v="City of Cocoa Beach           Brevard County"/>
    <s v="City of Cocoa Beach"/>
    <m/>
    <m/>
    <m/>
    <n v="0"/>
    <n v="1"/>
    <n v="0.52602388754373997"/>
    <n v="6.9448817223839998E-2"/>
    <n v="171.216696792276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67.91545970926001"/>
    <n v="183.15587478592499"/>
    <n v="0.13886187899999999"/>
  </r>
  <r>
    <n v="830000"/>
    <n v="2400000"/>
    <n v="2400000"/>
    <x v="0"/>
    <x v="0"/>
    <s v="BR3-5, BR-7"/>
    <s v="62-304.520 (10), F.A.C."/>
    <n v="0.59"/>
    <n v="0.64"/>
    <s v="FDOT District 5"/>
    <n v="0.19956839173534999"/>
    <n v="3783.0585005575099"/>
    <n v="11.6225763990932"/>
    <n v="1.53448199430622"/>
    <n v="2.3194988797882798"/>
    <n v="0.30623410375054"/>
    <n v="754.978900797008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3194988797882798"/>
    <n v="0.30623410375054"/>
    <n v="754.978900797008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1.89579514081899"/>
    <n v="807.62462780224098"/>
    <n v="0.61231054399999996"/>
  </r>
  <r>
    <n v="830000"/>
    <n v="2400000"/>
    <n v="2400000"/>
    <x v="0"/>
    <x v="0"/>
    <s v="BR3-5, BR-7"/>
    <s v="62-304.520 (10), F.A.C."/>
    <n v="0.59"/>
    <n v="0.64"/>
    <s v="City of Cocoa Beach"/>
    <n v="0.12383868858674001"/>
    <n v="3783.0585005575099"/>
    <n v="11.6225763990932"/>
    <n v="1.53448199430622"/>
    <n v="1.4393246192629601"/>
    <n v="0.19002823783485001"/>
    <n v="468.48900355597999"/>
    <n v="1410"/>
    <s v="Retail Sales and Services"/>
    <n v="1410"/>
    <s v="City of Cocoa Beach           Brevard County"/>
    <s v="City of Cocoa Beach"/>
    <m/>
    <m/>
    <m/>
    <n v="0"/>
    <n v="1"/>
    <n v="1.4393246192629601"/>
    <n v="0.19002823783485001"/>
    <n v="468.489003555979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6.324372646529298"/>
    <n v="501.15739224886403"/>
    <n v="0.37995864039999999"/>
  </r>
  <r>
    <n v="830000"/>
    <n v="2400000"/>
    <n v="2400000"/>
    <x v="0"/>
    <x v="0"/>
    <s v="BR3-5, BR-7"/>
    <s v="62-304.520 (10), F.A.C."/>
    <n v="0.59"/>
    <n v="0.64"/>
    <s v="City of Cocoa Beach"/>
    <n v="6.2499742689749997E-2"/>
    <n v="3783.0585005575099"/>
    <n v="11.6225763990932"/>
    <n v="1.53448199430622"/>
    <n v="0.72640803433530998"/>
    <n v="9.5904729806189998E-2"/>
    <n v="236.44018286512301"/>
    <n v="1410"/>
    <s v="Retail Sales and Services"/>
    <n v="1410"/>
    <s v="City of Cocoa Beach           Brevard County"/>
    <s v="City of Cocoa Beach"/>
    <m/>
    <m/>
    <m/>
    <n v="0"/>
    <n v="1"/>
    <n v="0.72640803433530998"/>
    <n v="9.5904729806189998E-2"/>
    <n v="236.44018286512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0.597522112570601"/>
    <n v="252.927485102372"/>
    <n v="0.1917600834"/>
  </r>
  <r>
    <n v="830000"/>
    <n v="2400000"/>
    <n v="2400000"/>
    <x v="0"/>
    <x v="0"/>
    <s v="BR3-5, BR-7"/>
    <s v="62-304.520 (10), F.A.C."/>
    <n v="0.59"/>
    <n v="0.64"/>
    <s v="City of Cocoa Beach"/>
    <n v="8.3676208800390006E-2"/>
    <n v="3783.0585005575099"/>
    <n v="11.6225763990932"/>
    <n v="1.53448199430622"/>
    <n v="0.97253312956907001"/>
    <n v="0.12839963575600999"/>
    <n v="316.551992996759"/>
    <n v="1410"/>
    <s v="Retail Sales and Services"/>
    <n v="1410"/>
    <s v="City of Cocoa Beach           Brevard County"/>
    <s v="City of Cocoa Beach"/>
    <m/>
    <m/>
    <m/>
    <n v="0"/>
    <n v="1"/>
    <n v="0.97253312956907001"/>
    <n v="0.12839963575600999"/>
    <n v="316.55199299675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6.118819395199395"/>
    <n v="338.62560298595997"/>
    <n v="0.25673316540000002"/>
  </r>
  <r>
    <n v="830000"/>
    <n v="2400000"/>
    <n v="2400000"/>
    <x v="0"/>
    <x v="0"/>
    <s v="BR3-5, BR-7"/>
    <s v="62-304.520 (10), F.A.C."/>
    <n v="0.59"/>
    <n v="0.64"/>
    <s v="City of Cocoa Beach"/>
    <n v="0.10292161947969999"/>
    <n v="3783.0585005575099"/>
    <n v="11.6225763990932"/>
    <n v="1.53448199430622"/>
    <n v="1.1962143855212299"/>
    <n v="0.15793137191643"/>
    <n v="389.358507463828"/>
    <n v="1410"/>
    <s v="Retail Sales and Services"/>
    <n v="1410"/>
    <s v="City of Cocoa Beach           Brevard County"/>
    <s v="City of Cocoa Beach"/>
    <m/>
    <m/>
    <m/>
    <n v="0"/>
    <n v="1"/>
    <n v="1.1962143855212299"/>
    <n v="0.15793137191643"/>
    <n v="389.35850746382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1.153813890053797"/>
    <n v="416.50901679523798"/>
    <n v="0.31578143349999999"/>
  </r>
  <r>
    <n v="830000"/>
    <n v="2400000"/>
    <n v="2400000"/>
    <x v="0"/>
    <x v="0"/>
    <s v="BR3-5, BR-7"/>
    <s v="62-304.520 (10), F.A.C."/>
    <n v="0.59"/>
    <n v="0.64"/>
    <s v="City of Cocoa Beach"/>
    <n v="0.23000861262228001"/>
    <n v="3768.4617706860499"/>
    <n v="10.3370849493979"/>
    <n v="1.37513687899089"/>
    <n v="2.3776185677697099"/>
    <n v="0.31629332570243002"/>
    <n v="866.77866359561199"/>
    <n v="1400"/>
    <s v="Commercial and Services"/>
    <n v="1400"/>
    <s v="City of Cocoa Beach           Brevard County"/>
    <s v="City of Cocoa Beach"/>
    <m/>
    <m/>
    <m/>
    <n v="0"/>
    <n v="1"/>
    <n v="2.3776185677697099"/>
    <n v="0.31629332570243002"/>
    <n v="928.731243126400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9.96581317974699"/>
    <n v="930.81183119779803"/>
    <n v="0.75322890760000005"/>
  </r>
  <r>
    <n v="830000"/>
    <n v="2400000"/>
    <n v="2400000"/>
    <x v="0"/>
    <x v="0"/>
    <s v="BR3-5, BR-7"/>
    <s v="62-304.520 (10), F.A.C."/>
    <n v="0.59"/>
    <n v="0.64"/>
    <s v="FDOT District 5"/>
    <n v="0.12883441316069"/>
    <n v="3768.4617706860499"/>
    <n v="10.3370849493979"/>
    <n v="1.37513687899089"/>
    <n v="1.3317722732478801"/>
    <n v="0.17716495282041"/>
    <n v="485.50756074483297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3317722732478801"/>
    <n v="0.17716495282041"/>
    <n v="571.816319365393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0.671774524795"/>
    <n v="521.37437232547495"/>
    <n v="0.46376019410000002"/>
  </r>
  <r>
    <n v="830000"/>
    <n v="2400000"/>
    <n v="2400000"/>
    <x v="0"/>
    <x v="0"/>
    <s v="BR3-5, BR-7"/>
    <s v="62-304.520 (10), F.A.C."/>
    <n v="0.59"/>
    <n v="0.64"/>
    <s v="City of Cocoa Beach"/>
    <n v="1.156009120577E-2"/>
    <n v="3768.4617706860499"/>
    <n v="10.3370849493979"/>
    <n v="1.37513687899089"/>
    <n v="0.11949764481686"/>
    <n v="1.5896707741550001E-2"/>
    <n v="43.563761774599598"/>
    <n v="1410"/>
    <s v="Retail Sales and Services"/>
    <n v="1410"/>
    <s v="City of Cocoa Beach           Brevard County"/>
    <s v="City of Cocoa Beach"/>
    <m/>
    <m/>
    <m/>
    <n v="0"/>
    <n v="1"/>
    <n v="0.11949764481686"/>
    <n v="1.5896707741550001E-2"/>
    <n v="43.5637617745995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6.571054058637202"/>
    <n v="46.782029339612201"/>
    <n v="3.5331518100000001E-2"/>
  </r>
  <r>
    <n v="830000"/>
    <n v="2400000"/>
    <n v="2400000"/>
    <x v="0"/>
    <x v="0"/>
    <s v="BR3-5, BR-7"/>
    <s v="62-304.520 (10), F.A.C."/>
    <n v="0.59"/>
    <n v="0.64"/>
    <s v="City of Cocoa Beach"/>
    <n v="7.6315350102899998E-3"/>
    <n v="3768.4617706860499"/>
    <n v="10.3370849493979"/>
    <n v="1.37513687899089"/>
    <n v="7.888782569569E-2"/>
    <n v="1.049440523596E-2"/>
    <n v="28.759147937937598"/>
    <n v="1410"/>
    <s v="Retail Sales and Services"/>
    <n v="1410"/>
    <s v="City of Cocoa Beach           Brevard County"/>
    <s v="City of Cocoa Beach"/>
    <m/>
    <m/>
    <m/>
    <n v="0"/>
    <n v="1"/>
    <n v="7.888782569569E-2"/>
    <n v="1.049440523596E-2"/>
    <n v="28.7591479379385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4.2902092102361"/>
    <n v="30.883726469171599"/>
    <n v="2.3324531999999999E-2"/>
  </r>
  <r>
    <n v="830000"/>
    <n v="2400000"/>
    <n v="2400000"/>
    <x v="0"/>
    <x v="0"/>
    <s v="BR3-5, BR-7"/>
    <s v="62-304.520 (10), F.A.C."/>
    <n v="0.59"/>
    <n v="0.64"/>
    <s v="City of Cocoa Beach"/>
    <n v="8.3003473957100008E-3"/>
    <n v="3768.4617706860499"/>
    <n v="10.3370849493979"/>
    <n v="1.37513687899089"/>
    <n v="8.5801396138979996E-2"/>
    <n v="1.141411381228E-2"/>
    <n v="31.279541844154199"/>
    <n v="1410"/>
    <s v="Retail Sales and Services"/>
    <n v="1410"/>
    <s v="City of Cocoa Beach           Brevard County"/>
    <s v="City of Cocoa Beach"/>
    <m/>
    <m/>
    <m/>
    <n v="0"/>
    <n v="1"/>
    <n v="8.5801396138979996E-2"/>
    <n v="1.141411381228E-2"/>
    <n v="31.2795418441538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6.5881811112741"/>
    <n v="33.590314166487801"/>
    <n v="2.5368647099999999E-2"/>
  </r>
  <r>
    <n v="830000"/>
    <n v="2400000"/>
    <n v="2400000"/>
    <x v="0"/>
    <x v="0"/>
    <s v="BR3-5, BR-7"/>
    <s v="62-304.520 (10), F.A.C."/>
    <n v="0.59"/>
    <n v="0.64"/>
    <s v="City of Cocoa Beach"/>
    <n v="0.12894348107831999"/>
    <n v="3786.0833759532502"/>
    <n v="11.6314418889924"/>
    <n v="1.5356567060494699"/>
    <n v="1.4997986071268801"/>
    <n v="0.19801292141928001"/>
    <n v="488.19077014816997"/>
    <n v="1400"/>
    <s v="Commercial and Services"/>
    <n v="1400"/>
    <s v="City of Cocoa Beach           Brevard County"/>
    <s v="City of Cocoa Beach"/>
    <m/>
    <m/>
    <m/>
    <n v="0"/>
    <n v="1"/>
    <n v="1.4997986071268801"/>
    <n v="0.19801292141928001"/>
    <n v="710.913444541006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9.776803752164"/>
    <n v="521.81575452841003"/>
    <n v="0.57657213669999996"/>
  </r>
  <r>
    <n v="830000"/>
    <n v="2400000"/>
    <n v="2400000"/>
    <x v="0"/>
    <x v="0"/>
    <s v="BR3-5, BR-7"/>
    <s v="62-304.520 (10), F.A.C."/>
    <n v="0.59"/>
    <n v="0.64"/>
    <s v="City of Cocoa Beach"/>
    <n v="5.5890483730260003E-2"/>
    <n v="3786.0833759532502"/>
    <n v="11.6314418889924"/>
    <n v="1.5356567060494699"/>
    <n v="0.65008691365624005"/>
    <n v="8.5828596144720007E-2"/>
    <n v="211.60603132513799"/>
    <n v="1410"/>
    <s v="Retail Sales and Services"/>
    <n v="1410"/>
    <s v="City of Cocoa Beach           Brevard County"/>
    <s v="City of Cocoa Beach"/>
    <m/>
    <m/>
    <m/>
    <n v="0"/>
    <n v="1"/>
    <n v="0.65008691365624005"/>
    <n v="8.5828596144720007E-2"/>
    <n v="211.606031325137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9.048376731982"/>
    <n v="226.180763034861"/>
    <n v="0.17161884129999999"/>
  </r>
  <r>
    <n v="830000"/>
    <n v="2400000"/>
    <n v="2400000"/>
    <x v="0"/>
    <x v="0"/>
    <s v="BR3-5, BR-7"/>
    <s v="62-304.520 (10), F.A.C."/>
    <n v="0.59"/>
    <n v="0.64"/>
    <s v="City of Cocoa Beach"/>
    <n v="7.6519889569969995E-2"/>
    <n v="3786.0833759532502"/>
    <n v="11.6314418889924"/>
    <n v="1.5356567060494699"/>
    <n v="0.89003664888524003"/>
    <n v="0.11750828156429"/>
    <n v="289.710681830645"/>
    <n v="1410"/>
    <s v="Retail Sales and Services"/>
    <n v="1410"/>
    <s v="City of Cocoa Beach           Brevard County"/>
    <s v="City of Cocoa Beach"/>
    <m/>
    <m/>
    <m/>
    <n v="0"/>
    <n v="1"/>
    <n v="0.89003664888524003"/>
    <n v="0.11750828156429"/>
    <n v="1416.38446642454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59.998812047277"/>
    <n v="309.66500654757499"/>
    <n v="1.1487303053"/>
  </r>
  <r>
    <n v="830000"/>
    <n v="2400000"/>
    <n v="2400000"/>
    <x v="0"/>
    <x v="0"/>
    <s v="BR3-5, BR-7"/>
    <s v="62-304.520 (10), F.A.C."/>
    <n v="0.59"/>
    <n v="0.64"/>
    <s v="Brevard County"/>
    <n v="5.3877486739299998E-3"/>
    <n v="2113.86734517066"/>
    <n v="6.0921352447092101"/>
    <n v="0.82827939852930998"/>
    <n v="3.2822893586100001E-2"/>
    <n v="4.4625612310700002E-3"/>
    <n v="11.3889859858156"/>
    <n v="1400"/>
    <s v="Commercial and Services"/>
    <n v="1400"/>
    <s v="Brevard County"/>
    <s v="Brevard County"/>
    <m/>
    <m/>
    <m/>
    <n v="0"/>
    <n v="1"/>
    <n v="3.2822893586100001E-2"/>
    <n v="4.4625612310700002E-3"/>
    <n v="62.2675730952930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4.005342573250999"/>
    <n v="21.8034453233875"/>
    <n v="5.05008703E-2"/>
  </r>
  <r>
    <n v="830000"/>
    <n v="2400000"/>
    <n v="2400000"/>
    <x v="0"/>
    <x v="0"/>
    <s v="BR3-5, BR-7"/>
    <s v="62-304.520 (10), F.A.C."/>
    <n v="0.59"/>
    <n v="0.64"/>
    <s v="City of Cocoa Beach"/>
    <n v="0.12898689005446001"/>
    <n v="2113.86734517066"/>
    <n v="6.0921352447092101"/>
    <n v="0.82827939852930998"/>
    <n v="0.78580557900624004"/>
    <n v="0.10683718371247"/>
    <n v="272.66117484125402"/>
    <n v="1400"/>
    <s v="Commercial and Services"/>
    <n v="1400"/>
    <s v="City of Cocoa Beach           Brevard County"/>
    <s v="City of Cocoa Beach"/>
    <m/>
    <m/>
    <m/>
    <n v="0"/>
    <n v="1"/>
    <n v="0.78580557900624004"/>
    <n v="0.10683718371247"/>
    <n v="435.475469083638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0.87714908717901"/>
    <n v="521.991424422318"/>
    <n v="0.35318367319999999"/>
  </r>
  <r>
    <n v="830000"/>
    <n v="2400000"/>
    <n v="2400000"/>
    <x v="0"/>
    <x v="0"/>
    <s v="BR3-5, BR-7"/>
    <s v="62-304.520 (10), F.A.C."/>
    <n v="0.59"/>
    <n v="0.64"/>
    <s v="City of Cocoa Beach"/>
    <n v="0.18779277630026001"/>
    <n v="3791.3594703649601"/>
    <n v="11.529216237945301"/>
    <n v="1.5233333619945499"/>
    <n v="2.1651035258898599"/>
    <n v="0.28607100127976998"/>
    <n v="711.98992089214698"/>
    <n v="1400"/>
    <s v="Commercial and Services"/>
    <n v="1400"/>
    <s v="City of Cocoa Beach           Brevard County"/>
    <s v="City of Cocoa Beach"/>
    <m/>
    <m/>
    <m/>
    <n v="0"/>
    <n v="1"/>
    <n v="2.1651035258898599"/>
    <n v="0.28607100127976998"/>
    <n v="711.989920892146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0.40115717984099"/>
    <n v="759.97040285106095"/>
    <n v="0.57744519130000005"/>
  </r>
  <r>
    <n v="830000"/>
    <n v="2400000"/>
    <n v="2400000"/>
    <x v="0"/>
    <x v="0"/>
    <s v="BR3-5, BR-7"/>
    <s v="62-304.520 (10), F.A.C."/>
    <n v="0.59"/>
    <n v="0.64"/>
    <s v="City of Cocoa Beach"/>
    <n v="1.6225213101919999E-2"/>
    <n v="3791.3594703649601"/>
    <n v="11.529216237945301"/>
    <n v="1.5233333619945499"/>
    <n v="0.18706399035881999"/>
    <n v="2.4716408423630001E-2"/>
    <n v="61.5156153526693"/>
    <n v="1410"/>
    <s v="Retail Sales and Services"/>
    <n v="1410"/>
    <s v="City of Cocoa Beach           Brevard County"/>
    <s v="City of Cocoa Beach"/>
    <m/>
    <m/>
    <m/>
    <n v="0"/>
    <n v="1"/>
    <n v="0.18706399035881999"/>
    <n v="2.4716408423630001E-2"/>
    <n v="61.5156153526684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7.186874854959001"/>
    <n v="65.661107846328804"/>
    <n v="4.989101E-2"/>
  </r>
  <r>
    <n v="830000"/>
    <n v="2400000"/>
    <n v="2400000"/>
    <x v="0"/>
    <x v="0"/>
    <s v="BR3-5, BR-7"/>
    <s v="62-304.520 (10), F.A.C."/>
    <n v="0.59"/>
    <n v="0.64"/>
    <s v="City of Cocoa Beach"/>
    <n v="2.1959601996280002E-2"/>
    <n v="3791.3594703649601"/>
    <n v="11.529216237945301"/>
    <n v="1.5233333619945499"/>
    <n v="0.25317699991442"/>
    <n v="3.3451794337059998E-2"/>
    <n v="83.256744994071894"/>
    <n v="1430"/>
    <s v="Professional Services"/>
    <n v="1430"/>
    <s v="City of Cocoa Beach           Brevard County"/>
    <s v="City of Cocoa Beach"/>
    <m/>
    <m/>
    <m/>
    <n v="0"/>
    <n v="1"/>
    <n v="0.25317699991442"/>
    <n v="3.3451794337059998E-2"/>
    <n v="83.25674499407230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6.355315531589198"/>
    <n v="88.867356372026293"/>
    <n v="6.7523718600000004E-2"/>
  </r>
  <r>
    <n v="830000"/>
    <n v="2400000"/>
    <n v="2400000"/>
    <x v="0"/>
    <x v="0"/>
    <s v="BR3-5, BR-7"/>
    <s v="62-304.520 (10), F.A.C."/>
    <n v="0.59"/>
    <n v="0.64"/>
    <s v="City of Cocoa Beach"/>
    <n v="0.36989795870228998"/>
    <n v="3791.3594703649601"/>
    <n v="11.529216237945301"/>
    <n v="1.5233333619945499"/>
    <n v="4.2646335518533096"/>
    <n v="0.56347790102488005"/>
    <n v="1402.4161287946099"/>
    <n v="1410"/>
    <s v="Retail Sales and Services"/>
    <n v="1410"/>
    <s v="City of Cocoa Beach           Brevard County"/>
    <s v="City of Cocoa Beach"/>
    <m/>
    <m/>
    <m/>
    <n v="0"/>
    <n v="1"/>
    <n v="4.2646335518533096"/>
    <n v="0.56347790102488005"/>
    <n v="1402.41612879460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59.87811541676299"/>
    <n v="1496.9239298070199"/>
    <n v="1.1374015642999999"/>
  </r>
  <r>
    <n v="830000"/>
    <n v="2400000"/>
    <n v="2400000"/>
    <x v="0"/>
    <x v="0"/>
    <s v="BR3-5, BR-7"/>
    <s v="62-304.520 (10), F.A.C."/>
    <n v="0.59"/>
    <n v="0.64"/>
    <s v="City of Cocoa Beach"/>
    <n v="2.1887903659190001E-2"/>
    <n v="3791.3594703649601"/>
    <n v="11.529216237945301"/>
    <n v="1.5233333619945499"/>
    <n v="0.25235037428217"/>
    <n v="3.3342573868170002E-2"/>
    <n v="82.984910824725006"/>
    <n v="1410"/>
    <s v="Retail Sales and Services"/>
    <n v="1410"/>
    <s v="City of Cocoa Beach           Brevard County"/>
    <s v="City of Cocoa Beach"/>
    <m/>
    <m/>
    <m/>
    <n v="0"/>
    <n v="1"/>
    <n v="0.25235037428217"/>
    <n v="3.3342573868170002E-2"/>
    <n v="82.984910824723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5.580671432240102"/>
    <n v="88.577203496084095"/>
    <n v="6.7303252899999999E-2"/>
  </r>
  <r>
    <n v="830000"/>
    <n v="2400000"/>
    <n v="2400000"/>
    <x v="0"/>
    <x v="0"/>
    <s v="BR3-5, BR-7"/>
    <s v="62-304.520 (10), F.A.C."/>
    <n v="0.59"/>
    <n v="0.64"/>
    <s v="City of Cocoa Beach"/>
    <n v="0.30787420986241998"/>
    <n v="3786.0833758122099"/>
    <n v="11.631441888559101"/>
    <n v="1.5356567059922701"/>
    <n v="3.5810209810008402"/>
    <n v="0.47278909497729998"/>
    <n v="1165.63742780143"/>
    <n v="1410"/>
    <s v="Retail Sales and Services"/>
    <n v="1410"/>
    <s v="City of Cocoa Beach           Brevard County"/>
    <s v="City of Cocoa Beach"/>
    <m/>
    <m/>
    <m/>
    <n v="0"/>
    <n v="1"/>
    <n v="3.5810209810008402"/>
    <n v="0.47278909497729998"/>
    <n v="2217.79318878943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8.777958730981"/>
    <n v="1245.9227234730599"/>
    <n v="1.7986968279"/>
  </r>
  <r>
    <n v="830000"/>
    <n v="2400000"/>
    <n v="2400000"/>
    <x v="0"/>
    <x v="0"/>
    <s v="BR3-5, BR-7"/>
    <s v="62-304.520 (10), F.A.C."/>
    <n v="0.59"/>
    <n v="0.64"/>
    <s v="City of Cocoa Beach"/>
    <n v="0.16471315378779"/>
    <n v="3765.1812024666001"/>
    <n v="12.010351837924301"/>
    <n v="1.58129350221481"/>
    <n v="1.9782629293254901"/>
    <n v="0.26045983981394"/>
    <n v="620.17487044077802"/>
    <n v="1400"/>
    <s v="Commercial and Services"/>
    <n v="1400"/>
    <s v="City of Cocoa Beach           Brevard County"/>
    <s v="City of Cocoa Beach"/>
    <m/>
    <m/>
    <m/>
    <n v="0"/>
    <n v="1"/>
    <n v="1.9782629293254901"/>
    <n v="0.26045983981394"/>
    <n v="762.184329321495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9.840030609461"/>
    <n v="666.57048425987603"/>
    <n v="0.61815436280000002"/>
  </r>
  <r>
    <n v="830000"/>
    <n v="2400000"/>
    <n v="2400000"/>
    <x v="0"/>
    <x v="0"/>
    <s v="BR3-5, BR-7"/>
    <s v="62-304.520 (10), F.A.C."/>
    <n v="0.59"/>
    <n v="0.64"/>
    <s v="FDOT District 5"/>
    <n v="4.3687798337030001E-2"/>
    <n v="3765.1812024666001"/>
    <n v="12.010351837924301"/>
    <n v="1.58129350221481"/>
    <n v="0.52470582905202001"/>
    <n v="6.9083231636410003E-2"/>
    <n v="164.492477075740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2470582905202001"/>
    <n v="6.9083231636410003E-2"/>
    <n v="198.488741841670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9.738734646329405"/>
    <n v="176.79824728072899"/>
    <n v="0.1609803259"/>
  </r>
  <r>
    <n v="830000"/>
    <n v="2400000"/>
    <n v="2400000"/>
    <x v="0"/>
    <x v="0"/>
    <s v="BR3-5, BR-7"/>
    <s v="62-304.520 (10), F.A.C."/>
    <n v="0.59"/>
    <n v="0.64"/>
    <s v="City of Cocoa Beach"/>
    <n v="0.25537950382703001"/>
    <n v="3765.1868089002901"/>
    <n v="12.0103697215861"/>
    <n v="1.58129585679351"/>
    <n v="3.0672022602779099"/>
    <n v="0.40383055131167001"/>
    <n v="961.55153907305805"/>
    <n v="1400"/>
    <s v="Commercial and Services"/>
    <n v="1400"/>
    <s v="City of Cocoa Beach           Brevard County"/>
    <s v="City of Cocoa Beach"/>
    <m/>
    <m/>
    <m/>
    <n v="0"/>
    <n v="1"/>
    <n v="3.0672022602779099"/>
    <n v="0.40383055131167001"/>
    <n v="961.551539073058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78.217294816042"/>
    <n v="1033.48418521176"/>
    <n v="0.77984715250000003"/>
  </r>
  <r>
    <n v="830000"/>
    <n v="2400000"/>
    <n v="2400000"/>
    <x v="0"/>
    <x v="0"/>
    <s v="BR3-5, BR-7"/>
    <s v="62-304.520 (10), F.A.C."/>
    <n v="0.59"/>
    <n v="0.64"/>
    <s v="FDOT District 5"/>
    <n v="3.0740140353090001E-2"/>
    <n v="3765.1868089002901"/>
    <n v="12.0103697215861"/>
    <n v="1.58129585679351"/>
    <n v="0.36920045093412002"/>
    <n v="4.8609256577599999E-2"/>
    <n v="115.74237096121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6920045093412002"/>
    <n v="4.8609256577599999E-2"/>
    <n v="115.74237096121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5.113961192305396"/>
    <n v="124.400934413399"/>
    <n v="9.3870536099999999E-2"/>
  </r>
  <r>
    <n v="830000"/>
    <n v="2400000"/>
    <n v="2400000"/>
    <x v="0"/>
    <x v="0"/>
    <s v="BR3-5, BR-7"/>
    <s v="62-304.520 (10), F.A.C."/>
    <n v="0.59"/>
    <n v="0.64"/>
    <s v="City of Cocoa Beach"/>
    <n v="1.9063690440139999E-2"/>
    <n v="3765.1868089002901"/>
    <n v="12.0103697215861"/>
    <n v="1.58129585679351"/>
    <n v="0.22896197044399"/>
    <n v="3.0145334708189999E-2"/>
    <n v="71.778355774188796"/>
    <n v="1410"/>
    <s v="Retail Sales and Services"/>
    <n v="1410"/>
    <s v="City of Cocoa Beach           Brevard County"/>
    <s v="City of Cocoa Beach"/>
    <m/>
    <m/>
    <m/>
    <n v="0"/>
    <n v="1"/>
    <n v="0.22896197044399"/>
    <n v="3.0145334708189999E-2"/>
    <n v="101.431147506277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7.121080726075498"/>
    <n v="77.148018092344103"/>
    <n v="8.2263704399999998E-2"/>
  </r>
  <r>
    <n v="830000"/>
    <n v="2400000"/>
    <n v="2400000"/>
    <x v="0"/>
    <x v="0"/>
    <s v="BR3-5, BR-7"/>
    <s v="62-304.520 (10), F.A.C."/>
    <n v="0.59"/>
    <n v="0.64"/>
    <s v="City of Cocoa Beach"/>
    <n v="3.9283866897369998E-2"/>
    <n v="3765.1868089002901"/>
    <n v="12.0103697215861"/>
    <n v="1.58129585679351"/>
    <n v="0.47181376553108001"/>
    <n v="6.2119415963649997E-2"/>
    <n v="147.91109744460201"/>
    <n v="1410"/>
    <s v="Retail Sales and Services"/>
    <n v="1410"/>
    <s v="City of Cocoa Beach           Brevard County"/>
    <s v="City of Cocoa Beach"/>
    <m/>
    <m/>
    <m/>
    <n v="0"/>
    <n v="1"/>
    <n v="0.47181376553108001"/>
    <n v="6.2119415963649997E-2"/>
    <n v="171.294679303798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57.224810097706403"/>
    <n v="158.976169050359"/>
    <n v="0.13892512509999999"/>
  </r>
  <r>
    <n v="830000"/>
    <n v="2400000"/>
    <n v="2400000"/>
    <x v="0"/>
    <x v="0"/>
    <s v="BR3-5, BR-7"/>
    <s v="62-304.520 (10), F.A.C."/>
    <n v="0.59"/>
    <n v="0.64"/>
    <s v="City of Cocoa Beach"/>
    <n v="0.14605396034814999"/>
    <n v="3765.1868089002901"/>
    <n v="12.0103697215861"/>
    <n v="1.58129585679351"/>
    <n v="1.75416206308324"/>
    <n v="0.23095452236681999"/>
    <n v="549.92044489052705"/>
    <n v="1410"/>
    <s v="Retail Sales and Services"/>
    <n v="1410"/>
    <s v="City of Cocoa Beach           Brevard County"/>
    <s v="City of Cocoa Beach"/>
    <m/>
    <m/>
    <m/>
    <n v="0"/>
    <n v="1"/>
    <n v="1.75416206308324"/>
    <n v="0.23095452236681999"/>
    <n v="558.807364372706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6.156309360683395"/>
    <n v="591.05940745189503"/>
    <n v="0.45320954130000002"/>
  </r>
  <r>
    <n v="830000"/>
    <n v="2400000"/>
    <n v="2400000"/>
    <x v="0"/>
    <x v="0"/>
    <s v="BR3-5, BR-7"/>
    <s v="62-304.520 (10), F.A.C."/>
    <n v="0.59"/>
    <n v="0.64"/>
    <s v="City of Cocoa Beach"/>
    <n v="0.10324658474369"/>
    <n v="3765.1868089002901"/>
    <n v="12.0103697215861"/>
    <n v="1.58129585679351"/>
    <n v="1.2400296552628201"/>
    <n v="0.16326339668327999"/>
    <n v="388.74267894095902"/>
    <n v="1410"/>
    <s v="Retail Sales and Services"/>
    <n v="1410"/>
    <s v="City of Cocoa Beach           Brevard County"/>
    <s v="City of Cocoa Beach"/>
    <m/>
    <m/>
    <m/>
    <n v="0"/>
    <n v="1"/>
    <n v="1.2400296552628201"/>
    <n v="0.16326339668327999"/>
    <n v="388.742678940959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5.512082324307102"/>
    <n v="417.82410456087803"/>
    <n v="0.31528197810000003"/>
  </r>
  <r>
    <n v="830000"/>
    <n v="2400000"/>
    <n v="2400000"/>
    <x v="0"/>
    <x v="0"/>
    <s v="BR3-5, BR-7"/>
    <s v="62-304.520 (10), F.A.C."/>
    <n v="0.59"/>
    <n v="0.64"/>
    <s v="FDOT District 5"/>
    <n v="4.3666696942999998E-4"/>
    <n v="3765.1868089002901"/>
    <n v="12.0103697215861"/>
    <n v="1.58129585679351"/>
    <n v="5.2445317480499997E-3"/>
    <n v="6.9049966954999999E-4"/>
    <n v="1.6441327131803001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5.2445317480499997E-3"/>
    <n v="6.9049966954999999E-4"/>
    <n v="1.64413271317947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.1877476684977"/>
    <n v="1.76712852968685"/>
    <n v="1.3334410000000001E-3"/>
  </r>
  <r>
    <n v="830000"/>
    <n v="2400000"/>
    <n v="2400000"/>
    <x v="0"/>
    <x v="0"/>
    <s v="BR3-5, BR-7"/>
    <s v="62-304.520 (10), F.A.C."/>
    <n v="0.59"/>
    <n v="0.64"/>
    <s v="City of Cocoa Beach"/>
    <n v="1.47205701641E-3"/>
    <n v="3765.1868089002901"/>
    <n v="12.0103697215861"/>
    <n v="1.58129585679351"/>
    <n v="1.7679949018390002E-2"/>
    <n v="2.3277576610200002E-3"/>
    <n v="5.5425696601548804"/>
    <n v="1410"/>
    <s v="Retail Sales and Services"/>
    <n v="1410"/>
    <s v="City of Cocoa Beach           Brevard County"/>
    <s v="City of Cocoa Beach"/>
    <m/>
    <m/>
    <m/>
    <n v="0"/>
    <n v="1"/>
    <n v="1.7679949018390002E-2"/>
    <n v="2.3277576610200002E-3"/>
    <n v="5.54256966015509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6.773396799089198"/>
    <n v="5.9572033910182496"/>
    <n v="4.4951903000000001E-3"/>
  </r>
  <r>
    <n v="830000"/>
    <n v="2400000"/>
    <n v="2400000"/>
    <x v="0"/>
    <x v="0"/>
    <s v="BR3-5, BR-7"/>
    <s v="62-304.520 (10), F.A.C."/>
    <n v="0.59"/>
    <n v="0.64"/>
    <s v="City of Cocoa Beach"/>
    <n v="1.11142052637E-3"/>
    <n v="3765.1868089002901"/>
    <n v="12.0103697215861"/>
    <n v="1.58129585679351"/>
    <n v="1.334857143793E-2"/>
    <n v="1.7574846735100001E-3"/>
    <n v="4.1847059050519304"/>
    <n v="1410"/>
    <s v="Retail Sales and Services"/>
    <n v="1410"/>
    <s v="City of Cocoa Beach           Brevard County"/>
    <s v="City of Cocoa Beach"/>
    <m/>
    <m/>
    <m/>
    <n v="0"/>
    <n v="1"/>
    <n v="1.334857143793E-2"/>
    <n v="1.7574846735100001E-3"/>
    <n v="4.18470590505064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6.389783579725801"/>
    <n v="4.4977592951505097"/>
    <n v="3.3939221000000002E-3"/>
  </r>
  <r>
    <n v="830000"/>
    <n v="2400000"/>
    <n v="2400000"/>
    <x v="0"/>
    <x v="0"/>
    <s v="BR3-5, BR-7"/>
    <s v="62-304.520 (10), F.A.C."/>
    <n v="0.59"/>
    <n v="0.64"/>
    <s v="City of Cocoa Beach"/>
    <n v="3.3541560432599998E-3"/>
    <n v="3765.1868089002901"/>
    <n v="12.0103697215861"/>
    <n v="1.58129585679351"/>
    <n v="4.0284654183440002E-2"/>
    <n v="5.30391305424E-3"/>
    <n v="12.629024089075701"/>
    <n v="1410"/>
    <s v="Retail Sales and Services"/>
    <n v="1410"/>
    <s v="City of Cocoa Beach           Brevard County"/>
    <s v="City of Cocoa Beach"/>
    <m/>
    <m/>
    <m/>
    <n v="0"/>
    <n v="1"/>
    <n v="4.0284654183440002E-2"/>
    <n v="5.30391305424E-3"/>
    <n v="12.629024089075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8.098706741935501"/>
    <n v="13.5737879253983"/>
    <n v="1.0242517499999999E-2"/>
  </r>
  <r>
    <n v="830000"/>
    <n v="2400000"/>
    <n v="2400000"/>
    <x v="0"/>
    <x v="0"/>
    <s v="BR3-5, BR-7"/>
    <s v="62-304.520 (10), F.A.C."/>
    <n v="0.59"/>
    <n v="0.64"/>
    <s v="City of Cocoa Beach"/>
    <n v="1.1612883515399999E-3"/>
    <n v="3765.1868089002901"/>
    <n v="12.0103697215861"/>
    <n v="1.58129585679351"/>
    <n v="1.394750245536E-2"/>
    <n v="1.8363404588299999E-3"/>
    <n v="4.3724675825479702"/>
    <n v="1410"/>
    <s v="Retail Sales and Services"/>
    <n v="1410"/>
    <s v="City of Cocoa Beach           Brevard County"/>
    <s v="City of Cocoa Beach"/>
    <m/>
    <m/>
    <m/>
    <n v="0"/>
    <n v="1"/>
    <n v="1.394750245536E-2"/>
    <n v="1.8363404588299999E-3"/>
    <n v="4.37246758254677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2.668565949600698"/>
    <n v="4.6995672236866701"/>
    <n v="3.5462024000000002E-3"/>
  </r>
  <r>
    <n v="830000"/>
    <n v="2400000"/>
    <n v="2400000"/>
    <x v="0"/>
    <x v="0"/>
    <s v="BR3-5, BR-7"/>
    <s v="62-304.520 (10), F.A.C."/>
    <n v="0.59"/>
    <n v="0.64"/>
    <s v="FDOT District 5"/>
    <n v="1.384444535E-5"/>
    <n v="3765.1868089002901"/>
    <n v="12.0103697215861"/>
    <n v="1.58129585679351"/>
    <n v="1.6627690734999999E-4"/>
    <n v="2.189216408E-5"/>
    <n v="5.2126923042240002E-2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6627690734999999E-4"/>
    <n v="2.189216408E-5"/>
    <n v="5.212692304127E-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.5349530406212"/>
    <n v="5.602648261458E-2"/>
    <n v="4.2276500000000001E-5"/>
  </r>
  <r>
    <n v="830000"/>
    <n v="2400000"/>
    <n v="2400000"/>
    <x v="0"/>
    <x v="0"/>
    <s v="BR3-5, BR-7"/>
    <s v="62-304.520 (10), F.A.C."/>
    <n v="0.59"/>
    <n v="0.64"/>
    <s v="City of Cocoa Beach"/>
    <n v="8.283670688E-5"/>
    <n v="3780.3155087872801"/>
    <n v="11.514863752608701"/>
    <n v="1.60743760803818"/>
    <n v="9.5385339347000002E-4"/>
    <n v="1.3315483797E-4"/>
    <n v="0.31314888772666999"/>
    <n v="1400"/>
    <s v="Commercial and Services"/>
    <n v="1400"/>
    <s v="City of Cocoa Beach           Brevard County"/>
    <s v="City of Cocoa Beach"/>
    <m/>
    <m/>
    <m/>
    <n v="0"/>
    <n v="1"/>
    <n v="9.5385339347000002E-4"/>
    <n v="1.3315483797E-4"/>
    <n v="466.056317077409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6.183500830533099"/>
    <n v="0.33522825926038002"/>
    <n v="0.3779856586"/>
  </r>
  <r>
    <n v="830000"/>
    <n v="2400000"/>
    <n v="2400000"/>
    <x v="0"/>
    <x v="0"/>
    <s v="BR3-5, BR-7"/>
    <s v="62-304.520 (10), F.A.C."/>
    <n v="0.59"/>
    <n v="0.64"/>
    <s v="FDOT District 5"/>
    <n v="7.8454496079360003E-2"/>
    <n v="3780.3155087872801"/>
    <n v="11.514863752608701"/>
    <n v="1.60743760803818"/>
    <n v="0.90339283313343"/>
    <n v="0.12611070751764999"/>
    <n v="296.582748262903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90339283313343"/>
    <n v="0.12611070751764999"/>
    <n v="879.3956919527580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7.509699424303605"/>
    <n v="317.49408132492198"/>
    <n v="0.71321629519999996"/>
  </r>
  <r>
    <n v="830000"/>
    <n v="2400000"/>
    <n v="2400000"/>
    <x v="0"/>
    <x v="0"/>
    <s v="BR3-5, BR-7"/>
    <s v="62-304.520 (10), F.A.C."/>
    <n v="0.59"/>
    <n v="0.64"/>
    <s v="City of Cocoa Beach"/>
    <n v="1.6893559137030001E-2"/>
    <n v="3780.3155087872801"/>
    <n v="11.514863752608701"/>
    <n v="1.60743760803818"/>
    <n v="0.19452703175957001"/>
    <n v="2.715534229048E-2"/>
    <n v="63.862983604340897"/>
    <n v="1410"/>
    <s v="Retail Sales and Services"/>
    <n v="1410"/>
    <s v="City of Cocoa Beach           Brevard County"/>
    <s v="City of Cocoa Beach"/>
    <m/>
    <m/>
    <m/>
    <n v="0"/>
    <n v="1"/>
    <n v="0.19452703175957001"/>
    <n v="2.715534229048E-2"/>
    <n v="422.9065935782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6.554324538282501"/>
    <n v="68.365808290896297"/>
    <n v="0.34298993799999999"/>
  </r>
  <r>
    <n v="830000"/>
    <n v="2400000"/>
    <n v="2400000"/>
    <x v="0"/>
    <x v="0"/>
    <s v="BR3-5, BR-7"/>
    <s v="62-304.520 (10), F.A.C."/>
    <n v="0.59"/>
    <n v="0.64"/>
    <s v="City of Cocoa Beach"/>
    <n v="5.1244872024650001E-2"/>
    <n v="3765.1868086197601"/>
    <n v="12.0103697206912"/>
    <n v="1.5812958566756901"/>
    <n v="0.61546985930564002"/>
    <n v="8.1033303808459994E-2"/>
    <n v="192.946516156646"/>
    <n v="1400"/>
    <s v="Commercial and Services"/>
    <n v="1400"/>
    <s v="City of Cocoa Beach           Brevard County"/>
    <s v="City of Cocoa Beach"/>
    <m/>
    <m/>
    <m/>
    <n v="0"/>
    <n v="1"/>
    <n v="0.61546985930564002"/>
    <n v="8.1033303808459994E-2"/>
    <n v="192.946516156646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9.097479994762"/>
    <n v="207.38063946804999"/>
    <n v="0.15648541460000001"/>
  </r>
  <r>
    <n v="830000"/>
    <n v="2400000"/>
    <n v="2400000"/>
    <x v="0"/>
    <x v="0"/>
    <s v="BR3-5, BR-7"/>
    <s v="62-304.520 (10), F.A.C."/>
    <n v="0.59"/>
    <n v="0.64"/>
    <s v="FDOT District 5"/>
    <n v="6.2295092144540001E-2"/>
    <n v="3765.1868086197601"/>
    <n v="12.0103697206912"/>
    <n v="1.5812958566756901"/>
    <n v="0.74818708844045001"/>
    <n v="9.8506971099389995E-2"/>
    <n v="234.552659184373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74818708844045001"/>
    <n v="9.8506971099389995E-2"/>
    <n v="234.55265918437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0.214066794057"/>
    <n v="252.09929372913001"/>
    <n v="0.1902292451"/>
  </r>
  <r>
    <n v="830000"/>
    <n v="2400000"/>
    <n v="2400000"/>
    <x v="0"/>
    <x v="0"/>
    <s v="BR3-5, BR-7"/>
    <s v="62-304.520 (10), F.A.C."/>
    <n v="0.59"/>
    <n v="0.64"/>
    <s v="City of Cocoa Beach"/>
    <n v="6.5373318144770001E-2"/>
    <n v="3765.1868086197601"/>
    <n v="12.0103697206912"/>
    <n v="1.5812958566756901"/>
    <n v="0.78515772078709001"/>
    <n v="0.10337455711947"/>
    <n v="246.14275511440201"/>
    <n v="1410"/>
    <s v="Retail Sales and Services"/>
    <n v="1410"/>
    <s v="City of Cocoa Beach           Brevard County"/>
    <s v="City of Cocoa Beach"/>
    <m/>
    <m/>
    <m/>
    <n v="0"/>
    <n v="1"/>
    <n v="0.78515772078709001"/>
    <n v="0.10337455711947"/>
    <n v="246.142755114401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4.804430500752702"/>
    <n v="264.556432387771"/>
    <n v="0.1996291607"/>
  </r>
  <r>
    <n v="830000"/>
    <n v="2400000"/>
    <n v="2400000"/>
    <x v="0"/>
    <x v="0"/>
    <s v="BR3-5, BR-7"/>
    <s v="62-304.520 (10), F.A.C."/>
    <n v="0.59"/>
    <n v="0.64"/>
    <s v="City of Cocoa Beach"/>
    <n v="6.5663841072800003E-2"/>
    <n v="3765.1868086197601"/>
    <n v="12.0103697206912"/>
    <n v="1.5812958566756901"/>
    <n v="0.78864700856512004"/>
    <n v="0.10383395982184"/>
    <n v="247.23662821063701"/>
    <n v="1410"/>
    <s v="Retail Sales and Services"/>
    <n v="1410"/>
    <s v="City of Cocoa Beach           Brevard County"/>
    <s v="City of Cocoa Beach"/>
    <m/>
    <m/>
    <m/>
    <n v="0"/>
    <n v="1"/>
    <n v="0.78864700856512004"/>
    <n v="0.10383395982184"/>
    <n v="247.236628210636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5.1127168680041"/>
    <n v="265.73213696494003"/>
    <n v="0.20051632459999999"/>
  </r>
  <r>
    <n v="830000"/>
    <n v="2400000"/>
    <n v="2400000"/>
    <x v="0"/>
    <x v="0"/>
    <s v="BR3-5, BR-7"/>
    <s v="62-304.520 (10), F.A.C."/>
    <n v="0.59"/>
    <n v="0.64"/>
    <s v="City of Cocoa Beach"/>
    <n v="0.11110720958181999"/>
    <n v="3765.1868086197601"/>
    <n v="12.0103697206912"/>
    <n v="1.5812958566756901"/>
    <n v="1.3344386657120599"/>
    <n v="0.17569337015854"/>
    <n v="418.33939986004299"/>
    <n v="1410"/>
    <s v="Retail Sales and Services"/>
    <n v="1410"/>
    <s v="City of Cocoa Beach           Brevard County"/>
    <s v="City of Cocoa Beach"/>
    <m/>
    <m/>
    <m/>
    <n v="0"/>
    <n v="1"/>
    <n v="1.3344386657120599"/>
    <n v="0.17569337015854"/>
    <n v="418.339399860042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5.181106172038596"/>
    <n v="449.634924671156"/>
    <n v="0.33928580689999999"/>
  </r>
  <r>
    <n v="830000"/>
    <n v="2400000"/>
    <n v="2400000"/>
    <x v="0"/>
    <x v="0"/>
    <s v="BR3-5, BR-7"/>
    <s v="62-304.520 (10), F.A.C."/>
    <n v="0.59"/>
    <n v="0.64"/>
    <s v="City of Cocoa Beach"/>
    <n v="0.14127490952362001"/>
    <n v="3765.1868086197601"/>
    <n v="12.0103697206912"/>
    <n v="1.5812958566756901"/>
    <n v="1.6967638956358999"/>
    <n v="0.22339742908193"/>
    <n v="531.92642572729198"/>
    <n v="1410"/>
    <s v="Retail Sales and Services"/>
    <n v="1410"/>
    <s v="City of Cocoa Beach           Brevard County"/>
    <s v="City of Cocoa Beach"/>
    <m/>
    <m/>
    <m/>
    <n v="0"/>
    <n v="1"/>
    <n v="1.6967638956358999"/>
    <n v="0.22339742908193"/>
    <n v="531.926425727291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2.997958231699"/>
    <n v="571.71927492964596"/>
    <n v="0.43140829339999998"/>
  </r>
  <r>
    <n v="830000"/>
    <n v="2400000"/>
    <n v="2400000"/>
    <x v="0"/>
    <x v="0"/>
    <s v="BR3-5, BR-7"/>
    <s v="62-304.520 (10), F.A.C."/>
    <n v="0.59"/>
    <n v="0.64"/>
    <s v="FDOT District 5"/>
    <n v="4.2032223802000003E-3"/>
    <n v="3765.1868086197601"/>
    <n v="12.0103697206912"/>
    <n v="1.5812958566756901"/>
    <n v="5.0482254804590003E-2"/>
    <n v="6.6465381345099999E-3"/>
    <n v="15.825917459658299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5.0482254804590003E-2"/>
    <n v="6.6465381345099999E-3"/>
    <n v="15.825917459656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1.600848195537395"/>
    <n v="17.009837484122599"/>
    <n v="1.2835294000000001E-2"/>
  </r>
  <r>
    <n v="830000"/>
    <n v="2400000"/>
    <n v="2400000"/>
    <x v="0"/>
    <x v="0"/>
    <s v="BR3-5, BR-7"/>
    <s v="62-304.520 (10), F.A.C."/>
    <n v="0.59"/>
    <n v="0.64"/>
    <s v="City of Cocoa Beach"/>
    <n v="0.11660098886452"/>
    <n v="3765.1868086197601"/>
    <n v="12.0103697206912"/>
    <n v="1.5812958566756901"/>
    <n v="1.4004209860611001"/>
    <n v="0.18438066057575001"/>
    <n v="439.024505144714"/>
    <n v="1410"/>
    <s v="Retail Sales and Services"/>
    <n v="1410"/>
    <s v="City of Cocoa Beach           Brevard County"/>
    <s v="City of Cocoa Beach"/>
    <m/>
    <m/>
    <m/>
    <n v="0"/>
    <n v="1"/>
    <n v="1.4004209860611001"/>
    <n v="0.18438066057575001"/>
    <n v="439.02450514471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0.86611585823699"/>
    <n v="471.86746064457799"/>
    <n v="0.35606204800000002"/>
  </r>
  <r>
    <n v="830000"/>
    <n v="2400000"/>
    <n v="2400000"/>
    <x v="0"/>
    <x v="0"/>
    <s v="BR3-5, BR-7"/>
    <s v="62-304.520 (10), F.A.C."/>
    <n v="0.59"/>
    <n v="0.64"/>
    <s v="City of Cocoa Beach"/>
    <n v="5.8900526185590003E-2"/>
    <n v="3759.4889412406801"/>
    <n v="10.8134649684301"/>
    <n v="2.08319415777604"/>
    <n v="0.63691877653000994"/>
    <n v="0.12270123203975999"/>
    <n v="221.43587682799401"/>
    <n v="1300"/>
    <s v="Residential, High Density"/>
    <n v="1300"/>
    <s v="City of Cocoa Beach           Brevard County"/>
    <s v="City of Cocoa Beach"/>
    <m/>
    <m/>
    <m/>
    <n v="0"/>
    <n v="1"/>
    <n v="0.63691877653000994"/>
    <n v="0.12270123203975999"/>
    <n v="973.568326696635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7.842706484708202"/>
    <n v="238.36197267690599"/>
    <n v="0.78959312790000002"/>
  </r>
  <r>
    <n v="830000"/>
    <n v="2400000"/>
    <n v="2400000"/>
    <x v="0"/>
    <x v="0"/>
    <s v="BR3-5, BR-7"/>
    <s v="62-304.520 (10), F.A.C."/>
    <n v="0.59"/>
    <n v="0.64"/>
    <s v="City of Cocoa Beach"/>
    <n v="5.5295566339009998E-2"/>
    <n v="3773.6971398513801"/>
    <n v="11.1423697590581"/>
    <n v="1.8689494469478301"/>
    <n v="0.61612364618584003"/>
    <n v="0.10334461812796999"/>
    <n v="208.668720540007"/>
    <n v="1300"/>
    <s v="Residential, High Density"/>
    <n v="1300"/>
    <s v="City of Cocoa Beach           Brevard County"/>
    <s v="City of Cocoa Beach"/>
    <m/>
    <m/>
    <m/>
    <n v="0"/>
    <n v="1"/>
    <n v="0.61612364618584003"/>
    <n v="0.10334461812796999"/>
    <n v="379.45195103049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2.047189264419004"/>
    <n v="223.77321776929199"/>
    <n v="0.3077469189"/>
  </r>
  <r>
    <n v="830000"/>
    <n v="2400000"/>
    <n v="2400000"/>
    <x v="0"/>
    <x v="0"/>
    <s v="BR3-5, BR-7"/>
    <s v="62-304.520 (10), F.A.C."/>
    <n v="0.59"/>
    <n v="0.64"/>
    <s v="City of Cocoa Beach"/>
    <n v="4.6554334770199997E-2"/>
    <n v="3773.6971398513801"/>
    <n v="11.1423697590581"/>
    <n v="1.8689494469478301"/>
    <n v="0.51872561189660005"/>
    <n v="8.7007698221789997E-2"/>
    <n v="175.68195997000601"/>
    <n v="1400"/>
    <s v="Commercial and Services"/>
    <n v="1400"/>
    <s v="City of Cocoa Beach           Brevard County"/>
    <s v="City of Cocoa Beach"/>
    <m/>
    <m/>
    <m/>
    <n v="0"/>
    <n v="1"/>
    <n v="0.51872561189660005"/>
    <n v="8.7007698221789997E-2"/>
    <n v="326.331776636747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4.246796295267103"/>
    <n v="188.398708655365"/>
    <n v="0.26466486350000001"/>
  </r>
  <r>
    <n v="830000"/>
    <n v="2400000"/>
    <n v="2400000"/>
    <x v="0"/>
    <x v="0"/>
    <s v="BR3-5, BR-7"/>
    <s v="62-304.520 (10), F.A.C."/>
    <n v="0.59"/>
    <n v="0.64"/>
    <s v="City of Cocoa Beach"/>
    <n v="0.13467523223304001"/>
    <n v="3773.6971398513801"/>
    <n v="11.1423697590581"/>
    <n v="1.8689494469478301"/>
    <n v="1.5006012349276501"/>
    <n v="0.25170120079952002"/>
    <n v="508.22353868667398"/>
    <n v="1300"/>
    <s v="Residential, High Density"/>
    <n v="1300"/>
    <s v="City of Cocoa Beach           Brevard County"/>
    <s v="City of Cocoa Beach"/>
    <m/>
    <m/>
    <m/>
    <n v="0"/>
    <n v="1"/>
    <n v="1.5006012349276501"/>
    <n v="0.25170120079952002"/>
    <n v="1035.31137734934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5.421132577828"/>
    <n v="545.01132850051999"/>
    <n v="0.8396685948"/>
  </r>
  <r>
    <n v="830000"/>
    <n v="2400000"/>
    <n v="2400000"/>
    <x v="0"/>
    <x v="0"/>
    <s v="BR3-5, BR-7"/>
    <s v="62-304.520 (10), F.A.C."/>
    <n v="0.59"/>
    <n v="0.64"/>
    <s v="City of Cocoa Beach"/>
    <n v="2.3768310041099999E-3"/>
    <n v="2240.08209311362"/>
    <n v="6.4464406966650998"/>
    <n v="0.88509513281274999"/>
    <n v="1.532210011399E-2"/>
    <n v="2.1037215532499999E-3"/>
    <n v="5.3242965706663101"/>
    <n v="1400"/>
    <s v="Commercial and Services"/>
    <n v="1400"/>
    <s v="City of Cocoa Beach           Brevard County"/>
    <s v="City of Cocoa Beach"/>
    <m/>
    <m/>
    <m/>
    <n v="0"/>
    <n v="1"/>
    <n v="1.532210011399E-2"/>
    <n v="2.1037215532499999E-3"/>
    <n v="446.33649354198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.9543927826941"/>
    <n v="9.6186938139470399"/>
    <n v="0.36199228999999999"/>
  </r>
  <r>
    <n v="830000"/>
    <n v="2400000"/>
    <n v="2400000"/>
    <x v="0"/>
    <x v="0"/>
    <s v="BR3-5, BR-7"/>
    <s v="62-304.520 (10), F.A.C."/>
    <n v="0.59"/>
    <n v="0.64"/>
    <s v="City of Cocoa Beach"/>
    <n v="0.12653262756863001"/>
    <n v="3792.58573091175"/>
    <n v="11.4910899389074"/>
    <n v="1.51871465595726"/>
    <n v="1.4539978035974199"/>
    <n v="0.19216695594526001"/>
    <n v="479.88583781156399"/>
    <n v="1400"/>
    <s v="Commercial and Services"/>
    <n v="1400"/>
    <s v="City of Cocoa Beach           Brevard County"/>
    <s v="City of Cocoa Beach"/>
    <m/>
    <m/>
    <m/>
    <n v="0"/>
    <n v="1"/>
    <n v="1.4539978035974199"/>
    <n v="0.19216695594526001"/>
    <n v="1291.6634613120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9.714949170805"/>
    <n v="512.05937651926399"/>
    <n v="1.0475778275000001"/>
  </r>
  <r>
    <n v="830000"/>
    <n v="2400000"/>
    <n v="2400000"/>
    <x v="0"/>
    <x v="0"/>
    <s v="BR3-5, BR-7"/>
    <s v="62-304.520 (10), F.A.C."/>
    <n v="0.59"/>
    <n v="0.64"/>
    <s v="City of Cocoa Beach"/>
    <n v="0.16603913852291"/>
    <n v="3792.58573091175"/>
    <n v="11.4910899389074"/>
    <n v="1.51871465595726"/>
    <n v="1.90797067414551"/>
    <n v="0.25216607313726003"/>
    <n v="629.71766753488305"/>
    <n v="1410"/>
    <s v="Retail Sales and Services"/>
    <n v="1410"/>
    <s v="City of Cocoa Beach           Brevard County"/>
    <s v="City of Cocoa Beach"/>
    <m/>
    <m/>
    <m/>
    <n v="0"/>
    <n v="1"/>
    <n v="1.90797067414551"/>
    <n v="0.25216607313726003"/>
    <n v="629.717667534883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4.65215116989501"/>
    <n v="671.93655410121596"/>
    <n v="0.51071992499999996"/>
  </r>
  <r>
    <n v="830000"/>
    <n v="2400000"/>
    <n v="2400000"/>
    <x v="0"/>
    <x v="0"/>
    <s v="BR3-5, BR-7"/>
    <s v="62-304.520 (10), F.A.C."/>
    <n v="0.59"/>
    <n v="0.64"/>
    <s v="City of Cocoa Beach"/>
    <n v="2.3141455293590001E-2"/>
    <n v="3792.58573091175"/>
    <n v="11.4910899389074"/>
    <n v="1.51871465595726"/>
    <n v="0.26592054409589999"/>
    <n v="3.5145267314559997E-2"/>
    <n v="87.765953139020496"/>
    <n v="1410"/>
    <s v="Retail Sales and Services"/>
    <n v="1410"/>
    <s v="City of Cocoa Beach           Brevard County"/>
    <s v="City of Cocoa Beach"/>
    <m/>
    <m/>
    <m/>
    <n v="0"/>
    <n v="1"/>
    <n v="0.26592054409589999"/>
    <n v="3.5145267314559997E-2"/>
    <n v="112.48914599227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8.184061346472497"/>
    <n v="93.650146978566596"/>
    <n v="9.1232072999999997E-2"/>
  </r>
  <r>
    <n v="830000"/>
    <n v="2400000"/>
    <n v="2400000"/>
    <x v="0"/>
    <x v="0"/>
    <s v="BR3-5, BR-7"/>
    <s v="62-304.520 (10), F.A.C."/>
    <n v="0.59"/>
    <n v="0.64"/>
    <s v="City of Cocoa Beach"/>
    <n v="8.8704387938219997E-2"/>
    <n v="3782.5074819634901"/>
    <n v="11.621001462490099"/>
    <n v="1.53427289356009"/>
    <n v="1.03083382195942"/>
    <n v="0.13609673795346"/>
    <n v="335.52501105933601"/>
    <n v="1400"/>
    <s v="Commercial and Services"/>
    <n v="1400"/>
    <s v="City of Cocoa Beach           Brevard County"/>
    <s v="City of Cocoa Beach"/>
    <m/>
    <m/>
    <m/>
    <n v="0"/>
    <n v="1"/>
    <n v="1.03083382195942"/>
    <n v="0.13609673795346"/>
    <n v="667.027933095797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3.57026158164001"/>
    <n v="358.973922022875"/>
    <n v="0.54097967000000002"/>
  </r>
  <r>
    <n v="830000"/>
    <n v="2400000"/>
    <n v="2400000"/>
    <x v="0"/>
    <x v="0"/>
    <s v="BR3-5, BR-7"/>
    <s v="62-304.520 (10), F.A.C."/>
    <n v="0.59"/>
    <n v="0.64"/>
    <s v="FDOT District 5"/>
    <n v="2.1835615077150001E-2"/>
    <n v="3782.5074819634901"/>
    <n v="11.621001462490099"/>
    <n v="1.53427289356009"/>
    <n v="0.25375171474593999"/>
    <n v="3.3501792327079997E-2"/>
    <n v="82.59337740259850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5375171474593999"/>
    <n v="3.3501792327079997E-2"/>
    <n v="180.9085314121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0.471791988227999"/>
    <n v="88.365599112022494"/>
    <n v="0.1467222477"/>
  </r>
  <r>
    <n v="830000"/>
    <n v="2400000"/>
    <n v="2400000"/>
    <x v="0"/>
    <x v="0"/>
    <s v="BR3-5, BR-7"/>
    <s v="62-304.520 (10), F.A.C."/>
    <n v="0.59"/>
    <n v="0.64"/>
    <s v="City of Cocoa Beach"/>
    <n v="0.30809078339090001"/>
    <n v="3782.5074819634901"/>
    <n v="11.621001462490099"/>
    <n v="1.53427289356009"/>
    <n v="3.5803234443654102"/>
    <n v="0.47269533771235001"/>
    <n v="1165.35569330008"/>
    <n v="1410"/>
    <s v="Retail Sales and Services"/>
    <n v="1410"/>
    <s v="City of Cocoa Beach           Brevard County"/>
    <s v="City of Cocoa Beach"/>
    <m/>
    <m/>
    <m/>
    <n v="0"/>
    <n v="1"/>
    <n v="3.5803234443654102"/>
    <n v="0.47269533771235001"/>
    <n v="1165.3556933000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6.30796425431299"/>
    <n v="1246.79916544772"/>
    <n v="0.94513843740000003"/>
  </r>
  <r>
    <n v="830000"/>
    <n v="2400000"/>
    <n v="2400000"/>
    <x v="0"/>
    <x v="0"/>
    <s v="BR3-5, BR-7"/>
    <s v="62-304.520 (10), F.A.C."/>
    <n v="0.59"/>
    <n v="0.64"/>
    <s v="FDOT District 5"/>
    <n v="1.6537947032999999E-4"/>
    <n v="3782.5074819634901"/>
    <n v="11.621001462490099"/>
    <n v="1.53427289356009"/>
    <n v="1.9218750665799999E-3"/>
    <n v="2.5373723847999999E-4"/>
    <n v="0.62554908389015995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9218750665799999E-3"/>
    <n v="2.5373723847999999E-4"/>
    <n v="0.625549083889660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.9757083716563"/>
    <n v="0.66926697164157001"/>
    <n v="5.0733910000000002E-4"/>
  </r>
  <r>
    <n v="830000"/>
    <n v="2400000"/>
    <n v="2400000"/>
    <x v="0"/>
    <x v="0"/>
    <s v="BR3-5, BR-7"/>
    <s v="62-304.520 (10), F.A.C."/>
    <n v="0.59"/>
    <n v="0.64"/>
    <s v="City of Cocoa Beach"/>
    <n v="0.15304149342911"/>
    <n v="3766.1642985213698"/>
    <n v="11.9339834255667"/>
    <n v="1.57199723109769"/>
    <n v="1.8263946460070699"/>
    <n v="0.24058080391361999"/>
    <n v="576.37940874513401"/>
    <n v="1400"/>
    <s v="Commercial and Services"/>
    <n v="1400"/>
    <s v="City of Cocoa Beach           Brevard County"/>
    <s v="City of Cocoa Beach"/>
    <m/>
    <m/>
    <m/>
    <n v="0"/>
    <n v="1"/>
    <n v="1.8263946460070699"/>
    <n v="0.24058080391361999"/>
    <n v="591.750858375296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8.40204332305899"/>
    <n v="619.33695057730904"/>
    <n v="0.47992770350000002"/>
  </r>
  <r>
    <n v="830000"/>
    <n v="2400000"/>
    <n v="2400000"/>
    <x v="0"/>
    <x v="0"/>
    <s v="BR3-5, BR-7"/>
    <s v="62-304.520 (10), F.A.C."/>
    <n v="0.59"/>
    <n v="0.64"/>
    <s v="FDOT District 5"/>
    <n v="6.0969332475040001E-2"/>
    <n v="3766.1642985213698"/>
    <n v="11.9339834255667"/>
    <n v="1.57199723109769"/>
    <n v="0.72760700322502003"/>
    <n v="9.5843621832640002E-2"/>
    <n v="229.62052327218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72760700322502003"/>
    <n v="9.5843621832640002E-2"/>
    <n v="440.094299568543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7.595271168759"/>
    <n v="246.73413469606399"/>
    <n v="0.35692968330000002"/>
  </r>
  <r>
    <n v="830000"/>
    <n v="2400000"/>
    <n v="2400000"/>
    <x v="0"/>
    <x v="0"/>
    <s v="BR3-5, BR-7"/>
    <s v="62-304.520 (10), F.A.C."/>
    <n v="0.59"/>
    <n v="0.64"/>
    <s v="City of Cocoa Beach"/>
    <n v="3.4898884841000002E-4"/>
    <n v="3766.1642985213698"/>
    <n v="11.9339834255667"/>
    <n v="1.57199723109769"/>
    <n v="4.1648271326499998E-3"/>
    <n v="5.4860950338000004E-4"/>
    <n v="1.3143493414713601"/>
    <n v="1410"/>
    <s v="Retail Sales and Services"/>
    <n v="1410"/>
    <s v="City of Cocoa Beach           Brevard County"/>
    <s v="City of Cocoa Beach"/>
    <m/>
    <m/>
    <m/>
    <n v="0"/>
    <n v="1"/>
    <n v="4.1648271326499998E-3"/>
    <n v="5.4860950338000004E-4"/>
    <n v="2.18923923622699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.7502218692541"/>
    <n v="1.4123077625418301"/>
    <n v="1.7755386999999999E-3"/>
  </r>
  <r>
    <n v="830000"/>
    <n v="2400000"/>
    <n v="2400000"/>
    <x v="0"/>
    <x v="0"/>
    <s v="BR3-5, BR-7"/>
    <s v="62-304.520 (10), F.A.C."/>
    <n v="0.59"/>
    <n v="0.64"/>
    <s v="City of Cocoa Beach"/>
    <n v="3.5382227483169999E-2"/>
    <n v="3777.7995630966798"/>
    <n v="11.521248300094101"/>
    <n v="1.5978712444273"/>
    <n v="0.40764742824408001"/>
    <n v="5.6536243859150001E-2"/>
    <n v="133.66696352732899"/>
    <n v="1300"/>
    <s v="Residential, High Density"/>
    <n v="1300"/>
    <s v="City of Cocoa Beach           Brevard County"/>
    <s v="City of Cocoa Beach"/>
    <m/>
    <m/>
    <m/>
    <n v="0"/>
    <n v="1"/>
    <n v="0.40764742824408001"/>
    <n v="5.6536243859150001E-2"/>
    <n v="133.666963527330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7.881951538632102"/>
    <n v="143.18679452910899"/>
    <n v="0.10840791850000001"/>
  </r>
  <r>
    <n v="830000"/>
    <n v="2400000"/>
    <n v="2400000"/>
    <x v="0"/>
    <x v="0"/>
    <s v="BR3-5, BR-7"/>
    <s v="62-304.520 (10), F.A.C."/>
    <n v="0.59"/>
    <n v="0.64"/>
    <s v="City of Cocoa Beach"/>
    <n v="0.13680248097933001"/>
    <n v="3777.7995630966798"/>
    <n v="11.521248300094101"/>
    <n v="1.5978712444273"/>
    <n v="1.57613535143179"/>
    <n v="0.21859275052318"/>
    <n v="516.81235287426205"/>
    <n v="1400"/>
    <s v="Commercial and Services"/>
    <n v="1400"/>
    <s v="City of Cocoa Beach           Brevard County"/>
    <s v="City of Cocoa Beach"/>
    <m/>
    <m/>
    <m/>
    <n v="0"/>
    <n v="1"/>
    <n v="1.57613535143179"/>
    <n v="0.21859275052318"/>
    <n v="538.0594600972640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7.05696437619601"/>
    <n v="553.61999875146205"/>
    <n v="0.43638236829999999"/>
  </r>
  <r>
    <n v="830000"/>
    <n v="2400000"/>
    <n v="2400000"/>
    <x v="0"/>
    <x v="0"/>
    <s v="BR3-5, BR-7"/>
    <s v="62-304.520 (10), F.A.C."/>
    <n v="0.59"/>
    <n v="0.64"/>
    <s v="FDOT District 5"/>
    <n v="3.3588376645050003E-2"/>
    <n v="3777.7995630966798"/>
    <n v="11.521248300094101"/>
    <n v="1.5978712444273"/>
    <n v="0.38698002732470999"/>
    <n v="5.3669901188119998E-2"/>
    <n v="126.8901546148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8698002732470999"/>
    <n v="5.3669901188119998E-2"/>
    <n v="389.292165098467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5.46702972257501"/>
    <n v="135.92733774401401"/>
    <n v="0.31572762780000002"/>
  </r>
  <r>
    <n v="830000"/>
    <n v="2400000"/>
    <n v="2400000"/>
    <x v="0"/>
    <x v="0"/>
    <s v="BR3-5, BR-7"/>
    <s v="62-304.520 (10), F.A.C."/>
    <n v="0.59"/>
    <n v="0.64"/>
    <s v="City of Cocoa Beach"/>
    <n v="0.16942201883281"/>
    <n v="3765.17631526901"/>
    <n v="12.0103362485057"/>
    <n v="1.5812914496982899"/>
    <n v="2.0348154140827499"/>
    <n v="0.26790558977095003"/>
    <n v="637.90377259436798"/>
    <n v="1400"/>
    <s v="Commercial and Services"/>
    <n v="1400"/>
    <s v="City of Cocoa Beach           Brevard County"/>
    <s v="City of Cocoa Beach"/>
    <m/>
    <m/>
    <m/>
    <n v="0"/>
    <n v="1"/>
    <n v="2.0348154140827499"/>
    <n v="0.26790558977095003"/>
    <n v="637.903772594367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52.84336220906999"/>
    <n v="685.62658500954399"/>
    <n v="0.51735910190000001"/>
  </r>
  <r>
    <n v="830000"/>
    <n v="2400000"/>
    <n v="2400000"/>
    <x v="0"/>
    <x v="0"/>
    <s v="BR3-5, BR-7"/>
    <s v="62-304.520 (10), F.A.C."/>
    <n v="0.59"/>
    <n v="0.64"/>
    <s v="FDOT District 5"/>
    <n v="9.0910032070549998E-2"/>
    <n v="3765.17631526901"/>
    <n v="12.0103362485057"/>
    <n v="1.5812914496982899"/>
    <n v="1.09186005352974"/>
    <n v="0.14375525640494999"/>
    <n v="342.292299572381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09186005352974"/>
    <n v="0.14375525640494999"/>
    <n v="342.292299572381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5.277316805666"/>
    <n v="367.89984714529601"/>
    <n v="0.27760932649999998"/>
  </r>
  <r>
    <n v="830000"/>
    <n v="2400000"/>
    <n v="2400000"/>
    <x v="0"/>
    <x v="0"/>
    <s v="BR3-5, BR-7"/>
    <s v="62-304.520 (10), F.A.C."/>
    <n v="0.59"/>
    <n v="0.64"/>
    <s v="City of Cocoa Beach"/>
    <n v="1.2267365675999999E-4"/>
    <n v="3765.17631526901"/>
    <n v="12.0103362485057"/>
    <n v="1.5812914496982899"/>
    <n v="1.47335186661E-3"/>
    <n v="1.9398280454999999E-4"/>
    <n v="0.46188794697030999"/>
    <n v="1410"/>
    <s v="Retail Sales and Services"/>
    <n v="1410"/>
    <s v="City of Cocoa Beach           Brevard County"/>
    <s v="City of Cocoa Beach"/>
    <m/>
    <m/>
    <m/>
    <n v="0"/>
    <n v="1"/>
    <n v="1.47335186661E-3"/>
    <n v="1.9398280454999999E-4"/>
    <n v="0.461887946969559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.9468166126513"/>
    <n v="0.49644267575006001"/>
    <n v="3.7460500000000002E-4"/>
  </r>
  <r>
    <n v="830000"/>
    <n v="2400000"/>
    <n v="2400000"/>
    <x v="0"/>
    <x v="0"/>
    <s v="BR3-5, BR-7"/>
    <s v="62-304.520 (10), F.A.C."/>
    <n v="0.59"/>
    <n v="0.64"/>
    <s v="City of Cocoa Beach"/>
    <n v="0.32889736799904001"/>
    <n v="3763.4851427663398"/>
    <n v="10.1014979891092"/>
    <n v="1.3440496003072899"/>
    <n v="3.3223561014656799"/>
    <n v="0.44205437600123998"/>
    <n v="1237.8003579593601"/>
    <n v="1400"/>
    <s v="Commercial and Services"/>
    <n v="1400"/>
    <s v="City of Cocoa Beach           Brevard County"/>
    <s v="City of Cocoa Beach"/>
    <m/>
    <m/>
    <m/>
    <n v="0"/>
    <n v="1"/>
    <n v="3.3223561014656799"/>
    <n v="0.44205437600123998"/>
    <n v="1237.80035795936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53.179795625243"/>
    <n v="1331.00042599739"/>
    <n v="1.0038932344"/>
  </r>
  <r>
    <n v="830000"/>
    <n v="2400000"/>
    <n v="2400000"/>
    <x v="0"/>
    <x v="0"/>
    <s v="BR3-5, BR-7"/>
    <s v="62-304.520 (10), F.A.C."/>
    <n v="0.59"/>
    <n v="0.64"/>
    <s v="City of Cocoa Beach"/>
    <n v="1.2542467368900001E-3"/>
    <n v="3763.4851427663398"/>
    <n v="10.1014979891092"/>
    <n v="1.3440496003072899"/>
    <n v="1.266977089054E-2"/>
    <n v="1.6857698254E-3"/>
    <n v="4.7203389596486804"/>
    <n v="1410"/>
    <s v="Retail Sales and Services"/>
    <n v="1410"/>
    <s v="City of Cocoa Beach           Brevard County"/>
    <s v="City of Cocoa Beach"/>
    <m/>
    <m/>
    <m/>
    <n v="0"/>
    <n v="1"/>
    <n v="1.266977089054E-2"/>
    <n v="1.6857698254E-3"/>
    <n v="4.72033895964804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.208223216112399"/>
    <n v="5.0757564624568499"/>
    <n v="3.8283365000000001E-3"/>
  </r>
  <r>
    <n v="830000"/>
    <n v="2400000"/>
    <n v="2400000"/>
    <x v="0"/>
    <x v="0"/>
    <s v="BR3-5, BR-7"/>
    <s v="62-304.520 (10), F.A.C."/>
    <n v="0.59"/>
    <n v="0.64"/>
    <s v="City of Cocoa Beach"/>
    <n v="3.8136682106040001E-2"/>
    <n v="3763.4851427663398"/>
    <n v="10.1014979891092"/>
    <n v="1.3440496003072899"/>
    <n v="0.38523761760551001"/>
    <n v="5.1257592341670002E-2"/>
    <n v="143.52683650050301"/>
    <n v="1410"/>
    <s v="Retail Sales and Services"/>
    <n v="1410"/>
    <s v="City of Cocoa Beach           Brevard County"/>
    <s v="City of Cocoa Beach"/>
    <m/>
    <m/>
    <m/>
    <n v="0"/>
    <n v="1"/>
    <n v="0.38523761760551001"/>
    <n v="5.1257592341670002E-2"/>
    <n v="143.526836500501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1.461966234885395"/>
    <n v="154.33367690987399"/>
    <n v="0.1164045714"/>
  </r>
  <r>
    <n v="830000"/>
    <n v="2400000"/>
    <n v="2400000"/>
    <x v="0"/>
    <x v="0"/>
    <s v="BR3-5, BR-7"/>
    <s v="62-304.520 (10), F.A.C."/>
    <n v="0.59"/>
    <n v="0.64"/>
    <s v="City of Cocoa Beach"/>
    <n v="1.453999047599E-2"/>
    <n v="3763.4851427663398"/>
    <n v="10.1014979891092"/>
    <n v="1.3440496003072899"/>
    <n v="0.14687568455496999"/>
    <n v="1.9542468387730001E-2"/>
    <n v="54.721038132386397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14687568455496999"/>
    <n v="1.9542468387730001E-2"/>
    <n v="54.7210381323848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3.989260094646397"/>
    <n v="58.841253839429903"/>
    <n v="4.4380403999999998E-2"/>
  </r>
  <r>
    <n v="830000"/>
    <n v="2400000"/>
    <n v="2400000"/>
    <x v="0"/>
    <x v="0"/>
    <s v="BR3-5, BR-7"/>
    <s v="62-304.520 (10), F.A.C."/>
    <n v="0.59"/>
    <n v="0.64"/>
    <s v="City of Cocoa Beach"/>
    <n v="5.0601152051199999E-2"/>
    <n v="3829.5798420525098"/>
    <n v="10.579595238091001"/>
    <n v="1.4537198822919"/>
    <n v="0.53533970728279001"/>
    <n v="7.3559900803700007E-2"/>
    <n v="193.78115187991"/>
    <n v="1410"/>
    <s v="Retail Sales and Services"/>
    <n v="1410"/>
    <s v="City of Cocoa Beach           Brevard County"/>
    <s v="City of Cocoa Beach"/>
    <m/>
    <m/>
    <m/>
    <n v="0"/>
    <n v="1"/>
    <n v="0.53533970728279001"/>
    <n v="7.3559900803700007E-2"/>
    <n v="806.037262721524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3.419012997997299"/>
    <n v="204.775597159239"/>
    <n v="0.65372040769999995"/>
  </r>
  <r>
    <n v="830000"/>
    <n v="2400000"/>
    <n v="2400000"/>
    <x v="0"/>
    <x v="0"/>
    <s v="BR3-5, BR-7"/>
    <s v="62-304.520 (10), F.A.C."/>
    <n v="0.59"/>
    <n v="0.64"/>
    <s v="City of Cocoa Beach"/>
    <n v="5.8613341540799998E-3"/>
    <n v="3800.5498850239301"/>
    <n v="10.455098689695401"/>
    <n v="1.75395756062439"/>
    <n v="6.1280827034180002E-2"/>
    <n v="1.028053135489E-2"/>
    <n v="22.2762928453756"/>
    <n v="1400"/>
    <s v="Commercial and Services"/>
    <n v="1400"/>
    <s v="City of Cocoa Beach           Brevard County"/>
    <s v="City of Cocoa Beach"/>
    <m/>
    <m/>
    <m/>
    <n v="0"/>
    <n v="1"/>
    <n v="6.1280827034180002E-2"/>
    <n v="1.028053135489E-2"/>
    <n v="22.2762928453742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0.903444175424"/>
    <n v="23.7199777652697"/>
    <n v="1.8066742E-2"/>
  </r>
  <r>
    <n v="830000"/>
    <n v="2400000"/>
    <n v="2400000"/>
    <x v="0"/>
    <x v="0"/>
    <s v="BR3-5, BR-7"/>
    <s v="62-304.520 (10), F.A.C."/>
    <n v="0.59"/>
    <n v="0.64"/>
    <s v="FDOT District 5"/>
    <n v="5.5349249948970003E-2"/>
    <n v="3800.5498850239301"/>
    <n v="10.455098689695401"/>
    <n v="1.75395756062439"/>
    <n v="0.57868187061712995"/>
    <n v="9.7080235422890002E-2"/>
    <n v="210.35758552972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7868187061712995"/>
    <n v="9.7080235422890002E-2"/>
    <n v="210.357585529728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9.04422206679401"/>
    <n v="223.99046763102399"/>
    <n v="0.17060631430000001"/>
  </r>
  <r>
    <n v="830000"/>
    <n v="2400000"/>
    <n v="2400000"/>
    <x v="0"/>
    <x v="0"/>
    <s v="BR3-5, BR-7"/>
    <s v="62-304.520 (10), F.A.C."/>
    <n v="0.59"/>
    <n v="0.64"/>
    <s v="City of Cocoa Beach"/>
    <n v="7.3829256543000001E-4"/>
    <n v="3800.5498850239301"/>
    <n v="10.455098689695401"/>
    <n v="1.75395756062439"/>
    <n v="7.71892163345E-3"/>
    <n v="1.2949338270900001E-3"/>
    <n v="2.8059177246628102"/>
    <n v="1410"/>
    <s v="Retail Sales and Services"/>
    <n v="1410"/>
    <s v="City of Cocoa Beach           Brevard County"/>
    <s v="City of Cocoa Beach"/>
    <m/>
    <m/>
    <m/>
    <n v="0"/>
    <n v="1"/>
    <n v="7.71892163345E-3"/>
    <n v="1.2949338270900001E-3"/>
    <n v="2.805917724662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.0016730309842"/>
    <n v="2.9877640100246001"/>
    <n v="2.2756834999999999E-3"/>
  </r>
  <r>
    <n v="830000"/>
    <n v="2400000"/>
    <n v="2400000"/>
    <x v="0"/>
    <x v="0"/>
    <s v="BR3-5, BR-7"/>
    <s v="62-304.520 (10), F.A.C."/>
    <n v="0.59"/>
    <n v="0.64"/>
    <s v="City of Cocoa Beach"/>
    <n v="4.1914569259570003E-2"/>
    <n v="3800.5498850239301"/>
    <n v="10.455098689695401"/>
    <n v="1.75395756062439"/>
    <n v="0.43822095814493001"/>
    <n v="7.3516375653139995E-2"/>
    <n v="159.298411380305"/>
    <n v="1430"/>
    <s v="Professional Services"/>
    <n v="1430"/>
    <s v="City of Cocoa Beach           Brevard County"/>
    <s v="City of Cocoa Beach"/>
    <m/>
    <m/>
    <m/>
    <n v="0"/>
    <n v="1"/>
    <n v="0.43822095814493001"/>
    <n v="7.3516375653139995E-2"/>
    <n v="159.2984113803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5.704010453258505"/>
    <n v="169.62224380024"/>
    <n v="0.1291957919"/>
  </r>
  <r>
    <n v="830000"/>
    <n v="2400000"/>
    <n v="2400000"/>
    <x v="0"/>
    <x v="0"/>
    <s v="BR3-5, BR-7"/>
    <s v="62-304.520 (10), F.A.C."/>
    <n v="0.59"/>
    <n v="0.64"/>
    <s v="City of Cocoa Beach"/>
    <n v="2.6229475848799999E-3"/>
    <n v="3800.5498850239301"/>
    <n v="10.455098689695401"/>
    <n v="1.75395756062439"/>
    <n v="2.7423175857910001E-2"/>
    <n v="4.6005387476299999E-3"/>
    <n v="9.9686431421736899"/>
    <n v="1410"/>
    <s v="Retail Sales and Services"/>
    <n v="1410"/>
    <s v="City of Cocoa Beach           Brevard County"/>
    <s v="City of Cocoa Beach"/>
    <m/>
    <m/>
    <m/>
    <n v="0"/>
    <n v="1"/>
    <n v="2.7423175857910001E-2"/>
    <n v="4.6005387476299999E-3"/>
    <n v="9.968643142174299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1.935366939557799"/>
    <n v="10.614692279527199"/>
    <n v="8.0848686999999992E-3"/>
  </r>
  <r>
    <n v="830000"/>
    <n v="2400000"/>
    <n v="2400000"/>
    <x v="0"/>
    <x v="0"/>
    <s v="BR3-5, BR-7"/>
    <s v="62-304.520 (10), F.A.C."/>
    <n v="0.59"/>
    <n v="0.64"/>
    <s v="City of Cocoa Beach"/>
    <n v="0.16657748002003001"/>
    <n v="3800.5498850239301"/>
    <n v="10.455098689695401"/>
    <n v="1.75395756062439"/>
    <n v="1.7415839930902399"/>
    <n v="0.29216983051090001"/>
    <n v="633.08602253772403"/>
    <n v="1410"/>
    <s v="Retail Sales and Services"/>
    <n v="1410"/>
    <s v="City of Cocoa Beach           Brevard County"/>
    <s v="City of Cocoa Beach"/>
    <m/>
    <m/>
    <m/>
    <n v="0"/>
    <n v="1"/>
    <n v="1.7415839930902399"/>
    <n v="0.29216983051090001"/>
    <n v="633.086022537724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8.83277421508301"/>
    <n v="674.11514484629095"/>
    <n v="0.51345176199999998"/>
  </r>
  <r>
    <n v="830000"/>
    <n v="2400000"/>
    <n v="2400000"/>
    <x v="0"/>
    <x v="0"/>
    <s v="BR3-5, BR-7"/>
    <s v="62-304.520 (10), F.A.C."/>
    <n v="0.59"/>
    <n v="0.64"/>
    <s v="City of Cocoa Beach"/>
    <n v="5.24702483007E-3"/>
    <n v="3800.5498850239301"/>
    <n v="10.455098689695401"/>
    <n v="1.75395756062439"/>
    <n v="5.4858162425660002E-2"/>
    <n v="9.2030588714799993E-3"/>
    <n v="19.941579614640201"/>
    <n v="1430"/>
    <s v="Professional Services"/>
    <n v="1430"/>
    <s v="City of Cocoa Beach           Brevard County"/>
    <s v="City of Cocoa Beach"/>
    <m/>
    <m/>
    <m/>
    <n v="0"/>
    <n v="1"/>
    <n v="5.4858162425660002E-2"/>
    <n v="9.2030588714799993E-3"/>
    <n v="19.9415796146405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2.237062829180203"/>
    <n v="21.233956132061401"/>
    <n v="1.6173219499999999E-2"/>
  </r>
  <r>
    <n v="830000"/>
    <n v="2400000"/>
    <n v="2400000"/>
    <x v="0"/>
    <x v="0"/>
    <s v="BR3-5, BR-7"/>
    <s v="62-304.520 (10), F.A.C."/>
    <n v="0.59"/>
    <n v="0.64"/>
    <s v="City of Cocoa Beach"/>
    <n v="1.377135540526E-2"/>
    <n v="3800.5498850239301"/>
    <n v="10.455098689695401"/>
    <n v="1.75395756062439"/>
    <n v="0.14398087985291"/>
    <n v="2.4154372933109999E-2"/>
    <n v="52.338723202103601"/>
    <n v="1300"/>
    <s v="Residential, High Density"/>
    <n v="1300"/>
    <s v="City of Cocoa Beach           Brevard County"/>
    <s v="City of Cocoa Beach"/>
    <m/>
    <m/>
    <m/>
    <n v="0"/>
    <n v="1"/>
    <n v="0.14398087985291"/>
    <n v="2.4154372933109999E-2"/>
    <n v="52.3387232021039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1.940058203736001"/>
    <n v="55.730698066950097"/>
    <n v="4.2448275100000002E-2"/>
  </r>
  <r>
    <n v="830000"/>
    <n v="2400000"/>
    <n v="2400000"/>
    <x v="0"/>
    <x v="0"/>
    <s v="BR3-5, BR-7"/>
    <s v="62-304.520 (10), F.A.C."/>
    <n v="0.59"/>
    <n v="0.64"/>
    <s v="City of Cocoa Beach"/>
    <n v="0.32568119983054999"/>
    <n v="3800.5498850239301"/>
    <n v="10.455098689695401"/>
    <n v="1.75395756062439"/>
    <n v="3.4050290856068499"/>
    <n v="0.57123100279602002"/>
    <n v="1237.7676465704601"/>
    <n v="1300"/>
    <s v="Residential, High Density"/>
    <n v="1300"/>
    <s v="City of Cocoa Beach           Brevard County"/>
    <s v="City of Cocoa Beach"/>
    <m/>
    <m/>
    <m/>
    <n v="0"/>
    <n v="1"/>
    <n v="3.4050290856068499"/>
    <n v="0.57123100279602002"/>
    <n v="1237.76764657046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8.23346841229201"/>
    <n v="1317.98505518921"/>
    <n v="1.0038667044"/>
  </r>
  <r>
    <n v="830000"/>
    <n v="2400000"/>
    <n v="2400000"/>
    <x v="0"/>
    <x v="0"/>
    <s v="BR3-5, BR-7"/>
    <s v="62-304.520 (10), F.A.C."/>
    <n v="0.59"/>
    <n v="0.64"/>
    <s v="City of Cocoa Beach"/>
    <n v="0.10072767472568001"/>
    <n v="3755.00126747697"/>
    <n v="11.9283576034332"/>
    <n v="1.91206338829912"/>
    <n v="1.2015157246903101"/>
    <n v="0.19259769903148999"/>
    <n v="378.232546264966"/>
    <n v="1300"/>
    <s v="Residential, High Density"/>
    <n v="1300"/>
    <s v="City of Cocoa Beach           Brevard County"/>
    <s v="City of Cocoa Beach"/>
    <m/>
    <m/>
    <m/>
    <n v="0"/>
    <n v="1"/>
    <n v="1.2015157246903101"/>
    <n v="0.19259769903148999"/>
    <n v="378.23254626496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3.131016632268597"/>
    <n v="407.63043737706801"/>
    <n v="0.30675794509999998"/>
  </r>
  <r>
    <n v="830000"/>
    <n v="2400000"/>
    <n v="2400000"/>
    <x v="0"/>
    <x v="0"/>
    <s v="BR3-5, BR-7"/>
    <s v="62-304.520 (10), F.A.C."/>
    <n v="0.59"/>
    <n v="0.64"/>
    <s v="City of Cocoa Beach"/>
    <n v="6.8120238173979997E-2"/>
    <n v="3755.00126747697"/>
    <n v="11.9283576034332"/>
    <n v="1.91206338829912"/>
    <n v="0.81256256097037005"/>
    <n v="0.13025021341469001"/>
    <n v="255.79158068415799"/>
    <n v="1400"/>
    <s v="Commercial and Services"/>
    <n v="1400"/>
    <s v="City of Cocoa Beach           Brevard County"/>
    <s v="City of Cocoa Beach"/>
    <m/>
    <m/>
    <m/>
    <n v="0"/>
    <n v="1"/>
    <n v="0.81256256097037005"/>
    <n v="0.13025021341469001"/>
    <n v="255.79158068415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6.993866278317"/>
    <n v="275.672823349819"/>
    <n v="0.2074546478"/>
  </r>
  <r>
    <n v="830000"/>
    <n v="2400000"/>
    <n v="2400000"/>
    <x v="0"/>
    <x v="0"/>
    <s v="BR3-5, BR-7"/>
    <s v="62-304.520 (10), F.A.C."/>
    <n v="0.59"/>
    <n v="0.64"/>
    <s v="FDOT District 5"/>
    <n v="7.9568121610190001E-2"/>
    <n v="3755.00126747697"/>
    <n v="11.9283576034332"/>
    <n v="1.91206338829912"/>
    <n v="0.94911700839988999"/>
    <n v="0.15213929220659"/>
    <n v="298.77839749705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94911700839988999"/>
    <n v="0.15213929220659"/>
    <n v="298.77839749705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2.346818735846"/>
    <n v="322.00076395653002"/>
    <n v="0.2423182461"/>
  </r>
  <r>
    <n v="830000"/>
    <n v="2400000"/>
    <n v="2400000"/>
    <x v="0"/>
    <x v="0"/>
    <s v="BR3-5, BR-7"/>
    <s v="62-304.520 (10), F.A.C."/>
    <n v="0.59"/>
    <n v="0.64"/>
    <s v="City of Cocoa Beach"/>
    <n v="3.24086790151E-3"/>
    <n v="3773.7761584468099"/>
    <n v="11.818031225508401"/>
    <n v="1.5580686661130601"/>
    <n v="3.8300678057859999E-2"/>
    <n v="5.0494947283599998E-3"/>
    <n v="12.230310019416599"/>
    <n v="1400"/>
    <s v="Commercial and Services"/>
    <n v="1400"/>
    <s v="City of Cocoa Beach           Brevard County"/>
    <s v="City of Cocoa Beach"/>
    <m/>
    <m/>
    <m/>
    <n v="0"/>
    <n v="1"/>
    <n v="3.8300678057859999E-2"/>
    <n v="5.0494947283599998E-3"/>
    <n v="14.013666806173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8.4817930760493"/>
    <n v="13.115327081399499"/>
    <n v="1.1365504300000001E-2"/>
  </r>
  <r>
    <n v="830000"/>
    <n v="2400000"/>
    <n v="2400000"/>
    <x v="0"/>
    <x v="0"/>
    <s v="BR3-5, BR-7"/>
    <s v="62-304.520 (10), F.A.C."/>
    <n v="0.59"/>
    <n v="0.64"/>
    <s v="FDOT District 5"/>
    <n v="5.0355538602329997E-2"/>
    <n v="3773.7761584468099"/>
    <n v="11.818031225508401"/>
    <n v="1.5580686661130601"/>
    <n v="0.59510332757963003"/>
    <n v="7.8457386861530004E-2"/>
    <n v="190.03053102321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9510332757963003"/>
    <n v="7.8457386861530004E-2"/>
    <n v="223.10382482183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5.430378515930201"/>
    <n v="203.78163479624899"/>
    <n v="0.18094389690000001"/>
  </r>
  <r>
    <n v="830000"/>
    <n v="2400000"/>
    <n v="2400000"/>
    <x v="0"/>
    <x v="0"/>
    <s v="BR3-5, BR-7"/>
    <s v="62-304.520 (10), F.A.C."/>
    <n v="0.59"/>
    <n v="0.64"/>
    <s v="City of Cocoa Beach"/>
    <n v="0.34553416681874999"/>
    <n v="3773.7761584468099"/>
    <n v="11.818031225508401"/>
    <n v="1.5580686661130601"/>
    <n v="4.0835335729441304"/>
    <n v="0.53836595839179002"/>
    <n v="1303.9686006694101"/>
    <n v="1430"/>
    <s v="Professional Services"/>
    <n v="1430"/>
    <s v="City of Cocoa Beach           Brevard County"/>
    <s v="City of Cocoa Beach"/>
    <m/>
    <m/>
    <m/>
    <n v="0"/>
    <n v="1"/>
    <n v="4.0835335729441304"/>
    <n v="0.53836595839179002"/>
    <n v="1303.96860066941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52.105090525332"/>
    <n v="1398.3271621491201"/>
    <n v="1.0575576648"/>
  </r>
  <r>
    <n v="830000"/>
    <n v="2400000"/>
    <n v="2400000"/>
    <x v="0"/>
    <x v="0"/>
    <s v="BR3-5, BR-7"/>
    <s v="62-304.520 (10), F.A.C."/>
    <n v="0.59"/>
    <n v="0.64"/>
    <s v="City of Cocoa Beach"/>
    <n v="0.20592452017491999"/>
    <n v="3773.7761584468099"/>
    <n v="11.818031225508401"/>
    <n v="1.5580686661130601"/>
    <n v="2.43362240952515"/>
    <n v="0.32084454246892002"/>
    <n v="777.11304467574598"/>
    <n v="1410"/>
    <s v="Retail Sales and Services"/>
    <n v="1410"/>
    <s v="City of Cocoa Beach           Brevard County"/>
    <s v="City of Cocoa Beach"/>
    <m/>
    <m/>
    <m/>
    <n v="0"/>
    <n v="1"/>
    <n v="2.43362240952515"/>
    <n v="0.32084454246892002"/>
    <n v="790.2149005406190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6.477376232189"/>
    <n v="833.346966999551"/>
    <n v="0.6408879972"/>
  </r>
  <r>
    <n v="830000"/>
    <n v="2400000"/>
    <n v="2400000"/>
    <x v="0"/>
    <x v="0"/>
    <s v="BR3-5, BR-7"/>
    <s v="62-304.520 (10), F.A.C."/>
    <n v="0.59"/>
    <n v="0.64"/>
    <s v="City of Cocoa Beach"/>
    <n v="5.2048215832090003E-2"/>
    <n v="3786.0833751069899"/>
    <n v="11.631441886392601"/>
    <n v="1.53565670570623"/>
    <n v="0.60539579774139995"/>
    <n v="7.9928191662590006E-2"/>
    <n v="197.05888466586401"/>
    <n v="1400"/>
    <s v="Commercial and Services"/>
    <n v="1400"/>
    <s v="City of Cocoa Beach           Brevard County"/>
    <s v="City of Cocoa Beach"/>
    <m/>
    <m/>
    <m/>
    <n v="0"/>
    <n v="1"/>
    <n v="0.60539579774139995"/>
    <n v="7.9928191662590006E-2"/>
    <n v="342.857067820709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76.165021284315"/>
    <n v="210.631656514562"/>
    <n v="0.27806737050000002"/>
  </r>
  <r>
    <n v="830000"/>
    <n v="2400000"/>
    <n v="2400000"/>
    <x v="0"/>
    <x v="0"/>
    <s v="BR3-5, BR-7"/>
    <s v="62-304.520 (10), F.A.C."/>
    <n v="0.59"/>
    <n v="0.64"/>
    <s v="City of Cocoa Beach"/>
    <n v="3.8024016236480003E-2"/>
    <n v="3786.0833751069899"/>
    <n v="11.631441886392601"/>
    <n v="1.53565670570623"/>
    <n v="0.44227413514195002"/>
    <n v="5.8391835511439998E-2"/>
    <n v="143.96209572776201"/>
    <n v="1410"/>
    <s v="Retail Sales and Services"/>
    <n v="1410"/>
    <s v="City of Cocoa Beach           Brevard County"/>
    <s v="City of Cocoa Beach"/>
    <m/>
    <m/>
    <m/>
    <n v="0"/>
    <n v="1"/>
    <n v="0.44227413514195002"/>
    <n v="5.8391835511439998E-2"/>
    <n v="208.064926236430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57.837344259595802"/>
    <n v="153.877734312071"/>
    <n v="0.16874689879999999"/>
  </r>
  <r>
    <n v="830000"/>
    <n v="2400000"/>
    <n v="2400000"/>
    <x v="0"/>
    <x v="0"/>
    <s v="BR3-5, BR-7"/>
    <s v="62-304.520 (10), F.A.C."/>
    <n v="0.59"/>
    <n v="0.64"/>
    <s v="City of Cocoa Beach"/>
    <n v="0.27929706760979001"/>
    <n v="3786.0833751069899"/>
    <n v="11.631441886392601"/>
    <n v="1.53565670570623"/>
    <n v="3.2486276109432199"/>
    <n v="0.42890441475906999"/>
    <n v="1057.44198439358"/>
    <n v="1430"/>
    <s v="Professional Services"/>
    <n v="1430"/>
    <s v="City of Cocoa Beach           Brevard County"/>
    <s v="City of Cocoa Beach"/>
    <m/>
    <m/>
    <m/>
    <n v="0"/>
    <n v="1"/>
    <n v="3.2486276109432199"/>
    <n v="0.42890441475906999"/>
    <n v="1106.2092290295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3.280829068863"/>
    <n v="1130.27513181419"/>
    <n v="0.89716887999999995"/>
  </r>
  <r>
    <n v="830000"/>
    <n v="2400000"/>
    <n v="2400000"/>
    <x v="0"/>
    <x v="0"/>
    <s v="BR3-5, BR-7"/>
    <s v="62-304.520 (10), F.A.C."/>
    <n v="0.59"/>
    <n v="0.64"/>
    <s v="City of Cocoa Beach"/>
    <n v="0.10603898906371"/>
    <n v="3786.0833751069899"/>
    <n v="11.631441886392601"/>
    <n v="1.53565670570623"/>
    <n v="1.23338633898637"/>
    <n v="0.16283948462198999"/>
    <n v="401.47245360726498"/>
    <n v="1410"/>
    <s v="Retail Sales and Services"/>
    <n v="1410"/>
    <s v="City of Cocoa Beach           Brevard County"/>
    <s v="City of Cocoa Beach"/>
    <m/>
    <m/>
    <m/>
    <n v="0"/>
    <n v="1"/>
    <n v="1.23338633898637"/>
    <n v="0.16283948462198999"/>
    <n v="681.772718855443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4.920692399407"/>
    <n v="429.12456391727801"/>
    <n v="0.5529381337"/>
  </r>
  <r>
    <n v="830000"/>
    <n v="2400000"/>
    <n v="2400000"/>
    <x v="0"/>
    <x v="0"/>
    <s v="BR3-5, BR-7"/>
    <s v="62-304.520 (10), F.A.C."/>
    <n v="0.59"/>
    <n v="0.64"/>
    <s v="City of Cocoa Beach"/>
    <n v="0.11948648801976"/>
    <n v="2176.7336699941502"/>
    <n v="6.2861362830793501"/>
    <n v="0.85875812512570004"/>
    <n v="0.75110834767876999"/>
    <n v="0.10260999242969999"/>
    <n v="260.09026158197503"/>
    <n v="1400"/>
    <s v="Commercial and Services"/>
    <n v="1400"/>
    <s v="City of Cocoa Beach           Brevard County"/>
    <s v="City of Cocoa Beach"/>
    <m/>
    <m/>
    <m/>
    <n v="0"/>
    <n v="1"/>
    <n v="0.75110834767876999"/>
    <n v="0.10260999242969999"/>
    <n v="446.920916553678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0.33297985448399"/>
    <n v="483.54466143280598"/>
    <n v="0.36246627460000003"/>
  </r>
  <r>
    <n v="830000"/>
    <n v="2400000"/>
    <n v="2400000"/>
    <x v="0"/>
    <x v="0"/>
    <s v="BR3-5, BR-7"/>
    <s v="62-304.520 (10), F.A.C."/>
    <n v="0.59"/>
    <n v="0.64"/>
    <s v="City of Cocoa Beach"/>
    <n v="5.5734381031190001E-2"/>
    <n v="3784.87342610308"/>
    <n v="11.6278956940131"/>
    <n v="1.5351868214812601"/>
    <n v="0.64807356920114001"/>
    <n v="8.5562687262500006E-2"/>
    <n v="210.947577685281"/>
    <n v="1410"/>
    <s v="Retail Sales and Services"/>
    <n v="1410"/>
    <s v="City of Cocoa Beach           Brevard County"/>
    <s v="City of Cocoa Beach"/>
    <m/>
    <m/>
    <m/>
    <n v="0"/>
    <n v="1"/>
    <n v="0.64807356920114001"/>
    <n v="8.5562687262500006E-2"/>
    <n v="210.94757768528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0.744624513278197"/>
    <n v="225.54903782458899"/>
    <n v="0.1710848156"/>
  </r>
  <r>
    <n v="830000"/>
    <n v="2400000"/>
    <n v="2400000"/>
    <x v="0"/>
    <x v="0"/>
    <s v="BR3-5, BR-7"/>
    <s v="62-304.520 (10), F.A.C."/>
    <n v="0.59"/>
    <n v="0.64"/>
    <s v="City of Cocoa Beach"/>
    <n v="0.45479922738084999"/>
    <n v="3784.87342610308"/>
    <n v="11.6278956940131"/>
    <n v="1.5351868214812601"/>
    <n v="5.2883579777023604"/>
    <n v="0.69820178029494995"/>
    <n v="1721.3575099260099"/>
    <n v="1410"/>
    <s v="Retail Sales and Services"/>
    <n v="1410"/>
    <s v="City of Cocoa Beach           Brevard County"/>
    <s v="City of Cocoa Beach"/>
    <m/>
    <m/>
    <m/>
    <n v="0"/>
    <n v="1"/>
    <n v="5.2883579777023604"/>
    <n v="0.69820178029494995"/>
    <n v="1721.35750992600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73.626449297188"/>
    <n v="1840.5071742287701"/>
    <n v="1.3960725951999999"/>
  </r>
  <r>
    <n v="830000"/>
    <n v="2400000"/>
    <n v="2400000"/>
    <x v="0"/>
    <x v="0"/>
    <s v="BR3-5, BR-7"/>
    <s v="62-304.520 (10), F.A.C."/>
    <n v="0.59"/>
    <n v="0.64"/>
    <s v="City of Cocoa Beach"/>
    <n v="0.10722984514078999"/>
    <n v="3784.87342610308"/>
    <n v="11.6278956940131"/>
    <n v="1.5351868214812601"/>
    <n v="1.2468574545823099"/>
    <n v="0.16461784512961999"/>
    <n v="405.851391358532"/>
    <n v="1410"/>
    <s v="Retail Sales and Services"/>
    <n v="1410"/>
    <s v="City of Cocoa Beach           Brevard County"/>
    <s v="City of Cocoa Beach"/>
    <m/>
    <m/>
    <m/>
    <n v="0"/>
    <n v="1"/>
    <n v="1.2468574545823099"/>
    <n v="0.16461784512961999"/>
    <n v="405.85139135853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1.787973277577095"/>
    <n v="433.94378748097103"/>
    <n v="0.32915765720000001"/>
  </r>
  <r>
    <n v="830000"/>
    <n v="2400000"/>
    <n v="2400000"/>
    <x v="0"/>
    <x v="0"/>
    <s v="BR3-5, BR-7"/>
    <s v="62-304.520 (10), F.A.C."/>
    <n v="0.59"/>
    <n v="0.64"/>
    <s v="City of Cocoa Beach"/>
    <n v="5.950236724046E-2"/>
    <n v="3211.0445167476801"/>
    <n v="8.7218205798598394"/>
    <n v="1.5234225348282699"/>
    <n v="0.51896897114826002"/>
    <n v="9.0647247129750003E-2"/>
    <n v="191.064750061002"/>
    <n v="1200"/>
    <s v="Residential, Medium Density-Two-five dwellingunits per acre"/>
    <n v="1200"/>
    <s v="City of Cocoa Beach           Brevard County"/>
    <s v="City of Cocoa Beach"/>
    <m/>
    <m/>
    <m/>
    <n v="0"/>
    <n v="1"/>
    <n v="0.51896897114826002"/>
    <n v="9.0647247129750003E-2"/>
    <n v="614.547336974405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5.631982101022"/>
    <n v="240.79753701507701"/>
    <n v="0.49841633169999999"/>
  </r>
  <r>
    <n v="830000"/>
    <n v="2400000"/>
    <n v="2400000"/>
    <x v="0"/>
    <x v="0"/>
    <s v="BR3-5, BR-7"/>
    <s v="62-304.520 (10), F.A.C."/>
    <n v="0.59"/>
    <n v="0.64"/>
    <s v="City of Cocoa Beach"/>
    <n v="0.13394441063217999"/>
    <n v="3211.0445167476801"/>
    <n v="8.7218205798598394"/>
    <n v="1.5234225348282699"/>
    <n v="1.1682391172090101"/>
    <n v="0.20405393357136001"/>
    <n v="430.10146530948703"/>
    <n v="1300"/>
    <s v="Residential, High Density"/>
    <n v="1300"/>
    <s v="City of Cocoa Beach           Brevard County"/>
    <s v="City of Cocoa Beach"/>
    <m/>
    <m/>
    <m/>
    <n v="0"/>
    <n v="1"/>
    <n v="1.1682391172090101"/>
    <n v="0.20405393357136001"/>
    <n v="693.449806799229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9.943912240554"/>
    <n v="542.053798411451"/>
    <n v="0.56240860240000001"/>
  </r>
  <r>
    <n v="830000"/>
    <n v="2400000"/>
    <n v="2400000"/>
    <x v="0"/>
    <x v="0"/>
    <s v="BR3-5, BR-7"/>
    <s v="62-304.520 (10), F.A.C."/>
    <n v="0.59"/>
    <n v="0.64"/>
    <s v="City of Cocoa Beach"/>
    <n v="5.1821969197990002E-2"/>
    <n v="3211.0445167476801"/>
    <n v="8.7218205798598394"/>
    <n v="1.5234225348282699"/>
    <n v="0.45198191743990002"/>
    <n v="7.8946755675390001E-2"/>
    <n v="166.402650040276"/>
    <n v="1300"/>
    <s v="Residential, High Density"/>
    <n v="1300"/>
    <s v="City of Cocoa Beach           Brevard County"/>
    <s v="City of Cocoa Beach"/>
    <m/>
    <m/>
    <m/>
    <n v="0"/>
    <n v="1"/>
    <n v="0.45198191743990002"/>
    <n v="7.8946755675390001E-2"/>
    <n v="273.275731078784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4.518923100813097"/>
    <n v="209.71606887030501"/>
    <n v="0.22163481839999999"/>
  </r>
  <r>
    <n v="830000"/>
    <n v="2400000"/>
    <n v="2400000"/>
    <x v="0"/>
    <x v="0"/>
    <s v="BR3-5, BR-7"/>
    <s v="62-304.520 (10), F.A.C."/>
    <n v="0.59"/>
    <n v="0.64"/>
    <s v="City of Cocoa Beach"/>
    <n v="1.746884322953E-2"/>
    <n v="3770.6719591851202"/>
    <n v="11.2297498236424"/>
    <n v="1.79496199580031"/>
    <n v="0.19617073917608999"/>
    <n v="3.1355909707600001E-2"/>
    <n v="65.869277325004802"/>
    <n v="1300"/>
    <s v="Residential, High Density"/>
    <n v="1300"/>
    <s v="City of Cocoa Beach           Brevard County"/>
    <s v="City of Cocoa Beach"/>
    <m/>
    <m/>
    <m/>
    <n v="0"/>
    <n v="1"/>
    <n v="0.19617073917608999"/>
    <n v="3.1355909707600001E-2"/>
    <n v="579.7045326828549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6.035658439650099"/>
    <n v="70.693900415338007"/>
    <n v="0.47015777180000001"/>
  </r>
  <r>
    <n v="830000"/>
    <n v="2400000"/>
    <n v="2400000"/>
    <x v="0"/>
    <x v="0"/>
    <s v="BR3-5, BR-7"/>
    <s v="62-304.520 (10), F.A.C."/>
    <n v="0.59"/>
    <n v="0.64"/>
    <s v="City of Cocoa Beach"/>
    <n v="4.0881596216300001E-3"/>
    <n v="3770.6719591851202"/>
    <n v="11.2297498236424"/>
    <n v="1.79496199580031"/>
    <n v="4.5909009790070003E-2"/>
    <n v="7.3380911535999996E-3"/>
    <n v="15.415108849971899"/>
    <n v="1400"/>
    <s v="Commercial and Services"/>
    <n v="1400"/>
    <s v="City of Cocoa Beach           Brevard County"/>
    <s v="City of Cocoa Beach"/>
    <m/>
    <m/>
    <m/>
    <n v="0"/>
    <n v="1"/>
    <n v="4.5909009790070003E-2"/>
    <n v="7.3380911535999996E-3"/>
    <n v="253.930732543910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7.470702228994799"/>
    <n v="16.544195020609902"/>
    <n v="0.20594544410000001"/>
  </r>
  <r>
    <n v="830000"/>
    <n v="2400000"/>
    <n v="2400000"/>
    <x v="0"/>
    <x v="0"/>
    <s v="BR3-5, BR-7"/>
    <s v="62-304.520 (10), F.A.C."/>
    <n v="0.59"/>
    <n v="0.64"/>
    <s v="FDOT District 5"/>
    <n v="2.3861765853500001E-3"/>
    <n v="3770.6719591851202"/>
    <n v="11.2297498236424"/>
    <n v="1.79496199580031"/>
    <n v="2.6796166088610001E-2"/>
    <n v="4.2830962859800002E-3"/>
    <n v="8.99748914007729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6796166088610001E-2"/>
    <n v="4.2830962859800002E-3"/>
    <n v="325.49442020341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5.236864679624301"/>
    <n v="9.6565140394417597"/>
    <n v="0.26398574229999999"/>
  </r>
  <r>
    <n v="830000"/>
    <n v="2400000"/>
    <n v="2500000"/>
    <x v="0"/>
    <x v="0"/>
    <s v="BR3-5, BR-7"/>
    <s v="62-304.520 (10), F.A.C."/>
    <n v="0.59"/>
    <n v="0.64"/>
    <s v="City of Cocoa Beach"/>
    <n v="8.7885098274449999E-2"/>
    <n v="3756.2835610223401"/>
    <n v="11.9390769739543"/>
    <n v="1.8683593751668901"/>
    <n v="1.04926695316227"/>
    <n v="0.16420094729854001"/>
    <n v="330.12134990717101"/>
    <n v="1300"/>
    <s v="Residential, High Density"/>
    <n v="1300"/>
    <s v="City of Cocoa Beach           Brevard County"/>
    <s v="City of Cocoa Beach"/>
    <m/>
    <m/>
    <m/>
    <n v="0"/>
    <n v="1"/>
    <n v="1.04926695316227"/>
    <n v="0.16420094729854001"/>
    <n v="330.121349907169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0.9029621951276"/>
    <n v="355.65837438523499"/>
    <n v="0.26773832110000001"/>
  </r>
  <r>
    <n v="830000"/>
    <n v="2400000"/>
    <n v="2500000"/>
    <x v="0"/>
    <x v="0"/>
    <s v="BR3-5, BR-7"/>
    <s v="62-304.520 (10), F.A.C."/>
    <n v="0.59"/>
    <n v="0.64"/>
    <s v="City of Cocoa Beach"/>
    <n v="9.4422989825080003E-2"/>
    <n v="3756.2835610223401"/>
    <n v="11.9390769739543"/>
    <n v="1.8683593751668901"/>
    <n v="1.12732334363261"/>
    <n v="0.17641607827097999"/>
    <n v="354.67952446254998"/>
    <n v="1400"/>
    <s v="Commercial and Services"/>
    <n v="1400"/>
    <s v="City of Cocoa Beach           Brevard County"/>
    <s v="City of Cocoa Beach"/>
    <m/>
    <m/>
    <m/>
    <n v="0"/>
    <n v="1"/>
    <n v="1.12732334363261"/>
    <n v="0.17641607827097999"/>
    <n v="354.679524462549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0.48996540465899"/>
    <n v="382.11628279585898"/>
    <n v="0.28765573760000002"/>
  </r>
  <r>
    <n v="830000"/>
    <n v="2400000"/>
    <n v="2500000"/>
    <x v="0"/>
    <x v="0"/>
    <s v="BR3-5, BR-7"/>
    <s v="62-304.520 (10), F.A.C."/>
    <n v="0.59"/>
    <n v="0.64"/>
    <s v="FDOT District 5"/>
    <n v="6.7421382686350007E-2"/>
    <n v="3756.2835610223401"/>
    <n v="11.9390769739543"/>
    <n v="1.8683593751668901"/>
    <n v="0.80494907758281997"/>
    <n v="0.12596737242875999"/>
    <n v="253.25383144615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80494907758281997"/>
    <n v="0.12596737242875999"/>
    <n v="253.253831446151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0.927166763218"/>
    <n v="272.84465553136499"/>
    <n v="0.205396457"/>
  </r>
  <r>
    <n v="830000"/>
    <n v="2400000"/>
    <n v="2500000"/>
    <x v="0"/>
    <x v="0"/>
    <s v="BR3-5, BR-7"/>
    <s v="62-304.520 (10), F.A.C."/>
    <n v="0.59"/>
    <n v="0.64"/>
    <s v="City of Cocoa Beach"/>
    <n v="2.31949186982E-2"/>
    <n v="3785.4418739412199"/>
    <n v="11.6296066566091"/>
    <n v="1.5354130642434101"/>
    <n v="0.26974778089217999"/>
    <n v="3.5613781193289999E-2"/>
    <n v="87.803016502858796"/>
    <n v="1400"/>
    <s v="Commercial and Services"/>
    <n v="1400"/>
    <s v="City of Cocoa Beach           Brevard County"/>
    <s v="City of Cocoa Beach"/>
    <m/>
    <m/>
    <m/>
    <n v="0"/>
    <n v="1"/>
    <n v="0.26974778089217999"/>
    <n v="3.5613781193289999E-2"/>
    <n v="852.790733300784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51.949067780298698"/>
    <n v="93.866505700887004"/>
    <n v="0.69163887530000001"/>
  </r>
  <r>
    <n v="830000"/>
    <n v="2400000"/>
    <n v="2500000"/>
    <x v="0"/>
    <x v="0"/>
    <s v="BR3-5, BR-7"/>
    <s v="62-304.520 (10), F.A.C."/>
    <n v="0.59"/>
    <n v="0.64"/>
    <s v="City of Cocoa Beach"/>
    <n v="0.12429104325588"/>
    <n v="3785.4418739412199"/>
    <n v="11.6296066566091"/>
    <n v="1.5354130642434101"/>
    <n v="1.4454559440055299"/>
    <n v="0.19083809158352"/>
    <n v="470.49651969666701"/>
    <n v="1410"/>
    <s v="Retail Sales and Services"/>
    <n v="1410"/>
    <s v="City of Cocoa Beach           Brevard County"/>
    <s v="City of Cocoa Beach"/>
    <m/>
    <m/>
    <m/>
    <n v="0"/>
    <n v="1"/>
    <n v="1.4454559440055299"/>
    <n v="0.19083809158352"/>
    <n v="961.277737176640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9.879334372884898"/>
    <n v="502.98800664687502"/>
    <n v="0.77962509099999999"/>
  </r>
  <r>
    <n v="830000"/>
    <n v="2400000"/>
    <n v="2500000"/>
    <x v="0"/>
    <x v="0"/>
    <s v="BR3-5, BR-7"/>
    <s v="62-304.520 (10), F.A.C."/>
    <n v="0.59"/>
    <n v="0.64"/>
    <s v="City of Cocoa Beach"/>
    <n v="3.14814066922E-3"/>
    <n v="3823.9760263861199"/>
    <n v="10.7849911355018"/>
    <n v="1.43344038853355"/>
    <n v="3.3952669210910003E-2"/>
    <n v="4.5126719840499997E-3"/>
    <n v="12.0384144468113"/>
    <n v="1400"/>
    <s v="Commercial and Services"/>
    <n v="1400"/>
    <s v="City of Cocoa Beach           Brevard County"/>
    <s v="City of Cocoa Beach"/>
    <m/>
    <m/>
    <m/>
    <n v="0"/>
    <n v="1"/>
    <n v="3.3952669210910003E-2"/>
    <n v="4.5126719840499997E-3"/>
    <n v="12.038414446811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0.401127369318"/>
    <n v="12.7400732858759"/>
    <n v="9.7635154000000005E-3"/>
  </r>
  <r>
    <n v="830000"/>
    <n v="2400000"/>
    <n v="2500000"/>
    <x v="0"/>
    <x v="0"/>
    <s v="BR3-5, BR-7"/>
    <s v="62-304.520 (10), F.A.C."/>
    <n v="0.59"/>
    <n v="0.64"/>
    <s v="FDOT District 5"/>
    <n v="0.22335602763788001"/>
    <n v="3823.9760263861199"/>
    <n v="10.7849911355018"/>
    <n v="1.43344038853355"/>
    <n v="2.4088927781354501"/>
    <n v="0.32016755103854999"/>
    <n v="854.10809503609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2.4088927781354501"/>
    <n v="0.32016755103854999"/>
    <n v="854.10809503609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6.291411382343"/>
    <n v="903.88977492811"/>
    <n v="0.69270729519999996"/>
  </r>
  <r>
    <n v="830000"/>
    <n v="2400000"/>
    <n v="2500000"/>
    <x v="0"/>
    <x v="0"/>
    <s v="BR3-5, BR-7"/>
    <s v="62-304.520 (10), F.A.C."/>
    <n v="0.59"/>
    <n v="0.64"/>
    <s v="City of Cocoa Beach"/>
    <n v="0.16823887405182"/>
    <n v="3823.9760263861199"/>
    <n v="10.7849911355018"/>
    <n v="1.43344038853355"/>
    <n v="1.8144547652957299"/>
    <n v="0.24116039698729"/>
    <n v="643.34142108036895"/>
    <n v="1410"/>
    <s v="Retail Sales and Services"/>
    <n v="1410"/>
    <s v="City of Cocoa Beach           Brevard County"/>
    <s v="City of Cocoa Beach"/>
    <m/>
    <m/>
    <m/>
    <n v="0"/>
    <n v="1"/>
    <n v="1.8144547652957299"/>
    <n v="0.24116039698729"/>
    <n v="643.341421080368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6.482597871859"/>
    <n v="680.83856795396798"/>
    <n v="0.52176919799999999"/>
  </r>
  <r>
    <n v="830000"/>
    <n v="2400000"/>
    <n v="2500000"/>
    <x v="0"/>
    <x v="0"/>
    <s v="BR3-5, BR-7"/>
    <s v="62-304.520 (10), F.A.C."/>
    <n v="0.59"/>
    <n v="0.64"/>
    <s v="City of Cocoa Beach"/>
    <n v="0.17858533137247001"/>
    <n v="3823.9760263861199"/>
    <n v="10.7849911355018"/>
    <n v="1.43344038853355"/>
    <n v="1.92604121578279"/>
    <n v="0.25599142678894998"/>
    <n v="682.90602583256202"/>
    <n v="1410"/>
    <s v="Retail Sales and Services"/>
    <n v="1410"/>
    <s v="City of Cocoa Beach           Brevard County"/>
    <s v="City of Cocoa Beach"/>
    <m/>
    <m/>
    <m/>
    <n v="0"/>
    <n v="1"/>
    <n v="1.92604121578279"/>
    <n v="0.25599142678894998"/>
    <n v="682.906025832562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8.917635770914"/>
    <n v="722.70919521112705"/>
    <n v="0.55385727969999998"/>
  </r>
  <r>
    <n v="830000"/>
    <n v="2400000"/>
    <n v="2500000"/>
    <x v="0"/>
    <x v="0"/>
    <s v="BR3-5, BR-7"/>
    <s v="62-304.520 (10), F.A.C."/>
    <n v="0.59"/>
    <n v="0.64"/>
    <s v="City of Cocoa Beach"/>
    <n v="4.4270811057520003E-2"/>
    <n v="3823.9760263861199"/>
    <n v="10.7849911355018"/>
    <n v="1.43344038853355"/>
    <n v="0.47746030481684998"/>
    <n v="6.3459568602989999E-2"/>
    <n v="169.29052015263301"/>
    <n v="1410"/>
    <s v="Retail Sales and Services"/>
    <n v="1410"/>
    <s v="City of Cocoa Beach           Brevard County"/>
    <s v="City of Cocoa Beach"/>
    <m/>
    <m/>
    <m/>
    <n v="0"/>
    <n v="1"/>
    <n v="0.47746030481684998"/>
    <n v="6.3459568602989999E-2"/>
    <n v="169.918679703735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3.723807302003493"/>
    <n v="179.157616052989"/>
    <n v="0.13780914820000001"/>
  </r>
  <r>
    <n v="830000"/>
    <n v="2400000"/>
    <n v="2500000"/>
    <x v="0"/>
    <x v="0"/>
    <s v="BR3-5, BR-7"/>
    <s v="62-304.520 (10), F.A.C."/>
    <n v="0.59"/>
    <n v="0.64"/>
    <s v="City of Cocoa Beach"/>
    <n v="2.2328582247899999E-2"/>
    <n v="3768.8095995379699"/>
    <n v="11.407741061544201"/>
    <n v="1.5057129593822001"/>
    <n v="0.25471868455548002"/>
    <n v="3.3620435655299999E-2"/>
    <n v="84.152175119973805"/>
    <n v="1410"/>
    <s v="Retail Sales and Services"/>
    <n v="1410"/>
    <s v="City of Cocoa Beach           Brevard County"/>
    <s v="City of Cocoa Beach"/>
    <m/>
    <m/>
    <m/>
    <n v="0"/>
    <n v="1"/>
    <n v="0.25471868455548002"/>
    <n v="3.3620435655299999E-2"/>
    <n v="228.5111619484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4.8894428053488"/>
    <n v="90.360566473018096"/>
    <n v="0.18532940949999999"/>
  </r>
  <r>
    <n v="830000"/>
    <n v="2400000"/>
    <n v="2500000"/>
    <x v="0"/>
    <x v="0"/>
    <s v="BR3-5, BR-7"/>
    <s v="62-304.520 (10), F.A.C."/>
    <n v="0.59"/>
    <n v="0.64"/>
    <s v="City of Cocoa Beach"/>
    <n v="2.2826319843330001E-2"/>
    <n v="3768.8095995379699"/>
    <n v="11.407741061544201"/>
    <n v="1.5057129593822001"/>
    <n v="0.26039674616077002"/>
    <n v="3.4369885603110002E-2"/>
    <n v="86.028053347692705"/>
    <n v="1410"/>
    <s v="Retail Sales and Services"/>
    <n v="1410"/>
    <s v="City of Cocoa Beach           Brevard County"/>
    <s v="City of Cocoa Beach"/>
    <m/>
    <m/>
    <m/>
    <n v="0"/>
    <n v="1"/>
    <n v="0.26039674616077002"/>
    <n v="3.4369885603110002E-2"/>
    <n v="131.820380010065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2.358730363110602"/>
    <n v="92.374839057765499"/>
    <n v="0.1069102839"/>
  </r>
  <r>
    <n v="830000"/>
    <n v="2400000"/>
    <n v="2500000"/>
    <x v="0"/>
    <x v="0"/>
    <s v="BR3-5, BR-7"/>
    <s v="62-304.520 (10), F.A.C."/>
    <n v="0.59"/>
    <n v="0.64"/>
    <s v="City of Cocoa Beach"/>
    <n v="3.3445363843660002E-2"/>
    <n v="3782.2248086847198"/>
    <n v="11.6268660065177"/>
    <n v="1.53498047562894"/>
    <n v="0.38886476394956998"/>
    <n v="5.1337980500329998E-2"/>
    <n v="126.497884865012"/>
    <n v="1400"/>
    <s v="Commercial and Services"/>
    <n v="1400"/>
    <s v="City of Cocoa Beach           Brevard County"/>
    <s v="City of Cocoa Beach"/>
    <m/>
    <m/>
    <m/>
    <n v="0"/>
    <n v="1"/>
    <n v="0.38886476394956998"/>
    <n v="5.1337980500329998E-2"/>
    <n v="677.267806728391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9.622802269929807"/>
    <n v="135.34858547025601"/>
    <n v="0.54928451479999996"/>
  </r>
  <r>
    <n v="830000"/>
    <n v="2400000"/>
    <n v="2500000"/>
    <x v="0"/>
    <x v="0"/>
    <s v="BR3-5, BR-7"/>
    <s v="62-304.520 (10), F.A.C."/>
    <n v="0.59"/>
    <n v="0.64"/>
    <s v="City of Cocoa Beach"/>
    <n v="0.29256458059272"/>
    <n v="3782.2248086847198"/>
    <n v="11.6268660065177"/>
    <n v="1.53498047562894"/>
    <n v="3.4016091768046501"/>
    <n v="0.44908091907039999"/>
    <n v="1106.5450148602399"/>
    <n v="1410"/>
    <s v="Retail Sales and Services"/>
    <n v="1410"/>
    <s v="City of Cocoa Beach           Brevard County"/>
    <s v="City of Cocoa Beach"/>
    <m/>
    <m/>
    <m/>
    <n v="0"/>
    <n v="1"/>
    <n v="3.4016091768046501"/>
    <n v="0.44908091907039999"/>
    <n v="1178.49778309956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0.414053802925"/>
    <n v="1183.9668519384199"/>
    <n v="0.95579706659999997"/>
  </r>
  <r>
    <n v="830000"/>
    <n v="2500000"/>
    <n v="2500000"/>
    <x v="0"/>
    <x v="0"/>
    <s v="BR3-5, BR-7"/>
    <s v="62-304.520 (10), F.A.C."/>
    <n v="0.59"/>
    <n v="0.64"/>
    <s v="City of Cocoa Beach"/>
    <n v="5.6620620688260001E-2"/>
    <n v="3784.8734252570898"/>
    <n v="11.627895691414"/>
    <n v="1.5351868211381201"/>
    <n v="0.65837867134628003"/>
    <n v="8.6923230685280004E-2"/>
    <n v="214.30188256458001"/>
    <n v="1400"/>
    <s v="Commercial and Services"/>
    <n v="1400"/>
    <s v="City of Cocoa Beach           Brevard County"/>
    <s v="City of Cocoa Beach"/>
    <m/>
    <m/>
    <m/>
    <n v="0"/>
    <n v="1"/>
    <n v="0.65837867134628003"/>
    <n v="8.6923230685280004E-2"/>
    <n v="214.301882564578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9.186066937628"/>
    <n v="229.13552247258201"/>
    <n v="0.17380525760000001"/>
  </r>
  <r>
    <n v="830000"/>
    <n v="2500000"/>
    <n v="2500000"/>
    <x v="0"/>
    <x v="0"/>
    <s v="BR3-5, BR-7"/>
    <s v="62-304.520 (10), F.A.C."/>
    <n v="0.59"/>
    <n v="0.64"/>
    <s v="City of Cocoa Beach"/>
    <n v="1.3083984652890001E-2"/>
    <n v="3784.8734252570898"/>
    <n v="11.627895691414"/>
    <n v="1.5351868211381201"/>
    <n v="0.15213920877185999"/>
    <n v="2.008636080709E-2"/>
    <n v="49.521225809195002"/>
    <n v="1410"/>
    <s v="Retail Sales and Services"/>
    <n v="1410"/>
    <s v="City of Cocoa Beach           Brevard County"/>
    <s v="City of Cocoa Beach"/>
    <m/>
    <m/>
    <m/>
    <n v="0"/>
    <n v="1"/>
    <n v="0.15213920877185999"/>
    <n v="2.008636080709E-2"/>
    <n v="49.5212258091950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8.097974565629599"/>
    <n v="52.949007323130999"/>
    <n v="4.0163200199999999E-2"/>
  </r>
  <r>
    <n v="830000"/>
    <n v="2500000"/>
    <n v="2500000"/>
    <x v="0"/>
    <x v="0"/>
    <s v="BR3-5, BR-7"/>
    <s v="62-304.520 (10), F.A.C."/>
    <n v="0.59"/>
    <n v="0.64"/>
    <s v="City of Cocoa Beach"/>
    <n v="0.28887731736224997"/>
    <n v="3784.8734252570898"/>
    <n v="11.627895691414"/>
    <n v="1.5351868211381201"/>
    <n v="3.3590353139037998"/>
    <n v="0.44348065054025998"/>
    <n v="1093.3640816439499"/>
    <n v="1410"/>
    <s v="Retail Sales and Services"/>
    <n v="1410"/>
    <s v="City of Cocoa Beach           Brevard County"/>
    <s v="City of Cocoa Beach"/>
    <m/>
    <m/>
    <m/>
    <n v="0"/>
    <n v="1"/>
    <n v="3.3590353139037998"/>
    <n v="0.44348065054025998"/>
    <n v="1093.36408164394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7.06190858375899"/>
    <n v="1169.0450270531101"/>
    <n v="0.88675108000000002"/>
  </r>
  <r>
    <n v="830000"/>
    <n v="2500000"/>
    <n v="2500000"/>
    <x v="0"/>
    <x v="0"/>
    <s v="BR3-5, BR-7"/>
    <s v="62-304.520 (10), F.A.C."/>
    <n v="0.59"/>
    <n v="0.64"/>
    <s v="City of Cocoa Beach"/>
    <n v="9.2493144203669997E-2"/>
    <n v="3784.8734252570898"/>
    <n v="11.627895691414"/>
    <n v="1.5351868211381201"/>
    <n v="1.0755006329712999"/>
    <n v="0.14199425602710999"/>
    <n v="350.07484351497698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1.0755006329712999"/>
    <n v="0.14199425602710999"/>
    <n v="350.074843514976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6.8161308130571"/>
    <n v="374.30647464862801"/>
    <n v="0.28392120320000003"/>
  </r>
  <r>
    <n v="830000"/>
    <n v="2500000"/>
    <n v="2500000"/>
    <x v="0"/>
    <x v="0"/>
    <s v="BR3-5, BR-7"/>
    <s v="62-304.520 (10), F.A.C."/>
    <n v="0.59"/>
    <n v="0.64"/>
    <s v="City of Cocoa Beach"/>
    <n v="4.1156953130430003E-2"/>
    <n v="3784.8734252570898"/>
    <n v="11.627895691414"/>
    <n v="1.5351868211381201"/>
    <n v="0.47856875797715998"/>
    <n v="6.318361204405E-2"/>
    <n v="155.77385816795001"/>
    <n v="1410"/>
    <s v="Retail Sales and Services"/>
    <n v="1410"/>
    <s v="City of Cocoa Beach           Brevard County"/>
    <s v="City of Cocoa Beach"/>
    <m/>
    <m/>
    <m/>
    <n v="0"/>
    <n v="1"/>
    <n v="0.47856875797715998"/>
    <n v="6.318361204405E-2"/>
    <n v="155.77385816795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51.6313684505472"/>
    <n v="166.55628010233301"/>
    <n v="0.12633727350000001"/>
  </r>
  <r>
    <n v="830000"/>
    <n v="2500000"/>
    <n v="2500000"/>
    <x v="0"/>
    <x v="0"/>
    <s v="BR3-5, BR-7"/>
    <s v="62-304.520 (10), F.A.C."/>
    <n v="0.59"/>
    <n v="0.64"/>
    <s v="City of Cocoa Beach"/>
    <n v="0.12553143369941999"/>
    <n v="3784.8734252570898"/>
    <n v="11.627895691414"/>
    <n v="1.5351868211381201"/>
    <n v="1.45966641705059"/>
    <n v="0.19271420265392999"/>
    <n v="475.12058744337997"/>
    <n v="1410"/>
    <s v="Retail Sales and Services"/>
    <n v="1410"/>
    <s v="City of Cocoa Beach           Brevard County"/>
    <s v="City of Cocoa Beach"/>
    <m/>
    <m/>
    <m/>
    <n v="0"/>
    <n v="1"/>
    <n v="1.45966641705059"/>
    <n v="0.19271420265392999"/>
    <n v="475.120587443379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1.844666901137"/>
    <n v="508.00768867960397"/>
    <n v="0.3853370539"/>
  </r>
  <r>
    <n v="830000"/>
    <n v="2500000"/>
    <n v="2500000"/>
    <x v="0"/>
    <x v="0"/>
    <s v="BR3-5, BR-7"/>
    <s v="62-304.520 (10), F.A.C."/>
    <n v="0.59"/>
    <n v="0.64"/>
    <s v="City of Cocoa Beach"/>
    <n v="5.0048929545759999E-2"/>
    <n v="3768.12710996546"/>
    <n v="11.9424979344032"/>
    <n v="1.5730967612919899"/>
    <n v="0.59770923771936002"/>
    <n v="7.8731808974569994E-2"/>
    <n v="188.590728246141"/>
    <n v="1400"/>
    <s v="Commercial and Services"/>
    <n v="1400"/>
    <s v="City of Cocoa Beach           Brevard County"/>
    <s v="City of Cocoa Beach"/>
    <m/>
    <m/>
    <m/>
    <n v="0"/>
    <n v="1"/>
    <n v="0.59770923771936002"/>
    <n v="7.8731808974569994E-2"/>
    <n v="188.5907282461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1.44222082636701"/>
    <n v="202.54083196651499"/>
    <n v="0.1529527399"/>
  </r>
  <r>
    <n v="830000"/>
    <n v="2500000"/>
    <n v="2500000"/>
    <x v="0"/>
    <x v="0"/>
    <s v="BR3-5, BR-7"/>
    <s v="62-304.520 (10), F.A.C."/>
    <n v="0.59"/>
    <n v="0.64"/>
    <s v="FDOT District 5"/>
    <n v="7.104049539467E-2"/>
    <n v="3768.12710996546"/>
    <n v="11.9424979344032"/>
    <n v="1.5730967612919899"/>
    <n v="0.84840096950988997"/>
    <n v="0.11175357322594"/>
    <n v="267.6896166020550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84840096950988997"/>
    <n v="0.11175357322594"/>
    <n v="267.689616602052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2.210956959006"/>
    <n v="287.49068503842"/>
    <n v="0.21710431190000001"/>
  </r>
  <r>
    <n v="830000"/>
    <n v="2500000"/>
    <n v="2500000"/>
    <x v="0"/>
    <x v="0"/>
    <s v="BR3-5, BR-7"/>
    <s v="62-304.520 (10), F.A.C."/>
    <n v="0.59"/>
    <n v="0.64"/>
    <s v="City of Cocoa Beach"/>
    <n v="5.8384144447900001E-3"/>
    <n v="3768.12710996546"/>
    <n v="11.9424979344032"/>
    <n v="1.5730967612919899"/>
    <n v="6.9725252447160005E-2"/>
    <n v="9.1843908541799999E-3"/>
    <n v="21.999887748649702"/>
    <n v="1410"/>
    <s v="Retail Sales and Services"/>
    <n v="1410"/>
    <s v="City of Cocoa Beach           Brevard County"/>
    <s v="City of Cocoa Beach"/>
    <m/>
    <m/>
    <m/>
    <n v="0"/>
    <n v="1"/>
    <n v="6.9725252447160005E-2"/>
    <n v="9.1843908541799999E-3"/>
    <n v="21.999887748647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0.275254746569502"/>
    <n v="23.6272249925536"/>
    <n v="1.78425691E-2"/>
  </r>
  <r>
    <n v="830000"/>
    <n v="2500000"/>
    <n v="2500000"/>
    <x v="0"/>
    <x v="0"/>
    <s v="BR3-5, BR-7"/>
    <s v="62-304.520 (10), F.A.C."/>
    <n v="0.59"/>
    <n v="0.64"/>
    <s v="City of Cocoa Beach"/>
    <n v="0.19282424077154001"/>
    <n v="3768.12710996546"/>
    <n v="11.9424979344032"/>
    <n v="1.5730967612919899"/>
    <n v="2.3028030971170401"/>
    <n v="0.30333118865629999"/>
    <n v="726.58624910976698"/>
    <n v="1410"/>
    <s v="Retail Sales and Services"/>
    <n v="1410"/>
    <s v="City of Cocoa Beach           Brevard County"/>
    <s v="City of Cocoa Beach"/>
    <m/>
    <m/>
    <m/>
    <n v="0"/>
    <n v="1"/>
    <n v="2.3028030971170401"/>
    <n v="0.30333118865629999"/>
    <n v="726.586249109766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4.047103039916"/>
    <n v="780.33201716073199"/>
    <n v="0.58928325150000005"/>
  </r>
  <r>
    <n v="830000"/>
    <n v="2500000"/>
    <n v="2500000"/>
    <x v="0"/>
    <x v="0"/>
    <s v="BR3-5, BR-7"/>
    <s v="62-304.520 (10), F.A.C."/>
    <n v="0.59"/>
    <n v="0.64"/>
    <s v="City of Cocoa Beach"/>
    <n v="0.15880322728759999"/>
    <n v="3768.12710996546"/>
    <n v="11.9424979344032"/>
    <n v="1.5730967612919899"/>
    <n v="1.89650721385877"/>
    <n v="0.24981284252884001"/>
    <n v="598.39074589242796"/>
    <n v="1410"/>
    <s v="Retail Sales and Services"/>
    <n v="1410"/>
    <s v="City of Cocoa Beach           Brevard County"/>
    <s v="City of Cocoa Beach"/>
    <m/>
    <m/>
    <m/>
    <n v="0"/>
    <n v="1"/>
    <n v="1.89650721385877"/>
    <n v="0.24981284252884001"/>
    <n v="598.3907458924279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5.945550397506"/>
    <n v="642.65386024668703"/>
    <n v="0.48531285149999998"/>
  </r>
  <r>
    <n v="830000"/>
    <n v="2500000"/>
    <n v="2500000"/>
    <x v="0"/>
    <x v="0"/>
    <s v="BR3-5, BR-7"/>
    <s v="62-304.520 (10), F.A.C."/>
    <n v="0.59"/>
    <n v="0.64"/>
    <s v="FDOT District 5"/>
    <n v="1.355125638897E-2"/>
    <n v="3768.12710996546"/>
    <n v="11.9424979344032"/>
    <n v="1.5730967612919899"/>
    <n v="0.16183585143394999"/>
    <n v="2.1317437536940001E-2"/>
    <n v="51.062856573404503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0.16183585143394999"/>
    <n v="2.1317437536940001E-2"/>
    <n v="51.0628565734033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0.211409878418195"/>
    <n v="54.839988949327399"/>
    <n v="4.1413509000000001E-2"/>
  </r>
  <r>
    <n v="830000"/>
    <n v="2500000"/>
    <n v="2500000"/>
    <x v="0"/>
    <x v="0"/>
    <s v="BR3-5, BR-7"/>
    <s v="62-304.520 (10), F.A.C."/>
    <n v="0.59"/>
    <n v="0.64"/>
    <s v="City of Cocoa Beach"/>
    <n v="1.87693498815E-3"/>
    <n v="3768.12710996546"/>
    <n v="11.9424979344032"/>
    <n v="1.5730967612919899"/>
    <n v="2.241529221899E-2"/>
    <n v="2.9526003510099998E-3"/>
    <n v="7.0725296124907198"/>
    <n v="1410"/>
    <s v="Retail Sales and Services"/>
    <n v="1410"/>
    <s v="City of Cocoa Beach           Brevard County"/>
    <s v="City of Cocoa Beach"/>
    <m/>
    <m/>
    <m/>
    <n v="0"/>
    <n v="1"/>
    <n v="2.241529221899E-2"/>
    <n v="2.9526003510099998E-3"/>
    <n v="7.07252961249102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3.316597590936201"/>
    <n v="7.5956864112224096"/>
    <n v="5.7360337000000004E-3"/>
  </r>
  <r>
    <n v="830000"/>
    <n v="2500000"/>
    <n v="2500000"/>
    <x v="0"/>
    <x v="0"/>
    <s v="BR3-5, BR-7"/>
    <s v="62-304.520 (10), F.A.C."/>
    <n v="0.59"/>
    <n v="0.64"/>
    <s v="City of Cocoa Beach"/>
    <n v="0.12369974832215"/>
    <n v="3768.12710996546"/>
    <n v="11.9424979344032"/>
    <n v="1.5730967612919899"/>
    <n v="1.4772839888235201"/>
    <n v="0.19459167345820999"/>
    <n v="466.11637514861297"/>
    <n v="1430"/>
    <s v="Professional Services"/>
    <n v="1430"/>
    <s v="City of Cocoa Beach           Brevard County"/>
    <s v="City of Cocoa Beach"/>
    <m/>
    <m/>
    <m/>
    <n v="0"/>
    <n v="1"/>
    <n v="1.4772839888235201"/>
    <n v="0.19459167345820999"/>
    <n v="466.116375148612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0.45945775199699"/>
    <n v="500.595120946772"/>
    <n v="0.37803436750000002"/>
  </r>
  <r>
    <n v="830000"/>
    <n v="2500000"/>
    <n v="2500000"/>
    <x v="0"/>
    <x v="0"/>
    <s v="BR3-5, BR-7"/>
    <s v="62-304.520 (10), F.A.C."/>
    <n v="0.59"/>
    <n v="0.64"/>
    <s v="FDOT District 5"/>
    <n v="8.0206639309999997E-5"/>
    <n v="3768.12710996546"/>
    <n v="11.9424979344032"/>
    <n v="1.5730967612919899"/>
    <n v="9.5786762434E-4"/>
    <n v="1.2617280453999999E-4"/>
    <n v="0.30222881200207002"/>
    <n v="1430"/>
    <s v="Professional Services"/>
    <n v="1430"/>
    <s v="FDOT District 5                                 City of Cocoa Beach           Brevard County"/>
    <s v="FDOT District 5"/>
    <m/>
    <m/>
    <m/>
    <n v="0"/>
    <n v="1"/>
    <n v="9.5786762434E-4"/>
    <n v="1.2617280453999999E-4"/>
    <n v="0.302228812001530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.8330417349309691"/>
    <n v="0.32458475343045001"/>
    <n v="2.4511660000000002E-4"/>
  </r>
  <r>
    <n v="830000"/>
    <n v="2500000"/>
    <n v="2500000"/>
    <x v="0"/>
    <x v="0"/>
    <s v="BR3-5, BR-7"/>
    <s v="62-304.520 (10), F.A.C."/>
    <n v="0.59"/>
    <n v="0.64"/>
    <s v="City of Cocoa Beach"/>
    <n v="0.11150198163291"/>
    <n v="3786.0833751069899"/>
    <n v="11.631441886392601"/>
    <n v="1.53565670570623"/>
    <n v="1.29692881958083"/>
    <n v="0.17122876579411"/>
    <n v="422.15579895185402"/>
    <n v="1400"/>
    <s v="Commercial and Services"/>
    <n v="1400"/>
    <s v="City of Cocoa Beach           Brevard County"/>
    <s v="City of Cocoa Beach"/>
    <m/>
    <m/>
    <m/>
    <n v="0"/>
    <n v="1"/>
    <n v="1.29692881958083"/>
    <n v="0.17122876579411"/>
    <n v="860.058263995137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9.38758935270201"/>
    <n v="451.23251048147603"/>
    <n v="0.69753306079999999"/>
  </r>
  <r>
    <n v="830000"/>
    <n v="2500000"/>
    <n v="2500000"/>
    <x v="0"/>
    <x v="0"/>
    <s v="BR3-5, BR-7"/>
    <s v="62-304.520 (10), F.A.C."/>
    <n v="0.59"/>
    <n v="0.64"/>
    <s v="City of Cocoa Beach"/>
    <n v="3.1960898197819998E-2"/>
    <n v="3786.0833751069899"/>
    <n v="11.631441886392601"/>
    <n v="1.53565670570623"/>
    <n v="0.37175133002485999"/>
    <n v="4.9080967637870003E-2"/>
    <n v="121.006625320257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37175133002485999"/>
    <n v="4.9080967637870003E-2"/>
    <n v="121.00662532025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0.998890888318101"/>
    <n v="129.34116613752499"/>
    <n v="9.81400043E-2"/>
  </r>
  <r>
    <n v="830000"/>
    <n v="2500000"/>
    <n v="2500000"/>
    <x v="0"/>
    <x v="0"/>
    <s v="BR3-5, BR-7"/>
    <s v="62-304.520 (10), F.A.C."/>
    <n v="0.59"/>
    <n v="0.64"/>
    <s v="City of Cocoa Beach"/>
    <n v="1.145437553003E-2"/>
    <n v="3786.0833751069899"/>
    <n v="11.631441886392601"/>
    <n v="1.53565670570623"/>
    <n v="0.13323090332255"/>
    <n v="1.758998859238E-2"/>
    <n v="43.367220766509199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0.13323090332255"/>
    <n v="1.758998859238E-2"/>
    <n v="439.22666320492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2.849834163785502"/>
    <n v="46.354213178315298"/>
    <n v="0.3562260042"/>
  </r>
  <r>
    <n v="830000"/>
    <n v="2500000"/>
    <n v="2500000"/>
    <x v="0"/>
    <x v="0"/>
    <s v="BR3-5, BR-7"/>
    <s v="62-304.520 (10), F.A.C."/>
    <n v="0.59"/>
    <n v="0.64"/>
    <s v="City of Cocoa Beach"/>
    <n v="5.3326699650420001E-2"/>
    <n v="3786.0833751069899"/>
    <n v="11.631441886392601"/>
    <n v="1.53565670570623"/>
    <n v="0.62026640797696997"/>
    <n v="8.189150391135E-2"/>
    <n v="201.899330995779"/>
    <n v="1410"/>
    <s v="Retail Sales and Services"/>
    <n v="1410"/>
    <s v="City of Cocoa Beach           Brevard County"/>
    <s v="City of Cocoa Beach"/>
    <m/>
    <m/>
    <m/>
    <n v="0"/>
    <n v="1"/>
    <n v="0.62026640797696997"/>
    <n v="8.189150391135E-2"/>
    <n v="442.554413976298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1.831194437834299"/>
    <n v="215.80549696569699"/>
    <n v="0.35892490999999999"/>
  </r>
  <r>
    <n v="830000"/>
    <n v="2500000"/>
    <n v="2500000"/>
    <x v="0"/>
    <x v="0"/>
    <s v="BR3-5, BR-7"/>
    <s v="62-304.520 (10), F.A.C."/>
    <n v="0.59"/>
    <n v="0.64"/>
    <s v="City of Cocoa Beach"/>
    <n v="1.4942797345909999E-2"/>
    <n v="3786.0833751069899"/>
    <n v="11.631441886392601"/>
    <n v="1.53565670570623"/>
    <n v="0.1738062789491"/>
    <n v="2.2947006946250001E-2"/>
    <n v="56.574676608946604"/>
    <n v="1410"/>
    <s v="Retail Sales and Services"/>
    <n v="1410"/>
    <s v="City of Cocoa Beach           Brevard County"/>
    <s v="City of Cocoa Beach"/>
    <m/>
    <m/>
    <m/>
    <n v="0"/>
    <n v="1"/>
    <n v="0.1738062789491"/>
    <n v="2.2947006946250001E-2"/>
    <n v="56.5746766089454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6.696317659020202"/>
    <n v="60.4713554079202"/>
    <n v="4.5883760400000001E-2"/>
  </r>
  <r>
    <n v="830000"/>
    <n v="2500000"/>
    <n v="2500000"/>
    <x v="0"/>
    <x v="0"/>
    <s v="BR3-5, BR-7"/>
    <s v="62-304.520 (10), F.A.C."/>
    <n v="0.59"/>
    <n v="0.64"/>
    <s v="City of Cocoa Beach"/>
    <n v="3.72736081663E-3"/>
    <n v="3786.0833751069899"/>
    <n v="11.631441886392601"/>
    <n v="1.53565670570623"/>
    <n v="4.335458072824E-2"/>
    <n v="5.72394663264E-3"/>
    <n v="14.112098820868001"/>
    <n v="1410"/>
    <s v="Retail Sales and Services"/>
    <n v="1410"/>
    <s v="City of Cocoa Beach           Brevard County"/>
    <s v="City of Cocoa Beach"/>
    <m/>
    <m/>
    <m/>
    <n v="0"/>
    <n v="1"/>
    <n v="4.335458072824E-2"/>
    <n v="5.72394663264E-3"/>
    <n v="419.483299359378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2.012062443393297"/>
    <n v="15.084094059381"/>
    <n v="0.34021354370000001"/>
  </r>
  <r>
    <n v="830000"/>
    <n v="2500000"/>
    <n v="2500000"/>
    <x v="0"/>
    <x v="0"/>
    <s v="BR3-5, BR-7"/>
    <s v="62-304.520 (10), F.A.C."/>
    <n v="0.59"/>
    <n v="0.64"/>
    <s v="City of Cocoa Beach"/>
    <n v="0.29956667220011002"/>
    <n v="3786.0833759532502"/>
    <n v="11.6314418889924"/>
    <n v="1.5356567060494699"/>
    <n v="3.48439233957451"/>
    <n v="0.46003156907303"/>
    <n v="1134.1843976064899"/>
    <n v="1410"/>
    <s v="Retail Sales and Services"/>
    <n v="1410"/>
    <s v="City of Cocoa Beach           Brevard County"/>
    <s v="City of Cocoa Beach"/>
    <m/>
    <m/>
    <m/>
    <n v="0"/>
    <n v="1"/>
    <n v="3.48439233957451"/>
    <n v="0.46003156907303"/>
    <n v="2207.69631808569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8.67626446600801"/>
    <n v="1212.3033113300301"/>
    <n v="1.7905079628"/>
  </r>
  <r>
    <n v="830000"/>
    <n v="2500000"/>
    <n v="2500000"/>
    <x v="0"/>
    <x v="0"/>
    <s v="BR3-5, BR-7"/>
    <s v="62-304.520 (10), F.A.C."/>
    <n v="0.59"/>
    <n v="0.64"/>
    <s v="City of Cocoa Beach"/>
    <n v="5.4621144551440001E-2"/>
    <n v="3293.1860558089802"/>
    <n v="8.9211579445030402"/>
    <n v="1.5106157521191399"/>
    <n v="0.48728385765297999"/>
    <n v="8.2511561358190003E-2"/>
    <n v="179.87759158914801"/>
    <n v="1200"/>
    <s v="Residential, Medium Density-Two-five dwellingunits per acre"/>
    <n v="1200"/>
    <s v="City of Cocoa Beach           Brevard County"/>
    <s v="City of Cocoa Beach"/>
    <m/>
    <m/>
    <m/>
    <n v="0"/>
    <n v="1"/>
    <n v="0.48728385765297999"/>
    <n v="8.2511561358190003E-2"/>
    <n v="734.597675183385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8.90842123015599"/>
    <n v="221.04392962685799"/>
    <n v="0.59578075850000001"/>
  </r>
  <r>
    <n v="830000"/>
    <n v="2500000"/>
    <n v="2500000"/>
    <x v="0"/>
    <x v="0"/>
    <s v="BR3-5, BR-7"/>
    <s v="62-304.520 (10), F.A.C."/>
    <n v="0.59"/>
    <n v="0.64"/>
    <s v="City of Cocoa Beach"/>
    <n v="0.1772774987837"/>
    <n v="3293.1860558089802"/>
    <n v="8.9211579445030402"/>
    <n v="1.5106157521191399"/>
    <n v="1.58152056665589"/>
    <n v="0.26779818215895002"/>
    <n v="583.80778700319695"/>
    <n v="1300"/>
    <s v="Residential, High Density"/>
    <n v="1300"/>
    <s v="City of Cocoa Beach           Brevard County"/>
    <s v="City of Cocoa Beach"/>
    <m/>
    <m/>
    <m/>
    <n v="0"/>
    <n v="1"/>
    <n v="1.58152056665589"/>
    <n v="0.26779818215895002"/>
    <n v="583.807787003196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5.71493509446501"/>
    <n v="717.41658449985198"/>
    <n v="0.47348563420000001"/>
  </r>
  <r>
    <n v="830000"/>
    <n v="2500000"/>
    <n v="2500000"/>
    <x v="0"/>
    <x v="0"/>
    <s v="BR3-5, BR-7"/>
    <s v="62-304.520 (10), F.A.C."/>
    <n v="0.59"/>
    <n v="0.64"/>
    <s v="City of Cocoa Beach"/>
    <n v="2.5084040983910001E-2"/>
    <n v="3293.1860558089802"/>
    <n v="8.9211579445030402"/>
    <n v="1.5106157521191399"/>
    <n v="0.22377869150388"/>
    <n v="3.7892347437100002E-2"/>
    <n v="82.606413991566498"/>
    <n v="1400"/>
    <s v="Commercial and Services"/>
    <n v="1400"/>
    <s v="City of Cocoa Beach           Brevard County"/>
    <s v="City of Cocoa Beach"/>
    <m/>
    <m/>
    <m/>
    <n v="0"/>
    <n v="1"/>
    <n v="0.22377869150388"/>
    <n v="3.7892347437100002E-2"/>
    <n v="82.60641399156490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53.297780218947899"/>
    <n v="101.511512355495"/>
    <n v="6.6996280599999999E-2"/>
  </r>
  <r>
    <n v="830000"/>
    <n v="2500000"/>
    <n v="2500000"/>
    <x v="0"/>
    <x v="0"/>
    <s v="BR3-5, BR-7"/>
    <s v="62-304.520 (10), F.A.C."/>
    <n v="0.59"/>
    <n v="0.64"/>
    <s v="City of Cocoa Beach"/>
    <n v="7.9513486168989997E-2"/>
    <n v="3293.1860558089802"/>
    <n v="8.9211579445030402"/>
    <n v="1.5106157521191399"/>
    <n v="0.70935236883165997"/>
    <n v="0.12011432471279"/>
    <n v="261.85270390049402"/>
    <n v="1300"/>
    <s v="Residential, High Density"/>
    <n v="1300"/>
    <s v="City of Cocoa Beach           Brevard County"/>
    <s v="City of Cocoa Beach"/>
    <m/>
    <m/>
    <m/>
    <n v="0"/>
    <n v="1"/>
    <n v="0.70935236883165997"/>
    <n v="0.12011432471279"/>
    <n v="261.85270390049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4.184309951996994"/>
    <n v="321.77966217040898"/>
    <n v="0.21237040060000001"/>
  </r>
  <r>
    <n v="830000"/>
    <n v="2500000"/>
    <n v="2500000"/>
    <x v="0"/>
    <x v="0"/>
    <s v="BR3-5, BR-7"/>
    <s v="62-304.520 (10), F.A.C."/>
    <n v="0.59"/>
    <n v="0.64"/>
    <s v="City of Cocoa Beach"/>
    <n v="0.12806578479291"/>
    <n v="3836.85813127659"/>
    <n v="10.529010581779801"/>
    <n v="1.4025717973634699"/>
    <n v="1.3484060032484899"/>
    <n v="0.17962145795775"/>
    <n v="491.37024772099801"/>
    <n v="1410"/>
    <s v="Retail Sales and Services"/>
    <n v="1410"/>
    <s v="City of Cocoa Beach           Brevard County"/>
    <s v="City of Cocoa Beach"/>
    <m/>
    <m/>
    <m/>
    <n v="0"/>
    <n v="1"/>
    <n v="1.3484060032484899"/>
    <n v="0.17962145795775"/>
    <n v="491.370247720998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1.174557352446"/>
    <n v="518.26384367888897"/>
    <n v="0.39851601599999997"/>
  </r>
  <r>
    <n v="830000"/>
    <n v="2500000"/>
    <n v="2500000"/>
    <x v="0"/>
    <x v="0"/>
    <s v="BR3-5, BR-7"/>
    <s v="62-304.520 (10), F.A.C."/>
    <n v="0.59"/>
    <n v="0.64"/>
    <s v="City of Cocoa Beach"/>
    <n v="7.0901517784070001E-2"/>
    <n v="3836.85813127659"/>
    <n v="10.529010581779801"/>
    <n v="1.4025717973634699"/>
    <n v="0.74652283101272998"/>
    <n v="9.94444692342E-2"/>
    <n v="272.03906502966402"/>
    <n v="1410"/>
    <s v="Retail Sales and Services"/>
    <n v="1410"/>
    <s v="City of Cocoa Beach           Brevard County"/>
    <s v="City of Cocoa Beach"/>
    <m/>
    <m/>
    <m/>
    <n v="0"/>
    <n v="1"/>
    <n v="0.74652283101272998"/>
    <n v="9.94444692342E-2"/>
    <n v="272.039065029666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9.251054905448896"/>
    <n v="286.928262602377"/>
    <n v="0.2206318451"/>
  </r>
  <r>
    <n v="830000"/>
    <n v="2500000"/>
    <n v="2500000"/>
    <x v="0"/>
    <x v="0"/>
    <s v="BR3-5, BR-7"/>
    <s v="62-304.520 (10), F.A.C."/>
    <n v="0.59"/>
    <n v="0.64"/>
    <s v="City of Cocoa Beach"/>
    <n v="0.16331512936104001"/>
    <n v="3836.85813127659"/>
    <n v="10.529010581779801"/>
    <n v="1.4025717973634699"/>
    <n v="1.7195467252071901"/>
    <n v="0.22906119452456999"/>
    <n v="626.61698204941695"/>
    <n v="1430"/>
    <s v="Professional Services"/>
    <n v="1430"/>
    <s v="City of Cocoa Beach           Brevard County"/>
    <s v="City of Cocoa Beach"/>
    <m/>
    <m/>
    <m/>
    <n v="0"/>
    <n v="1"/>
    <n v="1.7195467252071901"/>
    <n v="0.22906119452456999"/>
    <n v="626.6169820494169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8.783763794658"/>
    <n v="660.912880129835"/>
    <n v="0.50820517600000004"/>
  </r>
  <r>
    <n v="830000"/>
    <n v="2500000"/>
    <n v="2500000"/>
    <x v="0"/>
    <x v="0"/>
    <s v="BR3-5, BR-7"/>
    <s v="62-304.520 (10), F.A.C."/>
    <n v="0.59"/>
    <n v="0.64"/>
    <s v="City of Cocoa Beach"/>
    <n v="7.9681932765540003E-2"/>
    <n v="3836.85813127659"/>
    <n v="10.529010581779801"/>
    <n v="1.4025717973634699"/>
    <n v="0.83897191326506004"/>
    <n v="0.11175963165636001"/>
    <n v="305.72827164730398"/>
    <n v="1410"/>
    <s v="Retail Sales and Services"/>
    <n v="1410"/>
    <s v="City of Cocoa Beach           Brevard County"/>
    <s v="City of Cocoa Beach"/>
    <m/>
    <m/>
    <m/>
    <n v="0"/>
    <n v="1"/>
    <n v="0.83897191326506004"/>
    <n v="0.11175963165636001"/>
    <n v="305.728271647303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73.973478220326399"/>
    <n v="322.46134136147799"/>
    <n v="0.2479548026"/>
  </r>
  <r>
    <n v="830000"/>
    <n v="2500000"/>
    <n v="2500000"/>
    <x v="0"/>
    <x v="0"/>
    <s v="BR3-5, BR-7"/>
    <s v="62-304.520 (10), F.A.C."/>
    <n v="0.59"/>
    <n v="0.64"/>
    <s v="City of Cocoa Beach"/>
    <n v="1.6630183614710001E-2"/>
    <n v="3836.85813127659"/>
    <n v="10.529010581779801"/>
    <n v="1.4025717973634699"/>
    <n v="0.17509937925623001"/>
    <n v="2.3325026522969999E-2"/>
    <n v="63.807655226726602"/>
    <n v="1410"/>
    <s v="Retail Sales and Services"/>
    <n v="1410"/>
    <s v="City of Cocoa Beach           Brevard County"/>
    <s v="City of Cocoa Beach"/>
    <m/>
    <m/>
    <m/>
    <n v="0"/>
    <n v="1"/>
    <n v="0.17509937925623001"/>
    <n v="2.3325026522969999E-2"/>
    <n v="84.1289313436105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8.1383282212864"/>
    <n v="67.2999653668859"/>
    <n v="6.8231087900000001E-2"/>
  </r>
  <r>
    <n v="830000"/>
    <n v="2500000"/>
    <n v="2500000"/>
    <x v="0"/>
    <x v="0"/>
    <s v="BR3-5, BR-7"/>
    <s v="62-304.520 (10), F.A.C."/>
    <n v="0.59"/>
    <n v="0.64"/>
    <s v="City of Cocoa Beach"/>
    <n v="0.14875689849102999"/>
    <n v="3836.85813127659"/>
    <n v="10.529010581779801"/>
    <n v="1.4025717973634699"/>
    <n v="1.5662629583248699"/>
    <n v="0.20864223048679001"/>
    <n v="570.75911555882101"/>
    <n v="1410"/>
    <s v="Retail Sales and Services"/>
    <n v="1410"/>
    <s v="City of Cocoa Beach           Brevard County"/>
    <s v="City of Cocoa Beach"/>
    <m/>
    <m/>
    <m/>
    <n v="0"/>
    <n v="1"/>
    <n v="1.5662629583248699"/>
    <n v="0.20864223048679001"/>
    <n v="590.3872324436449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4.779449898462"/>
    <n v="601.99781003475903"/>
    <n v="0.47882176189999998"/>
  </r>
  <r>
    <n v="830000"/>
    <n v="2500000"/>
    <n v="2500000"/>
    <x v="0"/>
    <x v="0"/>
    <s v="BR3-5, BR-7"/>
    <s v="62-304.520 (10), F.A.C."/>
    <n v="0.59"/>
    <n v="0.64"/>
    <s v="City of Cocoa Beach"/>
    <n v="1.69915212588E-3"/>
    <n v="3766.78379572207"/>
    <n v="11.9731727111058"/>
    <n v="1.57680191788457"/>
    <n v="2.0344241865679999E-2"/>
    <n v="2.6792263308700001E-3"/>
    <n v="6.4003386942578704"/>
    <n v="1400"/>
    <s v="Commercial and Services"/>
    <n v="1400"/>
    <s v="City of Cocoa Beach           Brevard County"/>
    <s v="City of Cocoa Beach"/>
    <m/>
    <m/>
    <m/>
    <n v="0"/>
    <n v="1"/>
    <n v="2.0344241865679999E-2"/>
    <n v="2.6792263308700001E-3"/>
    <n v="6.40033869425900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0.325845589799"/>
    <n v="6.8762246932816398"/>
    <n v="5.1908667000000004E-3"/>
  </r>
  <r>
    <n v="830000"/>
    <n v="2500000"/>
    <n v="2500000"/>
    <x v="0"/>
    <x v="0"/>
    <s v="BR3-5, BR-7"/>
    <s v="62-304.520 (10), F.A.C."/>
    <n v="0.59"/>
    <n v="0.64"/>
    <s v="FDOT District 5"/>
    <n v="6.1051900128339998E-2"/>
    <n v="3766.78379572207"/>
    <n v="11.9731727111058"/>
    <n v="1.57680191788457"/>
    <n v="0.73098494457780006"/>
    <n v="9.6266753212860004E-2"/>
    <n v="229.969308101472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73098494457780006"/>
    <n v="9.6266753212860004E-2"/>
    <n v="229.969308101475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9.834267520894"/>
    <n v="247.068274134098"/>
    <n v="0.18651200979999999"/>
  </r>
  <r>
    <n v="830000"/>
    <n v="2500000"/>
    <n v="2500000"/>
    <x v="0"/>
    <x v="0"/>
    <s v="BR3-5, BR-7"/>
    <s v="62-304.520 (10), F.A.C."/>
    <n v="0.59"/>
    <n v="0.64"/>
    <s v="City of Cocoa Beach"/>
    <n v="5.2942578232900002E-2"/>
    <n v="3766.78379572207"/>
    <n v="11.9731727111058"/>
    <n v="1.57680191788457"/>
    <n v="0.63389063295377002"/>
    <n v="8.3479958895390005E-2"/>
    <n v="199.42324579144301"/>
    <n v="1410"/>
    <s v="Retail Sales and Services"/>
    <n v="1410"/>
    <s v="City of Cocoa Beach           Brevard County"/>
    <s v="City of Cocoa Beach"/>
    <m/>
    <m/>
    <m/>
    <n v="0"/>
    <n v="1"/>
    <n v="0.63389063295377002"/>
    <n v="8.3479958895390005E-2"/>
    <n v="199.42324579144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9.395690505671496"/>
    <n v="214.25101274023501"/>
    <n v="0.16173823670000001"/>
  </r>
  <r>
    <n v="830000"/>
    <n v="2500000"/>
    <n v="2500000"/>
    <x v="0"/>
    <x v="0"/>
    <s v="BR3-5, BR-7"/>
    <s v="62-304.520 (10), F.A.C."/>
    <n v="0.59"/>
    <n v="0.64"/>
    <s v="City of Cocoa Beach"/>
    <n v="0.16953606998064999"/>
    <n v="3766.78379572207"/>
    <n v="11.9731727111058"/>
    <n v="1.57680191788457"/>
    <n v="2.0298846466405598"/>
    <n v="0.26732480029611"/>
    <n v="638.60572119355004"/>
    <n v="1410"/>
    <s v="Retail Sales and Services"/>
    <n v="1410"/>
    <s v="City of Cocoa Beach           Brevard County"/>
    <s v="City of Cocoa Beach"/>
    <m/>
    <m/>
    <m/>
    <n v="0"/>
    <n v="1"/>
    <n v="2.0298846466405598"/>
    <n v="0.26732480029611"/>
    <n v="638.6057211935500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0.40905065638501"/>
    <n v="686.08813362968601"/>
    <n v="0.5179284032"/>
  </r>
  <r>
    <n v="830000"/>
    <n v="2500000"/>
    <n v="2500000"/>
    <x v="0"/>
    <x v="0"/>
    <s v="BR3-5, BR-7"/>
    <s v="62-304.520 (10), F.A.C."/>
    <n v="0.59"/>
    <n v="0.64"/>
    <s v="City of Cocoa Beach"/>
    <n v="0.33253375308505001"/>
    <n v="3766.78379572207"/>
    <n v="11.9731727111058"/>
    <n v="1.57680191788457"/>
    <n v="3.9814840579596198"/>
    <n v="0.52433985962587004"/>
    <n v="1252.5827526514299"/>
    <n v="1430"/>
    <s v="Professional Services"/>
    <n v="1430"/>
    <s v="City of Cocoa Beach           Brevard County"/>
    <s v="City of Cocoa Beach"/>
    <m/>
    <m/>
    <m/>
    <n v="0"/>
    <n v="1"/>
    <n v="3.9814840579596198"/>
    <n v="0.52433985962587004"/>
    <n v="1252.58275265142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9.76511959628201"/>
    <n v="1345.71635433703"/>
    <n v="1.0158822000000001"/>
  </r>
  <r>
    <n v="830000"/>
    <n v="2500000"/>
    <n v="2500000"/>
    <x v="0"/>
    <x v="0"/>
    <s v="BR3-5, BR-7"/>
    <s v="62-304.520 (10), F.A.C."/>
    <n v="0.59"/>
    <n v="0.64"/>
    <s v="City of Cocoa Beach"/>
    <n v="9.0318873872100008E-3"/>
    <n v="3763.4586097124202"/>
    <n v="10.956411114181"/>
    <n v="1.9838464758405701"/>
    <n v="9.8957071351249995E-2"/>
    <n v="1.7917877963300001E-2"/>
    <n v="33.991134349348499"/>
    <n v="1400"/>
    <s v="Commercial and Services"/>
    <n v="1400"/>
    <s v="City of Cocoa Beach           Brevard County"/>
    <s v="City of Cocoa Beach"/>
    <m/>
    <m/>
    <m/>
    <n v="0"/>
    <n v="1"/>
    <n v="9.8957071351249995E-2"/>
    <n v="1.7917877963300001E-2"/>
    <n v="33.9911343493473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1.310807514071"/>
    <n v="36.550751479323203"/>
    <n v="2.7567830000000002E-2"/>
  </r>
  <r>
    <n v="830000"/>
    <n v="2500000"/>
    <n v="2500000"/>
    <x v="0"/>
    <x v="0"/>
    <s v="BR3-5, BR-7"/>
    <s v="62-304.520 (10), F.A.C."/>
    <n v="0.59"/>
    <n v="0.64"/>
    <s v="FDOT District 5"/>
    <n v="4.2625507167620001E-2"/>
    <n v="3763.4586097124202"/>
    <n v="10.956411114181"/>
    <n v="1.9838464758405701"/>
    <n v="0.46702258047890999"/>
    <n v="8.4562462175400005E-2"/>
    <n v="160.419331943337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46702258047890999"/>
    <n v="8.4562462175400005E-2"/>
    <n v="160.419331943337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07.072249387982"/>
    <n v="172.49930743934101"/>
    <n v="0.13010489210000001"/>
  </r>
  <r>
    <n v="830000"/>
    <n v="2500000"/>
    <n v="2500000"/>
    <x v="0"/>
    <x v="0"/>
    <s v="BR3-5, BR-7"/>
    <s v="62-304.520 (10), F.A.C."/>
    <n v="0.59"/>
    <n v="0.64"/>
    <s v="City of Cocoa Beach"/>
    <n v="5.3207202280699997E-3"/>
    <n v="3763.4586097124202"/>
    <n v="10.956411114181"/>
    <n v="1.9838464758405701"/>
    <n v="5.8295998242319999E-2"/>
    <n v="1.0555492073399999E-2"/>
    <n v="20.024310352219899"/>
    <n v="1430"/>
    <s v="Professional Services"/>
    <n v="1430"/>
    <s v="City of Cocoa Beach           Brevard County"/>
    <s v="City of Cocoa Beach"/>
    <m/>
    <m/>
    <m/>
    <n v="0"/>
    <n v="1"/>
    <n v="5.8295998242319999E-2"/>
    <n v="1.0555492073399999E-2"/>
    <n v="20.0243103522215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2.744234998410803"/>
    <n v="21.532190826780699"/>
    <n v="1.6240316599999999E-2"/>
  </r>
  <r>
    <n v="830000"/>
    <n v="2500000"/>
    <n v="2500000"/>
    <x v="0"/>
    <x v="0"/>
    <s v="BR3-5, BR-7"/>
    <s v="62-304.520 (10), F.A.C."/>
    <n v="0.59"/>
    <n v="0.64"/>
    <s v="City of Cocoa Beach"/>
    <n v="5.4093715633269999E-2"/>
    <n v="3763.4586097124202"/>
    <n v="10.956411114181"/>
    <n v="1.9838464758405701"/>
    <n v="0.59267298717172001"/>
    <n v="0.10731362712417999"/>
    <n v="203.57945983137299"/>
    <n v="1410"/>
    <s v="Retail Sales and Services"/>
    <n v="1410"/>
    <s v="City of Cocoa Beach           Brevard County"/>
    <s v="City of Cocoa Beach"/>
    <m/>
    <m/>
    <m/>
    <n v="0"/>
    <n v="1"/>
    <n v="0.59267298717172001"/>
    <n v="0.10731362712417999"/>
    <n v="203.579459831374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1.90282997348601"/>
    <n v="218.90950052198701"/>
    <n v="0.16510905100000001"/>
  </r>
  <r>
    <n v="830000"/>
    <n v="2500000"/>
    <n v="2500000"/>
    <x v="0"/>
    <x v="0"/>
    <s v="BR3-5, BR-7"/>
    <s v="62-304.520 (10), F.A.C."/>
    <n v="0.59"/>
    <n v="0.64"/>
    <s v="City of Cocoa Beach"/>
    <n v="0.50669162325173001"/>
    <n v="3763.4586097124202"/>
    <n v="10.956411114181"/>
    <n v="1.9838464758405701"/>
    <n v="5.5515217324577204"/>
    <n v="1.0051983911258899"/>
    <n v="1906.9129519958999"/>
    <n v="1300"/>
    <s v="Residential, High Density"/>
    <n v="1300"/>
    <s v="City of Cocoa Beach           Brevard County"/>
    <s v="City of Cocoa Beach"/>
    <m/>
    <m/>
    <m/>
    <n v="0"/>
    <n v="1"/>
    <n v="5.5515217324577204"/>
    <n v="1.0051983911258899"/>
    <n v="1906.912951995899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81.139310837127"/>
    <n v="2050.5082497325602"/>
    <n v="1.5465636269"/>
  </r>
  <r>
    <n v="840000"/>
    <n v="2400000"/>
    <n v="2400000"/>
    <x v="0"/>
    <x v="0"/>
    <s v="BR3-5, BR-7"/>
    <s v="62-304.520 (10), F.A.C."/>
    <n v="0.59"/>
    <n v="0.64"/>
    <s v="City of Cocoa Beach"/>
    <n v="1.1796165394319999E-2"/>
    <n v="3294.8136544918402"/>
    <n v="9.87096039206358"/>
    <n v="1.31625280227494"/>
    <n v="0.11643948138564"/>
    <n v="1.552673575638E-2"/>
    <n v="38.866166811876099"/>
    <n v="1400"/>
    <s v="Commercial and Services"/>
    <n v="1400"/>
    <s v="City of Cocoa Beach           Brevard County"/>
    <s v="City of Cocoa Beach"/>
    <m/>
    <m/>
    <m/>
    <n v="0"/>
    <n v="1"/>
    <n v="0.11643948138564"/>
    <n v="1.552673575638E-2"/>
    <n v="1348.89109439094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0.834065574064802"/>
    <n v="47.737387685727498"/>
    <n v="1.0939911551999999"/>
  </r>
  <r>
    <n v="840000"/>
    <n v="2400000"/>
    <n v="2400000"/>
    <x v="0"/>
    <x v="0"/>
    <s v="BR3-5, BR-7"/>
    <s v="62-304.520 (10), F.A.C."/>
    <n v="0.59"/>
    <n v="0.64"/>
    <s v="City of Cocoa Beach"/>
    <n v="1.9612082169200001E-3"/>
    <n v="3294.8136544918402"/>
    <n v="9.87096039206358"/>
    <n v="1.31625280227494"/>
    <n v="1.935900862981E-2"/>
    <n v="2.5814458113599999E-3"/>
    <n v="6.46181561241292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1.935900862981E-2"/>
    <n v="2.5814458113599999E-3"/>
    <n v="70.23272146381590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3.728152269641299"/>
    <n v="7.9367280683115"/>
    <n v="5.6960844699999999E-2"/>
  </r>
  <r>
    <n v="840000"/>
    <n v="2400000"/>
    <n v="2400000"/>
    <x v="0"/>
    <x v="0"/>
    <s v="BR3-5, BR-7"/>
    <s v="62-304.520 (10), F.A.C."/>
    <n v="0.59"/>
    <n v="0.64"/>
    <s v="City of Cocoa Beach"/>
    <n v="5.8826669216440003E-2"/>
    <n v="3786.0833759532502"/>
    <n v="11.6314418889924"/>
    <n v="1.5356567060494699"/>
    <n v="0.68423898451405996"/>
    <n v="9.0337569076780005E-2"/>
    <n v="222.72267438308299"/>
    <n v="1400"/>
    <s v="Commercial and Services"/>
    <n v="1400"/>
    <s v="City of Cocoa Beach           Brevard County"/>
    <s v="City of Cocoa Beach"/>
    <m/>
    <m/>
    <m/>
    <n v="0"/>
    <n v="1"/>
    <n v="0.68423898451405996"/>
    <n v="9.0337569076780005E-2"/>
    <n v="710.913444541006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3.953562605686898"/>
    <n v="238.06308412696899"/>
    <n v="0.57657213669999996"/>
  </r>
  <r>
    <n v="840000"/>
    <n v="2400000"/>
    <n v="2400000"/>
    <x v="0"/>
    <x v="0"/>
    <s v="BR3-5, BR-7"/>
    <s v="62-304.520 (10), F.A.C."/>
    <n v="0.59"/>
    <n v="0.64"/>
    <s v="City of Cocoa Beach"/>
    <n v="0.29758293009592002"/>
    <n v="3786.0833759532502"/>
    <n v="11.6314418889924"/>
    <n v="1.5356567060494699"/>
    <n v="3.4613185585669002"/>
    <n v="0.45698522220766002"/>
    <n v="1126.6737846036499"/>
    <n v="1410"/>
    <s v="Retail Sales and Services"/>
    <n v="1410"/>
    <s v="City of Cocoa Beach           Brevard County"/>
    <s v="City of Cocoa Beach"/>
    <m/>
    <m/>
    <m/>
    <n v="0"/>
    <n v="1"/>
    <n v="3.4613185585669002"/>
    <n v="0.45698522220766002"/>
    <n v="1416.38446642454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40.69501002105301"/>
    <n v="1204.2753918553101"/>
    <n v="1.1487303053"/>
  </r>
  <r>
    <n v="840000"/>
    <n v="2400000"/>
    <n v="2400000"/>
    <x v="0"/>
    <x v="0"/>
    <s v="BR3-5, BR-7"/>
    <s v="62-304.520 (10), F.A.C."/>
    <n v="0.59"/>
    <n v="0.64"/>
    <s v="City of Cocoa Beach"/>
    <n v="3.2386791815590003E-2"/>
    <n v="3743.6912227973398"/>
    <n v="10.2396116376063"/>
    <n v="1.4718028344476599"/>
    <n v="0.33162817037970999"/>
    <n v="4.7666971992859998E-2"/>
    <n v="121.246148254611"/>
    <n v="1300"/>
    <s v="Residential, High Density"/>
    <n v="1300"/>
    <s v="City of Cocoa Beach           Brevard County"/>
    <s v="City of Cocoa Beach"/>
    <m/>
    <m/>
    <m/>
    <n v="0"/>
    <n v="1"/>
    <n v="0.33162817037970999"/>
    <n v="4.7666971992859998E-2"/>
    <n v="134.651689774244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6.033265036855703"/>
    <n v="131.06469645987499"/>
    <n v="0.10920656099999999"/>
  </r>
  <r>
    <n v="840000"/>
    <n v="2400000"/>
    <n v="2400000"/>
    <x v="0"/>
    <x v="0"/>
    <s v="BR3-5, BR-7"/>
    <s v="62-304.520 (10), F.A.C."/>
    <n v="0.59"/>
    <n v="0.64"/>
    <s v="City of Cocoa Beach"/>
    <n v="9.26181668734E-3"/>
    <n v="3743.6912227973398"/>
    <n v="10.2396116376063"/>
    <n v="1.4718028344476599"/>
    <n v="9.4837405937059999E-2"/>
    <n v="1.363156805256E-2"/>
    <n v="34.673381839552697"/>
    <n v="1400"/>
    <s v="Commercial and Services"/>
    <n v="1400"/>
    <s v="City of Cocoa Beach           Brevard County"/>
    <s v="City of Cocoa Beach"/>
    <m/>
    <m/>
    <m/>
    <n v="0"/>
    <n v="1"/>
    <n v="9.4837405937059999E-2"/>
    <n v="1.363156805256E-2"/>
    <n v="287.76371524380602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7.9515124888458"/>
    <n v="37.481242344252699"/>
    <n v="0.2333850083"/>
  </r>
  <r>
    <n v="840000"/>
    <n v="2400000"/>
    <n v="2400000"/>
    <x v="0"/>
    <x v="0"/>
    <s v="BR3-5, BR-7"/>
    <s v="62-304.520 (10), F.A.C."/>
    <n v="0.59"/>
    <n v="0.64"/>
    <s v="FDOT District 5"/>
    <n v="6.3169585606999998E-4"/>
    <n v="3743.6912227973398"/>
    <n v="10.2396116376063"/>
    <n v="1.4718028344476599"/>
    <n v="6.4683202392700001E-3"/>
    <n v="9.2973175146999999E-4"/>
    <n v="2.36487423185793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6.4683202392700001E-3"/>
    <n v="9.2973175146999999E-4"/>
    <n v="244.8084488250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1.205382194526599"/>
    <n v="2.5563824321531201"/>
    <n v="0.19854699819999999"/>
  </r>
  <r>
    <n v="840000"/>
    <n v="2400000"/>
    <n v="2400000"/>
    <x v="0"/>
    <x v="0"/>
    <s v="BR3-5, BR-7"/>
    <s v="62-304.520 (10), F.A.C."/>
    <n v="0.59"/>
    <n v="0.64"/>
    <s v="City of Cocoa Beach"/>
    <n v="2.8737445744609999E-2"/>
    <n v="3786.0833751069899"/>
    <n v="11.631441886392601"/>
    <n v="1.53565670570623"/>
    <n v="0.33425793014179001"/>
    <n v="4.4130851262569999E-2"/>
    <n v="108.802365576707"/>
    <n v="1400"/>
    <s v="Commercial and Services"/>
    <n v="1400"/>
    <s v="City of Cocoa Beach           Brevard County"/>
    <s v="City of Cocoa Beach"/>
    <m/>
    <m/>
    <m/>
    <n v="0"/>
    <n v="1"/>
    <n v="0.33425793014179001"/>
    <n v="4.4130851262569999E-2"/>
    <n v="342.857067820709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8.532795037049596"/>
    <n v="116.296316874947"/>
    <n v="0.27806737050000002"/>
  </r>
  <r>
    <n v="840000"/>
    <n v="2400000"/>
    <n v="2400000"/>
    <x v="0"/>
    <x v="0"/>
    <s v="BR3-5, BR-7"/>
    <s v="62-304.520 (10), F.A.C."/>
    <n v="0.59"/>
    <n v="0.64"/>
    <s v="City of Cocoa Beach"/>
    <n v="1.6931172420270001E-2"/>
    <n v="3786.0833751069899"/>
    <n v="11.631441886392601"/>
    <n v="1.53565670570623"/>
    <n v="0.19693394807494999"/>
    <n v="2.6000468462659999E-2"/>
    <n v="64.102830421484597"/>
    <n v="1410"/>
    <s v="Retail Sales and Services"/>
    <n v="1410"/>
    <s v="City of Cocoa Beach           Brevard County"/>
    <s v="City of Cocoa Beach"/>
    <m/>
    <m/>
    <m/>
    <n v="0"/>
    <n v="1"/>
    <n v="0.19693394807494999"/>
    <n v="2.6000468462659999E-2"/>
    <n v="208.064926236430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34.389492603883603"/>
    <n v="68.518023847763402"/>
    <n v="0.16874689879999999"/>
  </r>
  <r>
    <n v="840000"/>
    <n v="2400000"/>
    <n v="2400000"/>
    <x v="0"/>
    <x v="0"/>
    <s v="BR3-5, BR-7"/>
    <s v="62-304.520 (10), F.A.C."/>
    <n v="0.59"/>
    <n v="0.64"/>
    <s v="City of Cocoa Beach"/>
    <n v="1.288065790249E-2"/>
    <n v="3786.0833751069899"/>
    <n v="11.631441886392601"/>
    <n v="1.53565670570623"/>
    <n v="0.14982062385136999"/>
    <n v="1.9780268681870002E-2"/>
    <n v="48.767244745076901"/>
    <n v="1430"/>
    <s v="Professional Services"/>
    <n v="1430"/>
    <s v="City of Cocoa Beach           Brevard County"/>
    <s v="City of Cocoa Beach"/>
    <m/>
    <m/>
    <m/>
    <n v="0"/>
    <n v="1"/>
    <n v="0.14982062385136999"/>
    <n v="1.9780268681870002E-2"/>
    <n v="1106.2092290295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40.302986238653602"/>
    <n v="52.126173157448001"/>
    <n v="0.89716887999999995"/>
  </r>
  <r>
    <n v="840000"/>
    <n v="2400000"/>
    <n v="2400000"/>
    <x v="0"/>
    <x v="0"/>
    <s v="BR3-5, BR-7"/>
    <s v="62-304.520 (10), F.A.C."/>
    <n v="0.59"/>
    <n v="0.64"/>
    <s v="City of Cocoa Beach"/>
    <n v="1.2411923761999999E-4"/>
    <n v="3786.0833751069899"/>
    <n v="11.631441886392601"/>
    <n v="1.53565670570623"/>
    <n v="1.4436856994100001E-3"/>
    <n v="1.9060453956000001E-4"/>
    <n v="0.46992578210295999"/>
    <n v="1410"/>
    <s v="Retail Sales and Services"/>
    <n v="1410"/>
    <s v="City of Cocoa Beach           Brevard County"/>
    <s v="City of Cocoa Beach"/>
    <m/>
    <m/>
    <m/>
    <n v="0"/>
    <n v="1"/>
    <n v="1.4436856994100001E-3"/>
    <n v="1.9060453956000001E-4"/>
    <n v="681.77271885544303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2.1063671659868"/>
    <n v="0.50229273392747997"/>
    <n v="0.5529381337"/>
  </r>
  <r>
    <n v="840000"/>
    <n v="2400000"/>
    <n v="2400000"/>
    <x v="0"/>
    <x v="0"/>
    <s v="BR3-5, BR-7"/>
    <s v="62-304.520 (10), F.A.C."/>
    <n v="0.59"/>
    <n v="0.64"/>
    <s v="City of Cocoa Beach"/>
    <n v="5.9223215346400002E-3"/>
    <n v="2176.7336699941502"/>
    <n v="6.2861362830793501"/>
    <n v="0.85875812512570004"/>
    <n v="3.7228520278960002E-2"/>
    <n v="5.0858417374699998E-3"/>
    <n v="12.8913166889823"/>
    <n v="1400"/>
    <s v="Commercial and Services"/>
    <n v="1400"/>
    <s v="City of Cocoa Beach           Brevard County"/>
    <s v="City of Cocoa Beach"/>
    <m/>
    <m/>
    <m/>
    <n v="0"/>
    <n v="1"/>
    <n v="3.7228520278960002E-2"/>
    <n v="5.0858417374699998E-3"/>
    <n v="446.920916553678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24.020954592643399"/>
    <n v="23.966784937977501"/>
    <n v="0.36246627460000003"/>
  </r>
  <r>
    <n v="840000"/>
    <n v="2400000"/>
    <n v="2400000"/>
    <x v="0"/>
    <x v="0"/>
    <s v="BR3-5, BR-7"/>
    <s v="62-304.520 (10), F.A.C."/>
    <n v="0.59"/>
    <n v="0.64"/>
    <s v="City of Cocoa Beach"/>
    <n v="0.13627153488883001"/>
    <n v="3770.6719591851202"/>
    <n v="11.2297498236424"/>
    <n v="1.79496199580031"/>
    <n v="1.53029524488532"/>
    <n v="0.24460222623482"/>
    <n v="513.83525544042902"/>
    <n v="1300"/>
    <s v="Residential, High Density"/>
    <n v="1300"/>
    <s v="City of Cocoa Beach           Brevard County"/>
    <s v="City of Cocoa Beach"/>
    <m/>
    <m/>
    <m/>
    <n v="0"/>
    <n v="1"/>
    <n v="1.53029524488532"/>
    <n v="0.24460222623482"/>
    <n v="579.70453268285496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13.41121900455801"/>
    <n v="551.47133615516805"/>
    <n v="0.47015777180000001"/>
  </r>
  <r>
    <n v="840000"/>
    <n v="2400000"/>
    <n v="2400000"/>
    <x v="0"/>
    <x v="0"/>
    <s v="BR3-5, BR-7"/>
    <s v="62-304.520 (10), F.A.C."/>
    <n v="0.59"/>
    <n v="0.64"/>
    <s v="City of Cocoa Beach"/>
    <n v="3.5620328449220001E-2"/>
    <n v="3770.6719591851202"/>
    <n v="11.2297498236424"/>
    <n v="1.79496199580031"/>
    <n v="0.40000737712079998"/>
    <n v="6.3937135844279999E-2"/>
    <n v="134.31257366046799"/>
    <n v="1400"/>
    <s v="Commercial and Services"/>
    <n v="1400"/>
    <s v="City of Cocoa Beach           Brevard County"/>
    <s v="City of Cocoa Beach"/>
    <m/>
    <m/>
    <m/>
    <n v="0"/>
    <n v="1"/>
    <n v="0.40000737712079998"/>
    <n v="6.3937135844279999E-2"/>
    <n v="253.93073254391001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94.647342135286095"/>
    <n v="144.150354952756"/>
    <n v="0.20594544410000001"/>
  </r>
  <r>
    <n v="840000"/>
    <n v="2400000"/>
    <n v="2400000"/>
    <x v="0"/>
    <x v="0"/>
    <s v="BR3-5, BR-7"/>
    <s v="62-304.520 (10), F.A.C."/>
    <n v="0.59"/>
    <n v="0.64"/>
    <s v="FDOT District 5"/>
    <n v="9.3914628676699998E-3"/>
    <n v="3770.6719591851202"/>
    <n v="11.2297498236424"/>
    <n v="1.79496199580031"/>
    <n v="0.10546377848195999"/>
    <n v="1.6857318932430001E-2"/>
    <n v="35.412125690851603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0546377848195999"/>
    <n v="1.6857318932430001E-2"/>
    <n v="325.494420203419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9.739139240879396"/>
    <n v="38.005901821759799"/>
    <n v="0.26398574229999999"/>
  </r>
  <r>
    <n v="840000"/>
    <n v="2500000"/>
    <n v="2500000"/>
    <x v="0"/>
    <x v="0"/>
    <s v="BR3-5, BR-7"/>
    <s v="62-304.520 (10), F.A.C."/>
    <n v="0.59"/>
    <n v="0.64"/>
    <s v="City of Cocoa Beach"/>
    <n v="0.11566107284172999"/>
    <n v="3786.0833751069899"/>
    <n v="11.631441886392601"/>
    <n v="1.53565670570623"/>
    <n v="1.3453050472764201"/>
    <n v="0.17761570209857999"/>
    <n v="437.90246503311698"/>
    <n v="1400"/>
    <s v="Commercial and Services"/>
    <n v="1400"/>
    <s v="City of Cocoa Beach           Brevard County"/>
    <s v="City of Cocoa Beach"/>
    <m/>
    <m/>
    <m/>
    <n v="0"/>
    <n v="1"/>
    <n v="1.3453050472764201"/>
    <n v="0.17761570209857999"/>
    <n v="860.05826399513705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174.340372419186"/>
    <n v="468.06375545123399"/>
    <n v="0.69753306079999999"/>
  </r>
  <r>
    <n v="840000"/>
    <n v="2500000"/>
    <n v="2500000"/>
    <x v="0"/>
    <x v="0"/>
    <s v="BR3-5, BR-7"/>
    <s v="62-304.520 (10), F.A.C."/>
    <n v="0.59"/>
    <n v="0.64"/>
    <s v="City of Cocoa Beach"/>
    <n v="0.10455645140892"/>
    <n v="3786.0833751069899"/>
    <n v="11.631441886392601"/>
    <n v="1.53565670570623"/>
    <n v="1.2161422884103801"/>
    <n v="0.16056281573096001"/>
    <n v="395.85944243952503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1.2161422884103801"/>
    <n v="0.16056281573096001"/>
    <n v="439.22666320492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6.708908850194405"/>
    <n v="423.12494688757198"/>
    <n v="0.3562260042"/>
  </r>
  <r>
    <n v="840000"/>
    <n v="2500000"/>
    <n v="2500000"/>
    <x v="0"/>
    <x v="0"/>
    <s v="BR3-5, BR-7"/>
    <s v="62-304.520 (10), F.A.C."/>
    <n v="0.59"/>
    <n v="0.64"/>
    <s v="City of Cocoa Beach"/>
    <n v="6.3563070100800007E-2"/>
    <n v="3786.0833751069899"/>
    <n v="11.631441886392601"/>
    <n v="1.53565670570623"/>
    <n v="0.73933015599820995"/>
    <n v="9.7611054835570005E-2"/>
    <n v="240.65508297941801"/>
    <n v="1410"/>
    <s v="Retail Sales and Services"/>
    <n v="1410"/>
    <s v="City of Cocoa Beach           Brevard County"/>
    <s v="City of Cocoa Beach"/>
    <m/>
    <m/>
    <m/>
    <n v="0"/>
    <n v="1"/>
    <n v="0.73933015599820995"/>
    <n v="9.7611054835570005E-2"/>
    <n v="442.55441397629897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67.950967398134296"/>
    <n v="257.23061846490202"/>
    <n v="0.35892490999999999"/>
  </r>
  <r>
    <n v="840000"/>
    <n v="2500000"/>
    <n v="2500000"/>
    <x v="0"/>
    <x v="0"/>
    <s v="BR3-5, BR-7"/>
    <s v="62-304.520 (10), F.A.C."/>
    <n v="0.59"/>
    <n v="0.64"/>
    <s v="City of Cocoa Beach"/>
    <n v="0.10706874634984"/>
    <n v="3786.0833751069899"/>
    <n v="11.631441886392601"/>
    <n v="1.53565670570623"/>
    <n v="1.2453639010170801"/>
    <n v="0.16442083830369"/>
    <n v="405.371200548677"/>
    <n v="1410"/>
    <s v="Retail Sales and Services"/>
    <n v="1410"/>
    <s v="City of Cocoa Beach           Brevard County"/>
    <s v="City of Cocoa Beach"/>
    <m/>
    <m/>
    <m/>
    <n v="0"/>
    <n v="1"/>
    <n v="1.2453639010170801"/>
    <n v="0.16442083830369"/>
    <n v="419.48329935937898"/>
    <m/>
    <n v="-1"/>
    <n v="-1"/>
    <n v="-1"/>
    <n v="-1"/>
    <n v="0"/>
    <m/>
    <m/>
    <s v="Banana River B"/>
    <n v="-1"/>
    <m/>
    <m/>
    <n v="391"/>
    <x v="29"/>
    <s v="Minutemen Corridor Stormwater Improvement/LID"/>
    <x v="0"/>
    <n v="22.5044"/>
    <n v="88.372914993084194"/>
    <n v="433.29184380416501"/>
    <n v="0.34021354370000001"/>
  </r>
  <r>
    <n v="830000"/>
    <n v="2400000"/>
    <n v="2400000"/>
    <x v="0"/>
    <x v="0"/>
    <s v="BR3-5, BR-7"/>
    <s v="62-304.520 (10), F.A.C."/>
    <n v="0.59"/>
    <n v="0.64"/>
    <s v="City of Cocoa Beach"/>
    <n v="2.3299770514E-4"/>
    <n v="3781.5528219098201"/>
    <n v="11.613667344485901"/>
    <n v="1.5335964676087399"/>
    <n v="2.70595783955E-3"/>
    <n v="3.5732445755999999E-4"/>
    <n v="0.88109312938202"/>
    <n v="1400"/>
    <s v="Commercial and Services"/>
    <n v="1400"/>
    <s v="City of Cocoa Beach           Brevard County"/>
    <s v="City of Cocoa Beach"/>
    <m/>
    <m/>
    <m/>
    <n v="0"/>
    <n v="1"/>
    <n v="2.70595783955E-3"/>
    <n v="3.5732445755999999E-4"/>
    <n v="67.536384305442994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5.6586201814141202"/>
    <n v="0.94290825946402002"/>
    <n v="5.4774034300000003E-2"/>
  </r>
  <r>
    <n v="830000"/>
    <n v="2400000"/>
    <n v="2400000"/>
    <x v="0"/>
    <x v="0"/>
    <s v="BR3-5, BR-7"/>
    <s v="62-304.520 (10), F.A.C."/>
    <n v="0.59"/>
    <n v="0.64"/>
    <s v="City of Cocoa Beach"/>
    <n v="2.8268601441760001E-2"/>
    <n v="3790.3923528691598"/>
    <n v="11.449605444225"/>
    <n v="1.5135817815647601"/>
    <n v="0.32366433296822"/>
    <n v="4.2786840132559997E-2"/>
    <n v="107.14909073116"/>
    <n v="1400"/>
    <s v="Commercial and Services"/>
    <n v="1400"/>
    <s v="City of Cocoa Beach           Brevard County"/>
    <s v="City of Cocoa Beach"/>
    <m/>
    <m/>
    <m/>
    <n v="0"/>
    <n v="1"/>
    <n v="0.32366433296822"/>
    <n v="4.2786840132559997E-2"/>
    <n v="128.609524965296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4.576505043694"/>
    <n v="114.39897129686101"/>
    <n v="0.1043061841"/>
  </r>
  <r>
    <n v="830000"/>
    <n v="2400000"/>
    <n v="2400000"/>
    <x v="0"/>
    <x v="0"/>
    <s v="BR3-5, BR-7"/>
    <s v="62-304.520 (10), F.A.C."/>
    <n v="0.59"/>
    <n v="0.64"/>
    <s v="City of Cocoa Beach"/>
    <n v="3.6007294609700001E-2"/>
    <n v="3790.3923528691598"/>
    <n v="11.449605444225"/>
    <n v="1.5135817815647601"/>
    <n v="0.41226931639505998"/>
    <n v="5.4499985124680003E-2"/>
    <n v="136.481774136121"/>
    <n v="1410"/>
    <s v="Retail Sales and Services"/>
    <n v="1410"/>
    <s v="City of Cocoa Beach           Brevard County"/>
    <s v="City of Cocoa Beach"/>
    <m/>
    <m/>
    <m/>
    <n v="0"/>
    <n v="1"/>
    <n v="0.41226931639505998"/>
    <n v="5.4499985124680003E-2"/>
    <n v="137.206431753013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91.595477811263194"/>
    <n v="145.716351444521"/>
    <n v="0.1112785335"/>
  </r>
  <r>
    <n v="830000"/>
    <n v="2400000"/>
    <n v="2400000"/>
    <x v="0"/>
    <x v="0"/>
    <s v="BR3-5, BR-7"/>
    <s v="62-304.520 (10), F.A.C."/>
    <n v="0.59"/>
    <n v="0.64"/>
    <s v="City of Cocoa Beach"/>
    <n v="0.19170337936918"/>
    <n v="3790.3923528691598"/>
    <n v="11.449605444225"/>
    <n v="1.5135817815647601"/>
    <n v="2.1949280561017601"/>
    <n v="0.29015874247758999"/>
    <n v="726.63102318013398"/>
    <n v="1410"/>
    <s v="Retail Sales and Services"/>
    <n v="1410"/>
    <s v="City of Cocoa Beach           Brevard County"/>
    <s v="City of Cocoa Beach"/>
    <m/>
    <m/>
    <m/>
    <n v="0"/>
    <n v="1"/>
    <n v="2.1949280561017601"/>
    <n v="0.29015874247758999"/>
    <n v="730.2143306286640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21.32832653140299"/>
    <n v="775.79605199596801"/>
    <n v="0.59222573450000005"/>
  </r>
  <r>
    <n v="830000"/>
    <n v="2400000"/>
    <n v="2400000"/>
    <x v="0"/>
    <x v="0"/>
    <s v="BR3-5, BR-7"/>
    <s v="62-304.520 (10), F.A.C."/>
    <n v="0.59"/>
    <n v="0.64"/>
    <s v="City of Cocoa Beach"/>
    <n v="0.19153142436990001"/>
    <n v="3790.3923528691598"/>
    <n v="11.449605444225"/>
    <n v="1.5135817815647601"/>
    <n v="2.1929592392058801"/>
    <n v="0.28989847452343998"/>
    <n v="725.97924626583699"/>
    <n v="1430"/>
    <s v="Professional Services"/>
    <n v="1430"/>
    <s v="City of Cocoa Beach           Brevard County"/>
    <s v="City of Cocoa Beach"/>
    <m/>
    <m/>
    <m/>
    <n v="0"/>
    <n v="1"/>
    <n v="2.1929592392058801"/>
    <n v="0.28989847452343998"/>
    <n v="730.64466603162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21.25238537455201"/>
    <n v="775.10017480278304"/>
    <n v="0.59257474939999999"/>
  </r>
  <r>
    <n v="830000"/>
    <n v="2400000"/>
    <n v="2400000"/>
    <x v="0"/>
    <x v="0"/>
    <s v="BR3-5, BR-7"/>
    <s v="62-304.520 (10), F.A.C."/>
    <n v="0.59"/>
    <n v="0.64"/>
    <s v="City of Cocoa Beach"/>
    <n v="0.10346501192462"/>
    <n v="3790.3923528691598"/>
    <n v="11.449605444225"/>
    <n v="1.5135817815647601"/>
    <n v="1.184633563819"/>
    <n v="0.15660275707849"/>
    <n v="392.17298998861497"/>
    <n v="1410"/>
    <s v="Retail Sales and Services"/>
    <n v="1410"/>
    <s v="City of Cocoa Beach           Brevard County"/>
    <s v="City of Cocoa Beach"/>
    <m/>
    <m/>
    <m/>
    <n v="0"/>
    <n v="1"/>
    <n v="1.184633563819"/>
    <n v="0.15660275707849"/>
    <n v="394.9281915038420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4.34890864663301"/>
    <n v="418.70804800086103"/>
    <n v="0.32029861440000001"/>
  </r>
  <r>
    <n v="830000"/>
    <n v="2400000"/>
    <n v="2400000"/>
    <x v="0"/>
    <x v="0"/>
    <s v="BR3-5, BR-7"/>
    <s v="62-304.520 (10), F.A.C."/>
    <n v="0.59"/>
    <n v="0.64"/>
    <s v="FDOT District 5"/>
    <n v="7.0069581460199997E-3"/>
    <n v="3781.6809473344902"/>
    <n v="11.6186390453675"/>
    <n v="1.5339592407437901"/>
    <n v="8.1411317504599998E-2"/>
    <n v="1.0748388197589999E-2"/>
    <n v="26.4980801195739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8.1411317504599998E-2"/>
    <n v="1.0748388197589999E-2"/>
    <n v="875.83325341438797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5.943204759103402"/>
    <n v="28.356153574710898"/>
    <n v="0.71032705060000001"/>
  </r>
  <r>
    <n v="830000"/>
    <n v="2400000"/>
    <n v="2400000"/>
    <x v="0"/>
    <x v="0"/>
    <s v="BR3-5, BR-7"/>
    <s v="62-304.520 (10), F.A.C."/>
    <n v="0.59"/>
    <n v="0.64"/>
    <s v="City of Cocoa Beach"/>
    <n v="1.0481043428400001E-3"/>
    <n v="3760.7648778764101"/>
    <n v="10.835456854547701"/>
    <n v="1.47671474622511"/>
    <n v="1.1356689385950001E-2"/>
    <n v="1.5477511386599999E-3"/>
    <n v="3.94167400091745"/>
    <n v="1400"/>
    <s v="Commercial and Services"/>
    <n v="1400"/>
    <s v="City of Cocoa Beach           Brevard County"/>
    <s v="City of Cocoa Beach"/>
    <m/>
    <m/>
    <m/>
    <n v="0"/>
    <n v="1"/>
    <n v="1.1356689385950001E-2"/>
    <n v="1.5477511386599999E-3"/>
    <n v="84.76784898581729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8.8215843152392104"/>
    <n v="4.2415277911837599"/>
    <n v="6.8749269299999999E-2"/>
  </r>
  <r>
    <n v="830000"/>
    <n v="2400000"/>
    <n v="2400000"/>
    <x v="0"/>
    <x v="0"/>
    <s v="BR3-5, BR-7"/>
    <s v="62-304.520 (10), F.A.C."/>
    <n v="0.59"/>
    <n v="0.64"/>
    <s v="City of Cocoa Beach"/>
    <n v="3.4170686940520001E-2"/>
    <n v="3760.7648778764101"/>
    <n v="10.835456854547701"/>
    <n v="1.47671474622511"/>
    <n v="0.37025500403428002"/>
    <n v="5.0460357293709998E-2"/>
    <n v="128.50791929882499"/>
    <n v="1410"/>
    <s v="Retail Sales and Services"/>
    <n v="1410"/>
    <s v="City of Cocoa Beach           Brevard County"/>
    <s v="City of Cocoa Beach"/>
    <m/>
    <m/>
    <m/>
    <n v="0"/>
    <n v="1"/>
    <n v="0.37025500403428002"/>
    <n v="5.0460357293709998E-2"/>
    <n v="724.0878319020539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89.378020607771106"/>
    <n v="138.28386390307"/>
    <n v="0.58725696019999996"/>
  </r>
  <r>
    <n v="830000"/>
    <n v="2400000"/>
    <n v="2400000"/>
    <x v="0"/>
    <x v="0"/>
    <s v="BR3-5, BR-7"/>
    <s v="62-304.520 (10), F.A.C."/>
    <n v="0.59"/>
    <n v="0.64"/>
    <s v="City of Cocoa Beach"/>
    <n v="1.6147322900939998E-2"/>
    <n v="3760.7648778764101"/>
    <n v="10.835456854547701"/>
    <n v="1.47671474622511"/>
    <n v="0.17496362060959"/>
    <n v="2.384498983987E-2"/>
    <n v="60.726284837588302"/>
    <n v="1410"/>
    <s v="Retail Sales and Services"/>
    <n v="1410"/>
    <s v="City of Cocoa Beach           Brevard County"/>
    <s v="City of Cocoa Beach"/>
    <m/>
    <m/>
    <m/>
    <n v="0"/>
    <n v="1"/>
    <n v="0.17496362060959"/>
    <n v="2.384498983987E-2"/>
    <n v="60.7641945031925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88.009953548691897"/>
    <n v="65.345897386241205"/>
    <n v="4.9281585199999998E-2"/>
  </r>
  <r>
    <n v="830000"/>
    <n v="2400000"/>
    <n v="2400000"/>
    <x v="0"/>
    <x v="0"/>
    <s v="BR3-5, BR-7"/>
    <s v="62-304.520 (10), F.A.C."/>
    <n v="0.59"/>
    <n v="0.64"/>
    <s v="FDOT District 5"/>
    <n v="2.299492552554E-2"/>
    <n v="3779.1791647033701"/>
    <n v="11.498271058994099"/>
    <n v="1.61690997092292"/>
    <n v="0.26440188667407999"/>
    <n v="3.7180724362880002E-2"/>
    <n v="86.901943440041606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6440188667407999"/>
    <n v="3.7180724362880002E-2"/>
    <n v="875.1746711154670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3.727331146693"/>
    <n v="93.057162045656497"/>
    <n v="0.70979292059999999"/>
  </r>
  <r>
    <n v="830000"/>
    <n v="2400000"/>
    <n v="2400000"/>
    <x v="0"/>
    <x v="0"/>
    <s v="BR3-5, BR-7"/>
    <s v="62-304.520 (10), F.A.C."/>
    <n v="0.59"/>
    <n v="0.64"/>
    <s v="City of Cocoa Beach"/>
    <n v="0.22306435352734"/>
    <n v="3817.9346363518898"/>
    <n v="10.885167909686601"/>
    <n v="1.44549023317269"/>
    <n v="2.4280929428108"/>
    <n v="0.32243734439275001"/>
    <n v="851.64512146747495"/>
    <n v="1400"/>
    <s v="Commercial and Services"/>
    <n v="1400"/>
    <s v="City of Cocoa Beach           Brevard County"/>
    <s v="City of Cocoa Beach"/>
    <m/>
    <m/>
    <m/>
    <n v="0"/>
    <n v="1"/>
    <n v="2.4280929428108"/>
    <n v="0.32243734439275001"/>
    <n v="853.606438229764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89.84719680433199"/>
    <n v="902.70941168061802"/>
    <n v="0.69230043649999995"/>
  </r>
  <r>
    <n v="830000"/>
    <n v="2400000"/>
    <n v="2400000"/>
    <x v="0"/>
    <x v="0"/>
    <s v="BR3-5, BR-7"/>
    <s v="62-304.520 (10), F.A.C."/>
    <n v="0.59"/>
    <n v="0.64"/>
    <s v="City of Cocoa Beach"/>
    <n v="0.17607219805443"/>
    <n v="3817.9346363518898"/>
    <n v="10.885167909686601"/>
    <n v="1.44549023317269"/>
    <n v="1.91657544005013"/>
    <n v="0.25451064262092998"/>
    <n v="672.23214345063798"/>
    <n v="1410"/>
    <s v="Retail Sales and Services"/>
    <n v="1410"/>
    <s v="City of Cocoa Beach           Brevard County"/>
    <s v="City of Cocoa Beach"/>
    <m/>
    <m/>
    <m/>
    <n v="0"/>
    <n v="1"/>
    <n v="1.91657544005013"/>
    <n v="0.25451064262092998"/>
    <n v="672.770643569574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18.469835019434"/>
    <n v="712.53890550267397"/>
    <n v="0.54563718049999999"/>
  </r>
  <r>
    <n v="830000"/>
    <n v="2400000"/>
    <n v="2400000"/>
    <x v="0"/>
    <x v="0"/>
    <s v="BR3-5, BR-7"/>
    <s v="62-304.520 (10), F.A.C."/>
    <n v="0.59"/>
    <n v="0.64"/>
    <s v="City of Cocoa Beach"/>
    <n v="0.15586763793448999"/>
    <n v="3817.9346363518898"/>
    <n v="10.885167909686601"/>
    <n v="1.44549023317269"/>
    <n v="1.69664541060325"/>
    <n v="0.22530514830201001"/>
    <n v="595.09245355647602"/>
    <n v="1410"/>
    <s v="Retail Sales and Services"/>
    <n v="1410"/>
    <s v="City of Cocoa Beach           Brevard County"/>
    <s v="City of Cocoa Beach"/>
    <m/>
    <m/>
    <m/>
    <n v="0"/>
    <n v="1"/>
    <n v="1.69664541060325"/>
    <n v="0.22530514830201001"/>
    <n v="597.10453176932594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14.525089361347"/>
    <n v="630.77395161953996"/>
    <n v="0.48426969320000002"/>
  </r>
  <r>
    <n v="830000"/>
    <n v="2400000"/>
    <n v="2400000"/>
    <x v="0"/>
    <x v="0"/>
    <s v="BR3-5, BR-7"/>
    <s v="62-304.520 (10), F.A.C."/>
    <n v="0.59"/>
    <n v="0.64"/>
    <s v="City of Cocoa Beach"/>
    <n v="0.23667108455391"/>
    <n v="3825.5424925667699"/>
    <n v="10.713989350785001"/>
    <n v="1.42481724777292"/>
    <n v="2.5356914795493801"/>
    <n v="0.33721304332154001"/>
    <n v="905.39529072286302"/>
    <n v="1400"/>
    <s v="Commercial and Services"/>
    <n v="1400"/>
    <s v="City of Cocoa Beach           Brevard County"/>
    <s v="City of Cocoa Beach"/>
    <m/>
    <m/>
    <m/>
    <n v="0"/>
    <n v="1"/>
    <n v="2.5356914795493801"/>
    <n v="0.33721304332154001"/>
    <n v="905.3952907228630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91.41614701723501"/>
    <n v="957.77389852338001"/>
    <n v="0.73430275"/>
  </r>
  <r>
    <n v="830000"/>
    <n v="2400000"/>
    <n v="2400000"/>
    <x v="0"/>
    <x v="0"/>
    <s v="BR3-5, BR-7"/>
    <s v="62-304.520 (10), F.A.C."/>
    <n v="0.59"/>
    <n v="0.64"/>
    <s v="FDOT District 5"/>
    <n v="9.6829398746000001E-4"/>
    <n v="3825.5424925667699"/>
    <n v="10.713989350785001"/>
    <n v="1.42481724777292"/>
    <n v="1.037429147008E-2"/>
    <n v="1.3796419742399999E-3"/>
    <n v="3.70424979432897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1.037429147008E-2"/>
    <n v="1.3796419742399999E-3"/>
    <n v="183.10970102514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7.081704706656502"/>
    <n v="3.9185467419287101"/>
    <n v="0.1485074623"/>
  </r>
  <r>
    <n v="830000"/>
    <n v="2400000"/>
    <n v="2400000"/>
    <x v="0"/>
    <x v="0"/>
    <s v="BR3-5, BR-7"/>
    <s v="62-304.520 (10), F.A.C."/>
    <n v="0.59"/>
    <n v="0.64"/>
    <s v="City of Cocoa Beach"/>
    <n v="2.447808696648E-2"/>
    <n v="3825.5424925667699"/>
    <n v="10.713989350785001"/>
    <n v="1.42481724777292"/>
    <n v="0.26225796308655003"/>
    <n v="3.4876800502330003E-2"/>
    <n v="93.641961827048704"/>
    <n v="1410"/>
    <s v="Retail Sales and Services"/>
    <n v="1410"/>
    <s v="City of Cocoa Beach           Brevard County"/>
    <s v="City of Cocoa Beach"/>
    <m/>
    <m/>
    <m/>
    <n v="0"/>
    <n v="1"/>
    <n v="0.26225796308655003"/>
    <n v="3.4876800502330003E-2"/>
    <n v="93.641961827047098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88.500849965125596"/>
    <n v="99.0593034484002"/>
    <n v="7.5946441099999998E-2"/>
  </r>
  <r>
    <n v="830000"/>
    <n v="2400000"/>
    <n v="2400000"/>
    <x v="0"/>
    <x v="0"/>
    <s v="BR3-5, BR-7"/>
    <s v="62-304.520 (10), F.A.C."/>
    <n v="0.59"/>
    <n v="0.64"/>
    <s v="FDOT District 5"/>
    <n v="1.0475616987E-4"/>
    <n v="3825.5424925667699"/>
    <n v="10.713989350785001"/>
    <n v="1.42481724777292"/>
    <n v="1.1223564884199999E-3"/>
    <n v="1.4925839763999999E-4"/>
    <n v="0.40074917920004999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1223564884199999E-3"/>
    <n v="1.4925839763999999E-4"/>
    <n v="1.2406402031651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4.2384020754079197"/>
    <n v="0.42393317882766002"/>
    <n v="1.0061963999999999E-3"/>
  </r>
  <r>
    <n v="830000"/>
    <n v="2400000"/>
    <n v="2400000"/>
    <x v="0"/>
    <x v="0"/>
    <s v="BR3-5, BR-7"/>
    <s v="62-304.520 (10), F.A.C."/>
    <n v="0.59"/>
    <n v="0.64"/>
    <s v="City of Cocoa Beach"/>
    <n v="0.19002903017052"/>
    <n v="3825.5424925667699"/>
    <n v="10.713989350785001"/>
    <n v="1.42481724777292"/>
    <n v="2.0359690055870501"/>
    <n v="0.27075663976452002"/>
    <n v="726.96412973860902"/>
    <n v="1410"/>
    <s v="Retail Sales and Services"/>
    <n v="1410"/>
    <s v="City of Cocoa Beach           Brevard County"/>
    <s v="City of Cocoa Beach"/>
    <m/>
    <m/>
    <m/>
    <n v="0"/>
    <n v="1"/>
    <n v="2.0359690055870501"/>
    <n v="0.27075663976452002"/>
    <n v="726.9641297386090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20.588738676055"/>
    <n v="769.02020118804296"/>
    <n v="0.58958972399999998"/>
  </r>
  <r>
    <n v="830000"/>
    <n v="2400000"/>
    <n v="2400000"/>
    <x v="0"/>
    <x v="0"/>
    <s v="BR3-5, BR-7"/>
    <s v="62-304.520 (10), F.A.C."/>
    <n v="0.59"/>
    <n v="0.64"/>
    <s v="FDOT District 5"/>
    <n v="8.5810081390000001E-4"/>
    <n v="3825.5424925667699"/>
    <n v="10.713989350785001"/>
    <n v="1.42481724777292"/>
    <n v="9.1936829821000002E-3"/>
    <n v="1.2226368399800001E-3"/>
    <n v="3.28270112650736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9.1936829821000002E-3"/>
    <n v="1.2226368399800001E-3"/>
    <n v="10.65539512230150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7.031168908256099"/>
    <n v="3.4726107898243899"/>
    <n v="8.6418451999999996E-3"/>
  </r>
  <r>
    <n v="830000"/>
    <n v="2400000"/>
    <n v="2400000"/>
    <x v="0"/>
    <x v="0"/>
    <s v="BR3-5, BR-7"/>
    <s v="62-304.520 (10), F.A.C."/>
    <n v="0.59"/>
    <n v="0.64"/>
    <s v="City of Cocoa Beach"/>
    <n v="0.11400939521113"/>
    <n v="3825.5424925667699"/>
    <n v="10.713989350785001"/>
    <n v="1.42481724777292"/>
    <n v="1.2214954461815"/>
    <n v="0.16244255270496999"/>
    <n v="436.14778593202101"/>
    <n v="1410"/>
    <s v="Retail Sales and Services"/>
    <n v="1410"/>
    <s v="City of Cocoa Beach           Brevard County"/>
    <s v="City of Cocoa Beach"/>
    <m/>
    <m/>
    <m/>
    <n v="0"/>
    <n v="1"/>
    <n v="1.2214954461815"/>
    <n v="0.16244255270496999"/>
    <n v="436.1477859320210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5.992138599211"/>
    <n v="461.37965322410599"/>
    <n v="0.35372894240000002"/>
  </r>
  <r>
    <n v="830000"/>
    <n v="2400000"/>
    <n v="2400000"/>
    <x v="0"/>
    <x v="0"/>
    <s v="BR3-5, BR-7"/>
    <s v="62-304.520 (10), F.A.C."/>
    <n v="0.59"/>
    <n v="0.64"/>
    <s v="FDOT District 5"/>
    <n v="4.7466755970000001E-4"/>
    <n v="3825.5424925667699"/>
    <n v="10.713989350785001"/>
    <n v="1.42481724777292"/>
    <n v="5.0855831798700003E-3"/>
    <n v="6.7631452602999996E-4"/>
    <n v="1.8158609195059301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5.0855831798700003E-3"/>
    <n v="6.7631452602999996E-4"/>
    <n v="6.1254382304549297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3.244739471443499"/>
    <n v="1.9209114625106001"/>
    <n v="4.9679142000000004E-3"/>
  </r>
  <r>
    <n v="830000"/>
    <n v="2400000"/>
    <n v="2400000"/>
    <x v="0"/>
    <x v="0"/>
    <s v="BR3-5, BR-7"/>
    <s v="62-304.520 (10), F.A.C."/>
    <n v="0.59"/>
    <n v="0.64"/>
    <s v="City of Cocoa Beach"/>
    <n v="5.0477890256999999E-3"/>
    <n v="3800.2725995236801"/>
    <n v="11.254442154750601"/>
    <n v="1.4900489072182801"/>
    <n v="5.6810049599140003E-2"/>
    <n v="7.5214525216099996E-3"/>
    <n v="19.182974322551601"/>
    <n v="1400"/>
    <s v="Commercial and Services"/>
    <n v="1400"/>
    <s v="City of Cocoa Beach           Brevard County"/>
    <s v="City of Cocoa Beach"/>
    <m/>
    <m/>
    <m/>
    <n v="0"/>
    <n v="1"/>
    <n v="5.6810049599140003E-2"/>
    <n v="7.5214525216099996E-3"/>
    <n v="715.9011277520310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3.2997663551056"/>
    <n v="20.427677437580499"/>
    <n v="0.58061729740000001"/>
  </r>
  <r>
    <n v="830000"/>
    <n v="2400000"/>
    <n v="2400000"/>
    <x v="0"/>
    <x v="0"/>
    <s v="BR3-5, BR-7"/>
    <s v="62-304.520 (10), F.A.C."/>
    <n v="0.59"/>
    <n v="0.64"/>
    <s v="City of Cocoa Beach"/>
    <n v="2.882650708781E-2"/>
    <n v="3800.2725995236801"/>
    <n v="11.254442154750601"/>
    <n v="1.4900489072182801"/>
    <n v="0.32442625654333002"/>
    <n v="4.2952905385119998E-2"/>
    <n v="109.548585025802"/>
    <n v="1430"/>
    <s v="Professional Services"/>
    <n v="1430"/>
    <s v="City of Cocoa Beach           Brevard County"/>
    <s v="City of Cocoa Beach"/>
    <m/>
    <m/>
    <m/>
    <n v="0"/>
    <n v="1"/>
    <n v="0.32442625654333002"/>
    <n v="4.2952905385119998E-2"/>
    <n v="769.19203233844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88.948305158971607"/>
    <n v="116.65673534368599"/>
    <n v="0.6238378202"/>
  </r>
  <r>
    <n v="830000"/>
    <n v="2400000"/>
    <n v="2400000"/>
    <x v="0"/>
    <x v="0"/>
    <s v="BR3-5, BR-7"/>
    <s v="62-304.520 (10), F.A.C."/>
    <n v="0.59"/>
    <n v="0.64"/>
    <s v="City of Cocoa Beach"/>
    <n v="8.7893848090689994E-2"/>
    <n v="3800.2725995236801"/>
    <n v="11.254442154750601"/>
    <n v="1.4900489072182801"/>
    <n v="0.98919622909516003"/>
    <n v="0.13096613229875001"/>
    <n v="334.02058256576498"/>
    <n v="1410"/>
    <s v="Retail Sales and Services"/>
    <n v="1410"/>
    <s v="City of Cocoa Beach           Brevard County"/>
    <s v="City of Cocoa Beach"/>
    <m/>
    <m/>
    <m/>
    <n v="0"/>
    <n v="1"/>
    <n v="0.98919622909516003"/>
    <n v="0.13096613229875001"/>
    <n v="336.783040143797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1.336533929067"/>
    <n v="355.69378363527699"/>
    <n v="0.27314115179999998"/>
  </r>
  <r>
    <n v="830000"/>
    <n v="2400000"/>
    <n v="2400000"/>
    <x v="0"/>
    <x v="0"/>
    <s v="BR3-5, BR-7"/>
    <s v="62-304.520 (10), F.A.C."/>
    <n v="0.59"/>
    <n v="0.64"/>
    <s v="FDOT District 5"/>
    <n v="1.0014858695290001E-2"/>
    <n v="3780.46235480018"/>
    <n v="11.560054770417899"/>
    <n v="1.5743305714578999"/>
    <n v="0.11577231503564001"/>
    <n v="1.5766698212829999E-2"/>
    <n v="37.8607962862173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1577231503564001"/>
    <n v="1.5766698212829999E-2"/>
    <n v="877.37134365264103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45.374950605487001"/>
    <n v="40.528695230496297"/>
    <n v="0.711574488"/>
  </r>
  <r>
    <n v="830000"/>
    <n v="2400000"/>
    <n v="2500000"/>
    <x v="0"/>
    <x v="0"/>
    <s v="BR3-5, BR-7"/>
    <s v="62-304.520 (10), F.A.C."/>
    <n v="0.59"/>
    <n v="0.64"/>
    <s v="City of Cocoa Beach"/>
    <n v="4.4058880251749998E-2"/>
    <n v="3781.6809470527401"/>
    <n v="11.6186390445018"/>
    <n v="1.5339592406295099"/>
    <n v="0.51190422635006005"/>
    <n v="6.7584526493960004E-2"/>
    <n v="166.61662799653601"/>
    <n v="1400"/>
    <s v="Commercial and Services"/>
    <n v="1400"/>
    <s v="City of Cocoa Beach           Brevard County"/>
    <s v="City of Cocoa Beach"/>
    <m/>
    <m/>
    <m/>
    <n v="0"/>
    <n v="1"/>
    <n v="0.51190422635006005"/>
    <n v="6.7584526493960004E-2"/>
    <n v="166.840698710315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6.808356413723"/>
    <n v="178.29996251056201"/>
    <n v="0.13531281319999999"/>
  </r>
  <r>
    <n v="830000"/>
    <n v="2400000"/>
    <n v="2500000"/>
    <x v="0"/>
    <x v="0"/>
    <s v="BR3-5, BR-7"/>
    <s v="62-304.520 (10), F.A.C."/>
    <n v="0.59"/>
    <n v="0.64"/>
    <s v="City of Cocoa Beach"/>
    <n v="2.6520651417009999E-2"/>
    <n v="3781.6809470527401"/>
    <n v="11.6186390445018"/>
    <n v="1.5339592406295099"/>
    <n v="0.30813387603940001"/>
    <n v="4.0681598308650001E-2"/>
    <n v="100.292642167168"/>
    <n v="1410"/>
    <s v="Retail Sales and Services"/>
    <n v="1410"/>
    <s v="City of Cocoa Beach           Brevard County"/>
    <s v="City of Cocoa Beach"/>
    <m/>
    <m/>
    <m/>
    <n v="0"/>
    <n v="1"/>
    <n v="0.30813387603940001"/>
    <n v="4.0681598308650001E-2"/>
    <n v="612.7335298707389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46.528888407117101"/>
    <n v="107.325268513194"/>
    <n v="0.49694527970000002"/>
  </r>
  <r>
    <n v="830000"/>
    <n v="2400000"/>
    <n v="2500000"/>
    <x v="0"/>
    <x v="0"/>
    <s v="BR3-5, BR-7"/>
    <s v="62-304.520 (10), F.A.C."/>
    <n v="0.59"/>
    <n v="0.64"/>
    <s v="City of Cocoa Beach"/>
    <n v="0.10767898705074"/>
    <n v="3781.6809470527401"/>
    <n v="11.6186390445018"/>
    <n v="1.5339592406295099"/>
    <n v="1.2510832832202401"/>
    <n v="0.16517517720812"/>
    <n v="407.20757372775603"/>
    <n v="1410"/>
    <s v="Retail Sales and Services"/>
    <n v="1410"/>
    <s v="City of Cocoa Beach           Brevard County"/>
    <s v="City of Cocoa Beach"/>
    <m/>
    <m/>
    <m/>
    <n v="0"/>
    <n v="1"/>
    <n v="1.2510832832202401"/>
    <n v="0.16517517720812"/>
    <n v="715.73617244217803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1.080532616011"/>
    <n v="435.76140030385102"/>
    <n v="0.58048351369999995"/>
  </r>
  <r>
    <n v="830000"/>
    <n v="2400000"/>
    <n v="2500000"/>
    <x v="0"/>
    <x v="0"/>
    <s v="BR3-5, BR-7"/>
    <s v="62-304.520 (10), F.A.C."/>
    <n v="0.59"/>
    <n v="0.64"/>
    <s v="City of Cocoa Beach"/>
    <n v="0.16417750438253001"/>
    <n v="3781.6809470527401"/>
    <n v="11.6186390445018"/>
    <n v="1.5339592406295099"/>
    <n v="1.9075191626477499"/>
    <n v="0.25184159995107003"/>
    <n v="620.86694025808504"/>
    <n v="1410"/>
    <s v="Retail Sales and Services"/>
    <n v="1410"/>
    <s v="City of Cocoa Beach           Brevard County"/>
    <s v="City of Cocoa Beach"/>
    <m/>
    <m/>
    <m/>
    <n v="0"/>
    <n v="1"/>
    <n v="1.9075191626477499"/>
    <n v="0.25184159995107003"/>
    <n v="624.264343266206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14.55061818017001"/>
    <n v="664.40278802404703"/>
    <n v="0.5062971154"/>
  </r>
  <r>
    <n v="830000"/>
    <n v="2400000"/>
    <n v="2500000"/>
    <x v="0"/>
    <x v="0"/>
    <s v="BR3-5, BR-7"/>
    <s v="62-304.520 (10), F.A.C."/>
    <n v="0.59"/>
    <n v="0.64"/>
    <s v="FDOT District 5"/>
    <n v="8.7478480069999999E-4"/>
    <n v="3781.6809470527401"/>
    <n v="11.6186390445018"/>
    <n v="1.5339592406295099"/>
    <n v="1.016380884104E-2"/>
    <n v="1.3418842286E-3"/>
    <n v="3.3081570136087701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016380884104E-2"/>
    <n v="1.3418842286E-3"/>
    <n v="11.12034651657270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0.286108021283901"/>
    <n v="3.5401284889617499"/>
    <n v="9.0189347E-3"/>
  </r>
  <r>
    <n v="830000"/>
    <n v="2500000"/>
    <n v="2500000"/>
    <x v="0"/>
    <x v="0"/>
    <s v="BR3-5, BR-7"/>
    <s v="62-304.520 (10), F.A.C."/>
    <n v="0.59"/>
    <n v="0.64"/>
    <s v="City of Cocoa Beach"/>
    <n v="9.7372127387299993E-3"/>
    <n v="3781.8149967054901"/>
    <n v="11.616043472758999"/>
    <n v="1.5336463460230101"/>
    <n v="0.11310788647661001"/>
    <n v="1.49334407372E-2"/>
    <n v="36.824337161448398"/>
    <n v="1400"/>
    <s v="Commercial and Services"/>
    <n v="1400"/>
    <s v="City of Cocoa Beach           Brevard County"/>
    <s v="City of Cocoa Beach"/>
    <m/>
    <m/>
    <m/>
    <n v="0"/>
    <n v="1"/>
    <n v="0.11310788647661001"/>
    <n v="1.49334407372E-2"/>
    <n v="750.6914486453080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7.986762234287902"/>
    <n v="39.405101908012"/>
    <n v="0.6088332917"/>
  </r>
  <r>
    <n v="830000"/>
    <n v="2500000"/>
    <n v="2500000"/>
    <x v="0"/>
    <x v="0"/>
    <s v="BR3-5, BR-7"/>
    <s v="62-304.520 (10), F.A.C."/>
    <n v="0.59"/>
    <n v="0.64"/>
    <s v="City of Cocoa Beach"/>
    <n v="0.11505557737946"/>
    <n v="3781.8149967054901"/>
    <n v="11.616043472758999"/>
    <n v="1.5336463460230101"/>
    <n v="1.3364905886231899"/>
    <n v="0.17645456583756999"/>
    <n v="435.11890798825101"/>
    <n v="1430"/>
    <s v="Professional Services"/>
    <n v="1430"/>
    <s v="City of Cocoa Beach           Brevard County"/>
    <s v="City of Cocoa Beach"/>
    <m/>
    <m/>
    <m/>
    <n v="0"/>
    <n v="1"/>
    <n v="1.3364905886231899"/>
    <n v="0.17645456583756999"/>
    <n v="752.94697121477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2.592858022827"/>
    <n v="465.61340225100702"/>
    <n v="0.61066258819999997"/>
  </r>
  <r>
    <n v="830000"/>
    <n v="2500000"/>
    <n v="2500000"/>
    <x v="0"/>
    <x v="0"/>
    <s v="BR3-5, BR-7"/>
    <s v="62-304.520 (10), F.A.C."/>
    <n v="0.59"/>
    <n v="0.64"/>
    <s v="FDOT District 5"/>
    <n v="5.1394189864000005E-4"/>
    <n v="3781.8149967054901"/>
    <n v="11.616043472758999"/>
    <n v="1.5336463460230101"/>
    <n v="5.9699714371000004E-3"/>
    <n v="7.8820511492E-4"/>
    <n v="1.9436331797233899"/>
    <n v="1430"/>
    <s v="Professional Services"/>
    <n v="1430"/>
    <s v="FDOT District 5                                 City of Cocoa Beach           Brevard County"/>
    <s v="FDOT District 5"/>
    <m/>
    <m/>
    <m/>
    <n v="0"/>
    <n v="1"/>
    <n v="5.9699714371000004E-3"/>
    <n v="7.8820511492E-4"/>
    <n v="8.751057244637900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5.2463827991755"/>
    <n v="2.0798490732632899"/>
    <n v="7.0973700000000004E-3"/>
  </r>
  <r>
    <n v="830000"/>
    <n v="2500000"/>
    <n v="2500000"/>
    <x v="0"/>
    <x v="0"/>
    <s v="BR3-5, BR-7"/>
    <s v="62-304.520 (10), F.A.C."/>
    <n v="0.59"/>
    <n v="0.64"/>
    <s v="City of Cocoa Beach"/>
    <n v="7.6288741142179997E-2"/>
    <n v="3781.8149967054901"/>
    <n v="11.616043472758999"/>
    <n v="1.5336463460230101"/>
    <n v="0.88617333358964001"/>
    <n v="0.1169999490954"/>
    <n v="288.50990533128697"/>
    <n v="1410"/>
    <s v="Retail Sales and Services"/>
    <n v="1410"/>
    <s v="City of Cocoa Beach           Brevard County"/>
    <s v="City of Cocoa Beach"/>
    <m/>
    <m/>
    <m/>
    <n v="0"/>
    <n v="1"/>
    <n v="0.88617333358964001"/>
    <n v="0.1169999490954"/>
    <n v="288.5099053312860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98.770026954974597"/>
    <n v="308.729582048049"/>
    <n v="0.23399019090000001"/>
  </r>
  <r>
    <n v="830000"/>
    <n v="2500000"/>
    <n v="2500000"/>
    <x v="0"/>
    <x v="0"/>
    <s v="BR3-5, BR-7"/>
    <s v="62-304.520 (10), F.A.C."/>
    <n v="0.59"/>
    <n v="0.64"/>
    <s v="FDOT District 5"/>
    <n v="2.8391205143999998E-4"/>
    <n v="3781.8149967054901"/>
    <n v="11.616043472758999"/>
    <n v="1.5336463460230101"/>
    <n v="3.2979347320699999E-3"/>
    <n v="4.3542068029000001E-4"/>
    <n v="1.07370285391524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3.2979347320699999E-3"/>
    <n v="4.3542068029000001E-4"/>
    <n v="3.4566730597515298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4.0810582300021"/>
    <n v="1.14895130880423"/>
    <n v="2.8034656E-3"/>
  </r>
  <r>
    <n v="840000"/>
    <n v="2400000"/>
    <n v="2400000"/>
    <x v="0"/>
    <x v="0"/>
    <s v="BR3-5, BR-7"/>
    <s v="62-304.520 (10), F.A.C."/>
    <n v="0.59"/>
    <n v="0.64"/>
    <s v="City of Cocoa Beach"/>
    <n v="2.0582501014799999E-3"/>
    <n v="3790.3923528691598"/>
    <n v="11.449605444225"/>
    <n v="1.5135817815647601"/>
    <n v="2.3566151567480001E-2"/>
    <n v="3.1153298554999998E-3"/>
    <n v="7.8015754449419603"/>
    <n v="1400"/>
    <s v="Commercial and Services"/>
    <n v="1400"/>
    <s v="City of Cocoa Beach           Brevard County"/>
    <s v="City of Cocoa Beach"/>
    <m/>
    <m/>
    <m/>
    <n v="0"/>
    <n v="1"/>
    <n v="2.3566151567480001E-2"/>
    <n v="3.1153298554999998E-3"/>
    <n v="128.609524965296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0.330164156724"/>
    <n v="8.3294426420789307"/>
    <n v="0.1043061841"/>
  </r>
  <r>
    <n v="840000"/>
    <n v="2400000"/>
    <n v="2400000"/>
    <x v="0"/>
    <x v="0"/>
    <s v="BR3-5, BR-7"/>
    <s v="62-304.520 (10), F.A.C."/>
    <n v="0.59"/>
    <n v="0.64"/>
    <s v="FDOT District 5"/>
    <n v="2.814280397317E-2"/>
    <n v="3790.3923528691598"/>
    <n v="11.449605444225"/>
    <n v="1.5135817815647601"/>
    <n v="0.32222400158700998"/>
    <n v="4.2596435375940003E-2"/>
    <n v="106.672268968214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2222400158700998"/>
    <n v="4.2596435375940003E-2"/>
    <n v="219.9627260441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4.554149068399"/>
    <n v="113.88988700318301"/>
    <n v="0.17839637150000001"/>
  </r>
  <r>
    <n v="840000"/>
    <n v="2400000"/>
    <n v="2400000"/>
    <x v="0"/>
    <x v="0"/>
    <s v="BR3-5, BR-7"/>
    <s v="62-304.520 (10), F.A.C."/>
    <n v="0.59"/>
    <n v="0.64"/>
    <s v="City of Cocoa Beach"/>
    <n v="1.9118274182999999E-4"/>
    <n v="3790.3923528691598"/>
    <n v="11.449605444225"/>
    <n v="1.5135817815647601"/>
    <n v="2.1889669616899999E-3"/>
    <n v="2.8937071498000001E-4"/>
    <n v="0.72465760263298995"/>
    <n v="1410"/>
    <s v="Retail Sales and Services"/>
    <n v="1410"/>
    <s v="City of Cocoa Beach           Brevard County"/>
    <s v="City of Cocoa Beach"/>
    <m/>
    <m/>
    <m/>
    <n v="0"/>
    <n v="1"/>
    <n v="2.1889669616899999E-3"/>
    <n v="2.8937071498000001E-4"/>
    <n v="137.206431753013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8.2254815547291695"/>
    <n v="0.77368910662714996"/>
    <n v="0.1112785335"/>
  </r>
  <r>
    <n v="840000"/>
    <n v="2400000"/>
    <n v="2400000"/>
    <x v="0"/>
    <x v="0"/>
    <s v="BR3-5, BR-7"/>
    <s v="62-304.520 (10), F.A.C."/>
    <n v="0.59"/>
    <n v="0.64"/>
    <s v="City of Cocoa Beach"/>
    <n v="9.4536584084999997E-4"/>
    <n v="3790.3923528691598"/>
    <n v="11.449605444225"/>
    <n v="1.5135817815647601"/>
    <n v="1.0824065878190001E-2"/>
    <n v="1.43088851362E-3"/>
    <n v="3.5833074538253502"/>
    <n v="1410"/>
    <s v="Retail Sales and Services"/>
    <n v="1410"/>
    <s v="City of Cocoa Beach           Brevard County"/>
    <s v="City of Cocoa Beach"/>
    <m/>
    <m/>
    <m/>
    <n v="0"/>
    <n v="1"/>
    <n v="1.0824065878190001E-2"/>
    <n v="1.43088851362E-3"/>
    <n v="730.2143306286640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7.070575332021598"/>
    <n v="3.82575982456716"/>
    <n v="0.59222573450000005"/>
  </r>
  <r>
    <n v="840000"/>
    <n v="2400000"/>
    <n v="2400000"/>
    <x v="0"/>
    <x v="0"/>
    <s v="BR3-5, BR-7"/>
    <s v="62-304.520 (10), F.A.C."/>
    <n v="0.59"/>
    <n v="0.64"/>
    <s v="City of Cocoa Beach"/>
    <n v="1.2308540544700001E-3"/>
    <n v="3790.3923528691598"/>
    <n v="11.449605444225"/>
    <n v="1.5135817815647601"/>
    <n v="1.409279328311E-2"/>
    <n v="1.8629982726099999E-3"/>
    <n v="4.66541979556487"/>
    <n v="1430"/>
    <s v="Professional Services"/>
    <n v="1430"/>
    <s v="City of Cocoa Beach           Brevard County"/>
    <s v="City of Cocoa Beach"/>
    <m/>
    <m/>
    <m/>
    <n v="0"/>
    <n v="1"/>
    <n v="1.409279328311E-2"/>
    <n v="1.8629982726099999E-3"/>
    <n v="730.64466603162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7.175325324434297"/>
    <n v="4.98108963537205"/>
    <n v="0.59257474939999999"/>
  </r>
  <r>
    <n v="840000"/>
    <n v="2400000"/>
    <n v="2400000"/>
    <x v="0"/>
    <x v="0"/>
    <s v="BR3-5, BR-7"/>
    <s v="62-304.520 (10), F.A.C."/>
    <n v="0.59"/>
    <n v="0.64"/>
    <s v="City of Cocoa Beach"/>
    <n v="7.2689084344999995E-4"/>
    <n v="3790.3923528691598"/>
    <n v="11.449605444225"/>
    <n v="1.5135817815647601"/>
    <n v="8.3226133586100006E-3"/>
    <n v="1.1002087378399999E-3"/>
    <n v="2.7552014944138099"/>
    <n v="1410"/>
    <s v="Retail Sales and Services"/>
    <n v="1410"/>
    <s v="City of Cocoa Beach           Brevard County"/>
    <s v="City of Cocoa Beach"/>
    <m/>
    <m/>
    <m/>
    <n v="0"/>
    <n v="1"/>
    <n v="8.3226133586100006E-3"/>
    <n v="1.1002087378399999E-3"/>
    <n v="394.9281915038420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9.487933589633499"/>
    <n v="2.94162287823114"/>
    <n v="0.32029861440000001"/>
  </r>
  <r>
    <n v="840000"/>
    <n v="2400000"/>
    <n v="2400000"/>
    <x v="0"/>
    <x v="0"/>
    <s v="BR3-5, BR-7"/>
    <s v="62-304.520 (10), F.A.C."/>
    <n v="0.59"/>
    <n v="0.64"/>
    <s v="FDOT District 5"/>
    <n v="2.498750137094E-2"/>
    <n v="3781.6809473344902"/>
    <n v="11.6186390453675"/>
    <n v="1.5339592407437901"/>
    <n v="0.29032075907468002"/>
    <n v="3.8329808631060003E-2"/>
    <n v="94.4947578560123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29032075907468002"/>
    <n v="3.8329808631060003E-2"/>
    <n v="875.83325341438797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44.542258684807898"/>
    <n v="101.120830402753"/>
    <n v="0.71032705060000001"/>
  </r>
  <r>
    <n v="840000"/>
    <n v="2400000"/>
    <n v="2400000"/>
    <x v="0"/>
    <x v="0"/>
    <s v="BR3-5, BR-7"/>
    <s v="62-304.520 (10), F.A.C."/>
    <n v="0.59"/>
    <n v="0.64"/>
    <s v="City of Cocoa Beach"/>
    <n v="6.3532137719999997E-5"/>
    <n v="3760.7648778764101"/>
    <n v="10.835456854547701"/>
    <n v="1.47671474622511"/>
    <n v="6.8839973719999996E-4"/>
    <n v="9.3818844630000003E-5"/>
    <n v="0.23892943217634"/>
    <n v="1400"/>
    <s v="Commercial and Services"/>
    <n v="1400"/>
    <s v="City of Cocoa Beach           Brevard County"/>
    <s v="City of Cocoa Beach"/>
    <m/>
    <m/>
    <m/>
    <n v="0"/>
    <n v="1"/>
    <n v="6.8839973719999996E-4"/>
    <n v="9.3818844630000003E-5"/>
    <n v="84.76784898581729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9.5453544128722996"/>
    <n v="0.25710543958705001"/>
    <n v="6.8749269299999999E-2"/>
  </r>
  <r>
    <n v="840000"/>
    <n v="2400000"/>
    <n v="2400000"/>
    <x v="0"/>
    <x v="0"/>
    <s v="BR3-5, BR-7"/>
    <s v="62-304.520 (10), F.A.C."/>
    <n v="0.59"/>
    <n v="0.64"/>
    <s v="FDOT District 5"/>
    <n v="7.2122872769999995E-4"/>
    <n v="3760.7648778764101"/>
    <n v="10.835456854547701"/>
    <n v="1.47671474622511"/>
    <n v="7.8148427612499995E-3"/>
    <n v="1.0650490975900001E-3"/>
    <n v="2.71237166804964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7.8148427612499995E-3"/>
    <n v="1.0650490975900001E-3"/>
    <n v="215.188017531844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.660426575918001"/>
    <n v="2.9187091087119001"/>
    <n v="0.17452393960000001"/>
  </r>
  <r>
    <n v="840000"/>
    <n v="2400000"/>
    <n v="2400000"/>
    <x v="0"/>
    <x v="0"/>
    <s v="BR3-5, BR-7"/>
    <s v="62-304.520 (10), F.A.C."/>
    <n v="0.59"/>
    <n v="0.64"/>
    <s v="City of Cocoa Beach"/>
    <n v="3.3771104480000002E-5"/>
    <n v="3760.7648778764101"/>
    <n v="10.835456854547701"/>
    <n v="1.47671474622511"/>
    <n v="3.6592534558000002E-4"/>
    <n v="4.987028799E-5"/>
    <n v="0.12700518363804"/>
    <n v="1410"/>
    <s v="Retail Sales and Services"/>
    <n v="1410"/>
    <s v="City of Cocoa Beach           Brevard County"/>
    <s v="City of Cocoa Beach"/>
    <m/>
    <m/>
    <m/>
    <n v="0"/>
    <n v="1"/>
    <n v="3.6592534558000002E-4"/>
    <n v="4.987028799E-5"/>
    <n v="724.0878319020539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7.3828188798570702"/>
    <n v="0.13666681108050999"/>
    <n v="0.58725696019999996"/>
  </r>
  <r>
    <n v="840000"/>
    <n v="2400000"/>
    <n v="2400000"/>
    <x v="0"/>
    <x v="0"/>
    <s v="BR3-5, BR-7"/>
    <s v="62-304.520 (10), F.A.C."/>
    <n v="0.59"/>
    <n v="0.64"/>
    <s v="City of Cocoa Beach"/>
    <n v="1.008030629E-5"/>
    <n v="3760.7648778764101"/>
    <n v="10.835456854547701"/>
    <n v="1.47671474622511"/>
    <n v="1.0922472394E-4"/>
    <n v="1.4885736949999999E-5"/>
    <n v="3.7909661872470003E-2"/>
    <n v="1410"/>
    <s v="Retail Sales and Services"/>
    <n v="1410"/>
    <s v="City of Cocoa Beach           Brevard County"/>
    <s v="City of Cocoa Beach"/>
    <m/>
    <m/>
    <m/>
    <n v="0"/>
    <n v="1"/>
    <n v="1.0922472394E-4"/>
    <n v="1.4885736949999999E-5"/>
    <n v="60.7641945031925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.20604718189451"/>
    <n v="4.0793552270389999E-2"/>
    <n v="4.9281585199999998E-2"/>
  </r>
  <r>
    <n v="840000"/>
    <n v="2400000"/>
    <n v="2400000"/>
    <x v="0"/>
    <x v="0"/>
    <s v="BR3-5, BR-7"/>
    <s v="62-304.520 (10), F.A.C."/>
    <n v="0.59"/>
    <n v="0.64"/>
    <s v="FDOT District 5"/>
    <n v="7.2179472984590001E-2"/>
    <n v="3779.1791647033701"/>
    <n v="11.498271058994099"/>
    <n v="1.61690997092292"/>
    <n v="0.82993914527215995"/>
    <n v="0.11670770956474"/>
    <n v="272.779160422632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82993914527215995"/>
    <n v="0.11670770956474"/>
    <n v="875.1746711154670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11.687319382014"/>
    <n v="292.09996381313698"/>
    <n v="0.70979292059999999"/>
  </r>
  <r>
    <n v="840000"/>
    <n v="2400000"/>
    <n v="2400000"/>
    <x v="0"/>
    <x v="0"/>
    <s v="BR3-5, BR-7"/>
    <s v="62-304.520 (10), F.A.C."/>
    <n v="0.59"/>
    <n v="0.64"/>
    <s v="City of Cocoa Beach"/>
    <n v="5.1371146255999999E-4"/>
    <n v="3817.9346363518898"/>
    <n v="10.885167909686601"/>
    <n v="1.44549023317269"/>
    <n v="5.5918355271399999E-3"/>
    <n v="7.4256490180000005E-4"/>
    <n v="1.9613167860140801"/>
    <n v="1400"/>
    <s v="Commercial and Services"/>
    <n v="1400"/>
    <s v="City of Cocoa Beach           Brevard County"/>
    <s v="City of Cocoa Beach"/>
    <m/>
    <m/>
    <m/>
    <n v="0"/>
    <n v="1"/>
    <n v="5.5918355271399999E-3"/>
    <n v="7.4256490180000005E-4"/>
    <n v="853.606438229764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81.241197843180203"/>
    <n v="2.0789165315360401"/>
    <n v="0.69230043649999995"/>
  </r>
  <r>
    <n v="840000"/>
    <n v="2400000"/>
    <n v="2400000"/>
    <x v="0"/>
    <x v="0"/>
    <s v="BR3-5, BR-7"/>
    <s v="62-304.520 (10), F.A.C."/>
    <n v="0.59"/>
    <n v="0.64"/>
    <s v="FDOT District 5"/>
    <n v="1.61174060936E-2"/>
    <n v="3817.9346363518898"/>
    <n v="10.885167909686601"/>
    <n v="1.44549023317269"/>
    <n v="0.17544067159745"/>
    <n v="2.3297553092369999E-2"/>
    <n v="61.5352029729083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7544067159745"/>
    <n v="2.3297553092369999E-2"/>
    <n v="234.490119872534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2.613408981738"/>
    <n v="65.224828362319599"/>
    <n v="0.1901785238"/>
  </r>
  <r>
    <n v="840000"/>
    <n v="2400000"/>
    <n v="2400000"/>
    <x v="0"/>
    <x v="0"/>
    <s v="BR3-5, BR-7"/>
    <s v="62-304.520 (10), F.A.C."/>
    <n v="0.59"/>
    <n v="0.64"/>
    <s v="City of Cocoa Beach"/>
    <n v="1.4104487021000001E-4"/>
    <n v="3817.9346363518898"/>
    <n v="10.885167909686601"/>
    <n v="1.44549023317269"/>
    <n v="1.5352970951299999E-3"/>
    <n v="2.0387898234000001E-4"/>
    <n v="0.53850009528887"/>
    <n v="1410"/>
    <s v="Retail Sales and Services"/>
    <n v="1410"/>
    <s v="City of Cocoa Beach           Brevard County"/>
    <s v="City of Cocoa Beach"/>
    <m/>
    <m/>
    <m/>
    <n v="0"/>
    <n v="1"/>
    <n v="1.5352970951299999E-3"/>
    <n v="2.0387898234000001E-4"/>
    <n v="672.770643569574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4.589609526971302"/>
    <n v="0.57078833889323999"/>
    <n v="0.54563718049999999"/>
  </r>
  <r>
    <n v="840000"/>
    <n v="2400000"/>
    <n v="2400000"/>
    <x v="0"/>
    <x v="0"/>
    <s v="BR3-5, BR-7"/>
    <s v="62-304.520 (10), F.A.C."/>
    <n v="0.59"/>
    <n v="0.64"/>
    <s v="City of Cocoa Beach"/>
    <n v="5.2700698267999998E-4"/>
    <n v="3817.9346363518898"/>
    <n v="10.885167909686601"/>
    <n v="1.44549023317269"/>
    <n v="5.73655949606E-3"/>
    <n v="7.6178344627000005E-4"/>
    <n v="2.01207821277709"/>
    <n v="1410"/>
    <s v="Retail Sales and Services"/>
    <n v="1410"/>
    <s v="City of Cocoa Beach           Brevard County"/>
    <s v="City of Cocoa Beach"/>
    <m/>
    <m/>
    <m/>
    <n v="0"/>
    <n v="1"/>
    <n v="5.73655949606E-3"/>
    <n v="7.6178344627000005E-4"/>
    <n v="597.10453176932594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9.075270661800701"/>
    <n v="2.1327215925127101"/>
    <n v="0.48426969320000002"/>
  </r>
  <r>
    <n v="840000"/>
    <n v="2400000"/>
    <n v="2400000"/>
    <x v="0"/>
    <x v="0"/>
    <s v="BR3-5, BR-7"/>
    <s v="62-304.520 (10), F.A.C."/>
    <n v="0.59"/>
    <n v="0.64"/>
    <s v="FDOT District 5"/>
    <n v="1.5944561878000001E-4"/>
    <n v="3817.9346363518898"/>
    <n v="10.885167909686601"/>
    <n v="1.44549023317269"/>
    <n v="1.73559233293E-3"/>
    <n v="2.3047708467E-4"/>
    <n v="0.60875295057380996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73559233293E-3"/>
    <n v="2.3047708467E-4"/>
    <n v="0.6087529505745300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9.0966254870998"/>
    <n v="0.64525352640438005"/>
    <n v="4.9371690000000004E-4"/>
  </r>
  <r>
    <n v="840000"/>
    <n v="2400000"/>
    <n v="2400000"/>
    <x v="0"/>
    <x v="0"/>
    <s v="BR3-5, BR-7"/>
    <s v="62-304.520 (10), F.A.C."/>
    <n v="0.59"/>
    <n v="0.64"/>
    <s v="FDOT District 5"/>
    <n v="4.6896734667110002E-2"/>
    <n v="3825.5424925667699"/>
    <n v="10.713989350785001"/>
    <n v="1.42481724777292"/>
    <n v="0.50245111581002999"/>
    <n v="6.6819276417930007E-2"/>
    <n v="179.405451231666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50245111581002999"/>
    <n v="6.6819276417930007E-2"/>
    <n v="183.10970102514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08.167456616371"/>
    <n v="189.78435187718901"/>
    <n v="0.1485074623"/>
  </r>
  <r>
    <n v="840000"/>
    <n v="2400000"/>
    <n v="2400000"/>
    <x v="0"/>
    <x v="0"/>
    <s v="BR3-5, BR-7"/>
    <s v="62-304.520 (10), F.A.C."/>
    <n v="0.59"/>
    <n v="0.64"/>
    <s v="FDOT District 5"/>
    <n v="2.195482144E-4"/>
    <n v="3825.5424925667699"/>
    <n v="10.713989350785001"/>
    <n v="1.42481724777292"/>
    <n v="2.3522372310900001E-3"/>
    <n v="3.1281608258999999E-4"/>
    <n v="0.83989102336582999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2.3522372310900001E-3"/>
    <n v="3.1281608258999999E-4"/>
    <n v="1.2406402031651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4.7169740041025001"/>
    <n v="0.88848010148487"/>
    <n v="1.0061963999999999E-3"/>
  </r>
  <r>
    <n v="840000"/>
    <n v="2400000"/>
    <n v="2400000"/>
    <x v="0"/>
    <x v="0"/>
    <s v="BR3-5, BR-7"/>
    <s v="62-304.520 (10), F.A.C."/>
    <n v="0.59"/>
    <n v="0.64"/>
    <s v="FDOT District 5"/>
    <n v="1.9272283629300001E-3"/>
    <n v="3825.5424925667699"/>
    <n v="10.713989350785001"/>
    <n v="1.42481724777292"/>
    <n v="2.0648304157039998E-2"/>
    <n v="2.7459482119100002E-3"/>
    <n v="7.3726939952992199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2.0648304157039998E-2"/>
    <n v="2.7459482119100002E-3"/>
    <n v="10.65539512230150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7.504915291704002"/>
    <n v="7.7992164779876401"/>
    <n v="8.6418451999999996E-3"/>
  </r>
  <r>
    <n v="840000"/>
    <n v="2400000"/>
    <n v="2400000"/>
    <x v="0"/>
    <x v="0"/>
    <s v="BR3-5, BR-7"/>
    <s v="62-304.520 (10), F.A.C."/>
    <n v="0.59"/>
    <n v="0.64"/>
    <s v="FDOT District 5"/>
    <n v="1.12652710551E-3"/>
    <n v="3825.5424925667699"/>
    <n v="10.713989350785001"/>
    <n v="1.42481724777292"/>
    <n v="1.2069599411900001E-2"/>
    <n v="1.6050952500200001E-3"/>
    <n v="4.3095773111911901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1.2069599411900001E-2"/>
    <n v="1.6050952500200001E-3"/>
    <n v="6.1254382304549297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3.711113207182201"/>
    <n v="4.5588934519784603"/>
    <n v="4.9679142000000004E-3"/>
  </r>
  <r>
    <n v="840000"/>
    <n v="2400000"/>
    <n v="2400000"/>
    <x v="0"/>
    <x v="0"/>
    <s v="BR3-5, BR-7"/>
    <s v="62-304.520 (10), F.A.C."/>
    <n v="0.59"/>
    <n v="0.64"/>
    <s v="City of Cocoa Beach"/>
    <n v="6.4643109859999996E-4"/>
    <n v="3800.2725995236801"/>
    <n v="11.254442154750601"/>
    <n v="1.4900489072182801"/>
    <n v="7.2752214062999998E-3"/>
    <n v="9.6321395206999997E-4"/>
    <n v="2.4566143915161698"/>
    <n v="1400"/>
    <s v="Commercial and Services"/>
    <n v="1400"/>
    <s v="City of Cocoa Beach           Brevard County"/>
    <s v="City of Cocoa Beach"/>
    <m/>
    <m/>
    <m/>
    <n v="0"/>
    <n v="1"/>
    <n v="7.2752214062999998E-3"/>
    <n v="9.6321395206999997E-4"/>
    <n v="715.9011277520310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2.447929845540202"/>
    <n v="2.6160138430348301"/>
    <n v="0.58061729740000001"/>
  </r>
  <r>
    <n v="840000"/>
    <n v="2400000"/>
    <n v="2400000"/>
    <x v="0"/>
    <x v="0"/>
    <s v="BR3-5, BR-7"/>
    <s v="62-304.520 (10), F.A.C."/>
    <n v="0.59"/>
    <n v="0.64"/>
    <s v="FDOT District 5"/>
    <n v="8.0027120860500008E-3"/>
    <n v="3800.2725995236801"/>
    <n v="11.254442154750601"/>
    <n v="1.4900489072182801"/>
    <n v="9.006606025359E-2"/>
    <n v="1.1924432398600001E-2"/>
    <n v="30.412487462500401"/>
    <n v="1400"/>
    <s v="Commercial and Services"/>
    <n v="1400"/>
    <s v="FDOT District 5                                 City of Cocoa Beach           Brevard County"/>
    <s v="FDOT District 5"/>
    <m/>
    <m/>
    <m/>
    <n v="0"/>
    <n v="1"/>
    <n v="9.006606025359E-2"/>
    <n v="1.1924432398600001E-2"/>
    <n v="229.4503215063110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8.1093300558877"/>
    <n v="32.385826802058702"/>
    <n v="0.18609109609999999"/>
  </r>
  <r>
    <n v="840000"/>
    <n v="2400000"/>
    <n v="2400000"/>
    <x v="0"/>
    <x v="0"/>
    <s v="BR3-5, BR-7"/>
    <s v="62-304.520 (10), F.A.C."/>
    <n v="0.59"/>
    <n v="0.64"/>
    <s v="City of Cocoa Beach"/>
    <n v="1.7445573063000001E-4"/>
    <n v="3800.2725995236801"/>
    <n v="11.254442154750601"/>
    <n v="1.4900489072182801"/>
    <n v="1.9634019290300001E-3"/>
    <n v="2.5994757079000002E-4"/>
    <n v="0.66297933297347"/>
    <n v="1430"/>
    <s v="Professional Services"/>
    <n v="1430"/>
    <s v="City of Cocoa Beach           Brevard County"/>
    <s v="City of Cocoa Beach"/>
    <m/>
    <m/>
    <m/>
    <n v="0"/>
    <n v="1"/>
    <n v="1.9634019290300001E-3"/>
    <n v="2.5994757079000002E-4"/>
    <n v="769.192032338442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4.8138514909123602"/>
    <n v="0.70599729395722"/>
    <n v="0.6238378202"/>
  </r>
  <r>
    <n v="840000"/>
    <n v="2400000"/>
    <n v="2400000"/>
    <x v="0"/>
    <x v="0"/>
    <s v="BR3-5, BR-7"/>
    <s v="62-304.520 (10), F.A.C."/>
    <n v="0.59"/>
    <n v="0.64"/>
    <s v="City of Cocoa Beach"/>
    <n v="7.2691037015999997E-4"/>
    <n v="3800.2725995236801"/>
    <n v="11.254442154750601"/>
    <n v="1.4900489072182801"/>
    <n v="8.1809707126500007E-3"/>
    <n v="1.0831320027000001E-3"/>
    <n v="2.76245756202866"/>
    <n v="1410"/>
    <s v="Retail Sales and Services"/>
    <n v="1410"/>
    <s v="City of Cocoa Beach           Brevard County"/>
    <s v="City of Cocoa Beach"/>
    <m/>
    <m/>
    <m/>
    <n v="0"/>
    <n v="1"/>
    <n v="8.1809707126500007E-3"/>
    <n v="1.0831320027000001E-3"/>
    <n v="336.783040143797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8.450705990877299"/>
    <n v="2.9417018999915898"/>
    <n v="0.27314115179999998"/>
  </r>
  <r>
    <n v="840000"/>
    <n v="2400000"/>
    <n v="2400000"/>
    <x v="0"/>
    <x v="0"/>
    <s v="BR3-5, BR-7"/>
    <s v="62-304.520 (10), F.A.C."/>
    <n v="0.59"/>
    <n v="0.64"/>
    <s v="FDOT District 5"/>
    <n v="2.5952144225609999E-2"/>
    <n v="3780.46235480018"/>
    <n v="11.560054770417899"/>
    <n v="1.5743305714578999"/>
    <n v="0.30000820865783001"/>
    <n v="4.0857254049260001E-2"/>
    <n v="98.1111042712634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30000820865783001"/>
    <n v="4.0857254049260001E-2"/>
    <n v="877.37134365264103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50.105639578802702"/>
    <n v="105.02460153446"/>
    <n v="0.711574488"/>
  </r>
  <r>
    <n v="840000"/>
    <n v="2400000"/>
    <n v="2500000"/>
    <x v="0"/>
    <x v="0"/>
    <s v="BR3-5, BR-7"/>
    <s v="62-304.520 (10), F.A.C."/>
    <n v="0.59"/>
    <n v="0.64"/>
    <s v="FDOT District 5"/>
    <n v="1.396285713065E-2"/>
    <n v="3781.6809470527401"/>
    <n v="11.6186390445018"/>
    <n v="1.5339592406295099"/>
    <n v="0.16222939703100001"/>
    <n v="2.1418453721150001E-2"/>
    <n v="52.8030707774099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6222939703100001"/>
    <n v="2.1418453721150001E-2"/>
    <n v="179.934518713249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7.664794092340699"/>
    <n v="56.505678054235403"/>
    <n v="0.14593229420000001"/>
  </r>
  <r>
    <n v="840000"/>
    <n v="2400000"/>
    <n v="2500000"/>
    <x v="0"/>
    <x v="0"/>
    <s v="BR3-5, BR-7"/>
    <s v="62-304.520 (10), F.A.C."/>
    <n v="0.59"/>
    <n v="0.64"/>
    <s v="FDOT District 5"/>
    <n v="1.7837667590900001E-3"/>
    <n v="3781.6809470527401"/>
    <n v="11.6186390445018"/>
    <n v="1.5339592406295099"/>
    <n v="2.0724942113519999E-2"/>
    <n v="2.7362255032400001E-3"/>
    <n v="6.7456367668631403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2.0724942113519999E-2"/>
    <n v="2.7362255032400001E-3"/>
    <n v="11.120346516572701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30.796962388953801"/>
    <n v="7.21864796511443"/>
    <n v="9.0189347E-3"/>
  </r>
  <r>
    <n v="840000"/>
    <n v="2500000"/>
    <n v="2500000"/>
    <x v="0"/>
    <x v="0"/>
    <s v="BR3-5, BR-7"/>
    <s v="62-304.520 (10), F.A.C."/>
    <n v="0.59"/>
    <n v="0.64"/>
    <s v="FDOT District 5"/>
    <n v="1.6353643811650002E-2"/>
    <n v="3781.8149967054901"/>
    <n v="11.616043472758999"/>
    <n v="1.5336463460230101"/>
    <n v="0.1899646374542"/>
    <n v="2.5080706075899999E-2"/>
    <n v="61.846455417696802"/>
    <n v="1400"/>
    <s v="Commercial and Services"/>
    <n v="1400"/>
    <s v="FDOT District 5                                 City of Cocoa Beach           Brevard County"/>
    <s v="FDOT District 5"/>
    <m/>
    <m/>
    <m/>
    <n v="0"/>
    <n v="1"/>
    <n v="0.1899646374542"/>
    <n v="2.5080706075899999E-2"/>
    <n v="172.78206152322599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45.063694375654102"/>
    <n v="66.180848488837896"/>
    <n v="0.14013143680000001"/>
  </r>
  <r>
    <n v="840000"/>
    <n v="2500000"/>
    <n v="2500000"/>
    <x v="0"/>
    <x v="0"/>
    <s v="BR3-5, BR-7"/>
    <s v="62-304.520 (10), F.A.C."/>
    <n v="0.59"/>
    <n v="0.64"/>
    <s v="FDOT District 5"/>
    <n v="1.0341018220699999E-3"/>
    <n v="3781.8149967054901"/>
    <n v="11.616043472758999"/>
    <n v="1.5336463460230101"/>
    <n v="1.201217172049E-2"/>
    <n v="1.5859464808399999E-3"/>
    <n v="3.9107817788474901"/>
    <n v="1430"/>
    <s v="Professional Services"/>
    <n v="1430"/>
    <s v="FDOT District 5                                 City of Cocoa Beach           Brevard County"/>
    <s v="FDOT District 5"/>
    <m/>
    <m/>
    <m/>
    <n v="0"/>
    <n v="1"/>
    <n v="1.201217172049E-2"/>
    <n v="1.5859464808399999E-3"/>
    <n v="8.7510572446379005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25.532686576229299"/>
    <n v="4.1848616000819296"/>
    <n v="7.0973700000000004E-3"/>
  </r>
  <r>
    <n v="840000"/>
    <n v="2500000"/>
    <n v="2500000"/>
    <x v="0"/>
    <x v="0"/>
    <s v="BR3-5, BR-7"/>
    <s v="62-304.520 (10), F.A.C."/>
    <n v="0.59"/>
    <n v="0.64"/>
    <s v="FDOT District 5"/>
    <n v="6.3011284454999998E-4"/>
    <n v="3781.8149967054901"/>
    <n v="11.616043472758999"/>
    <n v="1.5336463460230101"/>
    <n v="7.3194181951099996E-3"/>
    <n v="9.6637026163000003E-4"/>
    <n v="2.3829702051624202"/>
    <n v="1410"/>
    <s v="Retail Sales and Services"/>
    <n v="1410"/>
    <s v="FDOT District 5                                 City of Cocoa Beach           Brevard County"/>
    <s v="FDOT District 5"/>
    <m/>
    <m/>
    <m/>
    <n v="0"/>
    <n v="1"/>
    <n v="7.3194181951099996E-3"/>
    <n v="9.6637026163000003E-4"/>
    <n v="3.4566730597515298"/>
    <m/>
    <n v="-1"/>
    <n v="-1"/>
    <n v="-1"/>
    <n v="-1"/>
    <n v="0"/>
    <m/>
    <m/>
    <s v="Banana River B"/>
    <n v="-1"/>
    <m/>
    <m/>
    <n v="359"/>
    <x v="30"/>
    <s v="02-1000426-01 Cottage Row Parking Facilities Lot"/>
    <x v="0"/>
    <n v="2.7003339999999998"/>
    <n v="14.477497487699999"/>
    <n v="2.5499762118342"/>
    <n v="2.8034656E-3"/>
  </r>
  <r>
    <n v="840000"/>
    <n v="2400000"/>
    <n v="2400000"/>
    <x v="0"/>
    <x v="0"/>
    <s v="BR3-5, BR-7"/>
    <s v="62-304.520 (10), F.A.C."/>
    <n v="0.59"/>
    <n v="0.64"/>
    <s v="City of Cocoa Beach"/>
    <n v="9.5947657563649993E-2"/>
    <n v="3688.82269287901"/>
    <n v="10.525515615222901"/>
    <n v="1.9529015761409201"/>
    <n v="1.0098985679302901"/>
    <n v="0.18737633168307999"/>
    <n v="353.93389654938801"/>
    <n v="1300"/>
    <s v="Residential, High Density"/>
    <n v="1300"/>
    <s v="City of Cocoa Beach           Brevard County"/>
    <s v="City of Cocoa Beach"/>
    <m/>
    <m/>
    <m/>
    <n v="0"/>
    <n v="1"/>
    <n v="1.0098985679302901"/>
    <n v="0.18737633168307999"/>
    <n v="782.205770644626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88.495204632274195"/>
    <n v="388.28639422570501"/>
    <n v="0.63439235250000003"/>
  </r>
  <r>
    <n v="840000"/>
    <n v="2400000"/>
    <n v="2400000"/>
    <x v="0"/>
    <x v="0"/>
    <s v="BR3-5, BR-7"/>
    <s v="62-304.520 (10), F.A.C."/>
    <n v="0.59"/>
    <n v="0.64"/>
    <s v="City of Cocoa Beach"/>
    <n v="4.2216600718450001E-2"/>
    <n v="3688.82269287901"/>
    <n v="10.525515615222901"/>
    <n v="1.9529015761409201"/>
    <n v="0.44435149008376001"/>
    <n v="8.2444866082379997E-2"/>
    <n v="155.72955474646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44435149008376001"/>
    <n v="8.2444866082379997E-2"/>
    <n v="504.22716827446601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55.024526060299003"/>
    <n v="170.844521749389"/>
    <n v="0.40894336440000001"/>
  </r>
  <r>
    <n v="840000"/>
    <n v="2400000"/>
    <n v="2400000"/>
    <x v="0"/>
    <x v="0"/>
    <s v="BR3-5, BR-7"/>
    <s v="62-304.520 (10), F.A.C."/>
    <n v="0.59"/>
    <n v="0.64"/>
    <s v="City of Cocoa Beach"/>
    <n v="0.20135543570573999"/>
    <n v="3710.45435828987"/>
    <n v="11.727572462558999"/>
    <n v="2.3820605535641599"/>
    <n v="2.3614104629693098"/>
    <n v="0.47964084064037998"/>
    <n v="747.12015397974903"/>
    <n v="1300"/>
    <s v="Residential, High Density"/>
    <n v="1300"/>
    <s v="City of Cocoa Beach           Brevard County"/>
    <s v="City of Cocoa Beach"/>
    <m/>
    <m/>
    <m/>
    <n v="0"/>
    <n v="1"/>
    <n v="2.3614104629693098"/>
    <n v="0.47964084064037998"/>
    <n v="1112.4874751571001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132.24415311384101"/>
    <n v="814.85653817095795"/>
    <n v="0.90226072599999996"/>
  </r>
  <r>
    <n v="840000"/>
    <n v="2400000"/>
    <n v="2400000"/>
    <x v="0"/>
    <x v="0"/>
    <s v="BR3-5, BR-7"/>
    <s v="62-304.520 (10), F.A.C."/>
    <n v="0.59"/>
    <n v="0.64"/>
    <s v="City of Cocoa Beach"/>
    <n v="1.638757258154E-2"/>
    <n v="3710.45435828987"/>
    <n v="11.727572462558999"/>
    <n v="2.3820605535641599"/>
    <n v="0.19218644493546"/>
    <n v="3.903619021515E-2"/>
    <n v="60.805340106970398"/>
    <n v="1300"/>
    <s v="Residential, High Density"/>
    <n v="1300"/>
    <s v="City of Cocoa Beach           Brevard County"/>
    <s v="City of Cocoa Beach"/>
    <m/>
    <m/>
    <m/>
    <n v="0"/>
    <n v="1"/>
    <n v="0.19218644493546"/>
    <n v="3.903619021515E-2"/>
    <n v="60.8053401069686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83.694627553410498"/>
    <n v="66.318153349153405"/>
    <n v="4.93149555E-2"/>
  </r>
  <r>
    <n v="840000"/>
    <n v="2400000"/>
    <n v="2400000"/>
    <x v="0"/>
    <x v="0"/>
    <s v="BR3-5, BR-7"/>
    <s v="62-304.520 (10), F.A.C."/>
    <n v="0.59"/>
    <n v="0.64"/>
    <s v="City of Cocoa Beach"/>
    <n v="0.15624715359003"/>
    <n v="3753.8553054603399"/>
    <n v="11.5377905628033"/>
    <n v="1.5232391878345699"/>
    <n v="1.8027469341559601"/>
    <n v="0.23800178733593999"/>
    <n v="586.52920646702296"/>
    <n v="1400"/>
    <s v="Commercial and Services"/>
    <n v="1400"/>
    <s v="City of Cocoa Beach           Brevard County"/>
    <s v="City of Cocoa Beach"/>
    <m/>
    <m/>
    <m/>
    <n v="0"/>
    <n v="1"/>
    <n v="1.8027469341559601"/>
    <n v="0.23800178733593999"/>
    <n v="1002.30641344688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125.823684236551"/>
    <n v="632.30979698754197"/>
    <n v="0.81290057859999998"/>
  </r>
  <r>
    <n v="840000"/>
    <n v="2400000"/>
    <n v="2400000"/>
    <x v="0"/>
    <x v="0"/>
    <s v="BR3-5, BR-7"/>
    <s v="62-304.520 (10), F.A.C."/>
    <n v="0.59"/>
    <n v="0.64"/>
    <s v="City of Cocoa Beach"/>
    <n v="3.5591676085579997E-2"/>
    <n v="3688.82269287901"/>
    <n v="10.525515615222901"/>
    <n v="1.9529015761409201"/>
    <n v="0.37462074241078003"/>
    <n v="6.9507040325029995E-2"/>
    <n v="131.29138242210499"/>
    <n v="1300"/>
    <s v="Residential, High Density"/>
    <n v="1300"/>
    <s v="City of Cocoa Beach           Brevard County"/>
    <s v="City of Cocoa Beach"/>
    <m/>
    <m/>
    <m/>
    <n v="0"/>
    <n v="1"/>
    <n v="0.37462074241078003"/>
    <n v="6.9507040325029995E-2"/>
    <n v="131.29138242210601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71.975546266892195"/>
    <n v="144.034402950931"/>
    <n v="0.106481251"/>
  </r>
  <r>
    <n v="840000"/>
    <n v="2400000"/>
    <n v="2400000"/>
    <x v="0"/>
    <x v="0"/>
    <s v="BR3-5, BR-7"/>
    <s v="62-304.520 (10), F.A.C."/>
    <n v="0.59"/>
    <n v="0.64"/>
    <s v="City of Cocoa Beach"/>
    <n v="3.0692264585060001E-2"/>
    <n v="3688.82269287901"/>
    <n v="10.525515615222901"/>
    <n v="1.9529015761409201"/>
    <n v="0.32305191015666002"/>
    <n v="5.9938971883510002E-2"/>
    <n v="113.218322097238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32305191015666002"/>
    <n v="5.9938971883510002E-2"/>
    <n v="113.218322097239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50.699842473026798"/>
    <n v="124.207188054076"/>
    <n v="9.18234567E-2"/>
  </r>
  <r>
    <n v="840000"/>
    <n v="2400000"/>
    <n v="2400000"/>
    <x v="0"/>
    <x v="0"/>
    <s v="BR3-5, BR-7"/>
    <s v="62-304.520 (10), F.A.C."/>
    <n v="0.59"/>
    <n v="0.64"/>
    <s v="City of Cocoa Beach"/>
    <n v="1.320627093057E-2"/>
    <n v="3695.1423574092"/>
    <n v="9.8302641178760695"/>
    <n v="1.5843568761889899"/>
    <n v="0.12982113125976999"/>
    <n v="2.092344615767E-2"/>
    <n v="48.799051098985899"/>
    <n v="1200"/>
    <s v="Residential, Medium Density-Two-five dwellingunits per acre"/>
    <n v="1200"/>
    <s v="City of Cocoa Beach           Brevard County"/>
    <s v="City of Cocoa Beach"/>
    <m/>
    <m/>
    <m/>
    <n v="0"/>
    <n v="1"/>
    <n v="0.12982113125976999"/>
    <n v="2.092344615767E-2"/>
    <n v="659.81950133728105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87.321826020720806"/>
    <n v="53.443882331346799"/>
    <n v="0.53513341550000004"/>
  </r>
  <r>
    <n v="840000"/>
    <n v="2400000"/>
    <n v="2400000"/>
    <x v="0"/>
    <x v="0"/>
    <s v="BR3-5, BR-7"/>
    <s v="62-304.520 (10), F.A.C."/>
    <n v="0.59"/>
    <n v="0.64"/>
    <s v="City of Cocoa Beach"/>
    <n v="1.3795391887499999E-2"/>
    <n v="3695.1423574092"/>
    <n v="9.8302641178760695"/>
    <n v="1.5843568761889899"/>
    <n v="0.1356123458638"/>
    <n v="2.1856823996689999E-2"/>
    <n v="50.975936900590099"/>
    <n v="1400"/>
    <s v="Commercial and Services"/>
    <n v="1400"/>
    <s v="City of Cocoa Beach           Brevard County"/>
    <s v="City of Cocoa Beach"/>
    <m/>
    <m/>
    <m/>
    <n v="0"/>
    <n v="1"/>
    <n v="0.1356123458638"/>
    <n v="2.1856823996689999E-2"/>
    <n v="115.86187935378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33.915805044482603"/>
    <n v="55.827970259488097"/>
    <n v="9.3967461000000002E-2"/>
  </r>
  <r>
    <n v="840000"/>
    <n v="2400000"/>
    <n v="2400000"/>
    <x v="0"/>
    <x v="0"/>
    <s v="BR3-5, BR-7"/>
    <s v="62-304.520 (10), F.A.C."/>
    <n v="0.59"/>
    <n v="0.64"/>
    <s v="City of Cocoa Beach"/>
    <n v="0.11285583801825"/>
    <n v="3695.1423574092"/>
    <n v="9.8302641178760695"/>
    <n v="1.5843568761889899"/>
    <n v="1.1094026949636799"/>
    <n v="0.17880392298229"/>
    <n v="417.01838734216602"/>
    <n v="1300"/>
    <s v="Residential, High Density"/>
    <n v="1300"/>
    <s v="City of Cocoa Beach           Brevard County"/>
    <s v="City of Cocoa Beach"/>
    <m/>
    <m/>
    <m/>
    <n v="0"/>
    <n v="1"/>
    <n v="1.1094026949636799"/>
    <n v="0.17880392298229"/>
    <n v="458.85718536234401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105.062587827632"/>
    <n v="456.71137288951002"/>
    <n v="0.37214694679999999"/>
  </r>
  <r>
    <n v="840000"/>
    <n v="2400000"/>
    <n v="2400000"/>
    <x v="0"/>
    <x v="0"/>
    <s v="BR3-5, BR-7"/>
    <s v="62-304.520 (10), F.A.C."/>
    <n v="0.59"/>
    <n v="0.64"/>
    <s v="City of Cocoa Beach"/>
    <n v="0.15439543388995"/>
    <n v="3753.14035942999"/>
    <n v="11.5356646709798"/>
    <n v="1.5229578154493"/>
    <n v="1.78105395208495"/>
    <n v="0.23513773271239"/>
    <n v="579.46773424409503"/>
    <n v="1400"/>
    <s v="Commercial and Services"/>
    <n v="1400"/>
    <s v="City of Cocoa Beach           Brevard County"/>
    <s v="City of Cocoa Beach"/>
    <m/>
    <m/>
    <m/>
    <n v="0"/>
    <n v="1"/>
    <n v="1.78105395208495"/>
    <n v="0.23513773271239"/>
    <n v="1076.7910467326601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125.515647045986"/>
    <n v="624.81615322679897"/>
    <n v="0.87330985139999995"/>
  </r>
  <r>
    <n v="840000"/>
    <n v="2400000"/>
    <n v="2400000"/>
    <x v="0"/>
    <x v="0"/>
    <s v="BR3-5, BR-7"/>
    <s v="62-304.520 (10), F.A.C."/>
    <n v="0.59"/>
    <n v="0.64"/>
    <s v="City of Cocoa Beach"/>
    <n v="0.16398396721670999"/>
    <n v="3736.76290362911"/>
    <n v="11.9252598337842"/>
    <n v="1.5700371911879001"/>
    <n v="1.9555514176341"/>
    <n v="0.25746092728878001"/>
    <n v="612.769205485361"/>
    <n v="1400"/>
    <s v="Commercial and Services"/>
    <n v="1400"/>
    <s v="City of Cocoa Beach           Brevard County"/>
    <s v="City of Cocoa Beach"/>
    <m/>
    <m/>
    <m/>
    <n v="0"/>
    <n v="1"/>
    <n v="1.9555514176341"/>
    <n v="0.25746092728878001"/>
    <n v="627.23691749059606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125.628056100105"/>
    <n v="663.61957090160104"/>
    <n v="0.50870796230000004"/>
  </r>
  <r>
    <n v="840000"/>
    <n v="2400000"/>
    <n v="2400000"/>
    <x v="0"/>
    <x v="0"/>
    <s v="BR3-5, BR-7"/>
    <s v="62-304.520 (10), F.A.C."/>
    <n v="0.59"/>
    <n v="0.64"/>
    <s v="City of Cocoa Beach"/>
    <n v="0.16407514312071"/>
    <n v="3740.2262049943702"/>
    <n v="11.845312331822999"/>
    <n v="1.5603793125162699"/>
    <n v="1.9435213161534599"/>
    <n v="0.25601945902370998"/>
    <n v="613.67814988830798"/>
    <n v="1400"/>
    <s v="Commercial and Services"/>
    <n v="1400"/>
    <s v="City of Cocoa Beach           Brevard County"/>
    <s v="City of Cocoa Beach"/>
    <m/>
    <m/>
    <m/>
    <n v="0"/>
    <n v="1"/>
    <n v="1.9435213161534599"/>
    <n v="0.25601945902370998"/>
    <n v="817.09035543151094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126.99614360077"/>
    <n v="663.98854669427305"/>
    <n v="0.66268479759999999"/>
  </r>
  <r>
    <n v="840000"/>
    <n v="2400000"/>
    <n v="2400000"/>
    <x v="0"/>
    <x v="0"/>
    <s v="BR3-5, BR-7"/>
    <s v="62-304.520 (10), F.A.C."/>
    <n v="0.59"/>
    <n v="0.64"/>
    <s v="City of Cocoa Beach"/>
    <n v="2.0092216060219999E-2"/>
    <n v="3695.6535633538101"/>
    <n v="9.4867124968976295"/>
    <n v="1.25624546124614"/>
    <n v="0.19060907718886999"/>
    <n v="2.524075523203E-2"/>
    <n v="74.253869878634205"/>
    <n v="1400"/>
    <s v="Commercial and Services"/>
    <n v="1400"/>
    <s v="City of Cocoa Beach           Brevard County"/>
    <s v="City of Cocoa Beach"/>
    <m/>
    <m/>
    <m/>
    <n v="0"/>
    <n v="1"/>
    <n v="0.19060907718886999"/>
    <n v="2.524075523203E-2"/>
    <n v="439.60338709263698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46.140547049986999"/>
    <n v="81.310313603559607"/>
    <n v="0.35653153859999998"/>
  </r>
  <r>
    <n v="840000"/>
    <n v="2400000"/>
    <n v="2400000"/>
    <x v="0"/>
    <x v="0"/>
    <s v="BR3-5, BR-7"/>
    <s v="62-304.520 (10), F.A.C."/>
    <n v="0.59"/>
    <n v="0.64"/>
    <s v="City of Cocoa Beach"/>
    <n v="5.3888972712840003E-2"/>
    <n v="3695.6535633538101"/>
    <n v="9.4867124968976295"/>
    <n v="1.25624546124614"/>
    <n v="0.51122919087991003"/>
    <n v="6.7697777381720003E-2"/>
    <n v="199.154974031698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51122919087991003"/>
    <n v="6.7697777381720003E-2"/>
    <n v="690.74045335335495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76.794303383454903"/>
    <n v="218.08093531951101"/>
    <n v="0.56021123549999996"/>
  </r>
  <r>
    <n v="840000"/>
    <n v="2400000"/>
    <n v="2400000"/>
    <x v="0"/>
    <x v="0"/>
    <s v="BR3-5, BR-7"/>
    <s v="62-304.520 (10), F.A.C."/>
    <n v="0.59"/>
    <n v="0.64"/>
    <s v="City of Cocoa Beach"/>
    <n v="1.366980853824E-2"/>
    <n v="3744.6331390922501"/>
    <n v="11.747704000972"/>
    <n v="1.5485933910671199"/>
    <n v="0.16058886445720999"/>
    <n v="2.1168975159469999E-2"/>
    <n v="51.188418057343497"/>
    <n v="1400"/>
    <s v="Commercial and Services"/>
    <n v="1400"/>
    <s v="City of Cocoa Beach           Brevard County"/>
    <s v="City of Cocoa Beach"/>
    <m/>
    <m/>
    <m/>
    <n v="0"/>
    <n v="1"/>
    <n v="0.16058886445720999"/>
    <n v="2.1168975159469999E-2"/>
    <n v="665.06723816995202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68.831913707072502"/>
    <n v="55.319752475959703"/>
    <n v="0.53938948760000005"/>
  </r>
  <r>
    <n v="840000"/>
    <n v="2400000"/>
    <n v="2400000"/>
    <x v="0"/>
    <x v="0"/>
    <s v="BR3-5, BR-7"/>
    <s v="62-304.520 (10), F.A.C."/>
    <n v="0.59"/>
    <n v="0.64"/>
    <s v="City of Cocoa Beach"/>
    <n v="3.4500035311010001E-2"/>
    <n v="3713.4391479556798"/>
    <n v="11.736175122556901"/>
    <n v="2.3837198730832498"/>
    <n v="0.40489845614443998"/>
    <n v="8.2238419792930006E-2"/>
    <n v="128.11378172976899"/>
    <n v="1300"/>
    <s v="Residential, High Density"/>
    <n v="1300"/>
    <s v="City of Cocoa Beach           Brevard County"/>
    <s v="City of Cocoa Beach"/>
    <m/>
    <m/>
    <m/>
    <n v="0"/>
    <n v="1"/>
    <n v="0.40489845614443998"/>
    <n v="8.2238419792930006E-2"/>
    <n v="1347.3350334660199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51.780747216135801"/>
    <n v="139.616689471397"/>
    <n v="1.0927291430999999"/>
  </r>
  <r>
    <n v="840000"/>
    <n v="2400000"/>
    <n v="2400000"/>
    <x v="0"/>
    <x v="0"/>
    <s v="BR3-5, BR-7"/>
    <s v="62-304.520 (10), F.A.C."/>
    <n v="0.59"/>
    <n v="0.64"/>
    <s v="City of Cocoa Beach"/>
    <n v="4.8840090039759997E-2"/>
    <n v="3695.6535633538101"/>
    <n v="9.4867124968976295"/>
    <n v="1.25624546124614"/>
    <n v="0.46333189252987"/>
    <n v="6.135514143931E-2"/>
    <n v="180.49605278998899"/>
    <n v="1400"/>
    <s v="Commercial and Services"/>
    <n v="1400"/>
    <s v="City of Cocoa Beach           Brevard County"/>
    <s v="City of Cocoa Beach"/>
    <m/>
    <m/>
    <m/>
    <n v="0"/>
    <n v="1"/>
    <n v="0.46333189252987"/>
    <n v="6.135514143931E-2"/>
    <n v="180.49605278998899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58.305512118590499"/>
    <n v="197.64883204802899"/>
    <n v="0.14638771519999999"/>
  </r>
  <r>
    <n v="840000"/>
    <n v="2400000"/>
    <n v="2400000"/>
    <x v="0"/>
    <x v="0"/>
    <s v="BR3-5, BR-7"/>
    <s v="62-304.520 (10), F.A.C."/>
    <n v="0.59"/>
    <n v="0.64"/>
    <s v="City of Cocoa Beach"/>
    <n v="6.8325520820559996E-2"/>
    <n v="3695.6535633538101"/>
    <n v="9.4867124968976295"/>
    <n v="1.25624546124614"/>
    <n v="0.64818457222547998"/>
    <n v="8.5833625418110002E-2"/>
    <n v="252.507454488522"/>
    <n v="1890"/>
    <s v="Other Recreational(Riding stables, go-carttracks, skeet ranges, etc)"/>
    <n v="1890"/>
    <s v="City of Cocoa Beach           Brevard County"/>
    <s v="City of Cocoa Beach"/>
    <m/>
    <m/>
    <m/>
    <n v="0"/>
    <n v="1"/>
    <n v="0.64818457222547998"/>
    <n v="8.5833625418110002E-2"/>
    <n v="252.507454488523"/>
    <m/>
    <n v="-1"/>
    <n v="-1"/>
    <n v="-1"/>
    <n v="-1"/>
    <n v="0"/>
    <m/>
    <m/>
    <s v="Banana River B"/>
    <n v="-1"/>
    <m/>
    <m/>
    <n v="360"/>
    <x v="31"/>
    <s v="03-4800910-01  Shepard Park Improvements"/>
    <x v="0"/>
    <n v="13.60708"/>
    <n v="80.946514413193697"/>
    <n v="276.50357274652401"/>
    <n v="0.20479112290000001"/>
  </r>
  <r>
    <n v="840000"/>
    <n v="2400000"/>
    <n v="2400000"/>
    <x v="0"/>
    <x v="0"/>
    <s v="BR3-5, BR-7"/>
    <s v="62-304.520 (10), F.A.C."/>
    <n v="0.59"/>
    <n v="0.64"/>
    <s v="City of Cocoa Beach"/>
    <n v="1.1796165394319999E-2"/>
    <n v="3294.8136544918402"/>
    <n v="9.87096039206358"/>
    <n v="1.31625280227494"/>
    <n v="0.11643948138564"/>
    <n v="1.552673575638E-2"/>
    <n v="38.866166811876099"/>
    <n v="1400"/>
    <s v="Commercial and Services"/>
    <n v="1400"/>
    <s v="City of Cocoa Beach           Brevard County"/>
    <s v="City of Cocoa Beach"/>
    <m/>
    <m/>
    <m/>
    <n v="0"/>
    <n v="1"/>
    <n v="0.11643948138564"/>
    <n v="1.552673575638E-2"/>
    <n v="1348.89109439094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30.834065574064802"/>
    <n v="47.737387685727498"/>
    <n v="1.0939911551999999"/>
  </r>
  <r>
    <n v="840000"/>
    <n v="2400000"/>
    <n v="2400000"/>
    <x v="0"/>
    <x v="0"/>
    <s v="BR3-5, BR-7"/>
    <s v="62-304.520 (10), F.A.C."/>
    <n v="0.59"/>
    <n v="0.64"/>
    <s v="City of Cocoa Beach"/>
    <n v="1.9612082169200001E-3"/>
    <n v="3294.8136544918402"/>
    <n v="9.87096039206358"/>
    <n v="1.31625280227494"/>
    <n v="1.935900862981E-2"/>
    <n v="2.5814458113599999E-3"/>
    <n v="6.46181561241292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1.935900862981E-2"/>
    <n v="2.5814458113599999E-3"/>
    <n v="70.232721463815906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13.728152269641299"/>
    <n v="7.9367280683115"/>
    <n v="5.6960844699999999E-2"/>
  </r>
  <r>
    <n v="840000"/>
    <n v="2400000"/>
    <n v="2400000"/>
    <x v="0"/>
    <x v="0"/>
    <s v="BR3-5, BR-7"/>
    <s v="62-304.520 (10), F.A.C."/>
    <n v="0.59"/>
    <n v="0.64"/>
    <s v="City of Cocoa Beach"/>
    <n v="5.8826669216440003E-2"/>
    <n v="3786.0833759532502"/>
    <n v="11.6314418889924"/>
    <n v="1.5356567060494699"/>
    <n v="0.68423898451405996"/>
    <n v="9.0337569076780005E-2"/>
    <n v="222.72267438308299"/>
    <n v="1400"/>
    <s v="Commercial and Services"/>
    <n v="1400"/>
    <s v="City of Cocoa Beach           Brevard County"/>
    <s v="City of Cocoa Beach"/>
    <m/>
    <m/>
    <m/>
    <n v="0"/>
    <n v="1"/>
    <n v="0.68423898451405996"/>
    <n v="9.0337569076780005E-2"/>
    <n v="710.91344454100602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93.953562605686898"/>
    <n v="238.06308412696899"/>
    <n v="0.57657213669999996"/>
  </r>
  <r>
    <n v="840000"/>
    <n v="2400000"/>
    <n v="2400000"/>
    <x v="0"/>
    <x v="0"/>
    <s v="BR3-5, BR-7"/>
    <s v="62-304.520 (10), F.A.C."/>
    <n v="0.59"/>
    <n v="0.64"/>
    <s v="City of Cocoa Beach"/>
    <n v="0.29758293009592002"/>
    <n v="3786.0833759532502"/>
    <n v="11.6314418889924"/>
    <n v="1.5356567060494699"/>
    <n v="3.4613185585669002"/>
    <n v="0.45698522220766002"/>
    <n v="1126.6737846036499"/>
    <n v="1410"/>
    <s v="Retail Sales and Services"/>
    <n v="1410"/>
    <s v="City of Cocoa Beach           Brevard County"/>
    <s v="City of Cocoa Beach"/>
    <m/>
    <m/>
    <m/>
    <n v="0"/>
    <n v="1"/>
    <n v="3.4613185585669002"/>
    <n v="0.45698522220766002"/>
    <n v="1416.3844664245401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140.69501002105301"/>
    <n v="1204.2753918553101"/>
    <n v="1.1487303053"/>
  </r>
  <r>
    <n v="840000"/>
    <n v="2400000"/>
    <n v="2400000"/>
    <x v="0"/>
    <x v="0"/>
    <s v="BR3-5, BR-7"/>
    <s v="62-304.520 (10), F.A.C."/>
    <n v="0.59"/>
    <n v="0.64"/>
    <s v="City of Cocoa Beach"/>
    <n v="2.8737445744609999E-2"/>
    <n v="3786.0833751069899"/>
    <n v="11.631441886392601"/>
    <n v="1.53565670570623"/>
    <n v="0.33425793014179001"/>
    <n v="4.4130851262569999E-2"/>
    <n v="108.802365576707"/>
    <n v="1400"/>
    <s v="Commercial and Services"/>
    <n v="1400"/>
    <s v="City of Cocoa Beach           Brevard County"/>
    <s v="City of Cocoa Beach"/>
    <m/>
    <m/>
    <m/>
    <n v="0"/>
    <n v="1"/>
    <n v="0.33425793014179001"/>
    <n v="4.4130851262569999E-2"/>
    <n v="342.85706782070997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68.532795037049596"/>
    <n v="116.296316874947"/>
    <n v="0.27806737050000002"/>
  </r>
  <r>
    <n v="840000"/>
    <n v="2400000"/>
    <n v="2400000"/>
    <x v="0"/>
    <x v="0"/>
    <s v="BR3-5, BR-7"/>
    <s v="62-304.520 (10), F.A.C."/>
    <n v="0.59"/>
    <n v="0.64"/>
    <s v="City of Cocoa Beach"/>
    <n v="1.6931172420270001E-2"/>
    <n v="3786.0833751069899"/>
    <n v="11.631441886392601"/>
    <n v="1.53565670570623"/>
    <n v="0.19693394807494999"/>
    <n v="2.6000468462659999E-2"/>
    <n v="64.102830421484597"/>
    <n v="1410"/>
    <s v="Retail Sales and Services"/>
    <n v="1410"/>
    <s v="City of Cocoa Beach           Brevard County"/>
    <s v="City of Cocoa Beach"/>
    <m/>
    <m/>
    <m/>
    <n v="0"/>
    <n v="1"/>
    <n v="0.19693394807494999"/>
    <n v="2.6000468462659999E-2"/>
    <n v="208.06492623643001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34.389492603883603"/>
    <n v="68.518023847763402"/>
    <n v="0.16874689879999999"/>
  </r>
  <r>
    <n v="840000"/>
    <n v="2400000"/>
    <n v="2400000"/>
    <x v="0"/>
    <x v="0"/>
    <s v="BR3-5, BR-7"/>
    <s v="62-304.520 (10), F.A.C."/>
    <n v="0.59"/>
    <n v="0.64"/>
    <s v="City of Cocoa Beach"/>
    <n v="1.288065790249E-2"/>
    <n v="3786.0833751069899"/>
    <n v="11.631441886392601"/>
    <n v="1.53565670570623"/>
    <n v="0.14982062385136999"/>
    <n v="1.9780268681870002E-2"/>
    <n v="48.767244745076901"/>
    <n v="1430"/>
    <s v="Professional Services"/>
    <n v="1430"/>
    <s v="City of Cocoa Beach           Brevard County"/>
    <s v="City of Cocoa Beach"/>
    <m/>
    <m/>
    <m/>
    <n v="0"/>
    <n v="1"/>
    <n v="0.14982062385136999"/>
    <n v="1.9780268681870002E-2"/>
    <n v="1106.20922902957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40.302986238653602"/>
    <n v="52.126173157448001"/>
    <n v="0.89716887999999995"/>
  </r>
  <r>
    <n v="840000"/>
    <n v="2400000"/>
    <n v="2400000"/>
    <x v="0"/>
    <x v="0"/>
    <s v="BR3-5, BR-7"/>
    <s v="62-304.520 (10), F.A.C."/>
    <n v="0.59"/>
    <n v="0.64"/>
    <s v="City of Cocoa Beach"/>
    <n v="1.2411923761999999E-4"/>
    <n v="3786.0833751069899"/>
    <n v="11.631441886392601"/>
    <n v="1.53565670570623"/>
    <n v="1.4436856994100001E-3"/>
    <n v="1.9060453956000001E-4"/>
    <n v="0.46992578210295999"/>
    <n v="1410"/>
    <s v="Retail Sales and Services"/>
    <n v="1410"/>
    <s v="City of Cocoa Beach           Brevard County"/>
    <s v="City of Cocoa Beach"/>
    <m/>
    <m/>
    <m/>
    <n v="0"/>
    <n v="1"/>
    <n v="1.4436856994100001E-3"/>
    <n v="1.9060453956000001E-4"/>
    <n v="681.77271885544303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12.1063671659868"/>
    <n v="0.50229273392747997"/>
    <n v="0.5529381337"/>
  </r>
  <r>
    <n v="840000"/>
    <n v="2500000"/>
    <n v="2500000"/>
    <x v="0"/>
    <x v="0"/>
    <s v="BR3-5, BR-7"/>
    <s v="62-304.520 (10), F.A.C."/>
    <n v="0.59"/>
    <n v="0.64"/>
    <s v="City of Cocoa Beach"/>
    <n v="0.11566107284172999"/>
    <n v="3786.0833751069899"/>
    <n v="11.631441886392601"/>
    <n v="1.53565670570623"/>
    <n v="1.3453050472764201"/>
    <n v="0.17761570209857999"/>
    <n v="437.90246503311698"/>
    <n v="1400"/>
    <s v="Commercial and Services"/>
    <n v="1400"/>
    <s v="City of Cocoa Beach           Brevard County"/>
    <s v="City of Cocoa Beach"/>
    <m/>
    <m/>
    <m/>
    <n v="0"/>
    <n v="1"/>
    <n v="1.3453050472764201"/>
    <n v="0.17761570209857999"/>
    <n v="860.05826399513705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174.340372419186"/>
    <n v="468.06375545123399"/>
    <n v="0.69753306079999999"/>
  </r>
  <r>
    <n v="840000"/>
    <n v="2500000"/>
    <n v="2500000"/>
    <x v="0"/>
    <x v="0"/>
    <s v="BR3-5, BR-7"/>
    <s v="62-304.520 (10), F.A.C."/>
    <n v="0.59"/>
    <n v="0.64"/>
    <s v="City of Cocoa Beach"/>
    <n v="0.10455645140892"/>
    <n v="3786.0833751069899"/>
    <n v="11.631441886392601"/>
    <n v="1.53565670570623"/>
    <n v="1.2161422884103801"/>
    <n v="0.16056281573096001"/>
    <n v="395.85944243952503"/>
    <n v="1420"/>
    <s v="Wholesale Sales and Services &lt;Excluding warehouses associated with industrial use&gt;"/>
    <n v="1420"/>
    <s v="City of Cocoa Beach           Brevard County"/>
    <s v="City of Cocoa Beach"/>
    <m/>
    <m/>
    <m/>
    <n v="0"/>
    <n v="1"/>
    <n v="1.2161422884103801"/>
    <n v="0.16056281573096001"/>
    <n v="439.226663204928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86.708908850194405"/>
    <n v="423.12494688757198"/>
    <n v="0.3562260042"/>
  </r>
  <r>
    <n v="840000"/>
    <n v="2500000"/>
    <n v="2500000"/>
    <x v="0"/>
    <x v="0"/>
    <s v="BR3-5, BR-7"/>
    <s v="62-304.520 (10), F.A.C."/>
    <n v="0.59"/>
    <n v="0.64"/>
    <s v="City of Cocoa Beach"/>
    <n v="6.3563070100800007E-2"/>
    <n v="3786.0833751069899"/>
    <n v="11.631441886392601"/>
    <n v="1.53565670570623"/>
    <n v="0.73933015599820995"/>
    <n v="9.7611054835570005E-2"/>
    <n v="240.65508297941801"/>
    <n v="1410"/>
    <s v="Retail Sales and Services"/>
    <n v="1410"/>
    <s v="City of Cocoa Beach           Brevard County"/>
    <s v="City of Cocoa Beach"/>
    <m/>
    <m/>
    <m/>
    <n v="0"/>
    <n v="1"/>
    <n v="0.73933015599820995"/>
    <n v="9.7611054835570005E-2"/>
    <n v="442.55441397629897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67.950967398134296"/>
    <n v="257.23061846490202"/>
    <n v="0.35892490999999999"/>
  </r>
  <r>
    <n v="840000"/>
    <n v="2500000"/>
    <n v="2500000"/>
    <x v="0"/>
    <x v="0"/>
    <s v="BR3-5, BR-7"/>
    <s v="62-304.520 (10), F.A.C."/>
    <n v="0.59"/>
    <n v="0.64"/>
    <s v="City of Cocoa Beach"/>
    <n v="0.10706874634984"/>
    <n v="3786.0833751069899"/>
    <n v="11.631441886392601"/>
    <n v="1.53565670570623"/>
    <n v="1.2453639010170801"/>
    <n v="0.16442083830369"/>
    <n v="405.371200548677"/>
    <n v="1410"/>
    <s v="Retail Sales and Services"/>
    <n v="1410"/>
    <s v="City of Cocoa Beach           Brevard County"/>
    <s v="City of Cocoa Beach"/>
    <m/>
    <m/>
    <m/>
    <n v="0"/>
    <n v="1"/>
    <n v="1.2453639010170801"/>
    <n v="0.16442083830369"/>
    <n v="419.48329935937898"/>
    <m/>
    <n v="-1"/>
    <n v="-1"/>
    <n v="-1"/>
    <n v="-1"/>
    <n v="0"/>
    <m/>
    <m/>
    <s v="Banana River B"/>
    <n v="-1"/>
    <m/>
    <m/>
    <n v="361"/>
    <x v="32"/>
    <s v="Burris Way (alley) Exfiltration"/>
    <x v="0"/>
    <n v="0.81969000000000003"/>
    <n v="88.372914993084194"/>
    <n v="433.29184380416501"/>
    <n v="0.34021354370000001"/>
  </r>
  <r>
    <n v="830000"/>
    <n v="2400000"/>
    <n v="2400000"/>
    <x v="0"/>
    <x v="0"/>
    <s v="BR3-5, BR-7"/>
    <s v="62-304.520 (10), F.A.C."/>
    <n v="0.59"/>
    <n v="0.64"/>
    <s v="Brevard County"/>
    <n v="1.094760566933E-2"/>
    <n v="2365.8964729934901"/>
    <n v="6.6479893454949197"/>
    <n v="0.92303951773994997"/>
    <n v="7.2779565848409999E-2"/>
    <n v="1.0105072657430001E-2"/>
    <n v="25.900901640803198"/>
    <n v="1400"/>
    <s v="Commercial and Services"/>
    <n v="1400"/>
    <s v="Brevard County"/>
    <s v="Brevard County"/>
    <m/>
    <m/>
    <m/>
    <n v="0"/>
    <n v="1"/>
    <n v="7.2779565848409999E-2"/>
    <n v="1.0105072657430001E-2"/>
    <n v="69.639564205623103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01.820877207301"/>
    <n v="44.303388312850402"/>
    <n v="5.6479776299999999E-2"/>
  </r>
  <r>
    <n v="830000"/>
    <n v="2400000"/>
    <n v="2400000"/>
    <x v="0"/>
    <x v="0"/>
    <s v="BR3-5, BR-7"/>
    <s v="62-304.520 (10), F.A.C."/>
    <n v="0.59"/>
    <n v="0.64"/>
    <s v="City of Cocoa Beach"/>
    <n v="8.247302941555E-2"/>
    <n v="2365.8964729934901"/>
    <n v="6.6479893454949197"/>
    <n v="0.92303951773994997"/>
    <n v="0.54827982084530003"/>
    <n v="7.6125865298279999E-2"/>
    <n v="195.12264941135001"/>
    <n v="1400"/>
    <s v="Commercial and Services"/>
    <n v="1400"/>
    <s v="City of Cocoa Beach           Brevard County"/>
    <s v="City of Cocoa Beach"/>
    <m/>
    <m/>
    <m/>
    <n v="0"/>
    <n v="1"/>
    <n v="0.54827982084530003"/>
    <n v="7.6125865298279999E-2"/>
    <n v="400.46961239008601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13.383799109517"/>
    <n v="333.75650876512202"/>
    <n v="0.32479287299999998"/>
  </r>
  <r>
    <n v="830000"/>
    <n v="2400000"/>
    <n v="2400000"/>
    <x v="0"/>
    <x v="0"/>
    <s v="BR3-5, BR-7"/>
    <s v="62-304.520 (10), F.A.C."/>
    <n v="0.59"/>
    <n v="0.64"/>
    <s v="Brevard County"/>
    <n v="2.6474339085020001E-2"/>
    <n v="2240.08209311362"/>
    <n v="6.4464406966650998"/>
    <n v="0.88509513281274999"/>
    <n v="0.17066525689498999"/>
    <n v="2.3432308668579999E-2"/>
    <n v="59.3046929113735"/>
    <n v="1400"/>
    <s v="Commercial and Services"/>
    <n v="1400"/>
    <s v="Brevard County"/>
    <s v="Brevard County"/>
    <m/>
    <m/>
    <m/>
    <n v="0"/>
    <n v="1"/>
    <n v="0.17066525689498999"/>
    <n v="2.3432308668579999E-2"/>
    <n v="65.978995611845406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04.26278911426"/>
    <n v="107.137849155014"/>
    <n v="5.3510945300000001E-2"/>
  </r>
  <r>
    <n v="830000"/>
    <n v="2400000"/>
    <n v="2400000"/>
    <x v="0"/>
    <x v="0"/>
    <s v="BR3-5, BR-7"/>
    <s v="62-304.520 (10), F.A.C."/>
    <n v="0.59"/>
    <n v="0.64"/>
    <s v="City of Cocoa Beach"/>
    <n v="7.8601734457360004E-2"/>
    <n v="2240.08209311362"/>
    <n v="6.4464406966650998"/>
    <n v="0.88509513281274999"/>
    <n v="0.50670141983443995"/>
    <n v="6.9570012598849998E-2"/>
    <n v="176.074337845624"/>
    <n v="1400"/>
    <s v="Commercial and Services"/>
    <n v="1400"/>
    <s v="City of Cocoa Beach           Brevard County"/>
    <s v="City of Cocoa Beach"/>
    <m/>
    <m/>
    <m/>
    <n v="0"/>
    <n v="1"/>
    <n v="0.50670141983443995"/>
    <n v="6.9570012598849998E-2"/>
    <n v="446.336493541989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12.757113478816"/>
    <n v="318.089933900581"/>
    <n v="0.36199228999999999"/>
  </r>
  <r>
    <n v="830000"/>
    <n v="2400000"/>
    <n v="2400000"/>
    <x v="0"/>
    <x v="0"/>
    <s v="BR3-5, BR-7"/>
    <s v="62-304.520 (10), F.A.C."/>
    <n v="0.59"/>
    <n v="0.64"/>
    <s v="Natural Lands"/>
    <n v="6.1042061279999998E-5"/>
    <n v="2240.08209311362"/>
    <n v="6.4464406966650998"/>
    <n v="0.88509513281274999"/>
    <n v="3.9350402810000001E-4"/>
    <n v="5.4028031339999997E-5"/>
    <n v="0.13673922842023001"/>
    <n v="5400"/>
    <s v="Bays and estuaries"/>
    <n v="5400"/>
    <s v="Brevard County"/>
    <s v="Brevard County"/>
    <m/>
    <m/>
    <s v="Natural Lands"/>
    <n v="0"/>
    <n v="1"/>
    <n v="3.9350402810000001E-4"/>
    <n v="5.4028031339999997E-5"/>
    <n v="151.26221572962001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2.600943820832001"/>
    <n v="0.24702845776367999"/>
    <n v="0.122678196"/>
  </r>
  <r>
    <n v="830000"/>
    <n v="2400000"/>
    <n v="2400000"/>
    <x v="0"/>
    <x v="0"/>
    <s v="BR3-5, BR-7"/>
    <s v="62-304.520 (10), F.A.C."/>
    <n v="0.59"/>
    <n v="0.64"/>
    <s v="Brevard County"/>
    <n v="1.8741452399649999E-2"/>
    <n v="2302.9384694763899"/>
    <n v="6.5471667265581699"/>
    <n v="0.90405995890753998"/>
    <n v="0.12270341355842"/>
    <n v="1.6943396686299999E-2"/>
    <n v="43.160411705035301"/>
    <n v="1400"/>
    <s v="Commercial and Services"/>
    <n v="1400"/>
    <s v="Brevard County"/>
    <s v="Brevard County"/>
    <m/>
    <m/>
    <m/>
    <n v="0"/>
    <n v="1"/>
    <n v="0.12270341355842"/>
    <n v="1.6943396686299999E-2"/>
    <n v="67.806388028907904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03.082521739482"/>
    <n v="75.843967008663597"/>
    <n v="5.4993015399999998E-2"/>
  </r>
  <r>
    <n v="830000"/>
    <n v="2400000"/>
    <n v="2400000"/>
    <x v="0"/>
    <x v="0"/>
    <s v="BR3-5, BR-7"/>
    <s v="62-304.520 (10), F.A.C."/>
    <n v="0.59"/>
    <n v="0.64"/>
    <s v="City of Cocoa Beach"/>
    <n v="8.0537426839219994E-2"/>
    <n v="2302.9384694763899"/>
    <n v="6.5471667265581699"/>
    <n v="0.90405995890753998"/>
    <n v="0.52729196124440003"/>
    <n v="7.2810662798790005E-2"/>
    <n v="185.47273850069601"/>
    <n v="1400"/>
    <s v="Commercial and Services"/>
    <n v="1400"/>
    <s v="City of Cocoa Beach           Brevard County"/>
    <s v="City of Cocoa Beach"/>
    <m/>
    <m/>
    <m/>
    <n v="0"/>
    <n v="1"/>
    <n v="0.52729196124440003"/>
    <n v="7.2810662798790005E-2"/>
    <n v="424.35643816581199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13.07045432316301"/>
    <n v="325.923403047894"/>
    <n v="0.34416580549999998"/>
  </r>
  <r>
    <n v="830000"/>
    <n v="2400000"/>
    <n v="2400000"/>
    <x v="0"/>
    <x v="0"/>
    <s v="BR3-5, BR-7"/>
    <s v="62-304.520 (10), F.A.C."/>
    <n v="0.59"/>
    <n v="0.64"/>
    <s v="Brevard County"/>
    <n v="3.1891826469000002E-3"/>
    <n v="2431.5070642957398"/>
    <n v="6.7556750793336002"/>
    <n v="0.94297393693562004"/>
    <n v="2.1545081731100001E-2"/>
    <n v="3.0073161161500001E-3"/>
    <n v="7.7545201352667403"/>
    <n v="1400"/>
    <s v="Commercial and Services"/>
    <n v="1400"/>
    <s v="Brevard County"/>
    <s v="Brevard County"/>
    <m/>
    <m/>
    <m/>
    <n v="0"/>
    <n v="1"/>
    <n v="2.1545081731100001E-2"/>
    <n v="3.0073161161500001E-3"/>
    <n v="71.564168609340499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91.079065074458299"/>
    <n v="12.906164276815201"/>
    <n v="5.8040688200000003E-2"/>
  </r>
  <r>
    <n v="830000"/>
    <n v="2400000"/>
    <n v="2400000"/>
    <x v="0"/>
    <x v="0"/>
    <s v="BR3-5, BR-7"/>
    <s v="62-304.520 (10), F.A.C."/>
    <n v="0.59"/>
    <n v="0.64"/>
    <s v="City of Cocoa Beach"/>
    <n v="8.4373208390250004E-2"/>
    <n v="2431.5070642957398"/>
    <n v="6.7556750793336002"/>
    <n v="0.94297393693562004"/>
    <n v="0.56999798128548995"/>
    <n v="7.9561736487649998E-2"/>
    <n v="205.15405223821099"/>
    <n v="1400"/>
    <s v="Commercial and Services"/>
    <n v="1400"/>
    <s v="City of Cocoa Beach           Brevard County"/>
    <s v="City of Cocoa Beach"/>
    <m/>
    <m/>
    <m/>
    <n v="0"/>
    <n v="1"/>
    <n v="0.56999798128548995"/>
    <n v="7.9561736487649998E-2"/>
    <n v="375.10332549795601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13.638814129138"/>
    <n v="341.44626025261499"/>
    <n v="0.3042200531"/>
  </r>
  <r>
    <n v="830000"/>
    <n v="2400000"/>
    <n v="2400000"/>
    <x v="0"/>
    <x v="0"/>
    <s v="BR3-5, BR-7"/>
    <s v="62-304.520 (10), F.A.C."/>
    <n v="0.59"/>
    <n v="0.64"/>
    <s v="Brevard County"/>
    <n v="4.7842886238300001E-3"/>
    <n v="2176.7336699941502"/>
    <n v="6.2861362830793501"/>
    <n v="0.85875812512570004"/>
    <n v="3.0074690306999999E-2"/>
    <n v="4.1085467286599998E-3"/>
    <n v="10.414122134467201"/>
    <n v="1400"/>
    <s v="Commercial and Services"/>
    <n v="1400"/>
    <s v="Brevard County"/>
    <s v="Brevard County"/>
    <m/>
    <m/>
    <m/>
    <n v="0"/>
    <n v="1"/>
    <n v="3.0074690306999999E-2"/>
    <n v="4.1085467286599998E-3"/>
    <n v="64.119835247392103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21.0879939452415"/>
    <n v="19.361329143973698"/>
    <n v="5.2003110499999998E-2"/>
  </r>
  <r>
    <n v="830000"/>
    <n v="2400000"/>
    <n v="2400000"/>
    <x v="0"/>
    <x v="0"/>
    <s v="BR3-5, BR-7"/>
    <s v="62-304.520 (10), F.A.C."/>
    <n v="0.59"/>
    <n v="0.64"/>
    <s v="City of Cocoa Beach"/>
    <n v="7.5229563213500003E-3"/>
    <n v="2176.7336699941502"/>
    <n v="6.2861362830793501"/>
    <n v="0.85875812512570004"/>
    <n v="4.7290328687669997E-2"/>
    <n v="6.4603998659200001E-3"/>
    <n v="16.3754723225844"/>
    <n v="1400"/>
    <s v="Commercial and Services"/>
    <n v="1400"/>
    <s v="City of Cocoa Beach           Brevard County"/>
    <s v="City of Cocoa Beach"/>
    <m/>
    <m/>
    <m/>
    <n v="0"/>
    <n v="1"/>
    <n v="4.7290328687669997E-2"/>
    <n v="6.4603998659200001E-3"/>
    <n v="446.92091655367801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26.0455725275819"/>
    <n v="30.444324104503899"/>
    <n v="0.36246627460000003"/>
  </r>
  <r>
    <n v="830000"/>
    <n v="2400000"/>
    <n v="2400000"/>
    <x v="0"/>
    <x v="0"/>
    <s v="BR3-5, BR-7"/>
    <s v="62-304.520 (10), F.A.C."/>
    <n v="0.59"/>
    <n v="0.64"/>
    <s v="Natural Lands"/>
    <n v="2.4562183487000002E-4"/>
    <n v="2176.7336699941502"/>
    <n v="6.2861362830793501"/>
    <n v="0.85875812512570004"/>
    <n v="1.54401232814E-3"/>
    <n v="2.1092974641E-4"/>
    <n v="0.53465331806467997"/>
    <n v="5400"/>
    <s v="Bays and estuaries"/>
    <n v="5400"/>
    <s v="Brevard County"/>
    <s v="Brevard County"/>
    <m/>
    <m/>
    <s v="Natural Lands"/>
    <n v="0"/>
    <n v="1"/>
    <n v="1.54401232814E-3"/>
    <n v="2.1092974641E-4"/>
    <n v="138.93620458418999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5.8056895273654"/>
    <n v="0.99399629995863004"/>
    <n v="0.11268143110000001"/>
  </r>
  <r>
    <n v="830000"/>
    <n v="2500000"/>
    <n v="2500000"/>
    <x v="0"/>
    <x v="0"/>
    <s v="BR3-5, BR-7"/>
    <s v="62-304.520 (10), F.A.C."/>
    <n v="0.59"/>
    <n v="0.64"/>
    <s v="City of Cocoa Beach"/>
    <n v="7.6489669225220006E-2"/>
    <n v="2118.7195307829902"/>
    <n v="5.9069963952792301"/>
    <n v="0.82498997657880002"/>
    <n v="0.4518242003895"/>
    <n v="6.3103210422629993E-2"/>
    <n v="162.06015609061501"/>
    <n v="1400"/>
    <s v="Commercial and Services"/>
    <n v="1400"/>
    <s v="City of Cocoa Beach           Brevard County"/>
    <s v="City of Cocoa Beach"/>
    <m/>
    <m/>
    <m/>
    <n v="0"/>
    <n v="1"/>
    <n v="0.4518242003895"/>
    <n v="6.3103210422629993E-2"/>
    <n v="295.06999400661601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106.75646725474699"/>
    <n v="309.54270915135402"/>
    <n v="0.2393106196"/>
  </r>
  <r>
    <n v="840000"/>
    <n v="2400000"/>
    <n v="2400000"/>
    <x v="0"/>
    <x v="0"/>
    <s v="BR3-5, BR-7"/>
    <s v="62-304.520 (10), F.A.C."/>
    <n v="0.59"/>
    <n v="0.64"/>
    <s v="City of Cocoa Beach"/>
    <n v="5.9223215346400002E-3"/>
    <n v="2176.7336699941502"/>
    <n v="6.2861362830793501"/>
    <n v="0.85875812512570004"/>
    <n v="3.7228520278960002E-2"/>
    <n v="5.0858417374699998E-3"/>
    <n v="12.8913166889823"/>
    <n v="1400"/>
    <s v="Commercial and Services"/>
    <n v="1400"/>
    <s v="City of Cocoa Beach           Brevard County"/>
    <s v="City of Cocoa Beach"/>
    <m/>
    <m/>
    <m/>
    <n v="0"/>
    <n v="1"/>
    <n v="3.7228520278960002E-2"/>
    <n v="5.0858417374699998E-3"/>
    <n v="446.92091655367801"/>
    <m/>
    <n v="-1"/>
    <n v="-1"/>
    <n v="-1"/>
    <n v="-1"/>
    <n v="0"/>
    <m/>
    <m/>
    <s v="Banana River B"/>
    <n v="-1"/>
    <m/>
    <m/>
    <n v="362"/>
    <x v="33"/>
    <s v="Brevard Av Exfiltration"/>
    <x v="0"/>
    <n v="0.48036400000000001"/>
    <n v="24.020954592643399"/>
    <n v="23.966784937977501"/>
    <n v="0.36246627460000003"/>
  </r>
  <r>
    <n v="660000"/>
    <n v="2400000"/>
    <n v="2400000"/>
    <x v="0"/>
    <x v="0"/>
    <s v="BR3-5, BR-7"/>
    <s v="62-304.520 (10), F.A.C."/>
    <n v="0.59"/>
    <n v="0.64"/>
    <s v="City of Cocoa Beach"/>
    <n v="3.7067839020110002E-2"/>
    <n v="2593.3183217431801"/>
    <n v="6.49663609627539"/>
    <n v="0.95657697543445996"/>
    <n v="0.24081626098899001"/>
    <n v="3.5458241335749999E-2"/>
    <n v="96.128706078288502"/>
    <n v="1210"/>
    <s v="Fixed Single Family Units"/>
    <n v="1210"/>
    <s v="City of Cocoa Beach           Brevard County"/>
    <s v="City of Cocoa Beach"/>
    <m/>
    <m/>
    <m/>
    <n v="0"/>
    <n v="1"/>
    <n v="0.24081626098899001"/>
    <n v="3.5458241335749999E-2"/>
    <n v="281.25823202466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51.413101895751304"/>
    <n v="150.00822240303901"/>
    <n v="0.22810886620000001"/>
  </r>
  <r>
    <n v="660000"/>
    <n v="2400000"/>
    <n v="2400000"/>
    <x v="0"/>
    <x v="0"/>
    <s v="BR3-5, BR-7"/>
    <s v="62-304.520 (10), F.A.C."/>
    <n v="0.59"/>
    <n v="0.64"/>
    <s v="City of Cocoa Beach"/>
    <n v="7.4854371263950004E-2"/>
    <n v="2593.3183217431801"/>
    <n v="6.49663609627539"/>
    <n v="0.95657697543445996"/>
    <n v="0.48630161031740998"/>
    <n v="7.1603968061719994E-2"/>
    <n v="194.12121246138099"/>
    <n v="1210"/>
    <s v="Fixed Single Family Units"/>
    <n v="1210"/>
    <s v="City of Cocoa Beach           Brevard County"/>
    <s v="City of Cocoa Beach"/>
    <m/>
    <m/>
    <m/>
    <n v="0"/>
    <n v="1"/>
    <n v="0.48630161031740998"/>
    <n v="7.1603968061719994E-2"/>
    <n v="769.90295393858503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74.610744283557196"/>
    <n v="302.92489309425201"/>
    <n v="0.62441439899999995"/>
  </r>
  <r>
    <n v="660000"/>
    <n v="2400000"/>
    <n v="2400000"/>
    <x v="0"/>
    <x v="0"/>
    <s v="BR3-5, BR-7"/>
    <s v="62-304.520 (10), F.A.C."/>
    <n v="0.59"/>
    <n v="0.64"/>
    <s v="City of Cocoa Beach"/>
    <n v="2.3069395540299999E-3"/>
    <n v="2593.3183217431801"/>
    <n v="6.49663609627539"/>
    <n v="0.95657697543445996"/>
    <n v="1.4987346778679999E-2"/>
    <n v="2.2067652611099998E-3"/>
    <n v="5.9826286126407897"/>
    <n v="1210"/>
    <s v="Fixed Single Family Units"/>
    <n v="1210"/>
    <s v="City of Cocoa Beach           Brevard County"/>
    <s v="City of Cocoa Beach"/>
    <m/>
    <m/>
    <m/>
    <n v="0"/>
    <n v="1"/>
    <n v="1.4987346778679999E-2"/>
    <n v="2.2067652611099998E-3"/>
    <n v="78.369315373714898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4.7190745188554"/>
    <n v="9.3358531503466509"/>
    <n v="6.3559866500000006E-2"/>
  </r>
  <r>
    <n v="660000"/>
    <n v="2400000"/>
    <n v="2400000"/>
    <x v="0"/>
    <x v="0"/>
    <s v="BR3-5, BR-7"/>
    <s v="62-304.520 (10), F.A.C."/>
    <n v="0.59"/>
    <n v="0.64"/>
    <s v="City of Cocoa Beach"/>
    <n v="1.481880814E-6"/>
    <n v="3607.7600892952801"/>
    <n v="8.9907539672503791"/>
    <n v="1.3222196492799401"/>
    <n v="1.3323225799999999E-5"/>
    <n v="1.959371930162E-6"/>
    <n v="5.3462704578399996E-3"/>
    <n v="1210"/>
    <s v="Fixed Single Family Units"/>
    <n v="1210"/>
    <s v="City of Cocoa Beach           Brevard County"/>
    <s v="City of Cocoa Beach"/>
    <m/>
    <m/>
    <m/>
    <n v="0"/>
    <n v="1"/>
    <n v="1.3323225799999999E-5"/>
    <n v="1.959371930162E-6"/>
    <n v="70.962667887520695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0.38327002492047002"/>
    <n v="5.9969588913199997E-3"/>
    <n v="5.7552853100000002E-2"/>
  </r>
  <r>
    <n v="660000"/>
    <n v="2400000"/>
    <n v="2400000"/>
    <x v="0"/>
    <x v="0"/>
    <s v="BR3-5, BR-7"/>
    <s v="62-304.520 (10), F.A.C."/>
    <n v="0.59"/>
    <n v="0.64"/>
    <s v="City of Cocoa Beach"/>
    <n v="5.1572866138670001E-2"/>
    <n v="2471.6386299568298"/>
    <n v="6.0933685828395303"/>
    <n v="0.89387086141280003"/>
    <n v="0.31425248225635999"/>
    <n v="4.6099482280900002E-2"/>
    <n v="127.469488205931"/>
    <n v="1210"/>
    <s v="Fixed Single Family Units"/>
    <n v="1210"/>
    <s v="City of Cocoa Beach           Brevard County"/>
    <s v="City of Cocoa Beach"/>
    <m/>
    <m/>
    <m/>
    <n v="0"/>
    <n v="1"/>
    <n v="0.31425248225635999"/>
    <n v="4.6099482280900002E-2"/>
    <n v="370.445710325290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59.376393358202698"/>
    <n v="208.70798455485399"/>
    <n v="0.30044258740000002"/>
  </r>
  <r>
    <n v="660000"/>
    <n v="2400000"/>
    <n v="2400000"/>
    <x v="0"/>
    <x v="0"/>
    <s v="BR3-5, BR-7"/>
    <s v="62-304.520 (10), F.A.C."/>
    <n v="0.59"/>
    <n v="0.64"/>
    <s v="City of Cocoa Beach"/>
    <n v="2.088606944147E-2"/>
    <n v="2471.6386299568298"/>
    <n v="6.0933685828395303"/>
    <n v="0.89387086141280003"/>
    <n v="0.12726651935366001"/>
    <n v="1.8669448883170001E-2"/>
    <n v="51.6228160595006"/>
    <n v="1210"/>
    <s v="Fixed Single Family Units"/>
    <n v="1210"/>
    <s v="City of Cocoa Beach           Brevard County"/>
    <s v="City of Cocoa Beach"/>
    <m/>
    <m/>
    <m/>
    <n v="0"/>
    <n v="1"/>
    <n v="0.12726651935366001"/>
    <n v="1.8669448883170001E-2"/>
    <n v="139.542024512588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41.435864679685999"/>
    <n v="84.5229242579112"/>
    <n v="0.1131727693"/>
  </r>
  <r>
    <n v="660000"/>
    <n v="2400000"/>
    <n v="2400000"/>
    <x v="0"/>
    <x v="0"/>
    <s v="BR3-5, BR-7"/>
    <s v="62-304.520 (10), F.A.C."/>
    <n v="0.59"/>
    <n v="0.64"/>
    <s v="City of Cocoa Beach"/>
    <n v="6.6554256231570005E-2"/>
    <n v="2471.6386299568298"/>
    <n v="6.0933685828395303"/>
    <n v="0.89387086141280003"/>
    <n v="0.40553961397570998"/>
    <n v="5.9490910348399997E-2"/>
    <n v="164.498070689998"/>
    <n v="1210"/>
    <s v="Fixed Single Family Units"/>
    <n v="1210"/>
    <s v="City of Cocoa Beach           Brevard County"/>
    <s v="City of Cocoa Beach"/>
    <m/>
    <m/>
    <m/>
    <n v="0"/>
    <n v="1"/>
    <n v="0.40553961397570998"/>
    <n v="5.9490910348399997E-2"/>
    <n v="417.29727924610802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71.585708137730705"/>
    <n v="269.33551926879301"/>
    <n v="0.33844061580000001"/>
  </r>
  <r>
    <n v="660000"/>
    <n v="2400000"/>
    <n v="2400000"/>
    <x v="0"/>
    <x v="0"/>
    <s v="BR3-5, BR-7"/>
    <s v="62-304.520 (10), F.A.C."/>
    <n v="0.59"/>
    <n v="0.64"/>
    <s v="City of Cocoa Beach"/>
    <n v="0.19187997468189999"/>
    <n v="3718.8488312355398"/>
    <n v="9.2672581901262401"/>
    <n v="1.36287216632592"/>
    <n v="1.7782012668921201"/>
    <n v="0.26150787676928999"/>
    <n v="713.57261958331901"/>
    <n v="1200"/>
    <s v="Residential, Medium Density-Two-five dwellingunits per acre"/>
    <n v="1200"/>
    <s v="City of Cocoa Beach           Brevard County"/>
    <s v="City of Cocoa Beach"/>
    <m/>
    <m/>
    <m/>
    <n v="0"/>
    <n v="1"/>
    <n v="1.7782012668921201"/>
    <n v="0.26150787676928999"/>
    <n v="713.572619583319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09.109923635858"/>
    <n v="776.51070787142805"/>
    <n v="0.57872880739999999"/>
  </r>
  <r>
    <n v="660000"/>
    <n v="2400000"/>
    <n v="2400000"/>
    <x v="0"/>
    <x v="0"/>
    <s v="BR3-5, BR-7"/>
    <s v="62-304.520 (10), F.A.C."/>
    <n v="0.59"/>
    <n v="0.64"/>
    <s v="City of Cocoa Beach"/>
    <n v="2.2837010915699998E-3"/>
    <n v="3718.8488312355398"/>
    <n v="9.2672581901262401"/>
    <n v="1.36287216632592"/>
    <n v="2.116364764472E-2"/>
    <n v="3.11239265392E-3"/>
    <n v="8.4927391353061701"/>
    <n v="1210"/>
    <s v="Fixed Single Family Units"/>
    <n v="1210"/>
    <s v="City of Cocoa Beach           Brevard County"/>
    <s v="City of Cocoa Beach"/>
    <m/>
    <m/>
    <m/>
    <n v="0"/>
    <n v="1"/>
    <n v="2.116364764472E-2"/>
    <n v="3.11239265392E-3"/>
    <n v="8.4927391353074402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23.033336509427802"/>
    <n v="9.2418104292956702"/>
    <n v="6.8878663E-3"/>
  </r>
  <r>
    <n v="660000"/>
    <n v="2400000"/>
    <n v="2400000"/>
    <x v="0"/>
    <x v="0"/>
    <s v="BR3-5, BR-7"/>
    <s v="62-304.520 (10), F.A.C."/>
    <n v="0.59"/>
    <n v="0.64"/>
    <s v="City of Cocoa Beach"/>
    <n v="3.0604524357000001E-4"/>
    <n v="3718.8488312355398"/>
    <n v="9.2672581901262401"/>
    <n v="1.36287216632592"/>
    <n v="2.8362002900500002E-3"/>
    <n v="4.1710054409999997E-4"/>
    <n v="1.13813599636664"/>
    <n v="1210"/>
    <s v="Fixed Single Family Units"/>
    <n v="1210"/>
    <s v="City of Cocoa Beach           Brevard County"/>
    <s v="City of Cocoa Beach"/>
    <m/>
    <m/>
    <m/>
    <n v="0"/>
    <n v="1"/>
    <n v="2.8362002900500002E-3"/>
    <n v="4.1710054409999997E-4"/>
    <n v="1.13813599636596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6.074246320880398"/>
    <n v="1.23852115949762"/>
    <n v="9.2306240000000002E-4"/>
  </r>
  <r>
    <n v="660000"/>
    <n v="2400000"/>
    <n v="2400000"/>
    <x v="0"/>
    <x v="0"/>
    <s v="BR3-5, BR-7"/>
    <s v="62-304.520 (10), F.A.C."/>
    <n v="0.59"/>
    <n v="0.64"/>
    <s v="City of Cocoa Beach"/>
    <n v="6.161235974109E-2"/>
    <n v="3718.8488312355398"/>
    <n v="9.2672581901262401"/>
    <n v="1.36287216632592"/>
    <n v="0.57097764542368001"/>
    <n v="8.3969770192799997E-2"/>
    <n v="229.127052012842"/>
    <n v="1210"/>
    <s v="Fixed Single Family Units"/>
    <n v="1210"/>
    <s v="City of Cocoa Beach           Brevard County"/>
    <s v="City of Cocoa Beach"/>
    <m/>
    <m/>
    <m/>
    <n v="0"/>
    <n v="1"/>
    <n v="0.57097764542368001"/>
    <n v="8.3969770192799997E-2"/>
    <n v="229.127052012843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69.327757862477299"/>
    <n v="249.33637371747801"/>
    <n v="0.1858289149"/>
  </r>
  <r>
    <n v="660000"/>
    <n v="2400000"/>
    <n v="2400000"/>
    <x v="0"/>
    <x v="0"/>
    <s v="BR3-5, BR-7"/>
    <s v="62-304.520 (10), F.A.C."/>
    <n v="0.59"/>
    <n v="0.64"/>
    <s v="City of Cocoa Beach"/>
    <n v="2.2932267927469999E-2"/>
    <n v="3718.8488312355398"/>
    <n v="9.2672581901262401"/>
    <n v="1.36287216632592"/>
    <n v="0.21251924776903"/>
    <n v="3.1253749669079997E-2"/>
    <n v="85.281637779659505"/>
    <n v="1210"/>
    <s v="Fixed Single Family Units"/>
    <n v="1210"/>
    <s v="City of Cocoa Beach           Brevard County"/>
    <s v="City of Cocoa Beach"/>
    <m/>
    <m/>
    <m/>
    <n v="0"/>
    <n v="1"/>
    <n v="0.21251924776903"/>
    <n v="3.1253749669079997E-2"/>
    <n v="85.2816377796603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55.585370168903403"/>
    <n v="92.803595742488397"/>
    <n v="6.91659674E-2"/>
  </r>
  <r>
    <n v="660000"/>
    <n v="2400000"/>
    <n v="2400000"/>
    <x v="0"/>
    <x v="0"/>
    <s v="BR3-5, BR-7"/>
    <s v="62-304.520 (10), F.A.C."/>
    <n v="0.59"/>
    <n v="0.64"/>
    <s v="City of Cocoa Beach"/>
    <n v="0.15128171671331"/>
    <n v="3718.8488312355398"/>
    <n v="9.2672581901262401"/>
    <n v="1.36287216632592"/>
    <n v="1.4019667282277799"/>
    <n v="0.20617764098256999"/>
    <n v="562.59383538660302"/>
    <n v="1210"/>
    <s v="Fixed Single Family Units"/>
    <n v="1210"/>
    <s v="City of Cocoa Beach           Brevard County"/>
    <s v="City of Cocoa Beach"/>
    <m/>
    <m/>
    <m/>
    <n v="0"/>
    <n v="1"/>
    <n v="1.4019667282277799"/>
    <n v="0.20617764098256999"/>
    <n v="683.74904645158699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95.039558462204695"/>
    <n v="612.21538687295799"/>
    <n v="0.55454099469999996"/>
  </r>
  <r>
    <n v="660000"/>
    <n v="2400000"/>
    <n v="2400000"/>
    <x v="0"/>
    <x v="0"/>
    <s v="BR3-5, BR-7"/>
    <s v="62-304.520 (10), F.A.C."/>
    <n v="0.59"/>
    <n v="0.64"/>
    <s v="City of Cocoa Beach"/>
    <n v="0.11341986584348"/>
    <n v="3718.8488312355398"/>
    <n v="9.2672581901262401"/>
    <n v="1.36287216632592"/>
    <n v="1.0510911806610701"/>
    <n v="0.15457677826649999"/>
    <n v="421.791335530943"/>
    <n v="1210"/>
    <s v="Fixed Single Family Units"/>
    <n v="1210"/>
    <s v="City of Cocoa Beach           Brevard County"/>
    <s v="City of Cocoa Beach"/>
    <m/>
    <m/>
    <m/>
    <n v="0"/>
    <n v="1"/>
    <n v="1.0510911806610701"/>
    <n v="0.15457677826649999"/>
    <n v="576.00766660828697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85.114015422880698"/>
    <n v="458.99391251646301"/>
    <n v="0.46715950249999999"/>
  </r>
  <r>
    <n v="660000"/>
    <n v="2400000"/>
    <n v="2400000"/>
    <x v="0"/>
    <x v="0"/>
    <s v="BR3-5, BR-7"/>
    <s v="62-304.520 (10), F.A.C."/>
    <n v="0.59"/>
    <n v="0.64"/>
    <s v="City of Cocoa Beach"/>
    <n v="1.08318406129E-3"/>
    <n v="459.63917443044699"/>
    <n v="1.18603625045021"/>
    <n v="0.17580312924777"/>
    <n v="1.2846955626E-3"/>
    <n v="1.9042714752E-4"/>
    <n v="0.49787382769076999"/>
    <n v="1210"/>
    <s v="Fixed Single Family Units"/>
    <n v="1210"/>
    <s v="City of Cocoa Beach           Brevard County"/>
    <s v="City of Cocoa Beach"/>
    <m/>
    <m/>
    <m/>
    <n v="0"/>
    <n v="1"/>
    <n v="1.2846955626E-3"/>
    <n v="1.9042714752E-4"/>
    <n v="22.836860701597299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0.0099195691901"/>
    <n v="4.3834903751006999"/>
    <n v="1.8521379300000002E-2"/>
  </r>
  <r>
    <n v="660000"/>
    <n v="2400000"/>
    <n v="2400000"/>
    <x v="0"/>
    <x v="0"/>
    <s v="BR3-5, BR-7"/>
    <s v="62-304.520 (10), F.A.C."/>
    <n v="0.59"/>
    <n v="0.64"/>
    <s v="City of Cocoa Beach"/>
    <n v="0.13975125171326999"/>
    <n v="3719.9162220297799"/>
    <n v="9.2696442545323201"/>
    <n v="1.3632137612166999"/>
    <n v="1.29544438750766"/>
    <n v="0.19051082948279"/>
    <n v="519.86294829717895"/>
    <n v="1200"/>
    <s v="Residential, Medium Density-Two-five dwellingunits per acre"/>
    <n v="1200"/>
    <s v="City of Cocoa Beach           Brevard County"/>
    <s v="City of Cocoa Beach"/>
    <m/>
    <m/>
    <m/>
    <n v="0"/>
    <n v="1"/>
    <n v="1.29544438750766"/>
    <n v="0.19051082948279"/>
    <n v="796.62062386056198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04.43445137774999"/>
    <n v="565.55325053430704"/>
    <n v="0.64608323099999998"/>
  </r>
  <r>
    <n v="660000"/>
    <n v="2400000"/>
    <n v="2400000"/>
    <x v="0"/>
    <x v="0"/>
    <s v="BR3-5, BR-7"/>
    <s v="62-304.520 (10), F.A.C."/>
    <n v="0.59"/>
    <n v="0.64"/>
    <s v="City of Cocoa Beach"/>
    <n v="6.72053635537E-3"/>
    <n v="3719.9162220297799"/>
    <n v="9.2696442545323201"/>
    <n v="1.3632137612166999"/>
    <n v="6.2296981213959997E-2"/>
    <n v="9.1615276424000004E-3"/>
    <n v="24.999832209096599"/>
    <n v="1210"/>
    <s v="Fixed Single Family Units"/>
    <n v="1210"/>
    <s v="City of Cocoa Beach           Brevard County"/>
    <s v="City of Cocoa Beach"/>
    <m/>
    <m/>
    <m/>
    <n v="0"/>
    <n v="1"/>
    <n v="6.2296981213959997E-2"/>
    <n v="9.1615276424000004E-3"/>
    <n v="24.9998322090963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23.524525289801598"/>
    <n v="27.1970457117176"/>
    <n v="2.0275614099999999E-2"/>
  </r>
  <r>
    <n v="660000"/>
    <n v="2400000"/>
    <n v="2400000"/>
    <x v="0"/>
    <x v="0"/>
    <s v="BR3-5, BR-7"/>
    <s v="62-304.520 (10), F.A.C."/>
    <n v="0.59"/>
    <n v="0.64"/>
    <s v="City of Cocoa Beach"/>
    <n v="5.790597218989E-2"/>
    <n v="3719.9162220297799"/>
    <n v="9.2696442545323201"/>
    <n v="1.3632137612166999"/>
    <n v="0.53676776241316004"/>
    <n v="7.8938218145889999E-2"/>
    <n v="215.40536530159201"/>
    <n v="1210"/>
    <s v="Fixed Single Family Units"/>
    <n v="1210"/>
    <s v="City of Cocoa Beach           Brevard County"/>
    <s v="City of Cocoa Beach"/>
    <m/>
    <m/>
    <m/>
    <n v="0"/>
    <n v="1"/>
    <n v="0.53676776241316004"/>
    <n v="7.8938218145889999E-2"/>
    <n v="343.894851447429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64.617272865308195"/>
    <n v="234.337155451988"/>
    <n v="0.27890904420000001"/>
  </r>
  <r>
    <n v="660000"/>
    <n v="2400000"/>
    <n v="2400000"/>
    <x v="0"/>
    <x v="0"/>
    <s v="BR3-5, BR-7"/>
    <s v="62-304.520 (10), F.A.C."/>
    <n v="0.59"/>
    <n v="0.64"/>
    <s v="City of Cocoa Beach"/>
    <n v="5.0675658752650003E-2"/>
    <n v="3719.9162220297799"/>
    <n v="9.2696442545323201"/>
    <n v="1.3632137612166999"/>
    <n v="0.46974532900118998"/>
    <n v="6.9081755370340003E-2"/>
    <n v="188.50920505605001"/>
    <n v="1210"/>
    <s v="Fixed Single Family Units"/>
    <n v="1210"/>
    <s v="City of Cocoa Beach           Brevard County"/>
    <s v="City of Cocoa Beach"/>
    <m/>
    <m/>
    <m/>
    <n v="0"/>
    <n v="1"/>
    <n v="0.46974532900118998"/>
    <n v="6.9081755370340003E-2"/>
    <n v="188.509205056049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65.545041319346197"/>
    <n v="205.07711508253499"/>
    <n v="0.15288662210000001"/>
  </r>
  <r>
    <n v="660000"/>
    <n v="2400000"/>
    <n v="2400000"/>
    <x v="0"/>
    <x v="0"/>
    <s v="BR3-5, BR-7"/>
    <s v="62-304.520 (10), F.A.C."/>
    <n v="0.59"/>
    <n v="0.64"/>
    <s v="City of Cocoa Beach"/>
    <n v="5.9543892832919998E-2"/>
    <n v="3719.9162220297799"/>
    <n v="9.2696442545323201"/>
    <n v="1.3632137612166999"/>
    <n v="0.55195070409116997"/>
    <n v="8.1171054106250001E-2"/>
    <n v="221.498292871985"/>
    <n v="1210"/>
    <s v="Fixed Single Family Units"/>
    <n v="1210"/>
    <s v="City of Cocoa Beach           Brevard County"/>
    <s v="City of Cocoa Beach"/>
    <m/>
    <m/>
    <m/>
    <n v="0"/>
    <n v="1"/>
    <n v="0.55195070409116997"/>
    <n v="8.1171054106250001E-2"/>
    <n v="522.84262115597505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62.388330627337503"/>
    <n v="240.96558512560199"/>
    <n v="0.42404105530000002"/>
  </r>
  <r>
    <n v="660000"/>
    <n v="2400000"/>
    <n v="2400000"/>
    <x v="0"/>
    <x v="0"/>
    <s v="BR3-5, BR-7"/>
    <s v="62-304.520 (10), F.A.C."/>
    <n v="0.59"/>
    <n v="0.64"/>
    <s v="City of Cocoa Beach"/>
    <n v="3.511462809582E-2"/>
    <n v="3719.9162220297799"/>
    <n v="9.2696442545323201"/>
    <n v="1.3632137612166999"/>
    <n v="0.32550011057854"/>
    <n v="4.7868744240239999E-2"/>
    <n v="130.623474684217"/>
    <n v="1210"/>
    <s v="Fixed Single Family Units"/>
    <n v="1210"/>
    <s v="City of Cocoa Beach           Brevard County"/>
    <s v="City of Cocoa Beach"/>
    <m/>
    <m/>
    <m/>
    <n v="0"/>
    <n v="1"/>
    <n v="0.32550011057854"/>
    <n v="4.7868744240239999E-2"/>
    <n v="191.906201490741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49.179362044026199"/>
    <n v="142.103858229791"/>
    <n v="0.15564168819999999"/>
  </r>
  <r>
    <n v="660000"/>
    <n v="2400000"/>
    <n v="2400000"/>
    <x v="0"/>
    <x v="0"/>
    <s v="BR3-5, BR-7"/>
    <s v="62-304.520 (10), F.A.C."/>
    <n v="0.59"/>
    <n v="0.64"/>
    <s v="City of Cocoa Beach"/>
    <n v="9.2903445254260003E-2"/>
    <n v="1903.4034455242399"/>
    <n v="4.7893880568154099"/>
    <n v="0.70591151821575004"/>
    <n v="0.44495065113776999"/>
    <n v="6.5581612086910004E-2"/>
    <n v="176.83273779803901"/>
    <n v="1210"/>
    <s v="Fixed Single Family Units"/>
    <n v="1210"/>
    <s v="City of Cocoa Beach           Brevard County"/>
    <s v="City of Cocoa Beach"/>
    <m/>
    <m/>
    <m/>
    <n v="0"/>
    <n v="1"/>
    <n v="0.44495065113776999"/>
    <n v="6.5581612086910004E-2"/>
    <n v="449.118321210048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80.827817393582393"/>
    <n v="375.966904090306"/>
    <n v="0.36424843569999998"/>
  </r>
  <r>
    <n v="660000"/>
    <n v="2400000"/>
    <n v="2400000"/>
    <x v="0"/>
    <x v="0"/>
    <s v="BR3-5, BR-7"/>
    <s v="62-304.520 (10), F.A.C."/>
    <n v="0.59"/>
    <n v="0.64"/>
    <s v="City of Cocoa Beach"/>
    <n v="1.0849222374069999E-2"/>
    <n v="1903.4034455242399"/>
    <n v="4.7893880568154099"/>
    <n v="0.70591151821575004"/>
    <n v="5.1961136064119999E-2"/>
    <n v="7.6585910375399999E-3"/>
    <n v="20.650447248073"/>
    <n v="1210"/>
    <s v="Fixed Single Family Units"/>
    <n v="1210"/>
    <s v="City of Cocoa Beach           Brevard County"/>
    <s v="City of Cocoa Beach"/>
    <m/>
    <m/>
    <m/>
    <n v="0"/>
    <n v="1"/>
    <n v="5.1961136064119999E-2"/>
    <n v="7.6585910375399999E-3"/>
    <n v="139.43437214597799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31.754728611848201"/>
    <n v="43.905245242570999"/>
    <n v="0.11308546"/>
  </r>
  <r>
    <n v="660000"/>
    <n v="2400000"/>
    <n v="2400000"/>
    <x v="0"/>
    <x v="0"/>
    <s v="BR3-5, BR-7"/>
    <s v="62-304.520 (10), F.A.C."/>
    <n v="0.59"/>
    <n v="0.64"/>
    <s v="City of Cocoa Beach"/>
    <n v="6.9003277011329994E-2"/>
    <n v="3595.7925262836502"/>
    <n v="8.9279431599277608"/>
    <n v="1.3118613044916301"/>
    <n v="0.61605733500591997"/>
    <n v="9.0522728994280002E-2"/>
    <n v="248.121467766428"/>
    <n v="1200"/>
    <s v="Residential, Medium Density-Two-five dwellingunits per acre"/>
    <n v="1200"/>
    <s v="City of Cocoa Beach           Brevard County"/>
    <s v="City of Cocoa Beach"/>
    <m/>
    <m/>
    <m/>
    <n v="0"/>
    <n v="1"/>
    <n v="0.61605733500591997"/>
    <n v="9.0522728994280002E-2"/>
    <n v="248.121467766426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01.949585682208"/>
    <n v="279.24635473995301"/>
    <n v="0.20123395599999999"/>
  </r>
  <r>
    <n v="660000"/>
    <n v="2400000"/>
    <n v="2400000"/>
    <x v="0"/>
    <x v="0"/>
    <s v="BR3-5, BR-7"/>
    <s v="62-304.520 (10), F.A.C."/>
    <n v="0.59"/>
    <n v="0.64"/>
    <s v="City of Cocoa Beach"/>
    <n v="5.6569858413870001E-2"/>
    <n v="3595.7925262836502"/>
    <n v="8.9279431599277608"/>
    <n v="1.3118613044916301"/>
    <n v="0.50505248048424001"/>
    <n v="7.4211808253729999E-2"/>
    <n v="203.41347409753899"/>
    <n v="1210"/>
    <s v="Fixed Single Family Units"/>
    <n v="1210"/>
    <s v="City of Cocoa Beach           Brevard County"/>
    <s v="City of Cocoa Beach"/>
    <m/>
    <m/>
    <m/>
    <n v="0"/>
    <n v="1"/>
    <n v="0.50505248048424001"/>
    <n v="7.4211808253729999E-2"/>
    <n v="308.06924853999402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61.9506461320494"/>
    <n v="228.93009483645099"/>
    <n v="0.24985340510000001"/>
  </r>
  <r>
    <n v="660000"/>
    <n v="2400000"/>
    <n v="2400000"/>
    <x v="0"/>
    <x v="0"/>
    <s v="BR3-5, BR-7"/>
    <s v="62-304.520 (10), F.A.C."/>
    <n v="0.59"/>
    <n v="0.64"/>
    <s v="City of Cocoa Beach"/>
    <n v="0.11291624935786"/>
    <n v="3595.7925262836502"/>
    <n v="8.9279431599277608"/>
    <n v="1.3118613044916301"/>
    <n v="1.0081098560991999"/>
    <n v="0.14813045818090001"/>
    <n v="406.023405536974"/>
    <n v="1210"/>
    <s v="Fixed Single Family Units"/>
    <n v="1210"/>
    <s v="City of Cocoa Beach           Brevard County"/>
    <s v="City of Cocoa Beach"/>
    <m/>
    <m/>
    <m/>
    <n v="0"/>
    <n v="1"/>
    <n v="1.0081098560991999"/>
    <n v="0.14813045818090001"/>
    <n v="862.25127845583802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85.582529732324303"/>
    <n v="456.95584890717402"/>
    <n v="0.69931166140000001"/>
  </r>
  <r>
    <n v="660000"/>
    <n v="2400000"/>
    <n v="2400000"/>
    <x v="0"/>
    <x v="0"/>
    <s v="BR3-5, BR-7"/>
    <s v="62-304.520 (10), F.A.C."/>
    <n v="0.59"/>
    <n v="0.64"/>
    <s v="City of Cocoa Beach"/>
    <n v="8.4859882871219997E-2"/>
    <n v="3595.7925262836502"/>
    <n v="8.9279431599277608"/>
    <n v="1.3118613044916301"/>
    <n v="0.75762421083237996"/>
    <n v="0.11132439664244"/>
    <n v="305.13853260964203"/>
    <n v="1210"/>
    <s v="Fixed Single Family Units"/>
    <n v="1210"/>
    <s v="City of Cocoa Beach           Brevard County"/>
    <s v="City of Cocoa Beach"/>
    <m/>
    <m/>
    <m/>
    <n v="0"/>
    <n v="1"/>
    <n v="0.75762421083237996"/>
    <n v="0.11132439664244"/>
    <n v="632.53710185142097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75.854278908542696"/>
    <n v="343.41576200151201"/>
    <n v="0.51300657080000001"/>
  </r>
  <r>
    <n v="660000"/>
    <n v="2400000"/>
    <n v="2400000"/>
    <x v="0"/>
    <x v="0"/>
    <s v="BR3-5, BR-7"/>
    <s v="62-304.520 (10), F.A.C."/>
    <n v="0.59"/>
    <n v="0.64"/>
    <s v="City of Cocoa Beach"/>
    <n v="1.48383316168E-2"/>
    <n v="3113.3176225485299"/>
    <n v="7.7701021600308904"/>
    <n v="1.14309705995563"/>
    <n v="0.11529535254699"/>
    <n v="1.6961653245810001E-2"/>
    <n v="46.196439311821202"/>
    <n v="1200"/>
    <s v="Residential, Medium Density-Two-five dwellingunits per acre"/>
    <n v="1200"/>
    <s v="City of Cocoa Beach           Brevard County"/>
    <s v="City of Cocoa Beach"/>
    <m/>
    <m/>
    <m/>
    <n v="0"/>
    <n v="1"/>
    <n v="0.11529535254699"/>
    <n v="1.6961653245810001E-2"/>
    <n v="46.196439311822097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82.7517423625454"/>
    <n v="60.048597601173697"/>
    <n v="3.7466698499999999E-2"/>
  </r>
  <r>
    <n v="660000"/>
    <n v="2400000"/>
    <n v="2400000"/>
    <x v="0"/>
    <x v="0"/>
    <s v="BR3-5, BR-7"/>
    <s v="62-304.520 (10), F.A.C."/>
    <n v="0.59"/>
    <n v="0.64"/>
    <s v="City of Cocoa Beach"/>
    <n v="3.926959986313E-2"/>
    <n v="3113.3176225485299"/>
    <n v="7.7701021600308904"/>
    <n v="1.14309705995563"/>
    <n v="0.30512880272005"/>
    <n v="4.4888964149169999E-2"/>
    <n v="122.25873728431201"/>
    <n v="1210"/>
    <s v="Fixed Single Family Units"/>
    <n v="1210"/>
    <s v="City of Cocoa Beach           Brevard County"/>
    <s v="City of Cocoa Beach"/>
    <m/>
    <m/>
    <m/>
    <n v="0"/>
    <n v="1"/>
    <n v="0.30512880272005"/>
    <n v="4.4888964149169999E-2"/>
    <n v="412.26712788934799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51.8248123373737"/>
    <n v="158.91843241118499"/>
    <n v="0.33436101210000002"/>
  </r>
  <r>
    <n v="660000"/>
    <n v="2400000"/>
    <n v="2400000"/>
    <x v="0"/>
    <x v="0"/>
    <s v="BR3-5, BR-7"/>
    <s v="62-304.520 (10), F.A.C."/>
    <n v="0.59"/>
    <n v="0.64"/>
    <s v="City of Cocoa Beach"/>
    <n v="0.11268137757726"/>
    <n v="3113.3176225485299"/>
    <n v="7.7701021600308904"/>
    <n v="1.14309705995563"/>
    <n v="0.87554581530834996"/>
    <n v="0.12880575142032"/>
    <n v="350.81291854434102"/>
    <n v="1210"/>
    <s v="Fixed Single Family Units"/>
    <n v="1210"/>
    <s v="City of Cocoa Beach           Brevard County"/>
    <s v="City of Cocoa Beach"/>
    <m/>
    <m/>
    <m/>
    <n v="0"/>
    <n v="1"/>
    <n v="0.87554581530834996"/>
    <n v="0.12880575142032"/>
    <n v="720.37215796144903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84.756640903768698"/>
    <n v="456.00535653343098"/>
    <n v="0.58424343710000004"/>
  </r>
  <r>
    <n v="660000"/>
    <n v="2400000"/>
    <n v="2400000"/>
    <x v="0"/>
    <x v="0"/>
    <s v="BR3-5, BR-7"/>
    <s v="62-304.520 (10), F.A.C."/>
    <n v="0.59"/>
    <n v="0.64"/>
    <s v="City of Cocoa Beach"/>
    <n v="6.9738423030419994E-2"/>
    <n v="3113.3176225485299"/>
    <n v="7.7701021600308904"/>
    <n v="1.14309705995563"/>
    <n v="0.54187467142581003"/>
    <n v="7.9717786332010002E-2"/>
    <n v="217.11786138935099"/>
    <n v="1210"/>
    <s v="Fixed Single Family Units"/>
    <n v="1210"/>
    <s v="City of Cocoa Beach           Brevard County"/>
    <s v="City of Cocoa Beach"/>
    <m/>
    <m/>
    <m/>
    <n v="0"/>
    <n v="1"/>
    <n v="0.54187467142581003"/>
    <n v="7.9717786332010002E-2"/>
    <n v="440.959019107620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67.969800474724096"/>
    <n v="282.22138512870401"/>
    <n v="0.35763099679999999"/>
  </r>
  <r>
    <n v="660000"/>
    <n v="2400000"/>
    <n v="2400000"/>
    <x v="0"/>
    <x v="0"/>
    <s v="BR3-5, BR-7"/>
    <s v="62-304.520 (10), F.A.C."/>
    <n v="0.59"/>
    <n v="0.64"/>
    <s v="City of Cocoa Beach"/>
    <n v="0.12570649388131999"/>
    <n v="3583.0042889193201"/>
    <n v="8.9322092121397496"/>
    <n v="1.31371679707623"/>
    <n v="1.1228367026725501"/>
    <n v="0.16514273251344999"/>
    <n v="450.406906721795"/>
    <n v="1200"/>
    <s v="Residential, Medium Density-Two-five dwellingunits per acre"/>
    <n v="1200"/>
    <s v="City of Cocoa Beach           Brevard County"/>
    <s v="City of Cocoa Beach"/>
    <m/>
    <m/>
    <m/>
    <n v="0"/>
    <n v="1"/>
    <n v="1.1228367026725501"/>
    <n v="0.16514273251344999"/>
    <n v="450.406906721795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22.639254434687"/>
    <n v="508.716132101021"/>
    <n v="0.36529351719999997"/>
  </r>
  <r>
    <n v="660000"/>
    <n v="2400000"/>
    <n v="2400000"/>
    <x v="0"/>
    <x v="0"/>
    <s v="BR3-5, BR-7"/>
    <s v="62-304.520 (10), F.A.C."/>
    <n v="0.59"/>
    <n v="0.64"/>
    <s v="City of Cocoa Beach"/>
    <n v="1.4957400601999999E-3"/>
    <n v="3583.0042889193201"/>
    <n v="8.9322092121397496"/>
    <n v="1.31371679707623"/>
    <n v="1.336026314471E-2"/>
    <n v="1.9649788411400001E-3"/>
    <n v="5.3592430508157998"/>
    <n v="1210"/>
    <s v="Fixed Single Family Units"/>
    <n v="1210"/>
    <s v="City of Cocoa Beach           Brevard County"/>
    <s v="City of Cocoa Beach"/>
    <m/>
    <m/>
    <m/>
    <n v="0"/>
    <n v="1"/>
    <n v="1.336026314471E-2"/>
    <n v="1.9649788411400001E-3"/>
    <n v="5.3592430508164099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4.769256951717599"/>
    <n v="6.0530452688741603"/>
    <n v="4.3465068999999999E-3"/>
  </r>
  <r>
    <n v="660000"/>
    <n v="2400000"/>
    <n v="2400000"/>
    <x v="0"/>
    <x v="0"/>
    <s v="BR3-5, BR-7"/>
    <s v="62-304.520 (10), F.A.C."/>
    <n v="0.59"/>
    <n v="0.64"/>
    <s v="City of Cocoa Beach"/>
    <n v="6.7192634964210005E-2"/>
    <n v="3583.0042889193201"/>
    <n v="8.9322092121397496"/>
    <n v="1.31371679707623"/>
    <n v="0.60017867301529004"/>
    <n v="8.8272093192300005E-2"/>
    <n v="240.75149926056901"/>
    <n v="1210"/>
    <s v="Fixed Single Family Units"/>
    <n v="1210"/>
    <s v="City of Cocoa Beach           Brevard County"/>
    <s v="City of Cocoa Beach"/>
    <m/>
    <m/>
    <m/>
    <n v="0"/>
    <n v="1"/>
    <n v="0.60017867301529004"/>
    <n v="8.8272093192300005E-2"/>
    <n v="809.52937860032398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73.000140263407303"/>
    <n v="271.91894634290702"/>
    <n v="0.65655261850000002"/>
  </r>
  <r>
    <n v="660000"/>
    <n v="2400000"/>
    <n v="2400000"/>
    <x v="0"/>
    <x v="0"/>
    <s v="BR3-5, BR-7"/>
    <s v="62-304.520 (10), F.A.C."/>
    <n v="0.59"/>
    <n v="0.64"/>
    <s v="City of Cocoa Beach"/>
    <n v="3.897141892376E-2"/>
    <n v="3583.0042889193201"/>
    <n v="8.9322092121397496"/>
    <n v="1.31371679707623"/>
    <n v="0.34810086712101002"/>
    <n v="5.119740764604E-2"/>
    <n v="139.634761149121"/>
    <n v="1210"/>
    <s v="Fixed Single Family Units"/>
    <n v="1210"/>
    <s v="City of Cocoa Beach           Brevard County"/>
    <s v="City of Cocoa Beach"/>
    <m/>
    <m/>
    <m/>
    <n v="0"/>
    <n v="1"/>
    <n v="0.34810086712101002"/>
    <n v="5.119740764604E-2"/>
    <n v="487.96954048082898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51.332477220172301"/>
    <n v="157.71173696167901"/>
    <n v="0.39575794040000001"/>
  </r>
  <r>
    <n v="660000"/>
    <n v="2400000"/>
    <n v="2400000"/>
    <x v="0"/>
    <x v="0"/>
    <s v="BR3-5, BR-7"/>
    <s v="62-304.520 (10), F.A.C."/>
    <n v="0.59"/>
    <n v="0.64"/>
    <s v="City of Cocoa Beach"/>
    <n v="4.1645443983129998E-2"/>
    <n v="3583.0042889193201"/>
    <n v="8.9322092121397496"/>
    <n v="1.31371679707623"/>
    <n v="0.37198581838976003"/>
    <n v="5.471031928233E-2"/>
    <n v="149.215804405504"/>
    <n v="1210"/>
    <s v="Fixed Single Family Units"/>
    <n v="1210"/>
    <s v="City of Cocoa Beach           Brevard County"/>
    <s v="City of Cocoa Beach"/>
    <m/>
    <m/>
    <m/>
    <n v="0"/>
    <n v="1"/>
    <n v="0.37198581838976003"/>
    <n v="5.471031928233E-2"/>
    <n v="382.97567629155702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52.511688803970301"/>
    <n v="168.53313244682701"/>
    <n v="0.31060476580000002"/>
  </r>
  <r>
    <n v="660000"/>
    <n v="2400000"/>
    <n v="2400000"/>
    <x v="0"/>
    <x v="0"/>
    <s v="BR3-5, BR-7"/>
    <s v="62-304.520 (10), F.A.C."/>
    <n v="0.59"/>
    <n v="0.64"/>
    <s v="City of Cocoa Beach"/>
    <n v="2.14132004236E-3"/>
    <n v="1922.1925220829301"/>
    <n v="4.6704959626397597"/>
    <n v="0.68279462148518999"/>
    <n v="1.000102661258E-2"/>
    <n v="1.4620818077999999E-3"/>
    <n v="4.1160293728203197"/>
    <n v="1210"/>
    <s v="Fixed Single Family Units"/>
    <n v="1210"/>
    <s v="City of Cocoa Beach           Brevard County"/>
    <s v="City of Cocoa Beach"/>
    <m/>
    <m/>
    <m/>
    <n v="0"/>
    <n v="1"/>
    <n v="1.000102661258E-2"/>
    <n v="1.4620818077999999E-3"/>
    <n v="120.74308733601799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3.658547249995999"/>
    <n v="8.6656147658603508"/>
    <n v="9.7926267100000006E-2"/>
  </r>
  <r>
    <n v="660000"/>
    <n v="2400000"/>
    <n v="2400000"/>
    <x v="0"/>
    <x v="0"/>
    <s v="BR3-5, BR-7"/>
    <s v="62-304.520 (10), F.A.C."/>
    <n v="0.59"/>
    <n v="0.64"/>
    <s v="City of Cocoa Beach"/>
    <n v="6.8725778613640001E-2"/>
    <n v="1922.1925220829301"/>
    <n v="4.6704959626397597"/>
    <n v="0.68279462148518999"/>
    <n v="0.32098347154432"/>
    <n v="4.6925591994779997E-2"/>
    <n v="132.104177725483"/>
    <n v="1210"/>
    <s v="Fixed Single Family Units"/>
    <n v="1210"/>
    <s v="City of Cocoa Beach           Brevard County"/>
    <s v="City of Cocoa Beach"/>
    <m/>
    <m/>
    <m/>
    <n v="0"/>
    <n v="1"/>
    <n v="0.32098347154432"/>
    <n v="4.6925591994779997E-2"/>
    <n v="343.78893583831803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73.253016614623107"/>
    <n v="278.12335856708597"/>
    <n v="0.27882314339999997"/>
  </r>
  <r>
    <n v="660000"/>
    <n v="2400000"/>
    <n v="2400000"/>
    <x v="0"/>
    <x v="0"/>
    <s v="BR3-5, BR-7"/>
    <s v="62-304.520 (10), F.A.C."/>
    <n v="0.59"/>
    <n v="0.64"/>
    <s v="City of Cocoa Beach"/>
    <n v="4.2957343964000003E-3"/>
    <n v="1922.1925220829301"/>
    <n v="4.6704959626397597"/>
    <n v="0.68279462148518999"/>
    <n v="2.0063210154949999E-2"/>
    <n v="2.93310434119E-3"/>
    <n v="8.2572285336145494"/>
    <n v="1210"/>
    <s v="Fixed Single Family Units"/>
    <n v="1210"/>
    <s v="City of Cocoa Beach           Brevard County"/>
    <s v="City of Cocoa Beach"/>
    <m/>
    <m/>
    <m/>
    <n v="0"/>
    <n v="1"/>
    <n v="2.0063210154949999E-2"/>
    <n v="2.93310434119E-3"/>
    <n v="37.5818175073490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30.4073752907995"/>
    <n v="17.384220330993902"/>
    <n v="3.04799818E-2"/>
  </r>
  <r>
    <n v="660000"/>
    <n v="2500000"/>
    <n v="2500000"/>
    <x v="0"/>
    <x v="0"/>
    <s v="BR3-5, BR-7"/>
    <s v="62-304.520 (10), F.A.C."/>
    <n v="0.59"/>
    <n v="0.64"/>
    <s v="City of Cocoa Beach"/>
    <n v="0.29103104358155002"/>
    <n v="3718.8488304043099"/>
    <n v="9.2672581880548393"/>
    <n v="1.3628721660212899"/>
    <n v="2.6970598216092898"/>
    <n v="0.39663810874542998"/>
    <n v="1082.3004560346001"/>
    <n v="1200"/>
    <s v="Residential, Medium Density-Two-five dwellingunits per acre"/>
    <n v="1200"/>
    <s v="City of Cocoa Beach           Brevard County"/>
    <s v="City of Cocoa Beach"/>
    <m/>
    <m/>
    <m/>
    <n v="0"/>
    <n v="1"/>
    <n v="2.6970598216092898"/>
    <n v="0.39663810874542998"/>
    <n v="1082.30045603460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58.10763261275099"/>
    <n v="1177.7608478357799"/>
    <n v="0.87777814759999995"/>
  </r>
  <r>
    <n v="660000"/>
    <n v="2500000"/>
    <n v="2500000"/>
    <x v="0"/>
    <x v="0"/>
    <s v="BR3-5, BR-7"/>
    <s v="62-304.520 (10), F.A.C."/>
    <n v="0.59"/>
    <n v="0.64"/>
    <s v="City of Cocoa Beach"/>
    <n v="2.9028904881629999E-2"/>
    <n v="3718.8488304043099"/>
    <n v="9.2672581880548393"/>
    <n v="1.3628721660212899"/>
    <n v="0.26901835645458999"/>
    <n v="3.956268647326E-2"/>
    <n v="107.954108966986"/>
    <n v="1210"/>
    <s v="Fixed Single Family Units"/>
    <n v="1210"/>
    <s v="City of Cocoa Beach           Brevard County"/>
    <s v="City of Cocoa Beach"/>
    <m/>
    <m/>
    <m/>
    <n v="0"/>
    <n v="1"/>
    <n v="0.26901835645458999"/>
    <n v="3.956268647326E-2"/>
    <n v="108.493317107272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54.227001186596198"/>
    <n v="117.47581015548499"/>
    <n v="8.7991335899999995E-2"/>
  </r>
  <r>
    <n v="660000"/>
    <n v="2500000"/>
    <n v="2500000"/>
    <x v="0"/>
    <x v="0"/>
    <s v="BR3-5, BR-7"/>
    <s v="62-304.520 (10), F.A.C."/>
    <n v="0.59"/>
    <n v="0.64"/>
    <s v="City of Cocoa Beach"/>
    <n v="0.15438103234316999"/>
    <n v="3718.8488304043099"/>
    <n v="9.2672581880548393"/>
    <n v="1.3628721660212899"/>
    <n v="1.4306888860626501"/>
    <n v="0.21040161194213999"/>
    <n v="574.11972156602997"/>
    <n v="1210"/>
    <s v="Fixed Single Family Units"/>
    <n v="1210"/>
    <s v="City of Cocoa Beach           Brevard County"/>
    <s v="City of Cocoa Beach"/>
    <m/>
    <m/>
    <m/>
    <n v="0"/>
    <n v="1"/>
    <n v="1.4306888860626501"/>
    <n v="0.21040161194213999"/>
    <n v="713.38788513720999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98.764845496572505"/>
    <n v="624.75787223472298"/>
    <n v="0.57857898230000004"/>
  </r>
  <r>
    <n v="660000"/>
    <n v="2500000"/>
    <n v="2500000"/>
    <x v="0"/>
    <x v="0"/>
    <s v="BR3-5, BR-7"/>
    <s v="62-304.520 (10), F.A.C."/>
    <n v="0.59"/>
    <n v="0.64"/>
    <s v="City of Cocoa Beach"/>
    <n v="0.10540526132017"/>
    <n v="3718.8488304043099"/>
    <n v="9.2672581880548393"/>
    <n v="1.3628721660212899"/>
    <n v="0.97681777103348999"/>
    <n v="0.14365389680547"/>
    <n v="391.98623277900799"/>
    <n v="1210"/>
    <s v="Fixed Single Family Units"/>
    <n v="1210"/>
    <s v="City of Cocoa Beach           Brevard County"/>
    <s v="City of Cocoa Beach"/>
    <m/>
    <m/>
    <m/>
    <n v="0"/>
    <n v="1"/>
    <n v="0.97681777103348999"/>
    <n v="0.14365389680547"/>
    <n v="391.98623277900799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87.064388047829596"/>
    <n v="426.55995872831699"/>
    <n v="0.3179125975"/>
  </r>
  <r>
    <n v="660000"/>
    <n v="2500000"/>
    <n v="2500000"/>
    <x v="0"/>
    <x v="0"/>
    <s v="BR3-5, BR-7"/>
    <s v="62-304.520 (10), F.A.C."/>
    <n v="0.59"/>
    <n v="0.64"/>
    <s v="City of Cocoa Beach"/>
    <n v="3.1496166999999997E-4"/>
    <n v="3718.8488304043099"/>
    <n v="9.2672581880548393"/>
    <n v="1.3628721660212899"/>
    <n v="2.9188311152299998E-3"/>
    <n v="4.2925249339999998E-4"/>
    <n v="1.1712948381016901"/>
    <n v="1210"/>
    <s v="Fixed Single Family Units"/>
    <n v="1210"/>
    <s v="City of Cocoa Beach           Brevard County"/>
    <s v="City of Cocoa Beach"/>
    <m/>
    <m/>
    <m/>
    <n v="0"/>
    <n v="1"/>
    <n v="2.9188311152299998E-3"/>
    <n v="4.2925249339999998E-4"/>
    <n v="1.1712948381017501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21.847679802668001"/>
    <n v="1.2746046570493901"/>
    <n v="9.4995530000000004E-4"/>
  </r>
  <r>
    <n v="660000"/>
    <n v="2500000"/>
    <n v="2500000"/>
    <x v="0"/>
    <x v="0"/>
    <s v="BR3-5, BR-7"/>
    <s v="62-304.520 (10), F.A.C."/>
    <n v="0.59"/>
    <n v="0.64"/>
    <s v="City of Cocoa Beach"/>
    <n v="7.9895267839999992E-6"/>
    <n v="3718.8488304043099"/>
    <n v="9.2672581880548393"/>
    <n v="1.3628721660212899"/>
    <n v="7.4041007500000002E-5"/>
    <n v="1.088870367E-5"/>
    <n v="2.9711842336160001E-2"/>
    <n v="1210"/>
    <s v="Fixed Single Family Units"/>
    <n v="1210"/>
    <s v="City of Cocoa Beach           Brevard County"/>
    <s v="City of Cocoa Beach"/>
    <m/>
    <m/>
    <m/>
    <n v="0"/>
    <n v="1"/>
    <n v="7.4041007500000002E-5"/>
    <n v="1.088870367E-5"/>
    <n v="2.971184233512E-2"/>
    <m/>
    <n v="-1"/>
    <n v="-1"/>
    <n v="-1"/>
    <n v="-1"/>
    <n v="0"/>
    <m/>
    <m/>
    <s v="Banana River B"/>
    <n v="-1"/>
    <m/>
    <m/>
    <n v="363"/>
    <x v="34"/>
    <s v="50 Danube River Exfiltration"/>
    <x v="0"/>
    <n v="2.7417280000000002"/>
    <n v="1.3599146642106501"/>
    <n v="3.233246777663E-2"/>
    <n v="2.40972E-5"/>
  </r>
  <r>
    <n v="830000"/>
    <n v="2400000"/>
    <n v="2400000"/>
    <x v="0"/>
    <x v="0"/>
    <s v="BR3-5, BR-7"/>
    <s v="62-304.520 (10), F.A.C."/>
    <n v="0.59"/>
    <n v="0.64"/>
    <s v="City of Cocoa Beach"/>
    <n v="5.1750695176500001E-3"/>
    <n v="2540.64184824939"/>
    <n v="6.3863010905944098"/>
    <n v="0.94106223433539005"/>
    <n v="3.3049552104469998E-2"/>
    <n v="4.8700624831200003E-3"/>
    <n v="13.1479981841414"/>
    <n v="1200"/>
    <s v="Residential, Medium Density-Two-five dwellingunits per acre"/>
    <n v="1200"/>
    <s v="City of Cocoa Beach           Brevard County"/>
    <s v="City of Cocoa Beach"/>
    <m/>
    <m/>
    <m/>
    <n v="0"/>
    <n v="1"/>
    <n v="3.3049552104469998E-2"/>
    <n v="4.8700624831200003E-3"/>
    <n v="13.14799818414119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22.382428167631701"/>
    <n v="20.942763313867999"/>
    <n v="1.0663421100000001E-2"/>
  </r>
  <r>
    <n v="830000"/>
    <n v="2400000"/>
    <n v="2400000"/>
    <x v="0"/>
    <x v="0"/>
    <s v="BR3-5, BR-7"/>
    <s v="62-304.520 (10), F.A.C."/>
    <n v="0.59"/>
    <n v="0.64"/>
    <s v="City of Cocoa Beach"/>
    <n v="2.4580957804399999E-2"/>
    <n v="2540.64184824939"/>
    <n v="6.3863010905944098"/>
    <n v="0.94106223433539005"/>
    <n v="0.15698139763412999"/>
    <n v="2.313221107351E-2"/>
    <n v="62.451410067926503"/>
    <n v="1210"/>
    <s v="Fixed Single Family Units"/>
    <n v="1210"/>
    <s v="City of Cocoa Beach           Brevard County"/>
    <s v="City of Cocoa Beach"/>
    <m/>
    <m/>
    <m/>
    <n v="0"/>
    <n v="1"/>
    <n v="0.15698139763412999"/>
    <n v="2.313221107351E-2"/>
    <n v="320.49717313461798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48.262671652301002"/>
    <n v="99.475606959503907"/>
    <n v="0.25993282490000003"/>
  </r>
  <r>
    <n v="830000"/>
    <n v="2400000"/>
    <n v="2400000"/>
    <x v="0"/>
    <x v="0"/>
    <s v="BR3-5, BR-7"/>
    <s v="62-304.520 (10), F.A.C."/>
    <n v="0.59"/>
    <n v="0.64"/>
    <s v="City of Cocoa Beach"/>
    <n v="0.10266184863106"/>
    <n v="2540.64184824939"/>
    <n v="6.3863010905944098"/>
    <n v="0.94106223433539005"/>
    <n v="0.65562947587497999"/>
    <n v="9.6611188653739993E-2"/>
    <n v="260.82698885071801"/>
    <n v="1210"/>
    <s v="Fixed Single Family Units"/>
    <n v="1210"/>
    <s v="City of Cocoa Beach           Brevard County"/>
    <s v="City of Cocoa Beach"/>
    <m/>
    <m/>
    <m/>
    <n v="0"/>
    <n v="1"/>
    <n v="0.65562947587497999"/>
    <n v="9.6611188653739993E-2"/>
    <n v="536.50236931964798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77.691760430200802"/>
    <n v="415.45776146806401"/>
    <n v="0.4351195209"/>
  </r>
  <r>
    <n v="830000"/>
    <n v="2400000"/>
    <n v="2400000"/>
    <x v="0"/>
    <x v="0"/>
    <s v="BR3-5, BR-7"/>
    <s v="62-304.520 (10), F.A.C."/>
    <n v="0.59"/>
    <n v="0.64"/>
    <s v="City of Cocoa Beach"/>
    <n v="3.15786905442E-3"/>
    <n v="2540.64184824939"/>
    <n v="6.3863010905944098"/>
    <n v="0.94106223433539005"/>
    <n v="2.0167102586200001E-2"/>
    <n v="2.97175130809E-3"/>
    <n v="8.0230142709537393"/>
    <n v="1210"/>
    <s v="Fixed Single Family Units"/>
    <n v="1210"/>
    <s v="City of Cocoa Beach           Brevard County"/>
    <s v="City of Cocoa Beach"/>
    <m/>
    <m/>
    <m/>
    <n v="0"/>
    <n v="1"/>
    <n v="2.0167102586200001E-2"/>
    <n v="2.97175130809E-3"/>
    <n v="231.9217836215829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17.217264898851599"/>
    <n v="12.7794426639803"/>
    <n v="0.18809552609999999"/>
  </r>
  <r>
    <n v="830000"/>
    <n v="2400000"/>
    <n v="2400000"/>
    <x v="0"/>
    <x v="0"/>
    <s v="BR3-5, BR-7"/>
    <s v="62-304.520 (10), F.A.C."/>
    <n v="0.59"/>
    <n v="0.64"/>
    <s v="City of Cocoa Beach"/>
    <n v="1.0608958729300001E-2"/>
    <n v="3370.81140256856"/>
    <n v="8.3473111086168998"/>
    <n v="1.2257924490635299"/>
    <n v="8.8556279051959993E-2"/>
    <n v="1.30043815028E-2"/>
    <n v="35.760799054113797"/>
    <n v="1200"/>
    <s v="Residential, Medium Density-Two-five dwellingunits per acre"/>
    <n v="1200"/>
    <s v="City of Cocoa Beach           Brevard County"/>
    <s v="City of Cocoa Beach"/>
    <m/>
    <m/>
    <m/>
    <n v="0"/>
    <n v="1"/>
    <n v="8.8556279051959993E-2"/>
    <n v="1.30043815028E-2"/>
    <n v="116.54033224299801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30.207555888719298"/>
    <n v="42.932932768655199"/>
    <n v="9.4517706600000001E-2"/>
  </r>
  <r>
    <n v="830000"/>
    <n v="2400000"/>
    <n v="2400000"/>
    <x v="0"/>
    <x v="0"/>
    <s v="BR3-5, BR-7"/>
    <s v="62-304.520 (10), F.A.C."/>
    <n v="0.59"/>
    <n v="0.64"/>
    <s v="City of Cocoa Beach"/>
    <n v="7.8738216885000005E-4"/>
    <n v="1041.8442427806799"/>
    <n v="2.8100646307377"/>
    <n v="0.42052423899289998"/>
    <n v="2.2125947835799999E-3"/>
    <n v="3.3111328734999998E-4"/>
    <n v="0.82032957949392005"/>
    <n v="1210"/>
    <s v="Fixed Single Family Units"/>
    <n v="1210"/>
    <s v="City of Cocoa Beach           Brevard County"/>
    <s v="City of Cocoa Beach"/>
    <m/>
    <m/>
    <m/>
    <n v="0"/>
    <n v="1"/>
    <n v="2.2125947835799999E-3"/>
    <n v="3.3111328734999998E-4"/>
    <n v="40.54166758231379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10.7028583488375"/>
    <n v="3.1864225869319598"/>
    <n v="3.2880509000000002E-2"/>
  </r>
  <r>
    <n v="830000"/>
    <n v="2400000"/>
    <n v="2400000"/>
    <x v="0"/>
    <x v="0"/>
    <s v="BR3-5, BR-7"/>
    <s v="62-304.520 (10), F.A.C."/>
    <n v="0.59"/>
    <n v="0.64"/>
    <s v="City of Cocoa Beach"/>
    <n v="2.8627006454200001E-3"/>
    <n v="1041.8442427806799"/>
    <n v="2.8100646307377"/>
    <n v="0.42052423899289998"/>
    <n v="8.0443738321099995E-3"/>
    <n v="1.2038350103799999E-3"/>
    <n v="2.9824881862447601"/>
    <n v="1210"/>
    <s v="Fixed Single Family Units"/>
    <n v="1210"/>
    <s v="City of Cocoa Beach           Brevard County"/>
    <s v="City of Cocoa Beach"/>
    <m/>
    <m/>
    <m/>
    <n v="0"/>
    <n v="1"/>
    <n v="8.0443738321099995E-3"/>
    <n v="1.2038350103799999E-3"/>
    <n v="160.9396525593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15.259157999718999"/>
    <n v="11.584938492361699"/>
    <n v="0.13052688770000001"/>
  </r>
  <r>
    <n v="830000"/>
    <n v="2400000"/>
    <n v="2400000"/>
    <x v="0"/>
    <x v="0"/>
    <s v="BR3-5, BR-7"/>
    <s v="62-304.520 (10), F.A.C."/>
    <n v="0.59"/>
    <n v="0.64"/>
    <s v="City of Cocoa Beach"/>
    <n v="4.5381919597490002E-2"/>
    <n v="3680.3011758289699"/>
    <n v="9.1319003230339195"/>
    <n v="1.34163035005578"/>
    <n v="0.41442316623221997"/>
    <n v="6.0885760675779999E-2"/>
    <n v="167.01913205602099"/>
    <n v="1200"/>
    <s v="Residential, Medium Density-Two-five dwellingunits per acre"/>
    <n v="1200"/>
    <s v="City of Cocoa Beach           Brevard County"/>
    <s v="City of Cocoa Beach"/>
    <m/>
    <m/>
    <m/>
    <n v="0"/>
    <n v="1"/>
    <n v="0.41442316623221997"/>
    <n v="6.0885760675779999E-2"/>
    <n v="425.662501957583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78.590560163056296"/>
    <n v="183.654112783946"/>
    <n v="0.3452250624"/>
  </r>
  <r>
    <n v="830000"/>
    <n v="2400000"/>
    <n v="2400000"/>
    <x v="0"/>
    <x v="0"/>
    <s v="BR3-5, BR-7"/>
    <s v="62-304.520 (10), F.A.C."/>
    <n v="0.59"/>
    <n v="0.64"/>
    <s v="City of Cocoa Beach"/>
    <n v="2.2175235773510001E-2"/>
    <n v="3712.5787757838302"/>
    <n v="9.2522854229750298"/>
    <n v="1.36069238478629"/>
    <n v="0.20517161069836001"/>
    <n v="3.017367444786E-2"/>
    <n v="82.327309680769005"/>
    <n v="1200"/>
    <s v="Residential, Medium Density-Two-five dwellingunits per acre"/>
    <n v="1200"/>
    <s v="City of Cocoa Beach           Brevard County"/>
    <s v="City of Cocoa Beach"/>
    <m/>
    <m/>
    <m/>
    <n v="0"/>
    <n v="1"/>
    <n v="0.20517161069836001"/>
    <n v="3.017367444786E-2"/>
    <n v="902.61779468705197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44.758281604376798"/>
    <n v="89.739995308300607"/>
    <n v="0.73205011730000003"/>
  </r>
  <r>
    <n v="830000"/>
    <n v="2400000"/>
    <n v="2400000"/>
    <x v="0"/>
    <x v="0"/>
    <s v="BR3-5, BR-7"/>
    <s v="62-304.520 (10), F.A.C."/>
    <n v="0.59"/>
    <n v="0.64"/>
    <s v="City of Cocoa Beach"/>
    <n v="2.9879569072E-4"/>
    <n v="3712.5787757838302"/>
    <n v="9.2522854229750298"/>
    <n v="1.36069238478629"/>
    <n v="2.7645430137199999E-3"/>
    <n v="4.0656902097E-4"/>
    <n v="1.10930253967388"/>
    <n v="1210"/>
    <s v="Fixed Single Family Units"/>
    <n v="1210"/>
    <s v="City of Cocoa Beach           Brevard County"/>
    <s v="City of Cocoa Beach"/>
    <m/>
    <m/>
    <m/>
    <n v="0"/>
    <n v="1"/>
    <n v="2.7645430137199999E-3"/>
    <n v="4.0656902097E-4"/>
    <n v="6.4821656916090102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5.3072846307238004"/>
    <n v="1.2091832599874699"/>
    <n v="5.2572308999999998E-3"/>
  </r>
  <r>
    <n v="830000"/>
    <n v="2400000"/>
    <n v="2400000"/>
    <x v="0"/>
    <x v="0"/>
    <s v="BR3-5, BR-7"/>
    <s v="62-304.520 (10), F.A.C."/>
    <n v="0.59"/>
    <n v="0.64"/>
    <s v="City of Cocoa Beach"/>
    <n v="9.2528876909980004E-2"/>
    <n v="3713.9967900996899"/>
    <n v="9.2571261963835898"/>
    <n v="1.3614487104634001"/>
    <n v="0.85655149036538003"/>
    <n v="0.12597332014971999"/>
    <n v="343.65195183521797"/>
    <n v="1200"/>
    <s v="Residential, Medium Density-Two-five dwellingunits per acre"/>
    <n v="1200"/>
    <s v="City of Cocoa Beach           Brevard County"/>
    <s v="City of Cocoa Beach"/>
    <m/>
    <m/>
    <m/>
    <n v="0"/>
    <n v="1"/>
    <n v="0.85655149036538003"/>
    <n v="0.12597332014971999"/>
    <n v="637.02951692261695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84.633189071347104"/>
    <n v="374.45107978063498"/>
    <n v="0.51665005429999999"/>
  </r>
  <r>
    <n v="830000"/>
    <n v="2400000"/>
    <n v="2400000"/>
    <x v="0"/>
    <x v="0"/>
    <s v="BR3-5, BR-7"/>
    <s v="62-304.520 (10), F.A.C."/>
    <n v="0.59"/>
    <n v="0.64"/>
    <s v="City of Cocoa Beach"/>
    <n v="3.5209671943070002E-2"/>
    <n v="3713.9967900996899"/>
    <n v="9.2571261963835898"/>
    <n v="1.3614487104634001"/>
    <n v="0.32594037651034002"/>
    <n v="4.7936162462739997E-2"/>
    <n v="130.76860857705501"/>
    <n v="1210"/>
    <s v="Fixed Single Family Units"/>
    <n v="1210"/>
    <s v="City of Cocoa Beach           Brevard County"/>
    <s v="City of Cocoa Beach"/>
    <m/>
    <m/>
    <m/>
    <n v="0"/>
    <n v="1"/>
    <n v="0.32594037651034002"/>
    <n v="4.7936162462739997E-2"/>
    <n v="132.244887416116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52.018431161046401"/>
    <n v="142.488487033442"/>
    <n v="0.1072545721"/>
  </r>
  <r>
    <n v="830000"/>
    <n v="2400000"/>
    <n v="2400000"/>
    <x v="0"/>
    <x v="0"/>
    <s v="BR3-5, BR-7"/>
    <s v="62-304.520 (10), F.A.C."/>
    <n v="0.59"/>
    <n v="0.64"/>
    <s v="City of Cocoa Beach"/>
    <n v="1.384503107258E-2"/>
    <n v="3713.9967900996899"/>
    <n v="9.2571261963835898"/>
    <n v="1.3614487104634001"/>
    <n v="0.12816519983173999"/>
    <n v="1.884929970009E-2"/>
    <n v="51.420400962400102"/>
    <n v="1210"/>
    <s v="Fixed Single Family Units"/>
    <n v="1210"/>
    <s v="City of Cocoa Beach           Brevard County"/>
    <s v="City of Cocoa Beach"/>
    <m/>
    <m/>
    <m/>
    <n v="0"/>
    <n v="1"/>
    <n v="0.12816519983173999"/>
    <n v="1.884929970009E-2"/>
    <n v="433.9117546958989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43.306590265242598"/>
    <n v="56.028852914403998"/>
    <n v="0.35191545390000001"/>
  </r>
  <r>
    <n v="830000"/>
    <n v="2400000"/>
    <n v="2400000"/>
    <x v="0"/>
    <x v="0"/>
    <s v="BR3-5, BR-7"/>
    <s v="62-304.520 (10), F.A.C."/>
    <n v="0.59"/>
    <n v="0.64"/>
    <s v="City of Cocoa Beach"/>
    <n v="0.12858617583913001"/>
    <n v="3714.5901285915602"/>
    <n v="9.2571122019392007"/>
    <n v="1.36139592302354"/>
    <n v="1.19033665736114"/>
    <n v="0.17505669554458"/>
    <n v="477.644939445386"/>
    <n v="1200"/>
    <s v="Residential, Medium Density-Two-five dwellingunits per acre"/>
    <n v="1200"/>
    <s v="City of Cocoa Beach           Brevard County"/>
    <s v="City of Cocoa Beach"/>
    <m/>
    <m/>
    <m/>
    <n v="0"/>
    <n v="1"/>
    <n v="1.19033665736114"/>
    <n v="0.17505669554458"/>
    <n v="918.32456318276695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140.27969503666299"/>
    <n v="520.36979152645301"/>
    <n v="0.74478877789999998"/>
  </r>
  <r>
    <n v="830000"/>
    <n v="2400000"/>
    <n v="2400000"/>
    <x v="0"/>
    <x v="0"/>
    <s v="BR3-5, BR-7"/>
    <s v="62-304.520 (10), F.A.C."/>
    <n v="0.59"/>
    <n v="0.64"/>
    <s v="City of Cocoa Beach"/>
    <n v="5.1489633274590003E-2"/>
    <n v="3714.5901285915602"/>
    <n v="9.2571122019392007"/>
    <n v="1.36139592302354"/>
    <n v="0.47664531245961"/>
    <n v="7.0097776818000002E-2"/>
    <n v="191.26288348660199"/>
    <n v="1210"/>
    <s v="Fixed Single Family Units"/>
    <n v="1210"/>
    <s v="City of Cocoa Beach           Brevard County"/>
    <s v="City of Cocoa Beach"/>
    <m/>
    <m/>
    <m/>
    <n v="0"/>
    <n v="1"/>
    <n v="0.47664531245961"/>
    <n v="7.0097776818000002E-2"/>
    <n v="202.10410887674701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63.564069377090497"/>
    <n v="208.37115310430801"/>
    <n v="0.1639124971"/>
  </r>
  <r>
    <n v="830000"/>
    <n v="2400000"/>
    <n v="2400000"/>
    <x v="0"/>
    <x v="0"/>
    <s v="BR3-5, BR-7"/>
    <s v="62-304.520 (10), F.A.C."/>
    <n v="0.59"/>
    <n v="0.64"/>
    <s v="City of Cocoa Beach"/>
    <n v="1.419079156085E-2"/>
    <n v="3714.5901285915602"/>
    <n v="9.2571122019392007"/>
    <n v="1.36139592302354"/>
    <n v="0.13136574971314"/>
    <n v="1.9319285775420001E-2"/>
    <n v="52.712974248845001"/>
    <n v="1210"/>
    <s v="Fixed Single Family Units"/>
    <n v="1210"/>
    <s v="City of Cocoa Beach           Brevard County"/>
    <s v="City of Cocoa Beach"/>
    <m/>
    <m/>
    <m/>
    <n v="0"/>
    <n v="1"/>
    <n v="0.13136574971314"/>
    <n v="1.9319285775420001E-2"/>
    <n v="52.712974248845804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35.649844678942699"/>
    <n v="57.428095966978503"/>
    <n v="4.2751803900000003E-2"/>
  </r>
  <r>
    <n v="830000"/>
    <n v="2400000"/>
    <n v="2400000"/>
    <x v="0"/>
    <x v="0"/>
    <s v="BR3-5, BR-7"/>
    <s v="62-304.520 (10), F.A.C."/>
    <n v="0.59"/>
    <n v="0.64"/>
    <s v="City of Cocoa Beach"/>
    <n v="0.10112476484977"/>
    <n v="3714.5901285915602"/>
    <n v="9.2571122019392007"/>
    <n v="1.36139592302354"/>
    <n v="0.93612329460905996"/>
    <n v="0.13767084258319001"/>
    <n v="375.63705326710999"/>
    <n v="1210"/>
    <s v="Fixed Single Family Units"/>
    <n v="1210"/>
    <s v="City of Cocoa Beach           Brevard County"/>
    <s v="City of Cocoa Beach"/>
    <m/>
    <m/>
    <m/>
    <n v="0"/>
    <n v="1"/>
    <n v="0.93612329460905996"/>
    <n v="0.13767084258319001"/>
    <n v="543.15313354457203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88.985694801333295"/>
    <n v="409.23740409599401"/>
    <n v="0.44051349029999998"/>
  </r>
  <r>
    <n v="830000"/>
    <n v="2400000"/>
    <n v="2400000"/>
    <x v="0"/>
    <x v="0"/>
    <s v="BR3-5, BR-7"/>
    <s v="62-304.520 (10), F.A.C."/>
    <n v="0.59"/>
    <n v="0.64"/>
    <s v="City of Cocoa Beach"/>
    <n v="6.0075450953190002E-2"/>
    <n v="3515.37924025352"/>
    <n v="8.7984820205331005"/>
    <n v="1.29523297149218"/>
    <n v="0.52857277508707001"/>
    <n v="7.7811704851830005E-2"/>
    <n v="211.18799312972001"/>
    <n v="1200"/>
    <s v="Residential, Medium Density-Two-five dwellingunits per acre"/>
    <n v="1200"/>
    <s v="City of Cocoa Beach           Brevard County"/>
    <s v="City of Cocoa Beach"/>
    <m/>
    <m/>
    <m/>
    <n v="0"/>
    <n v="1"/>
    <n v="0.52857277508707001"/>
    <n v="7.7811704851830005E-2"/>
    <n v="211.18799312972001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72.252057027630897"/>
    <n v="243.116724518501"/>
    <n v="0.17127979979999999"/>
  </r>
  <r>
    <n v="830000"/>
    <n v="2400000"/>
    <n v="2400000"/>
    <x v="0"/>
    <x v="0"/>
    <s v="BR3-5, BR-7"/>
    <s v="62-304.520 (10), F.A.C."/>
    <n v="0.59"/>
    <n v="0.64"/>
    <s v="City of Cocoa Beach"/>
    <n v="4.8731968856040003E-2"/>
    <n v="3515.37924025352"/>
    <n v="8.7984820205331005"/>
    <n v="1.29523297149218"/>
    <n v="0.42876735180510001"/>
    <n v="6.3119252828079994E-2"/>
    <n v="171.31135165322499"/>
    <n v="1210"/>
    <s v="Fixed Single Family Units"/>
    <n v="1210"/>
    <s v="City of Cocoa Beach           Brevard County"/>
    <s v="City of Cocoa Beach"/>
    <m/>
    <m/>
    <m/>
    <n v="0"/>
    <n v="1"/>
    <n v="0.42876735180510001"/>
    <n v="6.3119252828079994E-2"/>
    <n v="256.3721405273969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59.487957541451799"/>
    <n v="197.21128114128601"/>
    <n v="0.2079254992"/>
  </r>
  <r>
    <n v="830000"/>
    <n v="2400000"/>
    <n v="2400000"/>
    <x v="0"/>
    <x v="0"/>
    <s v="BR3-5, BR-7"/>
    <s v="62-304.520 (10), F.A.C."/>
    <n v="0.59"/>
    <n v="0.64"/>
    <s v="City of Cocoa Beach"/>
    <n v="7.8496584042940007E-2"/>
    <n v="3515.37924025352"/>
    <n v="8.7984820205331005"/>
    <n v="1.29523297149218"/>
    <n v="0.6906507833751"/>
    <n v="0.10167136380192"/>
    <n v="275.945261975378"/>
    <n v="1210"/>
    <s v="Fixed Single Family Units"/>
    <n v="1210"/>
    <s v="City of Cocoa Beach           Brevard County"/>
    <s v="City of Cocoa Beach"/>
    <m/>
    <m/>
    <m/>
    <n v="0"/>
    <n v="1"/>
    <n v="0.6906507833751"/>
    <n v="0.10167136380192"/>
    <n v="672.910285314053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77.343825176101703"/>
    <n v="317.66440527064299"/>
    <n v="0.54575043420000002"/>
  </r>
  <r>
    <n v="830000"/>
    <n v="2400000"/>
    <n v="2400000"/>
    <x v="0"/>
    <x v="0"/>
    <s v="BR3-5, BR-7"/>
    <s v="62-304.520 (10), F.A.C."/>
    <n v="0.59"/>
    <n v="0.64"/>
    <s v="City of Cocoa Beach"/>
    <n v="0.10513663156265"/>
    <n v="3515.37924025352"/>
    <n v="8.7984820205331005"/>
    <n v="1.29523297149218"/>
    <n v="0.92504276250345996"/>
    <n v="0.13617643171158"/>
    <n v="369.59513198555101"/>
    <n v="1210"/>
    <s v="Fixed Single Family Units"/>
    <n v="1210"/>
    <s v="City of Cocoa Beach           Brevard County"/>
    <s v="City of Cocoa Beach"/>
    <m/>
    <m/>
    <m/>
    <n v="0"/>
    <n v="1"/>
    <n v="0.92504276250345996"/>
    <n v="0.13617643171158"/>
    <n v="904.98045759566696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80.438444440514701"/>
    <n v="425.47285266884302"/>
    <n v="0.73396630789999995"/>
  </r>
  <r>
    <n v="830000"/>
    <n v="2400000"/>
    <n v="2400000"/>
    <x v="0"/>
    <x v="0"/>
    <s v="BR3-5, BR-7"/>
    <s v="62-304.520 (10), F.A.C."/>
    <n v="0.59"/>
    <n v="0.64"/>
    <s v="City of Cocoa Beach"/>
    <n v="8.4170179342740001E-2"/>
    <n v="3715.1656000449502"/>
    <n v="9.1984565769502407"/>
    <n v="1.3507275260001801"/>
    <n v="0.77423573975834004"/>
    <n v="0.11369097810661"/>
    <n v="312.70615484377601"/>
    <n v="1200"/>
    <s v="Residential, Medium Density-Two-five dwellingunits per acre"/>
    <n v="1200"/>
    <s v="City of Cocoa Beach           Brevard County"/>
    <s v="City of Cocoa Beach"/>
    <m/>
    <m/>
    <m/>
    <n v="0"/>
    <n v="1"/>
    <n v="0.77423573975834004"/>
    <n v="0.11369097810661"/>
    <n v="364.77970742013702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116.24184894868"/>
    <n v="340.62463084774402"/>
    <n v="0.29584728910000002"/>
  </r>
  <r>
    <n v="830000"/>
    <n v="2400000"/>
    <n v="2400000"/>
    <x v="0"/>
    <x v="0"/>
    <s v="BR3-5, BR-7"/>
    <s v="62-304.520 (10), F.A.C."/>
    <n v="0.59"/>
    <n v="0.64"/>
    <s v="City of Cocoa Beach"/>
    <n v="7.8618295213880002E-2"/>
    <n v="3715.1656000449502"/>
    <n v="9.1984565769502407"/>
    <n v="1.3507275260001801"/>
    <n v="0.72316697467874003"/>
    <n v="0.10619189539259"/>
    <n v="292.07998591279301"/>
    <n v="1210"/>
    <s v="Fixed Single Family Units"/>
    <n v="1210"/>
    <s v="City of Cocoa Beach           Brevard County"/>
    <s v="City of Cocoa Beach"/>
    <m/>
    <m/>
    <m/>
    <n v="0"/>
    <n v="1"/>
    <n v="0.72316697467874003"/>
    <n v="0.10619189539259"/>
    <n v="610.94964550956502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73.526565294662504"/>
    <n v="318.15695290443603"/>
    <n v="0.49549849600000001"/>
  </r>
  <r>
    <n v="830000"/>
    <n v="2400000"/>
    <n v="2400000"/>
    <x v="0"/>
    <x v="0"/>
    <s v="BR3-5, BR-7"/>
    <s v="62-304.520 (10), F.A.C."/>
    <n v="0.59"/>
    <n v="0.64"/>
    <s v="City of Cocoa Beach"/>
    <n v="8.7596974973720002E-2"/>
    <n v="3715.1656000449502"/>
    <n v="9.1984565769502407"/>
    <n v="1.3507275260001801"/>
    <n v="0.80575697056797002"/>
    <n v="0.11831964529135"/>
    <n v="325.43726809037003"/>
    <n v="1210"/>
    <s v="Fixed Single Family Units"/>
    <n v="1210"/>
    <s v="City of Cocoa Beach           Brevard County"/>
    <s v="City of Cocoa Beach"/>
    <m/>
    <m/>
    <m/>
    <n v="0"/>
    <n v="1"/>
    <n v="0.80575697056797002"/>
    <n v="0.11831964529135"/>
    <n v="915.71619154586097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89.8707833709243"/>
    <n v="354.49238075521902"/>
    <n v="0.74267331029999994"/>
  </r>
  <r>
    <n v="830000"/>
    <n v="2400000"/>
    <n v="2400000"/>
    <x v="0"/>
    <x v="0"/>
    <s v="BR3-5, BR-7"/>
    <s v="62-304.520 (10), F.A.C."/>
    <n v="0.59"/>
    <n v="0.64"/>
    <s v="City of Cocoa Beach"/>
    <n v="4.514987030019E-2"/>
    <n v="3715.1656000449502"/>
    <n v="9.1984565769502407"/>
    <n v="1.3507275260001801"/>
    <n v="0.4153091214113"/>
    <n v="6.0985172609809998E-2"/>
    <n v="167.739244985786"/>
    <n v="1210"/>
    <s v="Fixed Single Family Units"/>
    <n v="1210"/>
    <s v="City of Cocoa Beach           Brevard County"/>
    <s v="City of Cocoa Beach"/>
    <m/>
    <m/>
    <m/>
    <n v="0"/>
    <n v="1"/>
    <n v="0.4153091214113"/>
    <n v="6.0985172609809998E-2"/>
    <n v="307.1453934378529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57.155987217107601"/>
    <n v="182.71504259488199"/>
    <n v="0.2491041309"/>
  </r>
  <r>
    <n v="830000"/>
    <n v="2500000"/>
    <n v="2500000"/>
    <x v="0"/>
    <x v="0"/>
    <s v="BR3-5, BR-7"/>
    <s v="62-304.520 (10), F.A.C."/>
    <n v="0.59"/>
    <n v="0.64"/>
    <s v="City of Cocoa Beach"/>
    <n v="3.9039530706199997E-2"/>
    <n v="3111.4830598017002"/>
    <n v="7.8093203482593303"/>
    <n v="1.1503529313157701"/>
    <n v="0.30487220153042999"/>
    <n v="4.4909238585069997E-2"/>
    <n v="121.470838454952"/>
    <n v="1200"/>
    <s v="Residential, Medium Density-Two-five dwellingunits per acre"/>
    <n v="1200"/>
    <s v="City of Cocoa Beach           Brevard County"/>
    <s v="City of Cocoa Beach"/>
    <m/>
    <m/>
    <m/>
    <n v="0"/>
    <n v="1"/>
    <n v="0.30487220153042999"/>
    <n v="4.4909238585069997E-2"/>
    <n v="125.3008321804079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60.415727592140698"/>
    <n v="157.98737556587"/>
    <n v="0.1016227349"/>
  </r>
  <r>
    <n v="830000"/>
    <n v="2500000"/>
    <n v="2500000"/>
    <x v="0"/>
    <x v="0"/>
    <s v="BR3-5, BR-7"/>
    <s v="62-304.520 (10), F.A.C."/>
    <n v="0.59"/>
    <n v="0.64"/>
    <s v="City of Cocoa Beach"/>
    <n v="9.8154479689869997E-2"/>
    <n v="3111.4830598017002"/>
    <n v="7.8093203482593303"/>
    <n v="1.1503529313157701"/>
    <n v="0.76651977551494999"/>
    <n v="0.11291229343302001"/>
    <n v="305.40600079869898"/>
    <n v="1210"/>
    <s v="Fixed Single Family Units"/>
    <n v="1210"/>
    <s v="City of Cocoa Beach           Brevard County"/>
    <s v="City of Cocoa Beach"/>
    <m/>
    <m/>
    <m/>
    <n v="0"/>
    <n v="1"/>
    <n v="0.76651977551494999"/>
    <n v="0.11291229343302001"/>
    <n v="785.79519988655397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81.009879830340196"/>
    <n v="397.21708652030298"/>
    <n v="0.63730348729999997"/>
  </r>
  <r>
    <n v="830000"/>
    <n v="2500000"/>
    <n v="2500000"/>
    <x v="0"/>
    <x v="0"/>
    <s v="BR3-5, BR-7"/>
    <s v="62-304.520 (10), F.A.C."/>
    <n v="0.59"/>
    <n v="0.64"/>
    <s v="City of Cocoa Beach"/>
    <n v="4.1091162683969999E-2"/>
    <n v="3111.4830598017002"/>
    <n v="7.8093203482593303"/>
    <n v="1.1503529313157701"/>
    <n v="0.32089405288155998"/>
    <n v="4.7269339444670003E-2"/>
    <n v="127.85445659873101"/>
    <n v="1210"/>
    <s v="Fixed Single Family Units"/>
    <n v="1210"/>
    <s v="City of Cocoa Beach           Brevard County"/>
    <s v="City of Cocoa Beach"/>
    <m/>
    <m/>
    <m/>
    <n v="0"/>
    <n v="1"/>
    <n v="0.32089405288155998"/>
    <n v="4.7269339444670003E-2"/>
    <n v="419.4783675709049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59.338287459868504"/>
    <n v="166.290035611511"/>
    <n v="0.34020954390000002"/>
  </r>
  <r>
    <n v="830000"/>
    <n v="2500000"/>
    <n v="2500000"/>
    <x v="0"/>
    <x v="0"/>
    <s v="BR3-5, BR-7"/>
    <s v="62-304.520 (10), F.A.C."/>
    <n v="0.59"/>
    <n v="0.64"/>
    <s v="City of Cocoa Beach"/>
    <n v="0.16651600118368001"/>
    <n v="3714.0129861585701"/>
    <n v="9.2556894216398007"/>
    <n v="1.3611872092820001"/>
    <n v="1.5412203906895601"/>
    <n v="0.22665945095201001"/>
    <n v="618.44259079939195"/>
    <n v="1200"/>
    <s v="Residential, Medium Density-Two-five dwellingunits per acre"/>
    <n v="1200"/>
    <s v="City of Cocoa Beach           Brevard County"/>
    <s v="City of Cocoa Beach"/>
    <m/>
    <m/>
    <m/>
    <n v="0"/>
    <n v="1"/>
    <n v="1.5412203906895601"/>
    <n v="0.22665945095201001"/>
    <n v="921.23995652860594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146.899754045186"/>
    <n v="673.86634882254998"/>
    <n v="0.74715324940000005"/>
  </r>
  <r>
    <n v="830000"/>
    <n v="2500000"/>
    <n v="2500000"/>
    <x v="0"/>
    <x v="0"/>
    <s v="BR3-5, BR-7"/>
    <s v="62-304.520 (10), F.A.C."/>
    <n v="0.59"/>
    <n v="0.64"/>
    <s v="City of Cocoa Beach"/>
    <n v="9.3674716256079996E-2"/>
    <n v="3714.0129861585701"/>
    <n v="9.2556894216398007"/>
    <n v="1.3611872092820001"/>
    <n v="0.86702408032657996"/>
    <n v="0.12750882560089999"/>
    <n v="347.90911264982998"/>
    <n v="1210"/>
    <s v="Fixed Single Family Units"/>
    <n v="1210"/>
    <s v="City of Cocoa Beach           Brevard County"/>
    <s v="City of Cocoa Beach"/>
    <m/>
    <m/>
    <m/>
    <n v="0"/>
    <n v="1"/>
    <n v="0.86702408032657996"/>
    <n v="0.12750882560089999"/>
    <n v="387.46855270005898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80.067160094428402"/>
    <n v="379.08812709744501"/>
    <n v="0.31424862339999998"/>
  </r>
  <r>
    <n v="830000"/>
    <n v="2500000"/>
    <n v="2500000"/>
    <x v="0"/>
    <x v="0"/>
    <s v="BR3-5, BR-7"/>
    <s v="62-304.520 (10), F.A.C."/>
    <n v="0.59"/>
    <n v="0.64"/>
    <s v="City of Cocoa Beach"/>
    <n v="6.2085289059549999E-2"/>
    <n v="3714.0129861585701"/>
    <n v="9.2556894216398007"/>
    <n v="1.3611872092820001"/>
    <n v="0.57464215318797995"/>
    <n v="8.450970135244E-2"/>
    <n v="230.58556981660001"/>
    <n v="1210"/>
    <s v="Fixed Single Family Units"/>
    <n v="1210"/>
    <s v="City of Cocoa Beach           Brevard County"/>
    <s v="City of Cocoa Beach"/>
    <m/>
    <m/>
    <m/>
    <n v="0"/>
    <n v="1"/>
    <n v="0.57464215318797995"/>
    <n v="8.450970135244E-2"/>
    <n v="255.30029191063301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69.0599765124106"/>
    <n v="251.250250767225"/>
    <n v="0.20705619780000001"/>
  </r>
  <r>
    <n v="830000"/>
    <n v="2500000"/>
    <n v="2500000"/>
    <x v="0"/>
    <x v="0"/>
    <s v="BR3-5, BR-7"/>
    <s v="62-304.520 (10), F.A.C."/>
    <n v="0.59"/>
    <n v="0.64"/>
    <s v="City of Cocoa Beach"/>
    <n v="6.1022599472299998E-3"/>
    <n v="3714.0129861585701"/>
    <n v="9.2556894216398007"/>
    <n v="1.3611872092820001"/>
    <n v="5.6480622841729999E-2"/>
    <n v="8.3063181878900005E-3"/>
    <n v="22.6638726889535"/>
    <n v="1210"/>
    <s v="Fixed Single Family Units"/>
    <n v="1210"/>
    <s v="City of Cocoa Beach           Brevard County"/>
    <s v="City of Cocoa Beach"/>
    <m/>
    <m/>
    <m/>
    <n v="0"/>
    <n v="1"/>
    <n v="5.6480622841729999E-2"/>
    <n v="8.3063181878900005E-3"/>
    <n v="22.6638726889549"/>
    <m/>
    <n v="-1"/>
    <n v="-1"/>
    <n v="-1"/>
    <n v="-1"/>
    <n v="0"/>
    <m/>
    <m/>
    <s v="Banana River B"/>
    <n v="-1"/>
    <m/>
    <m/>
    <n v="364"/>
    <x v="35"/>
    <s v="12 Bougainvillea Dr Exfiltration"/>
    <x v="0"/>
    <n v="1.7493050000000001"/>
    <n v="24.193873034697798"/>
    <n v="24.694969858631701"/>
    <n v="1.8381080899999999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1:F76" firstHeaderRow="0" firstDataRow="1" firstDataCol="1"/>
  <pivotFields count="50">
    <pivotField numFmtId="11" showAll="0"/>
    <pivotField numFmtId="11" showAll="0"/>
    <pivotField numFmtId="11" showAll="0"/>
    <pivotField axis="axisRow"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dataField="1" showAll="0"/>
  </pivotFields>
  <rowFields count="4">
    <field x="45"/>
    <field x="3"/>
    <field x="43"/>
    <field x="4"/>
  </rowFields>
  <rowItems count="75">
    <i>
      <x/>
    </i>
    <i r="1">
      <x/>
    </i>
    <i r="2">
      <x/>
    </i>
    <i r="3">
      <x/>
    </i>
    <i r="2">
      <x v="1"/>
    </i>
    <i r="3">
      <x/>
    </i>
    <i r="2">
      <x v="2"/>
    </i>
    <i r="3">
      <x/>
    </i>
    <i r="2">
      <x v="3"/>
    </i>
    <i r="3">
      <x/>
    </i>
    <i r="2">
      <x v="4"/>
    </i>
    <i r="3">
      <x/>
    </i>
    <i r="2">
      <x v="5"/>
    </i>
    <i r="3">
      <x/>
    </i>
    <i r="2">
      <x v="6"/>
    </i>
    <i r="3">
      <x/>
    </i>
    <i r="2">
      <x v="7"/>
    </i>
    <i r="3">
      <x/>
    </i>
    <i r="2">
      <x v="8"/>
    </i>
    <i r="3">
      <x/>
    </i>
    <i r="2">
      <x v="9"/>
    </i>
    <i r="3">
      <x/>
    </i>
    <i r="2">
      <x v="10"/>
    </i>
    <i r="3">
      <x/>
    </i>
    <i r="2">
      <x v="11"/>
    </i>
    <i r="3">
      <x/>
    </i>
    <i r="2">
      <x v="12"/>
    </i>
    <i r="3">
      <x/>
    </i>
    <i r="2">
      <x v="13"/>
    </i>
    <i r="3">
      <x/>
    </i>
    <i r="2">
      <x v="14"/>
    </i>
    <i r="3">
      <x/>
    </i>
    <i r="2">
      <x v="15"/>
    </i>
    <i r="3">
      <x/>
    </i>
    <i r="2">
      <x v="16"/>
    </i>
    <i r="3">
      <x/>
    </i>
    <i r="2">
      <x v="17"/>
    </i>
    <i r="3">
      <x/>
    </i>
    <i r="2">
      <x v="18"/>
    </i>
    <i r="3">
      <x/>
    </i>
    <i r="2">
      <x v="19"/>
    </i>
    <i r="3">
      <x/>
    </i>
    <i r="2">
      <x v="20"/>
    </i>
    <i r="3">
      <x/>
    </i>
    <i r="2">
      <x v="21"/>
    </i>
    <i r="3">
      <x/>
    </i>
    <i r="2">
      <x v="22"/>
    </i>
    <i r="3">
      <x/>
    </i>
    <i r="2">
      <x v="23"/>
    </i>
    <i r="3">
      <x/>
    </i>
    <i r="2">
      <x v="24"/>
    </i>
    <i r="3">
      <x/>
    </i>
    <i r="2">
      <x v="25"/>
    </i>
    <i r="3">
      <x/>
    </i>
    <i r="2">
      <x v="26"/>
    </i>
    <i r="3">
      <x/>
    </i>
    <i r="2">
      <x v="27"/>
    </i>
    <i r="3">
      <x/>
    </i>
    <i r="2">
      <x v="28"/>
    </i>
    <i r="3">
      <x/>
    </i>
    <i r="2">
      <x v="29"/>
    </i>
    <i r="3">
      <x/>
    </i>
    <i r="2">
      <x v="30"/>
    </i>
    <i r="3">
      <x/>
    </i>
    <i r="2">
      <x v="31"/>
    </i>
    <i r="3">
      <x/>
    </i>
    <i r="2">
      <x v="32"/>
    </i>
    <i r="3">
      <x/>
    </i>
    <i r="2">
      <x v="33"/>
    </i>
    <i r="3">
      <x/>
    </i>
    <i r="2">
      <x v="34"/>
    </i>
    <i r="3">
      <x/>
    </i>
    <i r="2">
      <x v="35"/>
    </i>
    <i r="3">
      <x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TN_C1" fld="27" baseField="0" baseItem="0"/>
    <dataField name="Sum of TP_C1" fld="28" baseField="0" baseItem="0"/>
    <dataField name="Sum of Vol_C1" fld="29" baseField="0" baseItem="0"/>
    <dataField name="Sum of vol_c1_ACFT" fld="49" baseField="0" baseItem="0"/>
    <dataField name="Sum of Acres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21T02:54:12.75" personId="{7DCBAE47-86C4-4F96-873F-06D62C3BE409}" id="{93FC0457-7143-429D-9034-F7E100FFA492}">
    <text>All efficiencies were zeroed if the inches of retention fell below the minimum allowed by the formula.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4F432471-C715-4A3E-8FBF-95BE17112DC0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9DF5FF5E-AF1D-414B-8E7A-EC7E12D2B897}">
    <text>From SRJWMD 2012 Water Supply Impact Study</text>
  </threadedComment>
  <threadedComment ref="M5" dT="2019-06-10T15:30:10.02" personId="{6B54A8B9-46D5-4347-9433-314EAB1FEC81}" id="{55EACB19-7D32-49B7-862D-1911929E0670}">
    <text>Pag 182 stormwater quality handbook</text>
  </threadedComment>
  <threadedComment ref="D32" dT="2020-10-14T14:29:32.36" personId="{7DCBAE47-86C4-4F96-873F-06D62C3BE409}" id="{3598EB10-C2C6-49EB-B6DE-FBE513051A89}">
    <text>Sum of acres to use in weighted average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" dT="2020-10-14T15:19:17.54" personId="{7DCBAE47-86C4-4F96-873F-06D62C3BE409}" id="{A5D5B99C-9A9F-4BEE-9AEF-B5259B2431A9}">
    <text>Must pull the Efficiencies Table from the Stormwater Handbook for the appropriate Zone and cross reference Percent DCIA with NDCIA Curve Number for efficiency.</text>
  </threadedComment>
  <threadedComment ref="F5" dT="2019-07-19T20:52:14.75" personId="{6B54A8B9-46D5-4347-9433-314EAB1FEC81}" id="{8230E62F-3810-49A4-93F4-545C3BFD0732}">
    <text>From SRJWMD 2012 Water Supply Impact Study</text>
  </threadedComment>
  <threadedComment ref="M5" dT="2019-06-10T15:30:10.02" personId="{6B54A8B9-46D5-4347-9433-314EAB1FEC81}" id="{ACA942F0-7B3E-4506-89B9-A83BB1D18707}">
    <text>Pag 182 stormwater quality handbook</text>
  </threadedComment>
  <threadedComment ref="D32" dT="2020-10-14T14:29:32.36" personId="{7DCBAE47-86C4-4F96-873F-06D62C3BE409}" id="{64022B01-9886-4B24-B697-559FFAD479E9}">
    <text>Sum of acres to use in weighted average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"/>
  <sheetViews>
    <sheetView workbookViewId="0">
      <selection activeCell="B19" sqref="B19"/>
    </sheetView>
  </sheetViews>
  <sheetFormatPr defaultColWidth="8.85546875" defaultRowHeight="15" x14ac:dyDescent="0.25"/>
  <cols>
    <col min="1" max="1" width="16.140625" style="9" customWidth="1"/>
    <col min="2" max="2" width="20" style="9" customWidth="1"/>
    <col min="3" max="16384" width="8.85546875" style="9"/>
  </cols>
  <sheetData>
    <row r="1" spans="1:7" x14ac:dyDescent="0.25">
      <c r="A1" s="53" t="s">
        <v>55</v>
      </c>
    </row>
    <row r="2" spans="1:7" x14ac:dyDescent="0.25">
      <c r="A2" s="9" t="s">
        <v>54</v>
      </c>
    </row>
    <row r="3" spans="1:7" x14ac:dyDescent="0.25">
      <c r="A3"/>
    </row>
    <row r="5" spans="1:7" x14ac:dyDescent="0.25">
      <c r="B5" s="127" t="s">
        <v>66</v>
      </c>
      <c r="C5" s="128"/>
      <c r="D5" s="128"/>
      <c r="E5" s="128"/>
      <c r="F5" s="128"/>
      <c r="G5" s="129"/>
    </row>
    <row r="6" spans="1:7" x14ac:dyDescent="0.25">
      <c r="B6" s="24"/>
      <c r="C6" s="25" t="s">
        <v>40</v>
      </c>
      <c r="D6" s="25"/>
      <c r="E6" s="25"/>
      <c r="F6" s="25"/>
      <c r="G6" s="26"/>
    </row>
    <row r="7" spans="1:7" x14ac:dyDescent="0.25">
      <c r="B7" s="27"/>
      <c r="C7" s="25" t="s">
        <v>47</v>
      </c>
      <c r="D7" s="25"/>
      <c r="E7" s="25"/>
      <c r="F7" s="25"/>
      <c r="G7" s="26"/>
    </row>
    <row r="8" spans="1:7" x14ac:dyDescent="0.25">
      <c r="B8" s="28"/>
      <c r="C8" s="25" t="s">
        <v>41</v>
      </c>
      <c r="D8" s="25"/>
      <c r="E8" s="25"/>
      <c r="F8" s="25"/>
      <c r="G8" s="26"/>
    </row>
    <row r="9" spans="1:7" x14ac:dyDescent="0.25">
      <c r="B9" s="50"/>
      <c r="C9" s="49" t="s">
        <v>46</v>
      </c>
      <c r="D9" s="29"/>
      <c r="E9" s="29"/>
      <c r="F9" s="29"/>
      <c r="G9" s="30"/>
    </row>
    <row r="12" spans="1:7" x14ac:dyDescent="0.25">
      <c r="A12" s="9" t="s">
        <v>42</v>
      </c>
    </row>
    <row r="15" spans="1:7" x14ac:dyDescent="0.25">
      <c r="A15" s="9" t="s">
        <v>14</v>
      </c>
    </row>
    <row r="16" spans="1:7" x14ac:dyDescent="0.25">
      <c r="A16" s="48"/>
      <c r="B16" s="9" t="s">
        <v>44</v>
      </c>
    </row>
    <row r="18" spans="1:2" x14ac:dyDescent="0.25">
      <c r="A18" s="23" t="s">
        <v>65</v>
      </c>
      <c r="B18" s="23" t="s">
        <v>76</v>
      </c>
    </row>
    <row r="19" spans="1:2" ht="31.5" x14ac:dyDescent="0.25">
      <c r="A19" s="9" t="s">
        <v>13</v>
      </c>
      <c r="B19" s="54" t="s">
        <v>77</v>
      </c>
    </row>
    <row r="20" spans="1:2" ht="15.75" x14ac:dyDescent="0.25">
      <c r="A20" s="9" t="s">
        <v>70</v>
      </c>
      <c r="B20" s="54" t="s">
        <v>78</v>
      </c>
    </row>
    <row r="21" spans="1:2" ht="31.5" x14ac:dyDescent="0.25">
      <c r="A21" s="9" t="s">
        <v>71</v>
      </c>
      <c r="B21" s="54" t="s">
        <v>79</v>
      </c>
    </row>
    <row r="22" spans="1:2" ht="31.5" x14ac:dyDescent="0.25">
      <c r="A22" s="9" t="s">
        <v>68</v>
      </c>
      <c r="B22" s="54" t="s">
        <v>80</v>
      </c>
    </row>
    <row r="23" spans="1:2" ht="31.5" x14ac:dyDescent="0.25">
      <c r="A23" s="9" t="s">
        <v>72</v>
      </c>
      <c r="B23" s="54" t="s">
        <v>81</v>
      </c>
    </row>
    <row r="24" spans="1:2" ht="47.25" x14ac:dyDescent="0.25">
      <c r="A24" s="9" t="s">
        <v>67</v>
      </c>
      <c r="B24" s="54" t="s">
        <v>82</v>
      </c>
    </row>
    <row r="25" spans="1:2" ht="47.25" x14ac:dyDescent="0.25">
      <c r="A25" s="9" t="s">
        <v>73</v>
      </c>
      <c r="B25" s="54" t="s">
        <v>83</v>
      </c>
    </row>
    <row r="26" spans="1:2" ht="15.75" x14ac:dyDescent="0.25">
      <c r="A26" s="9" t="s">
        <v>69</v>
      </c>
      <c r="B26" s="54" t="s">
        <v>84</v>
      </c>
    </row>
    <row r="27" spans="1:2" ht="15.75" x14ac:dyDescent="0.25">
      <c r="A27" s="9" t="s">
        <v>59</v>
      </c>
      <c r="B27" s="54" t="s">
        <v>85</v>
      </c>
    </row>
    <row r="28" spans="1:2" ht="31.5" x14ac:dyDescent="0.25">
      <c r="A28" s="9" t="s">
        <v>12</v>
      </c>
      <c r="B28" s="54" t="s">
        <v>86</v>
      </c>
    </row>
    <row r="29" spans="1:2" ht="31.5" x14ac:dyDescent="0.25">
      <c r="A29" s="9" t="s">
        <v>74</v>
      </c>
      <c r="B29" s="54" t="s">
        <v>87</v>
      </c>
    </row>
    <row r="30" spans="1:2" ht="47.25" x14ac:dyDescent="0.25">
      <c r="A30" s="9" t="s">
        <v>45</v>
      </c>
      <c r="B30" s="54" t="s">
        <v>88</v>
      </c>
    </row>
    <row r="31" spans="1:2" ht="31.5" x14ac:dyDescent="0.25">
      <c r="A31" s="9" t="s">
        <v>75</v>
      </c>
      <c r="B31" s="54" t="s">
        <v>89</v>
      </c>
    </row>
    <row r="32" spans="1:2" ht="15.75" x14ac:dyDescent="0.25">
      <c r="A32" s="9" t="s">
        <v>61</v>
      </c>
      <c r="B32" s="54" t="s">
        <v>90</v>
      </c>
    </row>
    <row r="33" spans="2:2" ht="31.5" x14ac:dyDescent="0.25">
      <c r="B33" s="54" t="s">
        <v>91</v>
      </c>
    </row>
    <row r="34" spans="2:2" ht="31.5" x14ac:dyDescent="0.25">
      <c r="B34" s="54" t="s">
        <v>92</v>
      </c>
    </row>
    <row r="35" spans="2:2" ht="15.75" x14ac:dyDescent="0.25">
      <c r="B35" s="54" t="s">
        <v>93</v>
      </c>
    </row>
    <row r="36" spans="2:2" ht="15.75" x14ac:dyDescent="0.25">
      <c r="B36" s="54" t="s">
        <v>94</v>
      </c>
    </row>
    <row r="37" spans="2:2" ht="31.5" x14ac:dyDescent="0.25">
      <c r="B37" s="54" t="s">
        <v>95</v>
      </c>
    </row>
    <row r="38" spans="2:2" ht="15.75" x14ac:dyDescent="0.25">
      <c r="B38" s="54" t="s">
        <v>96</v>
      </c>
    </row>
    <row r="39" spans="2:2" ht="47.25" x14ac:dyDescent="0.25">
      <c r="B39" s="54" t="s">
        <v>97</v>
      </c>
    </row>
    <row r="40" spans="2:2" ht="15.75" x14ac:dyDescent="0.25">
      <c r="B40" s="54" t="s">
        <v>98</v>
      </c>
    </row>
    <row r="41" spans="2:2" ht="15.75" x14ac:dyDescent="0.25">
      <c r="B41" s="54" t="s">
        <v>99</v>
      </c>
    </row>
    <row r="42" spans="2:2" ht="31.5" x14ac:dyDescent="0.25">
      <c r="B42" s="54" t="s">
        <v>100</v>
      </c>
    </row>
    <row r="43" spans="2:2" ht="15.75" x14ac:dyDescent="0.25">
      <c r="B43" s="54" t="s">
        <v>101</v>
      </c>
    </row>
    <row r="44" spans="2:2" ht="31.5" x14ac:dyDescent="0.25">
      <c r="B44" s="54" t="s">
        <v>102</v>
      </c>
    </row>
    <row r="45" spans="2:2" ht="15.75" x14ac:dyDescent="0.25">
      <c r="B45" s="54" t="s">
        <v>103</v>
      </c>
    </row>
    <row r="46" spans="2:2" ht="15.75" x14ac:dyDescent="0.25">
      <c r="B46" s="54" t="s">
        <v>104</v>
      </c>
    </row>
    <row r="47" spans="2:2" ht="15.75" x14ac:dyDescent="0.25">
      <c r="B47" s="54" t="s">
        <v>105</v>
      </c>
    </row>
    <row r="48" spans="2:2" ht="63" x14ac:dyDescent="0.25">
      <c r="B48" s="54" t="s">
        <v>106</v>
      </c>
    </row>
    <row r="49" spans="2:2" ht="31.5" x14ac:dyDescent="0.25">
      <c r="B49" s="54" t="s">
        <v>107</v>
      </c>
    </row>
    <row r="50" spans="2:2" ht="47.25" x14ac:dyDescent="0.25">
      <c r="B50" s="54" t="s">
        <v>108</v>
      </c>
    </row>
    <row r="51" spans="2:2" ht="47.25" x14ac:dyDescent="0.25">
      <c r="B51" s="54" t="s">
        <v>109</v>
      </c>
    </row>
    <row r="52" spans="2:2" ht="47.25" x14ac:dyDescent="0.25">
      <c r="B52" s="54" t="s">
        <v>110</v>
      </c>
    </row>
    <row r="53" spans="2:2" ht="31.5" x14ac:dyDescent="0.25">
      <c r="B53" s="54" t="s">
        <v>111</v>
      </c>
    </row>
    <row r="54" spans="2:2" ht="31.5" x14ac:dyDescent="0.25">
      <c r="B54" s="54" t="s">
        <v>112</v>
      </c>
    </row>
    <row r="55" spans="2:2" ht="15.75" x14ac:dyDescent="0.25">
      <c r="B55" s="54" t="s">
        <v>113</v>
      </c>
    </row>
    <row r="56" spans="2:2" ht="47.25" x14ac:dyDescent="0.25">
      <c r="B56" s="54" t="s">
        <v>114</v>
      </c>
    </row>
    <row r="57" spans="2:2" ht="63" x14ac:dyDescent="0.25">
      <c r="B57" s="54" t="s">
        <v>115</v>
      </c>
    </row>
    <row r="58" spans="2:2" ht="31.5" x14ac:dyDescent="0.25">
      <c r="B58" s="54" t="s">
        <v>116</v>
      </c>
    </row>
    <row r="59" spans="2:2" ht="15.75" x14ac:dyDescent="0.25">
      <c r="B59" s="54" t="s">
        <v>117</v>
      </c>
    </row>
    <row r="60" spans="2:2" ht="15.75" x14ac:dyDescent="0.25">
      <c r="B60" s="54" t="s">
        <v>118</v>
      </c>
    </row>
    <row r="61" spans="2:2" ht="15.75" x14ac:dyDescent="0.25">
      <c r="B61" s="54" t="s">
        <v>119</v>
      </c>
    </row>
    <row r="62" spans="2:2" ht="15.75" x14ac:dyDescent="0.25">
      <c r="B62" s="54" t="s">
        <v>120</v>
      </c>
    </row>
    <row r="63" spans="2:2" ht="15.75" x14ac:dyDescent="0.25">
      <c r="B63" s="54" t="s">
        <v>121</v>
      </c>
    </row>
    <row r="64" spans="2:2" ht="15.75" x14ac:dyDescent="0.25">
      <c r="B64" s="54" t="s">
        <v>122</v>
      </c>
    </row>
    <row r="65" spans="2:2" ht="31.5" x14ac:dyDescent="0.25">
      <c r="B65" s="54" t="s">
        <v>123</v>
      </c>
    </row>
    <row r="66" spans="2:2" ht="31.5" x14ac:dyDescent="0.25">
      <c r="B66" s="54" t="s">
        <v>124</v>
      </c>
    </row>
    <row r="67" spans="2:2" ht="31.5" x14ac:dyDescent="0.25">
      <c r="B67" s="54" t="s">
        <v>125</v>
      </c>
    </row>
    <row r="68" spans="2:2" ht="47.25" x14ac:dyDescent="0.25">
      <c r="B68" s="54" t="s">
        <v>126</v>
      </c>
    </row>
    <row r="69" spans="2:2" ht="31.5" x14ac:dyDescent="0.25">
      <c r="B69" s="54" t="s">
        <v>127</v>
      </c>
    </row>
    <row r="70" spans="2:2" ht="31.5" x14ac:dyDescent="0.25">
      <c r="B70" s="54" t="s">
        <v>128</v>
      </c>
    </row>
    <row r="71" spans="2:2" ht="31.5" x14ac:dyDescent="0.25">
      <c r="B71" s="54" t="s">
        <v>129</v>
      </c>
    </row>
    <row r="72" spans="2:2" ht="31.5" x14ac:dyDescent="0.25">
      <c r="B72" s="54" t="s">
        <v>130</v>
      </c>
    </row>
    <row r="73" spans="2:2" ht="78.75" x14ac:dyDescent="0.25">
      <c r="B73" s="54" t="s">
        <v>131</v>
      </c>
    </row>
    <row r="74" spans="2:2" ht="15.75" x14ac:dyDescent="0.25">
      <c r="B74" s="54" t="s">
        <v>132</v>
      </c>
    </row>
    <row r="75" spans="2:2" ht="31.5" x14ac:dyDescent="0.25">
      <c r="B75" s="54" t="s">
        <v>133</v>
      </c>
    </row>
    <row r="76" spans="2:2" ht="31.5" x14ac:dyDescent="0.25">
      <c r="B76" s="54" t="s">
        <v>134</v>
      </c>
    </row>
    <row r="77" spans="2:2" ht="31.5" x14ac:dyDescent="0.25">
      <c r="B77" s="54" t="s">
        <v>135</v>
      </c>
    </row>
    <row r="78" spans="2:2" ht="47.25" x14ac:dyDescent="0.25">
      <c r="B78" s="54" t="s">
        <v>136</v>
      </c>
    </row>
    <row r="79" spans="2:2" ht="63" x14ac:dyDescent="0.25">
      <c r="B79" s="54" t="s">
        <v>137</v>
      </c>
    </row>
    <row r="80" spans="2:2" ht="47.25" x14ac:dyDescent="0.25">
      <c r="B80" s="54" t="s">
        <v>138</v>
      </c>
    </row>
    <row r="81" spans="2:2" ht="47.25" x14ac:dyDescent="0.25">
      <c r="B81" s="54" t="s">
        <v>139</v>
      </c>
    </row>
    <row r="82" spans="2:2" ht="78.75" x14ac:dyDescent="0.25">
      <c r="B82" s="54" t="s">
        <v>140</v>
      </c>
    </row>
    <row r="83" spans="2:2" ht="31.5" x14ac:dyDescent="0.25">
      <c r="B83" s="54" t="s">
        <v>141</v>
      </c>
    </row>
    <row r="84" spans="2:2" ht="15.75" x14ac:dyDescent="0.25">
      <c r="B84" s="54" t="s">
        <v>142</v>
      </c>
    </row>
    <row r="85" spans="2:2" ht="31.5" x14ac:dyDescent="0.25">
      <c r="B85" s="54" t="s">
        <v>143</v>
      </c>
    </row>
    <row r="86" spans="2:2" ht="31.5" x14ac:dyDescent="0.25">
      <c r="B86" s="54" t="s">
        <v>144</v>
      </c>
    </row>
    <row r="87" spans="2:2" ht="47.25" x14ac:dyDescent="0.25">
      <c r="B87" s="54" t="s">
        <v>145</v>
      </c>
    </row>
    <row r="88" spans="2:2" ht="31.5" x14ac:dyDescent="0.25">
      <c r="B88" s="54" t="s">
        <v>146</v>
      </c>
    </row>
    <row r="89" spans="2:2" ht="31.5" x14ac:dyDescent="0.25">
      <c r="B89" s="54" t="s">
        <v>147</v>
      </c>
    </row>
    <row r="90" spans="2:2" ht="15.75" x14ac:dyDescent="0.25">
      <c r="B90" s="54" t="s">
        <v>148</v>
      </c>
    </row>
    <row r="91" spans="2:2" ht="31.5" x14ac:dyDescent="0.25">
      <c r="B91" s="54" t="s">
        <v>149</v>
      </c>
    </row>
    <row r="92" spans="2:2" ht="31.5" x14ac:dyDescent="0.25">
      <c r="B92" s="54" t="s">
        <v>150</v>
      </c>
    </row>
    <row r="93" spans="2:2" ht="47.25" x14ac:dyDescent="0.25">
      <c r="B93" s="54" t="s">
        <v>151</v>
      </c>
    </row>
    <row r="94" spans="2:2" ht="15.75" x14ac:dyDescent="0.25">
      <c r="B94" s="54" t="s">
        <v>3</v>
      </c>
    </row>
    <row r="95" spans="2:2" ht="15.75" x14ac:dyDescent="0.25">
      <c r="B95" s="54" t="s">
        <v>152</v>
      </c>
    </row>
    <row r="96" spans="2:2" ht="47.25" x14ac:dyDescent="0.25">
      <c r="B96" s="54" t="s">
        <v>153</v>
      </c>
    </row>
    <row r="97" spans="2:2" ht="15.75" x14ac:dyDescent="0.25">
      <c r="B97" s="54" t="s">
        <v>154</v>
      </c>
    </row>
    <row r="98" spans="2:2" ht="31.5" x14ac:dyDescent="0.25">
      <c r="B98" s="54" t="s">
        <v>155</v>
      </c>
    </row>
    <row r="99" spans="2:2" ht="31.5" x14ac:dyDescent="0.25">
      <c r="B99" s="54" t="s">
        <v>156</v>
      </c>
    </row>
    <row r="100" spans="2:2" ht="15.75" x14ac:dyDescent="0.25">
      <c r="B100" s="54" t="s">
        <v>157</v>
      </c>
    </row>
    <row r="101" spans="2:2" ht="15.75" x14ac:dyDescent="0.25">
      <c r="B101" s="54" t="s">
        <v>158</v>
      </c>
    </row>
    <row r="102" spans="2:2" ht="15.75" x14ac:dyDescent="0.25">
      <c r="B102" s="54" t="s">
        <v>159</v>
      </c>
    </row>
    <row r="103" spans="2:2" ht="31.5" x14ac:dyDescent="0.25">
      <c r="B103" s="54" t="s">
        <v>160</v>
      </c>
    </row>
    <row r="104" spans="2:2" ht="31.5" x14ac:dyDescent="0.25">
      <c r="B104" s="54" t="s">
        <v>161</v>
      </c>
    </row>
    <row r="105" spans="2:2" ht="15.75" x14ac:dyDescent="0.25">
      <c r="B105" s="54" t="s">
        <v>162</v>
      </c>
    </row>
  </sheetData>
  <mergeCells count="1">
    <mergeCell ref="B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7"/>
  <sheetViews>
    <sheetView workbookViewId="0">
      <selection activeCell="C9" sqref="C9"/>
    </sheetView>
  </sheetViews>
  <sheetFormatPr defaultRowHeight="15" x14ac:dyDescent="0.25"/>
  <cols>
    <col min="1" max="1" width="17.42578125" bestFit="1" customWidth="1"/>
    <col min="2" max="2" width="15.140625" style="4" bestFit="1" customWidth="1"/>
    <col min="3" max="3" width="13.42578125" customWidth="1"/>
    <col min="4" max="4" width="17" customWidth="1"/>
    <col min="5" max="5" width="13.7109375" customWidth="1"/>
    <col min="6" max="6" width="13.42578125" bestFit="1" customWidth="1"/>
    <col min="7" max="7" width="12.5703125" bestFit="1" customWidth="1"/>
    <col min="8" max="8" width="10.7109375" style="4" bestFit="1" customWidth="1"/>
    <col min="9" max="9" width="30.42578125" customWidth="1"/>
  </cols>
  <sheetData>
    <row r="1" spans="1:9" s="9" customFormat="1" ht="45" x14ac:dyDescent="0.25">
      <c r="A1" s="16" t="s">
        <v>18</v>
      </c>
      <c r="B1" s="17" t="s">
        <v>19</v>
      </c>
      <c r="C1" s="16" t="s">
        <v>34</v>
      </c>
      <c r="D1" s="16" t="s">
        <v>35</v>
      </c>
      <c r="E1" s="16" t="s">
        <v>36</v>
      </c>
      <c r="F1" s="17" t="s">
        <v>26</v>
      </c>
      <c r="G1" s="17" t="s">
        <v>25</v>
      </c>
      <c r="H1" s="16" t="s">
        <v>33</v>
      </c>
      <c r="I1" s="17" t="s">
        <v>30</v>
      </c>
    </row>
    <row r="2" spans="1:9" s="9" customFormat="1" x14ac:dyDescent="0.25">
      <c r="A2" s="11"/>
      <c r="B2" s="13"/>
      <c r="C2" s="20"/>
      <c r="D2" s="20"/>
      <c r="E2" s="51" t="e">
        <f>#REF!</f>
        <v>#REF!</v>
      </c>
      <c r="F2" s="21" t="e">
        <f t="shared" ref="F2:G10" si="0">$D2/$E2</f>
        <v>#REF!</v>
      </c>
      <c r="G2" s="21" t="e">
        <f t="shared" si="0"/>
        <v>#REF!</v>
      </c>
      <c r="H2" s="20"/>
      <c r="I2" s="10"/>
    </row>
    <row r="3" spans="1:9" s="9" customFormat="1" x14ac:dyDescent="0.25">
      <c r="A3" s="11"/>
      <c r="B3" s="13"/>
      <c r="C3" s="20"/>
      <c r="D3" s="20"/>
      <c r="E3" s="51" t="e">
        <f>#REF!</f>
        <v>#REF!</v>
      </c>
      <c r="F3" s="21" t="e">
        <f t="shared" si="0"/>
        <v>#REF!</v>
      </c>
      <c r="G3" s="21" t="e">
        <f t="shared" si="0"/>
        <v>#REF!</v>
      </c>
      <c r="H3" s="20"/>
      <c r="I3" s="10"/>
    </row>
    <row r="4" spans="1:9" s="9" customFormat="1" x14ac:dyDescent="0.25">
      <c r="A4" s="11"/>
      <c r="B4" s="13"/>
      <c r="C4" s="20"/>
      <c r="D4" s="20"/>
      <c r="E4" s="51" t="e">
        <f>#REF!</f>
        <v>#REF!</v>
      </c>
      <c r="F4" s="21" t="e">
        <f t="shared" si="0"/>
        <v>#REF!</v>
      </c>
      <c r="G4" s="21" t="e">
        <f t="shared" si="0"/>
        <v>#REF!</v>
      </c>
      <c r="H4" s="20"/>
      <c r="I4" s="10"/>
    </row>
    <row r="5" spans="1:9" s="9" customFormat="1" x14ac:dyDescent="0.25">
      <c r="A5" s="11"/>
      <c r="B5" s="13"/>
      <c r="C5" s="20"/>
      <c r="D5" s="20"/>
      <c r="E5" s="51" t="e">
        <f>#REF!</f>
        <v>#REF!</v>
      </c>
      <c r="F5" s="21" t="e">
        <f t="shared" si="0"/>
        <v>#REF!</v>
      </c>
      <c r="G5" s="21" t="e">
        <f t="shared" si="0"/>
        <v>#REF!</v>
      </c>
      <c r="H5" s="20"/>
      <c r="I5" s="10"/>
    </row>
    <row r="6" spans="1:9" s="9" customFormat="1" x14ac:dyDescent="0.25">
      <c r="A6" s="11"/>
      <c r="B6" s="13"/>
      <c r="C6" s="20"/>
      <c r="D6" s="20"/>
      <c r="E6" s="51" t="e">
        <f>#REF!</f>
        <v>#REF!</v>
      </c>
      <c r="F6" s="21" t="e">
        <f t="shared" si="0"/>
        <v>#REF!</v>
      </c>
      <c r="G6" s="21" t="e">
        <f t="shared" si="0"/>
        <v>#REF!</v>
      </c>
      <c r="H6" s="20"/>
      <c r="I6" s="10"/>
    </row>
    <row r="7" spans="1:9" s="9" customFormat="1" x14ac:dyDescent="0.25">
      <c r="A7" s="11"/>
      <c r="B7" s="13"/>
      <c r="C7" s="20"/>
      <c r="D7" s="20"/>
      <c r="E7" s="51" t="e">
        <f>#REF!</f>
        <v>#REF!</v>
      </c>
      <c r="F7" s="21" t="e">
        <f t="shared" si="0"/>
        <v>#REF!</v>
      </c>
      <c r="G7" s="21" t="e">
        <f t="shared" si="0"/>
        <v>#REF!</v>
      </c>
      <c r="H7" s="20"/>
      <c r="I7" s="10"/>
    </row>
    <row r="8" spans="1:9" x14ac:dyDescent="0.25">
      <c r="A8" s="11"/>
      <c r="B8" s="13"/>
      <c r="C8" s="20"/>
      <c r="D8" s="20"/>
      <c r="E8" s="51" t="e">
        <f>#REF!</f>
        <v>#REF!</v>
      </c>
      <c r="F8" s="21" t="e">
        <f t="shared" si="0"/>
        <v>#REF!</v>
      </c>
      <c r="G8" s="21" t="e">
        <f t="shared" si="0"/>
        <v>#REF!</v>
      </c>
      <c r="H8" s="20"/>
      <c r="I8" s="10"/>
    </row>
    <row r="9" spans="1:9" x14ac:dyDescent="0.25">
      <c r="A9" s="11"/>
      <c r="B9" s="13"/>
      <c r="C9" s="20"/>
      <c r="D9" s="20"/>
      <c r="E9" s="51" t="e">
        <f>#REF!</f>
        <v>#REF!</v>
      </c>
      <c r="F9" s="21" t="e">
        <f t="shared" si="0"/>
        <v>#REF!</v>
      </c>
      <c r="G9" s="21" t="e">
        <f t="shared" si="0"/>
        <v>#REF!</v>
      </c>
      <c r="H9" s="20"/>
      <c r="I9" s="10"/>
    </row>
    <row r="10" spans="1:9" x14ac:dyDescent="0.25">
      <c r="A10" s="11"/>
      <c r="B10" s="13"/>
      <c r="C10" s="20"/>
      <c r="D10" s="20"/>
      <c r="E10" s="51" t="e">
        <f>#REF!</f>
        <v>#REF!</v>
      </c>
      <c r="F10" s="21" t="e">
        <f t="shared" si="0"/>
        <v>#REF!</v>
      </c>
      <c r="G10" s="21" t="e">
        <f t="shared" si="0"/>
        <v>#REF!</v>
      </c>
      <c r="H10" s="20"/>
      <c r="I10" s="10"/>
    </row>
    <row r="14" spans="1:9" x14ac:dyDescent="0.25">
      <c r="A14" s="3"/>
    </row>
    <row r="15" spans="1:9" x14ac:dyDescent="0.25">
      <c r="A15" s="3"/>
    </row>
    <row r="16" spans="1:9" x14ac:dyDescent="0.25">
      <c r="A16" s="3"/>
    </row>
    <row r="17" spans="1:8" x14ac:dyDescent="0.25">
      <c r="A17" s="3"/>
      <c r="H17" s="2"/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9"/>
  <sheetViews>
    <sheetView workbookViewId="0">
      <selection activeCell="F6" sqref="F6"/>
    </sheetView>
  </sheetViews>
  <sheetFormatPr defaultColWidth="17.42578125" defaultRowHeight="15" x14ac:dyDescent="0.25"/>
  <cols>
    <col min="1" max="1" width="17.42578125" style="9"/>
    <col min="2" max="2" width="9.85546875" style="1" bestFit="1" customWidth="1"/>
    <col min="3" max="3" width="19.42578125" style="9" customWidth="1"/>
    <col min="4" max="4" width="22.28515625" style="9" customWidth="1"/>
    <col min="5" max="8" width="17.42578125" style="9"/>
    <col min="9" max="9" width="23.28515625" style="9" customWidth="1"/>
    <col min="10" max="10" width="17.42578125" style="9"/>
    <col min="11" max="11" width="35.5703125" style="9" bestFit="1" customWidth="1"/>
    <col min="12" max="16384" width="17.42578125" style="9"/>
  </cols>
  <sheetData>
    <row r="1" spans="1:12" ht="30" x14ac:dyDescent="0.25">
      <c r="A1" s="22" t="s">
        <v>163</v>
      </c>
      <c r="B1" s="22" t="s">
        <v>18</v>
      </c>
      <c r="C1" s="22" t="s">
        <v>19</v>
      </c>
      <c r="D1" s="22" t="s">
        <v>37</v>
      </c>
      <c r="E1" s="22" t="s">
        <v>174</v>
      </c>
      <c r="F1" s="22" t="s">
        <v>175</v>
      </c>
      <c r="G1" s="22" t="s">
        <v>20</v>
      </c>
      <c r="H1" s="22" t="s">
        <v>38</v>
      </c>
      <c r="I1" s="22" t="s">
        <v>39</v>
      </c>
      <c r="K1" s="5"/>
    </row>
    <row r="2" spans="1:12" x14ac:dyDescent="0.25">
      <c r="A2" s="56"/>
      <c r="B2" s="55"/>
      <c r="C2" s="55"/>
      <c r="D2" s="55"/>
      <c r="E2" s="56"/>
      <c r="F2" s="56"/>
      <c r="G2" s="57"/>
      <c r="H2" s="57"/>
      <c r="I2" s="58"/>
      <c r="K2" s="6"/>
    </row>
    <row r="3" spans="1:12" x14ac:dyDescent="0.25">
      <c r="A3" s="56"/>
      <c r="B3" s="55"/>
      <c r="C3" s="55"/>
      <c r="D3" s="55"/>
      <c r="E3" s="56"/>
      <c r="F3" s="56"/>
      <c r="G3" s="57"/>
      <c r="H3" s="57"/>
      <c r="I3" s="58"/>
      <c r="K3" s="6"/>
    </row>
    <row r="4" spans="1:12" x14ac:dyDescent="0.25">
      <c r="A4" s="56"/>
      <c r="B4" s="56"/>
      <c r="C4" s="56"/>
      <c r="D4" s="56"/>
      <c r="E4" s="56"/>
      <c r="F4" s="56"/>
      <c r="G4" s="57"/>
      <c r="H4" s="57"/>
      <c r="I4" s="58"/>
      <c r="K4" s="6"/>
    </row>
    <row r="5" spans="1:12" x14ac:dyDescent="0.25">
      <c r="A5" s="56"/>
      <c r="B5" s="56"/>
      <c r="C5" s="56"/>
      <c r="D5" s="56"/>
      <c r="E5" s="56"/>
      <c r="F5" s="56"/>
      <c r="G5" s="57"/>
      <c r="H5" s="57"/>
      <c r="I5" s="58"/>
      <c r="K5" s="6"/>
    </row>
    <row r="6" spans="1:12" x14ac:dyDescent="0.25">
      <c r="A6" s="56"/>
      <c r="B6" s="56"/>
      <c r="C6" s="56"/>
      <c r="D6" s="56"/>
      <c r="E6" s="56"/>
      <c r="F6" s="56"/>
      <c r="G6" s="56"/>
      <c r="H6" s="56"/>
      <c r="I6" s="56"/>
      <c r="K6" s="6"/>
    </row>
    <row r="7" spans="1:12" x14ac:dyDescent="0.25">
      <c r="A7" s="56"/>
      <c r="B7" s="56"/>
      <c r="C7" s="56"/>
      <c r="D7" s="56"/>
      <c r="E7" s="56"/>
      <c r="F7" s="56"/>
      <c r="G7" s="56"/>
      <c r="H7" s="56"/>
      <c r="I7" s="56"/>
      <c r="L7" s="6"/>
    </row>
    <row r="8" spans="1:12" x14ac:dyDescent="0.25">
      <c r="A8" s="56"/>
      <c r="B8" s="56"/>
      <c r="C8" s="56"/>
      <c r="D8" s="56"/>
      <c r="E8" s="56"/>
      <c r="F8" s="56"/>
      <c r="G8" s="56"/>
      <c r="H8" s="56"/>
      <c r="I8" s="56"/>
      <c r="L8" s="6"/>
    </row>
    <row r="9" spans="1:12" x14ac:dyDescent="0.25">
      <c r="A9" s="56"/>
      <c r="B9" s="56"/>
      <c r="C9" s="56"/>
      <c r="D9" s="56"/>
      <c r="E9" s="56"/>
      <c r="F9" s="56"/>
      <c r="G9" s="56"/>
      <c r="H9" s="56"/>
      <c r="I9" s="56"/>
      <c r="L9" s="6"/>
    </row>
    <row r="10" spans="1:12" x14ac:dyDescent="0.25">
      <c r="A10" s="56"/>
      <c r="B10" s="55"/>
      <c r="C10" s="55"/>
      <c r="D10" s="55"/>
      <c r="E10" s="55"/>
      <c r="F10" s="56"/>
      <c r="G10" s="34"/>
      <c r="H10" s="34"/>
      <c r="I10" s="56"/>
      <c r="L10" s="6"/>
    </row>
    <row r="11" spans="1:12" x14ac:dyDescent="0.25">
      <c r="A11" s="56"/>
      <c r="B11" s="55"/>
      <c r="C11" s="55"/>
      <c r="D11" s="55"/>
      <c r="E11" s="55"/>
      <c r="F11" s="56"/>
      <c r="G11" s="34"/>
      <c r="H11" s="34"/>
      <c r="I11" s="56"/>
      <c r="L11" s="6"/>
    </row>
    <row r="12" spans="1:12" x14ac:dyDescent="0.25">
      <c r="A12" s="56"/>
      <c r="B12" s="55"/>
      <c r="C12" s="55"/>
      <c r="D12" s="55"/>
      <c r="E12" s="55"/>
      <c r="F12" s="56"/>
      <c r="G12" s="34"/>
      <c r="H12" s="34"/>
      <c r="I12" s="56"/>
      <c r="L12" s="6"/>
    </row>
    <row r="13" spans="1:12" x14ac:dyDescent="0.25">
      <c r="A13" s="56"/>
      <c r="B13" s="55"/>
      <c r="C13" s="55"/>
      <c r="D13" s="55"/>
      <c r="E13" s="55"/>
      <c r="F13" s="56"/>
      <c r="G13" s="34"/>
      <c r="H13" s="34"/>
      <c r="I13" s="56"/>
      <c r="L13" s="6"/>
    </row>
    <row r="14" spans="1:12" x14ac:dyDescent="0.25">
      <c r="A14" s="56"/>
      <c r="B14" s="55"/>
      <c r="C14" s="55"/>
      <c r="D14" s="55"/>
      <c r="E14" s="55"/>
      <c r="F14" s="56"/>
      <c r="G14" s="34"/>
      <c r="H14" s="34"/>
      <c r="I14" s="56"/>
      <c r="L14" s="6"/>
    </row>
    <row r="15" spans="1:12" x14ac:dyDescent="0.25">
      <c r="A15" s="56"/>
      <c r="B15" s="55"/>
      <c r="C15" s="55"/>
      <c r="D15" s="55"/>
      <c r="E15" s="55"/>
      <c r="F15" s="56"/>
      <c r="G15" s="34"/>
      <c r="H15" s="34"/>
      <c r="I15" s="56"/>
      <c r="L15" s="6"/>
    </row>
    <row r="16" spans="1:12" x14ac:dyDescent="0.25">
      <c r="A16" s="56"/>
      <c r="B16" s="55"/>
      <c r="C16" s="55"/>
      <c r="D16" s="55"/>
      <c r="E16" s="55"/>
      <c r="F16" s="56"/>
      <c r="G16" s="34"/>
      <c r="H16" s="34"/>
      <c r="I16" s="56"/>
      <c r="L16" s="6"/>
    </row>
    <row r="17" spans="11:12" x14ac:dyDescent="0.25">
      <c r="L17" s="6"/>
    </row>
    <row r="18" spans="11:12" x14ac:dyDescent="0.25">
      <c r="L18" s="6"/>
    </row>
    <row r="19" spans="11:12" x14ac:dyDescent="0.25">
      <c r="K19" s="7"/>
      <c r="L19" s="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4"/>
  <sheetViews>
    <sheetView workbookViewId="0">
      <selection activeCell="C11" sqref="C11:C14"/>
    </sheetView>
  </sheetViews>
  <sheetFormatPr defaultRowHeight="15" x14ac:dyDescent="0.25"/>
  <cols>
    <col min="1" max="1" width="80.28515625" style="9" bestFit="1" customWidth="1"/>
    <col min="2" max="2" width="9.140625" style="9"/>
    <col min="3" max="3" width="13.42578125" style="9" bestFit="1" customWidth="1"/>
    <col min="4" max="4" width="19.85546875" style="9" customWidth="1"/>
    <col min="5" max="16384" width="9.140625" style="9"/>
  </cols>
  <sheetData>
    <row r="1" spans="1:4" x14ac:dyDescent="0.25">
      <c r="A1" s="23" t="s">
        <v>197</v>
      </c>
    </row>
    <row r="3" spans="1:4" x14ac:dyDescent="0.25">
      <c r="A3" s="65" t="s">
        <v>198</v>
      </c>
    </row>
    <row r="5" spans="1:4" x14ac:dyDescent="0.25">
      <c r="A5" s="66" t="s">
        <v>199</v>
      </c>
      <c r="B5" s="80" t="s">
        <v>243</v>
      </c>
      <c r="C5" s="66" t="s">
        <v>200</v>
      </c>
      <c r="D5" s="66" t="s">
        <v>201</v>
      </c>
    </row>
    <row r="6" spans="1:4" x14ac:dyDescent="0.25">
      <c r="A6" s="67" t="s">
        <v>202</v>
      </c>
      <c r="B6" s="81">
        <v>0.03</v>
      </c>
      <c r="C6" s="68">
        <v>0.03</v>
      </c>
      <c r="D6" s="67"/>
    </row>
    <row r="7" spans="1:4" x14ac:dyDescent="0.25">
      <c r="A7" s="69" t="s">
        <v>203</v>
      </c>
      <c r="B7" s="81">
        <v>5.0000000000000001E-3</v>
      </c>
      <c r="C7" s="68">
        <v>5.0000000000000001E-3</v>
      </c>
      <c r="D7" s="67"/>
    </row>
    <row r="8" spans="1:4" x14ac:dyDescent="0.25">
      <c r="A8" s="69" t="s">
        <v>204</v>
      </c>
      <c r="B8" s="81">
        <v>5.0000000000000001E-3</v>
      </c>
      <c r="C8" s="68">
        <v>5.0000000000000001E-3</v>
      </c>
      <c r="D8" s="67"/>
    </row>
    <row r="9" spans="1:4" x14ac:dyDescent="0.25">
      <c r="A9" s="69" t="s">
        <v>205</v>
      </c>
      <c r="B9" s="81">
        <v>5.0000000000000001E-3</v>
      </c>
      <c r="C9" s="68">
        <v>5.0000000000000001E-3</v>
      </c>
      <c r="D9" s="67"/>
    </row>
    <row r="10" spans="1:4" x14ac:dyDescent="0.25">
      <c r="A10" s="69" t="s">
        <v>206</v>
      </c>
      <c r="B10" s="81">
        <v>5.0000000000000001E-3</v>
      </c>
      <c r="C10" s="68">
        <v>5.0000000000000001E-3</v>
      </c>
      <c r="D10" s="67"/>
    </row>
    <row r="11" spans="1:4" x14ac:dyDescent="0.25">
      <c r="A11" s="67" t="s">
        <v>207</v>
      </c>
      <c r="B11" s="68">
        <v>2.5000000000000001E-3</v>
      </c>
      <c r="C11" s="68">
        <v>2.5000000000000001E-3</v>
      </c>
      <c r="D11" s="67"/>
    </row>
    <row r="12" spans="1:4" x14ac:dyDescent="0.25">
      <c r="A12" s="67" t="s">
        <v>208</v>
      </c>
      <c r="B12" s="68">
        <v>2.5000000000000001E-3</v>
      </c>
      <c r="C12" s="68">
        <v>2.5000000000000001E-3</v>
      </c>
      <c r="D12" s="67"/>
    </row>
    <row r="13" spans="1:4" x14ac:dyDescent="0.25">
      <c r="A13" s="67" t="s">
        <v>209</v>
      </c>
      <c r="B13" s="68">
        <v>2.5000000000000001E-3</v>
      </c>
      <c r="C13" s="68">
        <v>2.5000000000000001E-3</v>
      </c>
      <c r="D13" s="67"/>
    </row>
    <row r="14" spans="1:4" x14ac:dyDescent="0.25">
      <c r="A14" s="67" t="s">
        <v>210</v>
      </c>
      <c r="B14" s="68">
        <v>2.5000000000000001E-3</v>
      </c>
      <c r="C14" s="68">
        <v>2.5000000000000001E-3</v>
      </c>
      <c r="D14" s="67"/>
    </row>
    <row r="16" spans="1:4" x14ac:dyDescent="0.25">
      <c r="A16" s="70" t="s">
        <v>211</v>
      </c>
      <c r="B16" s="71">
        <f>SUM(C6:C14)</f>
        <v>0.06</v>
      </c>
      <c r="C16" s="23" t="s">
        <v>212</v>
      </c>
    </row>
    <row r="19" spans="1:3" x14ac:dyDescent="0.25">
      <c r="A19" s="72" t="s">
        <v>213</v>
      </c>
    </row>
    <row r="20" spans="1:3" x14ac:dyDescent="0.25">
      <c r="A20" s="130" t="s">
        <v>214</v>
      </c>
      <c r="B20" s="131"/>
      <c r="C20" s="131"/>
    </row>
    <row r="21" spans="1:3" x14ac:dyDescent="0.25">
      <c r="A21" s="130" t="s">
        <v>215</v>
      </c>
      <c r="B21" s="131"/>
      <c r="C21" s="131"/>
    </row>
    <row r="22" spans="1:3" x14ac:dyDescent="0.25">
      <c r="A22" s="130" t="s">
        <v>216</v>
      </c>
      <c r="B22" s="131"/>
      <c r="C22" s="131"/>
    </row>
    <row r="23" spans="1:3" x14ac:dyDescent="0.25">
      <c r="A23" s="130" t="s">
        <v>217</v>
      </c>
      <c r="B23" s="131"/>
      <c r="C23" s="131"/>
    </row>
    <row r="24" spans="1:3" x14ac:dyDescent="0.25">
      <c r="A24" s="130" t="s">
        <v>218</v>
      </c>
      <c r="B24" s="131"/>
      <c r="C24" s="131"/>
    </row>
  </sheetData>
  <mergeCells count="5">
    <mergeCell ref="A20:C20"/>
    <mergeCell ref="A21:C21"/>
    <mergeCell ref="A22:C22"/>
    <mergeCell ref="A23:C23"/>
    <mergeCell ref="A24:C2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"/>
  <sheetViews>
    <sheetView workbookViewId="0">
      <selection activeCell="B18" sqref="B18"/>
    </sheetView>
  </sheetViews>
  <sheetFormatPr defaultRowHeight="15" x14ac:dyDescent="0.25"/>
  <cols>
    <col min="1" max="1" width="9" style="12"/>
    <col min="2" max="2" width="23.42578125" style="12" customWidth="1"/>
    <col min="3" max="3" width="9" style="12"/>
    <col min="4" max="4" width="23" style="12" customWidth="1"/>
    <col min="5" max="5" width="9" style="12"/>
    <col min="6" max="6" width="13.28515625" style="12" customWidth="1"/>
    <col min="7" max="7" width="12.85546875" style="12" customWidth="1"/>
    <col min="8" max="8" width="34.28515625" style="12" customWidth="1"/>
  </cols>
  <sheetData>
    <row r="1" spans="1:8" x14ac:dyDescent="0.25">
      <c r="A1"/>
      <c r="B1"/>
      <c r="C1"/>
      <c r="D1"/>
      <c r="E1"/>
      <c r="F1"/>
      <c r="G1"/>
      <c r="H1"/>
    </row>
    <row r="2" spans="1:8" x14ac:dyDescent="0.25">
      <c r="A2"/>
      <c r="B2"/>
      <c r="C2"/>
      <c r="D2"/>
      <c r="E2"/>
      <c r="F2"/>
      <c r="G2"/>
      <c r="H2"/>
    </row>
    <row r="3" spans="1:8" x14ac:dyDescent="0.25">
      <c r="A3"/>
      <c r="B3"/>
      <c r="C3"/>
      <c r="D3"/>
      <c r="E3"/>
      <c r="F3"/>
      <c r="G3"/>
      <c r="H3"/>
    </row>
    <row r="4" spans="1:8" x14ac:dyDescent="0.25">
      <c r="A4"/>
      <c r="B4"/>
      <c r="C4"/>
      <c r="D4"/>
      <c r="E4"/>
      <c r="F4"/>
      <c r="G4"/>
      <c r="H4"/>
    </row>
    <row r="5" spans="1:8" x14ac:dyDescent="0.25">
      <c r="A5"/>
      <c r="B5"/>
      <c r="C5"/>
      <c r="D5"/>
      <c r="E5"/>
      <c r="F5"/>
      <c r="G5"/>
      <c r="H5"/>
    </row>
    <row r="6" spans="1:8" x14ac:dyDescent="0.25">
      <c r="A6"/>
      <c r="B6"/>
      <c r="C6"/>
      <c r="D6"/>
      <c r="E6"/>
      <c r="F6"/>
      <c r="G6"/>
      <c r="H6"/>
    </row>
    <row r="7" spans="1:8" x14ac:dyDescent="0.25">
      <c r="A7"/>
      <c r="B7"/>
      <c r="C7"/>
      <c r="D7"/>
      <c r="E7"/>
      <c r="F7"/>
      <c r="G7"/>
      <c r="H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workbookViewId="0"/>
  </sheetViews>
  <sheetFormatPr defaultRowHeight="15" x14ac:dyDescent="0.25"/>
  <cols>
    <col min="1" max="1" width="21.42578125" style="83" bestFit="1" customWidth="1"/>
    <col min="2" max="2" width="22.28515625" style="83" customWidth="1"/>
    <col min="3" max="3" width="19.85546875" style="83" customWidth="1"/>
    <col min="4" max="4" width="18.85546875" style="83" customWidth="1"/>
    <col min="5" max="5" width="18.140625" style="83" customWidth="1"/>
    <col min="6" max="6" width="23.140625" style="83" customWidth="1"/>
    <col min="7" max="7" width="22" style="83" customWidth="1"/>
    <col min="8" max="8" width="15.5703125" style="83" customWidth="1"/>
    <col min="9" max="9" width="16.140625" style="83" customWidth="1"/>
    <col min="10" max="16384" width="9.140625" style="83"/>
  </cols>
  <sheetData>
    <row r="1" spans="1:9" ht="28.5" x14ac:dyDescent="0.25">
      <c r="A1" s="84" t="s">
        <v>17</v>
      </c>
      <c r="B1" s="84" t="s">
        <v>48</v>
      </c>
      <c r="C1" s="84" t="s">
        <v>49</v>
      </c>
      <c r="D1" s="84" t="s">
        <v>8</v>
      </c>
      <c r="E1" s="84" t="s">
        <v>50</v>
      </c>
      <c r="F1" s="84" t="s">
        <v>51</v>
      </c>
      <c r="G1" s="84" t="s">
        <v>52</v>
      </c>
      <c r="H1" s="84" t="s">
        <v>11</v>
      </c>
      <c r="I1" s="84" t="s">
        <v>53</v>
      </c>
    </row>
    <row r="2" spans="1:9" x14ac:dyDescent="0.25">
      <c r="A2" s="85" t="s">
        <v>62</v>
      </c>
      <c r="B2" s="84"/>
      <c r="C2" s="84"/>
      <c r="D2" s="84"/>
      <c r="E2" s="84"/>
      <c r="F2" s="84"/>
      <c r="G2" s="84"/>
      <c r="H2" s="84"/>
      <c r="I2" s="84"/>
    </row>
    <row r="3" spans="1:9" x14ac:dyDescent="0.25">
      <c r="A3" s="85" t="s">
        <v>60</v>
      </c>
      <c r="B3" s="84"/>
      <c r="C3" s="84"/>
      <c r="D3" s="84"/>
      <c r="E3" s="84"/>
      <c r="F3" s="84"/>
      <c r="G3" s="84"/>
      <c r="H3" s="84"/>
      <c r="I3" s="84"/>
    </row>
    <row r="4" spans="1:9" x14ac:dyDescent="0.25">
      <c r="A4" s="91" t="s">
        <v>244</v>
      </c>
      <c r="B4" s="92">
        <v>16412</v>
      </c>
      <c r="C4" s="92">
        <v>11528</v>
      </c>
      <c r="D4" s="92">
        <f>'BIRL Summary'!H43</f>
        <v>2299.1359483843862</v>
      </c>
      <c r="E4" s="93">
        <f>D4/C4</f>
        <v>0.19943927380156021</v>
      </c>
      <c r="F4" s="92">
        <v>2500</v>
      </c>
      <c r="G4" s="92">
        <v>1851</v>
      </c>
      <c r="H4" s="92">
        <f>'BIRL Summary'!K43</f>
        <v>492.44492858236623</v>
      </c>
      <c r="I4" s="93">
        <f>H4/G4</f>
        <v>0.26604264104936048</v>
      </c>
    </row>
    <row r="5" spans="1:9" x14ac:dyDescent="0.25">
      <c r="A5" s="85" t="s">
        <v>63</v>
      </c>
      <c r="B5" s="94">
        <f>SUM(B4)</f>
        <v>16412</v>
      </c>
      <c r="C5" s="94">
        <f t="shared" ref="C5:H5" si="0">SUM(C4)</f>
        <v>11528</v>
      </c>
      <c r="D5" s="94">
        <f t="shared" si="0"/>
        <v>2299.1359483843862</v>
      </c>
      <c r="E5" s="95">
        <f>D5/C5</f>
        <v>0.19943927380156021</v>
      </c>
      <c r="F5" s="94">
        <f t="shared" si="0"/>
        <v>2500</v>
      </c>
      <c r="G5" s="94">
        <f t="shared" si="0"/>
        <v>1851</v>
      </c>
      <c r="H5" s="94">
        <f t="shared" si="0"/>
        <v>492.44492858236623</v>
      </c>
      <c r="I5" s="95">
        <f>H5/G5</f>
        <v>0.26604264104936048</v>
      </c>
    </row>
    <row r="6" spans="1:9" ht="30" x14ac:dyDescent="0.25">
      <c r="A6" s="96"/>
      <c r="B6" s="97" t="s">
        <v>56</v>
      </c>
      <c r="C6" s="97" t="s">
        <v>56</v>
      </c>
      <c r="D6" s="98" t="s">
        <v>57</v>
      </c>
      <c r="E6" s="98" t="s">
        <v>58</v>
      </c>
      <c r="F6" s="97" t="s">
        <v>56</v>
      </c>
      <c r="G6" s="97" t="s">
        <v>56</v>
      </c>
      <c r="H6" s="98" t="s">
        <v>57</v>
      </c>
      <c r="I6" s="98" t="s">
        <v>58</v>
      </c>
    </row>
    <row r="7" spans="1:9" x14ac:dyDescent="0.25">
      <c r="A7" s="96"/>
      <c r="B7" s="96"/>
      <c r="C7" s="99"/>
      <c r="D7" s="99"/>
      <c r="E7" s="100"/>
      <c r="F7" s="99"/>
      <c r="G7" s="99"/>
      <c r="H7" s="99"/>
      <c r="I7" s="100"/>
    </row>
    <row r="8" spans="1:9" x14ac:dyDescent="0.25">
      <c r="A8" s="96"/>
      <c r="B8" s="96"/>
      <c r="C8" s="99"/>
      <c r="D8" s="99"/>
      <c r="E8" s="100"/>
      <c r="F8" s="99"/>
      <c r="G8" s="99"/>
      <c r="H8" s="99"/>
      <c r="I8" s="100"/>
    </row>
    <row r="9" spans="1:9" x14ac:dyDescent="0.25">
      <c r="A9" s="96"/>
      <c r="B9" s="96"/>
      <c r="C9" s="96"/>
      <c r="D9" s="96"/>
      <c r="E9" s="96"/>
      <c r="F9" s="96"/>
      <c r="G9" s="96"/>
      <c r="H9" s="96"/>
      <c r="I9" s="96"/>
    </row>
  </sheetData>
  <pageMargins left="0.7" right="0.7" top="0.75" bottom="0.75" header="0.3" footer="0.3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43"/>
  <sheetViews>
    <sheetView tabSelected="1" zoomScale="90" zoomScaleNormal="90" workbookViewId="0">
      <pane ySplit="1" topLeftCell="A2" activePane="bottomLeft" state="frozen"/>
      <selection pane="bottomLeft" activeCell="C13" sqref="C13"/>
    </sheetView>
  </sheetViews>
  <sheetFormatPr defaultColWidth="9.140625" defaultRowHeight="12.75" x14ac:dyDescent="0.25"/>
  <cols>
    <col min="1" max="1" width="9.140625" style="41"/>
    <col min="2" max="2" width="32.140625" style="42" customWidth="1"/>
    <col min="3" max="3" width="34.28515625" style="42" customWidth="1"/>
    <col min="4" max="4" width="38.42578125" style="42" customWidth="1"/>
    <col min="5" max="5" width="12.140625" style="43" bestFit="1" customWidth="1"/>
    <col min="6" max="6" width="12.140625" style="42" customWidth="1"/>
    <col min="7" max="7" width="14.7109375" style="42" bestFit="1" customWidth="1"/>
    <col min="8" max="8" width="12.140625" style="42" bestFit="1" customWidth="1"/>
    <col min="9" max="11" width="12.140625" style="42" customWidth="1"/>
    <col min="12" max="12" width="37.7109375" style="42" customWidth="1"/>
    <col min="13" max="14" width="9.140625" style="42"/>
    <col min="15" max="15" width="13.28515625" style="47" bestFit="1" customWidth="1"/>
    <col min="16" max="16" width="23.28515625" style="47" bestFit="1" customWidth="1"/>
    <col min="17" max="17" width="23" style="47" bestFit="1" customWidth="1"/>
    <col min="18" max="16384" width="9.140625" style="47"/>
  </cols>
  <sheetData>
    <row r="1" spans="1:61" s="32" customFormat="1" ht="43.5" x14ac:dyDescent="0.25">
      <c r="A1" s="109" t="s">
        <v>4</v>
      </c>
      <c r="B1" s="109" t="s">
        <v>0</v>
      </c>
      <c r="C1" s="109" t="s">
        <v>1</v>
      </c>
      <c r="D1" s="109" t="s">
        <v>64</v>
      </c>
      <c r="E1" s="110" t="s">
        <v>5</v>
      </c>
      <c r="F1" s="111" t="s">
        <v>6</v>
      </c>
      <c r="G1" s="112" t="s">
        <v>7</v>
      </c>
      <c r="H1" s="113" t="s">
        <v>8</v>
      </c>
      <c r="I1" s="111" t="s">
        <v>9</v>
      </c>
      <c r="J1" s="112" t="s">
        <v>10</v>
      </c>
      <c r="K1" s="111" t="s">
        <v>11</v>
      </c>
      <c r="L1" s="109" t="s">
        <v>16</v>
      </c>
      <c r="M1" s="31"/>
      <c r="N1" s="31"/>
      <c r="O1"/>
      <c r="P1"/>
      <c r="Q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</row>
    <row r="2" spans="1:61" s="32" customFormat="1" ht="30" x14ac:dyDescent="0.25">
      <c r="A2" s="86" t="s">
        <v>245</v>
      </c>
      <c r="B2" s="86" t="s">
        <v>246</v>
      </c>
      <c r="C2" s="86" t="s">
        <v>157</v>
      </c>
      <c r="D2" s="86" t="s">
        <v>68</v>
      </c>
      <c r="E2" s="114">
        <f>GETPIVOTDATA("Sum of Acres",'2020 Pivot Load Summary'!$A$1,"BMAP","Banana River","PZ","B","ProjNumber","CB-1","ProjEntity","City of Cocoa Beach")</f>
        <v>150.69903630556658</v>
      </c>
      <c r="F2" s="115">
        <f>GETPIVOTDATA("Sum of TN_C1",'2020 Pivot Load Summary'!$A$1,"BMAP","Banana River","PZ","B","ProjNumber","CB-1","ProjEntity","City of Cocoa Beach")</f>
        <v>1498.7105829883681</v>
      </c>
      <c r="G2" s="116">
        <v>0.5</v>
      </c>
      <c r="H2" s="115">
        <f t="shared" ref="H2:H42" si="0">IFERROR(F2*G2,0)</f>
        <v>749.35529149418403</v>
      </c>
      <c r="I2" s="115">
        <f>GETPIVOTDATA("Sum of TP_C1",'2020 Pivot Load Summary'!$A$1,"BMAP","Banana River","PZ","B","ProjNumber","CB-1","ProjEntity","City of Cocoa Beach")</f>
        <v>238.01627940666617</v>
      </c>
      <c r="J2" s="116">
        <v>0.9</v>
      </c>
      <c r="K2" s="115">
        <f t="shared" ref="K2:K31" si="1">IFERROR(I2*J2,0)</f>
        <v>214.21465146599957</v>
      </c>
      <c r="L2" s="117" t="s">
        <v>323</v>
      </c>
      <c r="M2" s="33"/>
      <c r="N2" s="33"/>
      <c r="O2"/>
      <c r="P2"/>
      <c r="Q2"/>
      <c r="R2" s="33"/>
      <c r="S2" s="33"/>
      <c r="T2" s="33"/>
      <c r="U2" s="33"/>
      <c r="V2" s="33"/>
      <c r="W2" s="33"/>
      <c r="X2" s="33" t="s">
        <v>2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</row>
    <row r="3" spans="1:61" s="32" customFormat="1" ht="25.5" x14ac:dyDescent="0.25">
      <c r="A3" s="86" t="s">
        <v>247</v>
      </c>
      <c r="B3" s="86" t="s">
        <v>248</v>
      </c>
      <c r="C3" s="86" t="s">
        <v>321</v>
      </c>
      <c r="D3" s="86" t="s">
        <v>68</v>
      </c>
      <c r="E3" s="114">
        <f>GETPIVOTDATA("Sum of Acres",'2020 Pivot Load Summary'!$A$1,"BMAP","Banana River","PZ","B","ProjNumber","CB-2","ProjEntity","City of Cocoa Beach")</f>
        <v>57.963081337093541</v>
      </c>
      <c r="F3" s="115">
        <f>GETPIVOTDATA("Sum of TN_C1",'2020 Pivot Load Summary'!$A$1,"BMAP","Banana River","PZ","B","ProjNumber","CB-2","ProjEntity","City of Cocoa Beach")</f>
        <v>580.56880593415417</v>
      </c>
      <c r="G3" s="116">
        <f>'Retention, Trains, and Swales'!F2</f>
        <v>0.12226307280074419</v>
      </c>
      <c r="H3" s="115">
        <f t="shared" si="0"/>
        <v>70.982126185768621</v>
      </c>
      <c r="I3" s="115">
        <f>GETPIVOTDATA("Sum of TP_C1",'2020 Pivot Load Summary'!$A$1,"BMAP","Banana River","PZ","B","ProjNumber","CB-2","ProjEntity","City of Cocoa Beach")</f>
        <v>91.318563977432376</v>
      </c>
      <c r="J3" s="116">
        <f>'Retention, Trains, and Swales'!F2</f>
        <v>0.12226307280074419</v>
      </c>
      <c r="K3" s="115">
        <f t="shared" si="1"/>
        <v>11.164888235632231</v>
      </c>
      <c r="L3" s="118"/>
      <c r="M3" s="33"/>
      <c r="N3" s="33"/>
      <c r="O3"/>
      <c r="P3"/>
      <c r="Q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</row>
    <row r="4" spans="1:61" s="32" customFormat="1" ht="15" x14ac:dyDescent="0.25">
      <c r="A4" s="86" t="s">
        <v>249</v>
      </c>
      <c r="B4" s="87" t="s">
        <v>250</v>
      </c>
      <c r="C4" s="86" t="s">
        <v>81</v>
      </c>
      <c r="D4" s="86" t="s">
        <v>68</v>
      </c>
      <c r="E4" s="114">
        <f>GETPIVOTDATA("Sum of Acres",'2020 Pivot Load Summary'!$A$1,"BMAP","Banana River","PZ","B","ProjNumber","CB-3","ProjEntity","City of Cocoa Beach")</f>
        <v>63.836958984982111</v>
      </c>
      <c r="F4" s="115">
        <f>GETPIVOTDATA("Sum of TN_C1",'2020 Pivot Load Summary'!$A$1,"BMAP","Banana River","PZ","B","ProjNumber","CB-3","ProjEntity","City of Cocoa Beach")</f>
        <v>643.67432678686703</v>
      </c>
      <c r="G4" s="116">
        <v>0.1905</v>
      </c>
      <c r="H4" s="115">
        <f t="shared" si="0"/>
        <v>122.61995925289817</v>
      </c>
      <c r="I4" s="115">
        <f>GETPIVOTDATA("Sum of TP_C1",'2020 Pivot Load Summary'!$A$1,"BMAP","Banana River","PZ","B","ProjNumber","CB-3","ProjEntity","City of Cocoa Beach")</f>
        <v>109.96058284512009</v>
      </c>
      <c r="J4" s="116">
        <v>0.155</v>
      </c>
      <c r="K4" s="115">
        <f t="shared" si="1"/>
        <v>17.043890340993613</v>
      </c>
      <c r="L4" s="118"/>
      <c r="M4" s="33"/>
      <c r="N4" s="33"/>
      <c r="O4"/>
      <c r="P4"/>
      <c r="Q4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</row>
    <row r="5" spans="1:61" s="32" customFormat="1" ht="30" x14ac:dyDescent="0.25">
      <c r="A5" s="86" t="s">
        <v>251</v>
      </c>
      <c r="B5" s="86" t="s">
        <v>252</v>
      </c>
      <c r="C5" s="86" t="s">
        <v>101</v>
      </c>
      <c r="D5" s="86" t="s">
        <v>68</v>
      </c>
      <c r="E5" s="114">
        <f>GETPIVOTDATA("Sum of Acres",'2020 Pivot Load Summary'!$A$1,"BMAP","Banana River","PZ","B","ProjNumber","CB-4","ProjEntity","City of Cocoa Beach")</f>
        <v>2.7003342316818708</v>
      </c>
      <c r="F5" s="115">
        <f>GETPIVOTDATA("Sum of TN_C1",'2020 Pivot Load Summary'!$A$1,"BMAP","Banana River","PZ","B","ProjNumber","CB-4","ProjEntity","City of Cocoa Beach")</f>
        <v>30.193864040440854</v>
      </c>
      <c r="G5" s="116">
        <f>'CB-04'!F2</f>
        <v>0.97899999999999998</v>
      </c>
      <c r="H5" s="115">
        <f t="shared" si="0"/>
        <v>29.559792895591595</v>
      </c>
      <c r="I5" s="115">
        <f>GETPIVOTDATA("Sum of TP_C1",'2020 Pivot Load Summary'!$A$1,"BMAP","Banana River","PZ","B","ProjNumber","CB-4","ProjEntity","City of Cocoa Beach")</f>
        <v>4.0127513631675917</v>
      </c>
      <c r="J5" s="116">
        <f>'CB-04'!F2</f>
        <v>0.97899999999999998</v>
      </c>
      <c r="K5" s="115">
        <f t="shared" si="1"/>
        <v>3.9284835845410724</v>
      </c>
      <c r="L5" s="117" t="s">
        <v>448</v>
      </c>
      <c r="M5" s="33"/>
      <c r="N5" s="33"/>
      <c r="O5"/>
      <c r="P5"/>
      <c r="Q5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</row>
    <row r="6" spans="1:61" s="32" customFormat="1" ht="15" x14ac:dyDescent="0.25">
      <c r="A6" s="86" t="s">
        <v>253</v>
      </c>
      <c r="B6" s="86" t="s">
        <v>254</v>
      </c>
      <c r="C6" s="86" t="s">
        <v>98</v>
      </c>
      <c r="D6" s="86" t="s">
        <v>68</v>
      </c>
      <c r="E6" s="114">
        <f>GETPIVOTDATA("Sum of Acres",'2020 Pivot Load Summary'!$A$1,"BMAP","Banana River","PZ","B","ProjNumber","CB-5","ProjEntity","City of Cocoa Beach")</f>
        <v>1.4400670493763701</v>
      </c>
      <c r="F6" s="115">
        <f>GETPIVOTDATA("Sum of TN_C1",'2020 Pivot Load Summary'!$A$1,"BMAP","Banana River","PZ","B","ProjNumber","CB-5","ProjEntity","City of Cocoa Beach")</f>
        <v>15.942071464027761</v>
      </c>
      <c r="G6" s="116">
        <v>0.1</v>
      </c>
      <c r="H6" s="115">
        <f t="shared" si="0"/>
        <v>1.5942071464027761</v>
      </c>
      <c r="I6" s="115">
        <f>GETPIVOTDATA("Sum of TP_C1",'2020 Pivot Load Summary'!$A$1,"BMAP","Banana River","PZ","B","ProjNumber","CB-5","ProjEntity","City of Cocoa Beach")</f>
        <v>2.4696830347505694</v>
      </c>
      <c r="J6" s="116">
        <v>0.1</v>
      </c>
      <c r="K6" s="115">
        <f t="shared" si="1"/>
        <v>0.24696830347505694</v>
      </c>
      <c r="L6" s="118"/>
      <c r="M6" s="33"/>
      <c r="N6" s="33"/>
      <c r="O6"/>
      <c r="P6"/>
      <c r="Q6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</row>
    <row r="7" spans="1:61" s="32" customFormat="1" ht="30" x14ac:dyDescent="0.25">
      <c r="A7" s="86" t="s">
        <v>255</v>
      </c>
      <c r="B7" s="86" t="s">
        <v>256</v>
      </c>
      <c r="C7" s="86" t="s">
        <v>101</v>
      </c>
      <c r="D7" s="86" t="s">
        <v>68</v>
      </c>
      <c r="E7" s="114">
        <f>GETPIVOTDATA("Sum of Acres",'2020 Pivot Load Summary'!$A$1,"BMAP","Banana River","PZ","B","ProjNumber","CB-6","ProjEntity","City of Cocoa Beach")</f>
        <v>0.81968970892987991</v>
      </c>
      <c r="F7" s="115">
        <f>GETPIVOTDATA("Sum of TN_C1",'2020 Pivot Load Summary'!$A$1,"BMAP","Banana River","PZ","B","ProjNumber","CB-6","ProjEntity","City of Cocoa Beach")</f>
        <v>9.5099536135660205</v>
      </c>
      <c r="G7" s="116">
        <f>'CB-06'!F2</f>
        <v>0.97899999999999998</v>
      </c>
      <c r="H7" s="115">
        <f t="shared" si="0"/>
        <v>9.3102445876811331</v>
      </c>
      <c r="I7" s="115">
        <f>GETPIVOTDATA("Sum of TP_C1",'2020 Pivot Load Summary'!$A$1,"BMAP","Banana River","PZ","B","ProjNumber","CB-6","ProjEntity","City of Cocoa Beach")</f>
        <v>1.2557435767676401</v>
      </c>
      <c r="J7" s="116">
        <f>'CB-06'!F2</f>
        <v>0.97899999999999998</v>
      </c>
      <c r="K7" s="115">
        <f t="shared" si="1"/>
        <v>1.2293729616555196</v>
      </c>
      <c r="L7" s="117" t="s">
        <v>448</v>
      </c>
      <c r="M7" s="33"/>
      <c r="N7" s="33"/>
      <c r="O7"/>
      <c r="P7"/>
      <c r="Q7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</row>
    <row r="8" spans="1:61" s="32" customFormat="1" ht="25.5" x14ac:dyDescent="0.25">
      <c r="A8" s="86" t="s">
        <v>257</v>
      </c>
      <c r="B8" s="86" t="s">
        <v>258</v>
      </c>
      <c r="C8" s="86" t="s">
        <v>321</v>
      </c>
      <c r="D8" s="86" t="s">
        <v>68</v>
      </c>
      <c r="E8" s="114">
        <f>GETPIVOTDATA("Sum of Acres",'2020 Pivot Load Summary'!$A$1,"BMAP","Banana River","PZ","B","ProjNumber","CB-7","ProjEntity","City of Cocoa Beach")</f>
        <v>0.48036387850447004</v>
      </c>
      <c r="F8" s="115">
        <f>GETPIVOTDATA("Sum of TN_C1",'2020 Pivot Load Summary'!$A$1,"BMAP","Banana River","PZ","B","ProjNumber","CB-7","ProjEntity","City of Cocoa Beach")</f>
        <v>3.1083197572619197</v>
      </c>
      <c r="G8" s="116">
        <f>'Retention, Trains, and Swales'!F3</f>
        <v>0.29429011123015736</v>
      </c>
      <c r="H8" s="115">
        <f t="shared" si="0"/>
        <v>0.91474776710350603</v>
      </c>
      <c r="I8" s="115">
        <f>GETPIVOTDATA("Sum of TP_C1",'2020 Pivot Load Summary'!$A$1,"BMAP","Banana River","PZ","B","ProjNumber","CB-7","ProjEntity","City of Cocoa Beach")</f>
        <v>0.43057932784446007</v>
      </c>
      <c r="J8" s="116">
        <f>'Retention, Trains, and Swales'!F3</f>
        <v>0.29429011123015736</v>
      </c>
      <c r="K8" s="115">
        <f t="shared" si="1"/>
        <v>0.12671523828475253</v>
      </c>
      <c r="L8" s="118"/>
      <c r="M8" s="33" t="s">
        <v>2</v>
      </c>
      <c r="N8" s="33"/>
      <c r="O8"/>
      <c r="P8"/>
      <c r="Q8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</row>
    <row r="9" spans="1:61" s="32" customFormat="1" ht="25.5" x14ac:dyDescent="0.25">
      <c r="A9" s="86" t="s">
        <v>259</v>
      </c>
      <c r="B9" s="87" t="s">
        <v>260</v>
      </c>
      <c r="C9" s="86" t="s">
        <v>321</v>
      </c>
      <c r="D9" s="86" t="s">
        <v>68</v>
      </c>
      <c r="E9" s="114">
        <f>GETPIVOTDATA("Sum of Acres",'2020 Pivot Load Summary'!$A$1,"BMAP","Banana River","PZ","B","ProjNumber","CB-8","ProjEntity","City of Cocoa Beach")</f>
        <v>2.7417283043327583</v>
      </c>
      <c r="F9" s="115">
        <f>GETPIVOTDATA("Sum of TN_C1",'2020 Pivot Load Summary'!$A$1,"BMAP","Banana River","PZ","B","ProjNumber","CB-8","ProjEntity","City of Cocoa Beach")</f>
        <v>23.276611095736094</v>
      </c>
      <c r="G9" s="116">
        <f>'Retention, Trains, and Swales'!F4</f>
        <v>0</v>
      </c>
      <c r="H9" s="115">
        <f t="shared" si="0"/>
        <v>0</v>
      </c>
      <c r="I9" s="115">
        <f>GETPIVOTDATA("Sum of TP_C1",'2020 Pivot Load Summary'!$A$1,"BMAP","Banana River","PZ","B","ProjNumber","CB-8","ProjEntity","City of Cocoa Beach")</f>
        <v>3.4225771458821801</v>
      </c>
      <c r="J9" s="116">
        <f>'Retention, Trains, and Swales'!F4</f>
        <v>0</v>
      </c>
      <c r="K9" s="115">
        <f t="shared" si="1"/>
        <v>0</v>
      </c>
      <c r="L9" s="119"/>
      <c r="M9" s="33"/>
      <c r="N9" s="33"/>
      <c r="O9"/>
      <c r="P9"/>
      <c r="Q9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</row>
    <row r="10" spans="1:61" s="37" customFormat="1" ht="25.5" x14ac:dyDescent="0.25">
      <c r="A10" s="86" t="s">
        <v>261</v>
      </c>
      <c r="B10" s="87" t="s">
        <v>262</v>
      </c>
      <c r="C10" s="86" t="s">
        <v>321</v>
      </c>
      <c r="D10" s="86" t="s">
        <v>68</v>
      </c>
      <c r="E10" s="114">
        <f>GETPIVOTDATA("Sum of Acres",'2020 Pivot Load Summary'!$A$1,"BMAP","Banana River","PZ","B","ProjNumber","CB-9","ProjEntity","City of Cocoa Beach")</f>
        <v>1.7493050778347201</v>
      </c>
      <c r="F10" s="115">
        <f>GETPIVOTDATA("Sum of TN_C1",'2020 Pivot Load Summary'!$A$1,"BMAP","Banana River","PZ","B","ProjNumber","CB-9","ProjEntity","City of Cocoa Beach")</f>
        <v>15.35528393282201</v>
      </c>
      <c r="G10" s="116">
        <f>'Retention, Trains, and Swales'!F5</f>
        <v>0</v>
      </c>
      <c r="H10" s="115">
        <f t="shared" si="0"/>
        <v>0</v>
      </c>
      <c r="I10" s="115">
        <f>GETPIVOTDATA("Sum of TP_C1",'2020 Pivot Load Summary'!$A$1,"BMAP","Banana River","PZ","B","ProjNumber","CB-9","ProjEntity","City of Cocoa Beach")</f>
        <v>2.2585355426471097</v>
      </c>
      <c r="J10" s="116">
        <f>'Retention, Trains, and Swales'!F5</f>
        <v>0</v>
      </c>
      <c r="K10" s="115">
        <f t="shared" si="1"/>
        <v>0</v>
      </c>
      <c r="L10" s="120"/>
      <c r="M10" s="35"/>
      <c r="N10" s="35"/>
      <c r="O10"/>
      <c r="P10"/>
      <c r="Q10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6"/>
    </row>
    <row r="11" spans="1:61" s="32" customFormat="1" ht="25.5" x14ac:dyDescent="0.25">
      <c r="A11" s="86" t="s">
        <v>263</v>
      </c>
      <c r="B11" s="87" t="s">
        <v>264</v>
      </c>
      <c r="C11" s="86" t="s">
        <v>321</v>
      </c>
      <c r="D11" s="86" t="s">
        <v>68</v>
      </c>
      <c r="E11" s="114">
        <f>GETPIVOTDATA("Sum of Acres",'2020 Pivot Load Summary'!$A$1,"BMAP","Banana River","PZ","B","ProjNumber","CB-10","ProjEntity","City of Cocoa Beach")</f>
        <v>1.8981888760249197</v>
      </c>
      <c r="F11" s="115">
        <f>GETPIVOTDATA("Sum of TN_C1",'2020 Pivot Load Summary'!$A$1,"BMAP","Banana River","PZ","B","ProjNumber","CB-10","ProjEntity","City of Cocoa Beach")</f>
        <v>17.567640853473389</v>
      </c>
      <c r="G11" s="116">
        <f>'Retention, Trains, and Swales'!F6</f>
        <v>0</v>
      </c>
      <c r="H11" s="115">
        <f t="shared" si="0"/>
        <v>0</v>
      </c>
      <c r="I11" s="115">
        <f>GETPIVOTDATA("Sum of TP_C1",'2020 Pivot Load Summary'!$A$1,"BMAP","Banana River","PZ","B","ProjNumber","CB-10","ProjEntity","City of Cocoa Beach")</f>
        <v>2.5834739353974796</v>
      </c>
      <c r="J11" s="116">
        <f>'Retention, Trains, and Swales'!F6</f>
        <v>0</v>
      </c>
      <c r="K11" s="115">
        <f t="shared" si="1"/>
        <v>0</v>
      </c>
      <c r="L11" s="120"/>
      <c r="M11" s="39"/>
      <c r="N11" s="39"/>
      <c r="O11"/>
      <c r="P11"/>
      <c r="Q11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8"/>
      <c r="BG11" s="38"/>
      <c r="BH11" s="38"/>
      <c r="BI11" s="38"/>
    </row>
    <row r="12" spans="1:61" s="32" customFormat="1" ht="25.5" x14ac:dyDescent="0.25">
      <c r="A12" s="86" t="s">
        <v>265</v>
      </c>
      <c r="B12" s="87" t="s">
        <v>266</v>
      </c>
      <c r="C12" s="86" t="s">
        <v>321</v>
      </c>
      <c r="D12" s="86" t="s">
        <v>68</v>
      </c>
      <c r="E12" s="114">
        <f>GETPIVOTDATA("Sum of Acres",'2020 Pivot Load Summary'!$A$1,"BMAP","Banana River","PZ","B","ProjNumber","CB-11","ProjEntity","City of Cocoa Beach")</f>
        <v>2.0288415987039397</v>
      </c>
      <c r="F12" s="115">
        <f>GETPIVOTDATA("Sum of TN_C1",'2020 Pivot Load Summary'!$A$1,"BMAP","Banana River","PZ","B","ProjNumber","CB-11","ProjEntity","City of Cocoa Beach")</f>
        <v>18.546329742421772</v>
      </c>
      <c r="G12" s="116">
        <f>'Retention, Trains, and Swales'!F7</f>
        <v>0</v>
      </c>
      <c r="H12" s="115">
        <f t="shared" si="0"/>
        <v>0</v>
      </c>
      <c r="I12" s="115">
        <f>GETPIVOTDATA("Sum of TP_C1",'2020 Pivot Load Summary'!$A$1,"BMAP","Banana River","PZ","B","ProjNumber","CB-11","ProjEntity","City of Cocoa Beach")</f>
        <v>2.7280171022244297</v>
      </c>
      <c r="J12" s="116">
        <f>'Retention, Trains, and Swales'!F7</f>
        <v>0</v>
      </c>
      <c r="K12" s="115">
        <f t="shared" si="1"/>
        <v>0</v>
      </c>
      <c r="L12" s="120"/>
      <c r="M12" s="39"/>
      <c r="N12" s="39"/>
      <c r="O12"/>
      <c r="P12"/>
      <c r="Q12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8"/>
      <c r="BG12" s="38"/>
      <c r="BH12" s="38"/>
      <c r="BI12" s="38"/>
    </row>
    <row r="13" spans="1:61" s="32" customFormat="1" ht="25.5" x14ac:dyDescent="0.25">
      <c r="A13" s="86" t="s">
        <v>267</v>
      </c>
      <c r="B13" s="87" t="s">
        <v>268</v>
      </c>
      <c r="C13" s="86" t="s">
        <v>321</v>
      </c>
      <c r="D13" s="86" t="s">
        <v>68</v>
      </c>
      <c r="E13" s="114">
        <f>GETPIVOTDATA("Sum of Acres",'2020 Pivot Load Summary'!$A$1,"BMAP","Banana River","PZ","B","ProjNumber","CB-12","ProjEntity","City of Cocoa Beach")</f>
        <v>1.40135706061788</v>
      </c>
      <c r="F13" s="115">
        <f>GETPIVOTDATA("Sum of TN_C1",'2020 Pivot Load Summary'!$A$1,"BMAP","Banana River","PZ","B","ProjNumber","CB-12","ProjEntity","City of Cocoa Beach")</f>
        <v>15.075394222618009</v>
      </c>
      <c r="G13" s="116">
        <f>'Retention, Trains, and Swales'!F8</f>
        <v>0</v>
      </c>
      <c r="H13" s="115">
        <f t="shared" si="0"/>
        <v>0</v>
      </c>
      <c r="I13" s="115">
        <f>GETPIVOTDATA("Sum of TP_C1",'2020 Pivot Load Summary'!$A$1,"BMAP","Banana River","PZ","B","ProjNumber","CB-12","ProjEntity","City of Cocoa Beach")</f>
        <v>2.7453694357317704</v>
      </c>
      <c r="J13" s="116">
        <f>'Retention, Trains, and Swales'!F8</f>
        <v>0</v>
      </c>
      <c r="K13" s="115">
        <f t="shared" si="1"/>
        <v>0</v>
      </c>
      <c r="L13" s="120"/>
      <c r="M13" s="39"/>
      <c r="N13" s="39"/>
      <c r="O13"/>
      <c r="P13"/>
      <c r="Q13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8"/>
      <c r="BG13" s="38"/>
      <c r="BH13" s="38"/>
      <c r="BI13" s="38"/>
    </row>
    <row r="14" spans="1:61" s="32" customFormat="1" ht="25.5" x14ac:dyDescent="0.25">
      <c r="A14" s="86" t="s">
        <v>269</v>
      </c>
      <c r="B14" s="86" t="s">
        <v>270</v>
      </c>
      <c r="C14" s="86" t="s">
        <v>321</v>
      </c>
      <c r="D14" s="86" t="s">
        <v>68</v>
      </c>
      <c r="E14" s="114">
        <f>GETPIVOTDATA("Sum of Acres",'2020 Pivot Load Summary'!$A$1,"BMAP","Banana River","PZ","B","ProjNumber","CB-13","ProjEntity","City of Cocoa Beach")</f>
        <v>7.59218242267E-3</v>
      </c>
      <c r="F14" s="115">
        <f>GETPIVOTDATA("Sum of TN_C1",'2020 Pivot Load Summary'!$A$1,"BMAP","Banana River","PZ","B","ProjNumber","CB-13","ProjEntity","City of Cocoa Beach")</f>
        <v>8.7249550142649998E-2</v>
      </c>
      <c r="G14" s="116">
        <f>'Retention, Trains, and Swales'!F9</f>
        <v>0</v>
      </c>
      <c r="H14" s="115">
        <f t="shared" si="0"/>
        <v>0</v>
      </c>
      <c r="I14" s="115">
        <f>GETPIVOTDATA("Sum of TP_C1",'2020 Pivot Load Summary'!$A$1,"BMAP","Banana River","PZ","B","ProjNumber","CB-13","ProjEntity","City of Cocoa Beach")</f>
        <v>1.1518685692780001E-2</v>
      </c>
      <c r="J14" s="116">
        <f>'Retention, Trains, and Swales'!F9</f>
        <v>0</v>
      </c>
      <c r="K14" s="115">
        <f t="shared" si="1"/>
        <v>0</v>
      </c>
      <c r="L14" s="119"/>
      <c r="M14" s="39"/>
      <c r="N14" s="39"/>
      <c r="O14"/>
      <c r="P14"/>
      <c r="Q14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8"/>
      <c r="BG14" s="38"/>
      <c r="BH14" s="38"/>
      <c r="BI14" s="38"/>
    </row>
    <row r="15" spans="1:61" s="37" customFormat="1" ht="25.5" x14ac:dyDescent="0.25">
      <c r="A15" s="86" t="s">
        <v>271</v>
      </c>
      <c r="B15" s="86" t="s">
        <v>272</v>
      </c>
      <c r="C15" s="86" t="s">
        <v>321</v>
      </c>
      <c r="D15" s="86" t="s">
        <v>68</v>
      </c>
      <c r="E15" s="114">
        <f>GETPIVOTDATA("Sum of Acres",'2020 Pivot Load Summary'!$A$1,"BMAP","Banana River","PZ","B","ProjNumber","CB-14","ProjEntity","City of Cocoa Beach")</f>
        <v>0.78068854051113001</v>
      </c>
      <c r="F15" s="115">
        <f>GETPIVOTDATA("Sum of TN_C1",'2020 Pivot Load Summary'!$A$1,"BMAP","Banana River","PZ","B","ProjNumber","CB-14","ProjEntity","City of Cocoa Beach")</f>
        <v>7.1787297261051393</v>
      </c>
      <c r="G15" s="116">
        <f>'Retention, Trains, and Swales'!F10</f>
        <v>1.9514016294153391E-2</v>
      </c>
      <c r="H15" s="115">
        <f t="shared" si="0"/>
        <v>0.14008584884653899</v>
      </c>
      <c r="I15" s="115">
        <f>GETPIVOTDATA("Sum of TP_C1",'2020 Pivot Load Summary'!$A$1,"BMAP","Banana River","PZ","B","ProjNumber","CB-14","ProjEntity","City of Cocoa Beach")</f>
        <v>1.0696795098245502</v>
      </c>
      <c r="J15" s="116">
        <f>'Retention, Trains, and Swales'!F10</f>
        <v>1.9514016294153391E-2</v>
      </c>
      <c r="K15" s="115">
        <f t="shared" si="1"/>
        <v>2.0873743384238284E-2</v>
      </c>
      <c r="L15" s="119"/>
      <c r="M15" s="40"/>
      <c r="N15" s="40"/>
      <c r="O15"/>
      <c r="P15"/>
      <c r="Q15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</row>
    <row r="16" spans="1:61" s="32" customFormat="1" ht="25.5" x14ac:dyDescent="0.25">
      <c r="A16" s="86" t="s">
        <v>273</v>
      </c>
      <c r="B16" s="87" t="s">
        <v>274</v>
      </c>
      <c r="C16" s="86" t="s">
        <v>321</v>
      </c>
      <c r="D16" s="86" t="s">
        <v>68</v>
      </c>
      <c r="E16" s="114">
        <f>GETPIVOTDATA("Sum of Acres",'2020 Pivot Load Summary'!$A$1,"BMAP","Banana River","PZ","B","ProjNumber","CB-15","ProjEntity","City of Cocoa Beach")</f>
        <v>0.21428275136532801</v>
      </c>
      <c r="F16" s="115">
        <f>GETPIVOTDATA("Sum of TN_C1",'2020 Pivot Load Summary'!$A$1,"BMAP","Banana River","PZ","B","ProjNumber","CB-15","ProjEntity","City of Cocoa Beach")</f>
        <v>2.39715512885045</v>
      </c>
      <c r="G16" s="116">
        <f>'Retention, Trains, and Swales'!F11</f>
        <v>0.17355176483134299</v>
      </c>
      <c r="H16" s="115">
        <f t="shared" si="0"/>
        <v>0.41603050318650103</v>
      </c>
      <c r="I16" s="115">
        <f>GETPIVOTDATA("Sum of TP_C1",'2020 Pivot Load Summary'!$A$1,"BMAP","Banana River","PZ","B","ProjNumber","CB-15","ProjEntity","City of Cocoa Beach")</f>
        <v>0.38679271726991998</v>
      </c>
      <c r="J16" s="116">
        <f>'Retention, Trains, and Swales'!F11</f>
        <v>0.17355176483134299</v>
      </c>
      <c r="K16" s="115">
        <f t="shared" si="1"/>
        <v>6.712855870610529E-2</v>
      </c>
      <c r="L16" s="119"/>
      <c r="M16" s="39"/>
      <c r="N16" s="39"/>
      <c r="O16"/>
      <c r="P16"/>
      <c r="Q16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</row>
    <row r="17" spans="1:57" s="32" customFormat="1" ht="25.5" x14ac:dyDescent="0.25">
      <c r="A17" s="86" t="s">
        <v>275</v>
      </c>
      <c r="B17" s="87" t="s">
        <v>276</v>
      </c>
      <c r="C17" s="86" t="s">
        <v>321</v>
      </c>
      <c r="D17" s="86" t="s">
        <v>68</v>
      </c>
      <c r="E17" s="114">
        <f>GETPIVOTDATA("Sum of Acres",'2020 Pivot Load Summary'!$A$1,"BMAP","Banana River","PZ","B","ProjNumber","CB-16","ProjEntity","City of Cocoa Beach")</f>
        <v>0.90249975442865993</v>
      </c>
      <c r="F17" s="115">
        <f>GETPIVOTDATA("Sum of TN_C1",'2020 Pivot Load Summary'!$A$1,"BMAP","Banana River","PZ","B","ProjNumber","CB-16","ProjEntity","City of Cocoa Beach")</f>
        <v>9.8906496942199524</v>
      </c>
      <c r="G17" s="116">
        <f>'Retention, Trains, and Swales'!F12</f>
        <v>4.3692287232461879E-3</v>
      </c>
      <c r="H17" s="115">
        <f t="shared" si="0"/>
        <v>4.3214510735551943E-2</v>
      </c>
      <c r="I17" s="115">
        <f>GETPIVOTDATA("Sum of TP_C1",'2020 Pivot Load Summary'!$A$1,"BMAP","Banana River","PZ","B","ProjNumber","CB-16","ProjEntity","City of Cocoa Beach")</f>
        <v>1.7617498801993301</v>
      </c>
      <c r="J17" s="116">
        <f>'Retention, Trains, and Swales'!F12</f>
        <v>4.3692287232461879E-3</v>
      </c>
      <c r="K17" s="115">
        <f t="shared" si="1"/>
        <v>7.6974881797424437E-3</v>
      </c>
      <c r="L17" s="119"/>
      <c r="M17" s="39"/>
      <c r="N17" s="39"/>
      <c r="O17"/>
      <c r="P17"/>
      <c r="Q17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</row>
    <row r="18" spans="1:57" s="32" customFormat="1" ht="25.5" x14ac:dyDescent="0.25">
      <c r="A18" s="86" t="s">
        <v>277</v>
      </c>
      <c r="B18" s="87" t="s">
        <v>278</v>
      </c>
      <c r="C18" s="86" t="s">
        <v>321</v>
      </c>
      <c r="D18" s="86" t="s">
        <v>68</v>
      </c>
      <c r="E18" s="114">
        <f>GETPIVOTDATA("Sum of Acres",'2020 Pivot Load Summary'!$A$1,"BMAP","Banana River","PZ","B","ProjNumber","CB-17","ProjEntity","City of Cocoa Beach")</f>
        <v>0.79031239902045003</v>
      </c>
      <c r="F18" s="115">
        <f>GETPIVOTDATA("Sum of TN_C1",'2020 Pivot Load Summary'!$A$1,"BMAP","Banana River","PZ","B","ProjNumber","CB-17","ProjEntity","City of Cocoa Beach")</f>
        <v>7.7980621230909311</v>
      </c>
      <c r="G18" s="116">
        <f>'Retention, Trains, and Swales'!F13</f>
        <v>4.3692287232461879E-3</v>
      </c>
      <c r="H18" s="115">
        <f t="shared" si="0"/>
        <v>3.4071517013867049E-2</v>
      </c>
      <c r="I18" s="115">
        <f>GETPIVOTDATA("Sum of TP_C1",'2020 Pivot Load Summary'!$A$1,"BMAP","Banana River","PZ","B","ProjNumber","CB-17","ProjEntity","City of Cocoa Beach")</f>
        <v>1.3670794676447999</v>
      </c>
      <c r="J18" s="116">
        <f>'Retention, Trains, and Swales'!F13</f>
        <v>4.3692287232461879E-3</v>
      </c>
      <c r="K18" s="115">
        <f t="shared" si="1"/>
        <v>5.9730828769937678E-3</v>
      </c>
      <c r="L18" s="119"/>
      <c r="M18" s="39"/>
      <c r="N18" s="39"/>
      <c r="O18"/>
      <c r="P18"/>
      <c r="Q18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</row>
    <row r="19" spans="1:57" s="32" customFormat="1" ht="25.5" x14ac:dyDescent="0.25">
      <c r="A19" s="86" t="s">
        <v>279</v>
      </c>
      <c r="B19" s="87" t="s">
        <v>280</v>
      </c>
      <c r="C19" s="86" t="s">
        <v>321</v>
      </c>
      <c r="D19" s="86" t="s">
        <v>68</v>
      </c>
      <c r="E19" s="114">
        <f>GETPIVOTDATA("Sum of Acres",'2020 Pivot Load Summary'!$A$1,"BMAP","Banana River","PZ","B","ProjNumber","CB-18","ProjEntity","City of Cocoa Beach")</f>
        <v>2.9543462132417337</v>
      </c>
      <c r="F19" s="115">
        <f>GETPIVOTDATA("Sum of TN_C1",'2020 Pivot Load Summary'!$A$1,"BMAP","Banana River","PZ","B","ProjNumber","CB-18","ProjEntity","City of Cocoa Beach")</f>
        <v>26.176912847568261</v>
      </c>
      <c r="G19" s="116">
        <f>'Retention, Trains, and Swales'!F14</f>
        <v>0</v>
      </c>
      <c r="H19" s="115">
        <f t="shared" si="0"/>
        <v>0</v>
      </c>
      <c r="I19" s="115">
        <f>GETPIVOTDATA("Sum of TP_C1",'2020 Pivot Load Summary'!$A$1,"BMAP","Banana River","PZ","B","ProjNumber","CB-18","ProjEntity","City of Cocoa Beach")</f>
        <v>4.3348771202017202</v>
      </c>
      <c r="J19" s="116">
        <f>'Retention, Trains, and Swales'!F14</f>
        <v>0</v>
      </c>
      <c r="K19" s="115">
        <f t="shared" si="1"/>
        <v>0</v>
      </c>
      <c r="L19" s="11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</row>
    <row r="20" spans="1:57" s="32" customFormat="1" ht="25.5" x14ac:dyDescent="0.25">
      <c r="A20" s="86" t="s">
        <v>281</v>
      </c>
      <c r="B20" s="86" t="s">
        <v>282</v>
      </c>
      <c r="C20" s="86" t="s">
        <v>321</v>
      </c>
      <c r="D20" s="86" t="s">
        <v>68</v>
      </c>
      <c r="E20" s="114">
        <f>GETPIVOTDATA("Sum of Acres",'2020 Pivot Load Summary'!$A$1,"BMAP","Banana River","PZ","B","ProjNumber","CB-19","ProjEntity","City of Cocoa Beach")</f>
        <v>5.6539806486036861</v>
      </c>
      <c r="F20" s="115">
        <f>GETPIVOTDATA("Sum of TN_C1",'2020 Pivot Load Summary'!$A$1,"BMAP","Banana River","PZ","B","ProjNumber","CB-19","ProjEntity","City of Cocoa Beach")</f>
        <v>62.099251290334273</v>
      </c>
      <c r="G20" s="116">
        <f>'Retention, Trains, and Swales'!F15</f>
        <v>0.194083508963516</v>
      </c>
      <c r="H20" s="115">
        <f t="shared" si="0"/>
        <v>12.052440594435225</v>
      </c>
      <c r="I20" s="115">
        <f>GETPIVOTDATA("Sum of TP_C1",'2020 Pivot Load Summary'!$A$1,"BMAP","Banana River","PZ","B","ProjNumber","CB-19","ProjEntity","City of Cocoa Beach")</f>
        <v>8.36508798289921</v>
      </c>
      <c r="J20" s="116">
        <f>'Retention, Trains, and Swales'!F15</f>
        <v>0.194083508963516</v>
      </c>
      <c r="K20" s="115">
        <f t="shared" si="1"/>
        <v>1.6235256285096189</v>
      </c>
      <c r="L20" s="11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</row>
    <row r="21" spans="1:57" s="32" customFormat="1" ht="25.5" x14ac:dyDescent="0.25">
      <c r="A21" s="86" t="s">
        <v>283</v>
      </c>
      <c r="B21" s="86" t="s">
        <v>284</v>
      </c>
      <c r="C21" s="86" t="s">
        <v>321</v>
      </c>
      <c r="D21" s="86" t="s">
        <v>68</v>
      </c>
      <c r="E21" s="114">
        <f>GETPIVOTDATA("Sum of Acres",'2020 Pivot Load Summary'!$A$1,"BMAP","Banana River","PZ","B","ProjNumber","CB-20","ProjEntity","City of Cocoa Beach")</f>
        <v>4.7216956835255033</v>
      </c>
      <c r="F21" s="115">
        <f>GETPIVOTDATA("Sum of TN_C1",'2020 Pivot Load Summary'!$A$1,"BMAP","Banana River","PZ","B","ProjNumber","CB-20","ProjEntity","City of Cocoa Beach")</f>
        <v>48.729806145812951</v>
      </c>
      <c r="G21" s="116">
        <f>'Retention, Trains, and Swales'!F16</f>
        <v>4.6058910347130444E-2</v>
      </c>
      <c r="H21" s="115">
        <f t="shared" si="0"/>
        <v>2.2444417725030448</v>
      </c>
      <c r="I21" s="115">
        <f>GETPIVOTDATA("Sum of TP_C1",'2020 Pivot Load Summary'!$A$1,"BMAP","Banana River","PZ","B","ProjNumber","CB-20","ProjEntity","City of Cocoa Beach")</f>
        <v>9.1122747795589394</v>
      </c>
      <c r="J21" s="116">
        <f>'Retention, Trains, and Swales'!F16</f>
        <v>4.6058910347130444E-2</v>
      </c>
      <c r="K21" s="115">
        <f t="shared" si="1"/>
        <v>0.41970144713012303</v>
      </c>
      <c r="L21" s="11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</row>
    <row r="22" spans="1:57" s="32" customFormat="1" ht="25.5" x14ac:dyDescent="0.25">
      <c r="A22" s="86" t="s">
        <v>285</v>
      </c>
      <c r="B22" s="86" t="s">
        <v>284</v>
      </c>
      <c r="C22" s="86" t="s">
        <v>321</v>
      </c>
      <c r="D22" s="86" t="s">
        <v>68</v>
      </c>
      <c r="E22" s="114">
        <f>GETPIVOTDATA("Sum of Acres",'2020 Pivot Load Summary'!$A$1,"BMAP","Banana River","PZ","B","ProjNumber","CB-21","ProjEntity","City of Cocoa Beach")</f>
        <v>2.1676831713923699</v>
      </c>
      <c r="F22" s="115">
        <f>GETPIVOTDATA("Sum of TN_C1",'2020 Pivot Load Summary'!$A$1,"BMAP","Banana River","PZ","B","ProjNumber","CB-21","ProjEntity","City of Cocoa Beach")</f>
        <v>20.02410573461496</v>
      </c>
      <c r="G22" s="116">
        <f>'Retention, Trains, and Swales'!F17</f>
        <v>0.14996782601804939</v>
      </c>
      <c r="H22" s="115">
        <f t="shared" si="0"/>
        <v>3.0029716049757615</v>
      </c>
      <c r="I22" s="115">
        <f>GETPIVOTDATA("Sum of TP_C1",'2020 Pivot Load Summary'!$A$1,"BMAP","Banana River","PZ","B","ProjNumber","CB-21","ProjEntity","City of Cocoa Beach")</f>
        <v>3.4727967427440403</v>
      </c>
      <c r="J22" s="116">
        <f>'Retention, Trains, and Swales'!F17</f>
        <v>0.14996782601804939</v>
      </c>
      <c r="K22" s="115">
        <f t="shared" si="1"/>
        <v>0.52080777771188691</v>
      </c>
      <c r="L22" s="11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</row>
    <row r="23" spans="1:57" s="32" customFormat="1" ht="15" x14ac:dyDescent="0.25">
      <c r="A23" s="86" t="s">
        <v>286</v>
      </c>
      <c r="B23" s="86" t="s">
        <v>287</v>
      </c>
      <c r="C23" s="86" t="s">
        <v>98</v>
      </c>
      <c r="D23" s="86" t="s">
        <v>68</v>
      </c>
      <c r="E23" s="114">
        <f>GETPIVOTDATA("Sum of Acres",'2020 Pivot Load Summary'!$A$1,"BMAP","Banana River","PZ","B","ProjNumber","CB-22","ProjEntity","City of Cocoa Beach")</f>
        <v>1.1427273203224397</v>
      </c>
      <c r="F23" s="115">
        <f>GETPIVOTDATA("Sum of TN_C1",'2020 Pivot Load Summary'!$A$1,"BMAP","Banana River","PZ","B","ProjNumber","CB-22","ProjEntity","City of Cocoa Beach")</f>
        <v>12.342800701125759</v>
      </c>
      <c r="G23" s="116">
        <v>0.1</v>
      </c>
      <c r="H23" s="115">
        <f t="shared" si="0"/>
        <v>1.234280070112576</v>
      </c>
      <c r="I23" s="115">
        <f>GETPIVOTDATA("Sum of TP_C1",'2020 Pivot Load Summary'!$A$1,"BMAP","Banana River","PZ","B","ProjNumber","CB-22","ProjEntity","City of Cocoa Beach")</f>
        <v>2.3726078004853899</v>
      </c>
      <c r="J23" s="116">
        <v>0.1</v>
      </c>
      <c r="K23" s="115">
        <f t="shared" si="1"/>
        <v>0.23726078004853901</v>
      </c>
      <c r="L23" s="121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</row>
    <row r="24" spans="1:57" s="32" customFormat="1" ht="15" x14ac:dyDescent="0.25">
      <c r="A24" s="86" t="s">
        <v>288</v>
      </c>
      <c r="B24" s="86" t="s">
        <v>287</v>
      </c>
      <c r="C24" s="86" t="s">
        <v>98</v>
      </c>
      <c r="D24" s="86" t="s">
        <v>68</v>
      </c>
      <c r="E24" s="114">
        <f>GETPIVOTDATA("Sum of Acres",'2020 Pivot Load Summary'!$A$1,"BMAP","Banana River","PZ","B","ProjNumber","CB-23","ProjEntity","City of Cocoa Beach")</f>
        <v>1.3634102165412898</v>
      </c>
      <c r="F24" s="115">
        <f>GETPIVOTDATA("Sum of TN_C1",'2020 Pivot Load Summary'!$A$1,"BMAP","Banana River","PZ","B","ProjNumber","CB-23","ProjEntity","City of Cocoa Beach")</f>
        <v>14.653704294915428</v>
      </c>
      <c r="G24" s="116">
        <v>0.1</v>
      </c>
      <c r="H24" s="115">
        <f t="shared" si="0"/>
        <v>1.4653704294915428</v>
      </c>
      <c r="I24" s="115">
        <f>GETPIVOTDATA("Sum of TP_C1",'2020 Pivot Load Summary'!$A$1,"BMAP","Banana River","PZ","B","ProjNumber","CB-23","ProjEntity","City of Cocoa Beach")</f>
        <v>2.7967086930110598</v>
      </c>
      <c r="J24" s="116">
        <v>0.1</v>
      </c>
      <c r="K24" s="115">
        <f t="shared" si="1"/>
        <v>0.27967086930110602</v>
      </c>
      <c r="L24" s="121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</row>
    <row r="25" spans="1:57" s="32" customFormat="1" ht="25.5" x14ac:dyDescent="0.25">
      <c r="A25" s="86" t="s">
        <v>289</v>
      </c>
      <c r="B25" s="86" t="s">
        <v>290</v>
      </c>
      <c r="C25" s="86" t="s">
        <v>321</v>
      </c>
      <c r="D25" s="86" t="s">
        <v>68</v>
      </c>
      <c r="E25" s="114">
        <f>GETPIVOTDATA("Sum of Acres",'2020 Pivot Load Summary'!$A$1,"BMAP","Banana River","PZ","B","ProjNumber","CB-24","ProjEntity","City of Cocoa Beach")</f>
        <v>3.2060677724860307</v>
      </c>
      <c r="F25" s="115">
        <f>GETPIVOTDATA("Sum of TN_C1",'2020 Pivot Load Summary'!$A$1,"BMAP","Banana River","PZ","B","ProjNumber","CB-24","ProjEntity","City of Cocoa Beach")</f>
        <v>31.25611907820414</v>
      </c>
      <c r="G25" s="122">
        <f>'Retention, Trains, and Swales'!F18</f>
        <v>4.6058910347130444E-2</v>
      </c>
      <c r="H25" s="115">
        <f t="shared" si="0"/>
        <v>1.439622786422238</v>
      </c>
      <c r="I25" s="115">
        <f>GETPIVOTDATA("Sum of TP_C1",'2020 Pivot Load Summary'!$A$1,"BMAP","Banana River","PZ","B","ProjNumber","CB-24","ProjEntity","City of Cocoa Beach")</f>
        <v>5.2716370633076002</v>
      </c>
      <c r="J25" s="123">
        <f>'Retention, Trains, and Swales'!F18</f>
        <v>4.6058910347130444E-2</v>
      </c>
      <c r="K25" s="115">
        <f t="shared" si="1"/>
        <v>0.24280585888149478</v>
      </c>
      <c r="L25" s="118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</row>
    <row r="26" spans="1:57" s="32" customFormat="1" ht="25.5" x14ac:dyDescent="0.25">
      <c r="A26" s="86" t="s">
        <v>291</v>
      </c>
      <c r="B26" s="86" t="s">
        <v>292</v>
      </c>
      <c r="C26" s="86" t="s">
        <v>321</v>
      </c>
      <c r="D26" s="86" t="s">
        <v>68</v>
      </c>
      <c r="E26" s="114">
        <f>GETPIVOTDATA("Sum of Acres",'2020 Pivot Load Summary'!$A$1,"BMAP","Banana River","PZ","B","ProjNumber","CB-25","ProjEntity","City of Cocoa Beach")</f>
        <v>1.17799206239059</v>
      </c>
      <c r="F26" s="115">
        <f>GETPIVOTDATA("Sum of TN_C1",'2020 Pivot Load Summary'!$A$1,"BMAP","Banana River","PZ","B","ProjNumber","CB-25","ProjEntity","City of Cocoa Beach")</f>
        <v>10.618204340822551</v>
      </c>
      <c r="G26" s="122">
        <f>'Retention, Trains, and Swales'!F19</f>
        <v>0.39519789568585573</v>
      </c>
      <c r="H26" s="115">
        <f t="shared" si="0"/>
        <v>4.1962920114554914</v>
      </c>
      <c r="I26" s="115">
        <f>GETPIVOTDATA("Sum of TP_C1",'2020 Pivot Load Summary'!$A$1,"BMAP","Banana River","PZ","B","ProjNumber","CB-25","ProjEntity","City of Cocoa Beach")</f>
        <v>1.6745777326920999</v>
      </c>
      <c r="J26" s="123">
        <f>'Retention, Trains, and Swales'!F19</f>
        <v>0.39519789568585573</v>
      </c>
      <c r="K26" s="115">
        <f t="shared" si="1"/>
        <v>0.66178959612230925</v>
      </c>
      <c r="L26" s="118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</row>
    <row r="27" spans="1:57" s="32" customFormat="1" ht="25.5" x14ac:dyDescent="0.25">
      <c r="A27" s="86" t="s">
        <v>293</v>
      </c>
      <c r="B27" s="86" t="s">
        <v>294</v>
      </c>
      <c r="C27" s="86" t="s">
        <v>321</v>
      </c>
      <c r="D27" s="86" t="s">
        <v>68</v>
      </c>
      <c r="E27" s="114">
        <f>GETPIVOTDATA("Sum of Acres",'2020 Pivot Load Summary'!$A$1,"BMAP","Banana River","PZ","B","ProjNumber","CB-26","ProjEntity","City of Cocoa Beach")</f>
        <v>1.3224320067333504</v>
      </c>
      <c r="F27" s="115">
        <f>GETPIVOTDATA("Sum of TN_C1",'2020 Pivot Load Summary'!$A$1,"BMAP","Banana River","PZ","B","ProjNumber","CB-26","ProjEntity","City of Cocoa Beach")</f>
        <v>9.5780687642040494</v>
      </c>
      <c r="G27" s="122">
        <f>'Retention, Trains, and Swales'!F20</f>
        <v>0.99107174912376517</v>
      </c>
      <c r="H27" s="115">
        <f t="shared" si="0"/>
        <v>9.4925533633674064</v>
      </c>
      <c r="I27" s="115">
        <f>GETPIVOTDATA("Sum of TP_C1",'2020 Pivot Load Summary'!$A$1,"BMAP","Banana River","PZ","B","ProjNumber","CB-26","ProjEntity","City of Cocoa Beach")</f>
        <v>1.2830680751480801</v>
      </c>
      <c r="J27" s="123">
        <f>'Retention, Trains, and Swales'!F20</f>
        <v>0.99107174912376517</v>
      </c>
      <c r="K27" s="115">
        <f t="shared" si="1"/>
        <v>1.2716125214818703</v>
      </c>
      <c r="L27" s="118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</row>
    <row r="28" spans="1:57" s="32" customFormat="1" ht="25.5" x14ac:dyDescent="0.25">
      <c r="A28" s="86" t="s">
        <v>295</v>
      </c>
      <c r="B28" s="86" t="s">
        <v>296</v>
      </c>
      <c r="C28" s="86" t="s">
        <v>321</v>
      </c>
      <c r="D28" s="86" t="s">
        <v>68</v>
      </c>
      <c r="E28" s="114">
        <f>GETPIVOTDATA("Sum of Acres",'2020 Pivot Load Summary'!$A$1,"BMAP","Banana River","PZ","B","ProjNumber","CB-27","ProjEntity","City of Cocoa Beach")</f>
        <v>1.9313049216865201</v>
      </c>
      <c r="F28" s="115">
        <f>GETPIVOTDATA("Sum of TN_C1",'2020 Pivot Load Summary'!$A$1,"BMAP","Banana River","PZ","B","ProjNumber","CB-27","ProjEntity","City of Cocoa Beach")</f>
        <v>14.250953487034293</v>
      </c>
      <c r="G28" s="122">
        <f>'Retention, Trains, and Swales'!F21</f>
        <v>3.3340124097805512E-2</v>
      </c>
      <c r="H28" s="115">
        <f t="shared" si="0"/>
        <v>0.47512855776977753</v>
      </c>
      <c r="I28" s="115">
        <f>GETPIVOTDATA("Sum of TP_C1",'2020 Pivot Load Summary'!$A$1,"BMAP","Banana River","PZ","B","ProjNumber","CB-27","ProjEntity","City of Cocoa Beach")</f>
        <v>1.9572232440887802</v>
      </c>
      <c r="J28" s="123">
        <f>'Retention, Trains, and Swales'!F21</f>
        <v>3.3340124097805512E-2</v>
      </c>
      <c r="K28" s="115">
        <f t="shared" si="1"/>
        <v>6.5254065845029421E-2</v>
      </c>
      <c r="L28" s="118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</row>
    <row r="29" spans="1:57" s="32" customFormat="1" ht="25.5" x14ac:dyDescent="0.25">
      <c r="A29" s="86" t="s">
        <v>297</v>
      </c>
      <c r="B29" s="86" t="s">
        <v>298</v>
      </c>
      <c r="C29" s="86" t="s">
        <v>321</v>
      </c>
      <c r="D29" s="86" t="s">
        <v>68</v>
      </c>
      <c r="E29" s="114">
        <f>GETPIVOTDATA("Sum of Acres",'2020 Pivot Load Summary'!$A$1,"BMAP","Banana River","PZ","B","ProjNumber","CB-28","ProjEntity","City of Cocoa Beach")</f>
        <v>0.91311406177757015</v>
      </c>
      <c r="F29" s="115">
        <f>GETPIVOTDATA("Sum of TN_C1",'2020 Pivot Load Summary'!$A$1,"BMAP","Banana River","PZ","B","ProjNumber","CB-28","ProjEntity","City of Cocoa Beach")</f>
        <v>6.7723966257823704</v>
      </c>
      <c r="G29" s="122">
        <f>'Retention, Trains, and Swales'!F22</f>
        <v>0.21226331376565957</v>
      </c>
      <c r="H29" s="115">
        <f t="shared" si="0"/>
        <v>1.4375313499239375</v>
      </c>
      <c r="I29" s="115">
        <f>GETPIVOTDATA("Sum of TP_C1",'2020 Pivot Load Summary'!$A$1,"BMAP","Banana River","PZ","B","ProjNumber","CB-28","ProjEntity","City of Cocoa Beach")</f>
        <v>0.92795584477203008</v>
      </c>
      <c r="J29" s="123">
        <f>'Retention, Trains, and Swales'!F22</f>
        <v>0.21226331376565957</v>
      </c>
      <c r="K29" s="115">
        <f t="shared" si="1"/>
        <v>0.19697098263952312</v>
      </c>
      <c r="L29" s="118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</row>
    <row r="30" spans="1:57" s="32" customFormat="1" ht="25.5" x14ac:dyDescent="0.25">
      <c r="A30" s="86" t="s">
        <v>299</v>
      </c>
      <c r="B30" s="86" t="s">
        <v>300</v>
      </c>
      <c r="C30" s="86" t="s">
        <v>321</v>
      </c>
      <c r="D30" s="86" t="s">
        <v>68</v>
      </c>
      <c r="E30" s="114">
        <f>GETPIVOTDATA("Sum of Acres",'2020 Pivot Load Summary'!$A$1,"BMAP","Banana River","PZ","B","ProjNumber","CB-29","ProjEntity","City of Cocoa Beach")</f>
        <v>3.1595428518348396</v>
      </c>
      <c r="F30" s="115">
        <f>GETPIVOTDATA("Sum of TN_C1",'2020 Pivot Load Summary'!$A$1,"BMAP","Banana River","PZ","B","ProjNumber","CB-29","ProjEntity","City of Cocoa Beach")</f>
        <v>29.514748840577116</v>
      </c>
      <c r="G30" s="122">
        <f>'Retention, Trains, and Swales'!F23</f>
        <v>0.14348121108878084</v>
      </c>
      <c r="H30" s="115">
        <f t="shared" si="0"/>
        <v>4.2348119086271945</v>
      </c>
      <c r="I30" s="115">
        <f>GETPIVOTDATA("Sum of TP_C1",'2020 Pivot Load Summary'!$A$1,"BMAP","Banana River","PZ","B","ProjNumber","CB-29","ProjEntity","City of Cocoa Beach")</f>
        <v>4.9009404071298999</v>
      </c>
      <c r="J30" s="123">
        <f>'Retention, Trains, and Swales'!F23</f>
        <v>0.14348121108878084</v>
      </c>
      <c r="K30" s="115">
        <f t="shared" si="1"/>
        <v>0.70319286508894063</v>
      </c>
      <c r="L30" s="118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</row>
    <row r="31" spans="1:57" s="32" customFormat="1" ht="25.5" x14ac:dyDescent="0.25">
      <c r="A31" s="86" t="s">
        <v>301</v>
      </c>
      <c r="B31" s="86" t="s">
        <v>300</v>
      </c>
      <c r="C31" s="86" t="s">
        <v>321</v>
      </c>
      <c r="D31" s="86" t="s">
        <v>68</v>
      </c>
      <c r="E31" s="114">
        <f>GETPIVOTDATA("Sum of Acres",'2020 Pivot Load Summary'!$A$1,"BMAP","Banana River","PZ","B","ProjNumber","CB-30","ProjEntity","City of Cocoa Beach")</f>
        <v>4.5650821165533602</v>
      </c>
      <c r="F31" s="115">
        <f>GETPIVOTDATA("Sum of TN_C1",'2020 Pivot Load Summary'!$A$1,"BMAP","Banana River","PZ","B","ProjNumber","CB-30","ProjEntity","City of Cocoa Beach")</f>
        <v>44.265211171295661</v>
      </c>
      <c r="G31" s="122">
        <f>'Retention, Trains, and Swales'!F24</f>
        <v>5.7834667122356853E-2</v>
      </c>
      <c r="H31" s="115">
        <f t="shared" si="0"/>
        <v>2.5600637531927166</v>
      </c>
      <c r="I31" s="115">
        <f>GETPIVOTDATA("Sum of TP_C1",'2020 Pivot Load Summary'!$A$1,"BMAP","Banana River","PZ","B","ProjNumber","CB-30","ProjEntity","City of Cocoa Beach")</f>
        <v>6.3582783513073799</v>
      </c>
      <c r="J31" s="123">
        <f>'Retention, Trains, and Swales'!F24</f>
        <v>5.7834667122356853E-2</v>
      </c>
      <c r="K31" s="115">
        <f t="shared" si="1"/>
        <v>0.36772891191915025</v>
      </c>
      <c r="L31" s="118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</row>
    <row r="32" spans="1:57" s="32" customFormat="1" ht="25.5" x14ac:dyDescent="0.25">
      <c r="A32" s="86" t="s">
        <v>302</v>
      </c>
      <c r="B32" s="86" t="s">
        <v>303</v>
      </c>
      <c r="C32" s="86" t="s">
        <v>321</v>
      </c>
      <c r="D32" s="86" t="s">
        <v>68</v>
      </c>
      <c r="E32" s="86" t="s">
        <v>12</v>
      </c>
      <c r="F32" s="86" t="s">
        <v>12</v>
      </c>
      <c r="G32" s="86" t="s">
        <v>12</v>
      </c>
      <c r="H32" s="86" t="s">
        <v>12</v>
      </c>
      <c r="I32" s="86" t="s">
        <v>12</v>
      </c>
      <c r="J32" s="86" t="s">
        <v>12</v>
      </c>
      <c r="K32" s="86" t="s">
        <v>12</v>
      </c>
      <c r="L32" s="101" t="s">
        <v>322</v>
      </c>
    </row>
    <row r="33" spans="1:12" s="32" customFormat="1" ht="25.5" x14ac:dyDescent="0.25">
      <c r="A33" s="86" t="s">
        <v>304</v>
      </c>
      <c r="B33" s="86" t="s">
        <v>305</v>
      </c>
      <c r="C33" s="86" t="s">
        <v>321</v>
      </c>
      <c r="D33" s="86" t="s">
        <v>68</v>
      </c>
      <c r="E33" s="114">
        <f>GETPIVOTDATA("Sum of Acres",'2020 Pivot Load Summary'!$A$1,"BMAP","Banana River","PZ","B","ProjNumber","CB-32","ProjEntity","City of Cocoa Beach")</f>
        <v>1.0789027653743999</v>
      </c>
      <c r="F33" s="115">
        <f>GETPIVOTDATA("Sum of TN_C1",'2020 Pivot Load Summary'!$A$1,"BMAP","Banana River","PZ","B","ProjNumber","CB-32","ProjEntity","City of Cocoa Beach")</f>
        <v>9.8658309212931243</v>
      </c>
      <c r="G33" s="122">
        <f>'Retention, Trains, and Swales'!F26</f>
        <v>0</v>
      </c>
      <c r="H33" s="115">
        <f t="shared" si="0"/>
        <v>0</v>
      </c>
      <c r="I33" s="115">
        <f>GETPIVOTDATA("Sum of TP_C1",'2020 Pivot Load Summary'!$A$1,"BMAP","Banana River","PZ","B","ProjNumber","CB-32","ProjEntity","City of Cocoa Beach")</f>
        <v>1.4458243216386597</v>
      </c>
      <c r="J33" s="123">
        <f>'Retention, Trains, and Swales'!F26</f>
        <v>0</v>
      </c>
      <c r="K33" s="115">
        <f t="shared" ref="K33:K34" si="2">IFERROR(I33*J33,0)</f>
        <v>0</v>
      </c>
      <c r="L33" s="118"/>
    </row>
    <row r="34" spans="1:12" s="32" customFormat="1" ht="25.5" x14ac:dyDescent="0.25">
      <c r="A34" s="86" t="s">
        <v>306</v>
      </c>
      <c r="B34" s="86" t="s">
        <v>305</v>
      </c>
      <c r="C34" s="86" t="s">
        <v>321</v>
      </c>
      <c r="D34" s="86" t="s">
        <v>68</v>
      </c>
      <c r="E34" s="114">
        <f>GETPIVOTDATA("Sum of Acres",'2020 Pivot Load Summary'!$A$1,"BMAP","Banana River","PZ","B","ProjNumber","CB-33","ProjEntity","City of Cocoa Beach")</f>
        <v>2.2521869924116302</v>
      </c>
      <c r="F34" s="115">
        <f>GETPIVOTDATA("Sum of TN_C1",'2020 Pivot Load Summary'!$A$1,"BMAP","Banana River","PZ","B","ProjNumber","CB-32","ProjEntity","City of Cocoa Beach")</f>
        <v>9.8658309212931243</v>
      </c>
      <c r="G34" s="122">
        <f>'Retention, Trains, and Swales'!F27</f>
        <v>0</v>
      </c>
      <c r="H34" s="115">
        <f t="shared" si="0"/>
        <v>0</v>
      </c>
      <c r="I34" s="115">
        <f>GETPIVOTDATA("Sum of TP_C1",'2020 Pivot Load Summary'!$A$1,"BMAP","Banana River","PZ","B","ProjNumber","CB-33","ProjEntity","City of Cocoa Beach")</f>
        <v>3.0379683313389707</v>
      </c>
      <c r="J34" s="123">
        <f>'Retention, Trains, and Swales'!F27</f>
        <v>0</v>
      </c>
      <c r="K34" s="115">
        <f t="shared" si="2"/>
        <v>0</v>
      </c>
      <c r="L34" s="118"/>
    </row>
    <row r="35" spans="1:12" ht="15" x14ac:dyDescent="0.25">
      <c r="A35" s="86" t="s">
        <v>307</v>
      </c>
      <c r="B35" s="87" t="s">
        <v>308</v>
      </c>
      <c r="C35" s="86" t="s">
        <v>85</v>
      </c>
      <c r="D35" s="86" t="s">
        <v>68</v>
      </c>
      <c r="E35" s="86" t="s">
        <v>12</v>
      </c>
      <c r="F35" s="86" t="s">
        <v>12</v>
      </c>
      <c r="G35" s="86" t="s">
        <v>12</v>
      </c>
      <c r="H35" s="115">
        <v>32</v>
      </c>
      <c r="I35" s="86" t="s">
        <v>12</v>
      </c>
      <c r="J35" s="86" t="s">
        <v>12</v>
      </c>
      <c r="K35" s="115">
        <v>10.3</v>
      </c>
      <c r="L35" s="118"/>
    </row>
    <row r="36" spans="1:12" ht="25.5" x14ac:dyDescent="0.25">
      <c r="A36" s="86" t="s">
        <v>309</v>
      </c>
      <c r="B36" s="86" t="s">
        <v>310</v>
      </c>
      <c r="C36" s="86" t="s">
        <v>98</v>
      </c>
      <c r="D36" s="86" t="s">
        <v>68</v>
      </c>
      <c r="E36" s="114">
        <f>GETPIVOTDATA("Sum of Acres",'2020 Pivot Load Summary'!$A$1,"BMAP","Banana River","PZ","B","ProjNumber","CB-35","ProjEntity","City of Cocoa Beach")</f>
        <v>1.23712389417559</v>
      </c>
      <c r="F36" s="115">
        <f>GETPIVOTDATA("Sum of TN_C1",'2020 Pivot Load Summary'!$A$1,"BMAP","Banana River","PZ","B","ProjNumber","CB-35","ProjEntity","City of Cocoa Beach")</f>
        <v>10.29128439290333</v>
      </c>
      <c r="G36" s="116">
        <v>0.1</v>
      </c>
      <c r="H36" s="115">
        <f t="shared" si="0"/>
        <v>1.029128439290333</v>
      </c>
      <c r="I36" s="115">
        <f>GETPIVOTDATA("Sum of TP_C1",'2020 Pivot Load Summary'!$A$1,"BMAP","Banana River","PZ","B","ProjNumber","CB-35","ProjEntity","City of Cocoa Beach")</f>
        <v>1.5141888714770499</v>
      </c>
      <c r="J36" s="116">
        <v>0.1</v>
      </c>
      <c r="K36" s="115">
        <f t="shared" ref="K36:K42" si="3">IFERROR(I36*J36,0)</f>
        <v>0.15141888714770502</v>
      </c>
      <c r="L36" s="118"/>
    </row>
    <row r="37" spans="1:12" ht="15" x14ac:dyDescent="0.25">
      <c r="A37" s="86" t="s">
        <v>311</v>
      </c>
      <c r="B37" s="87" t="s">
        <v>312</v>
      </c>
      <c r="C37" s="86" t="s">
        <v>98</v>
      </c>
      <c r="D37" s="86" t="s">
        <v>68</v>
      </c>
      <c r="E37" s="114">
        <f>GETPIVOTDATA("Sum of Acres",'2020 Pivot Load Summary'!$A$1,"BMAP","Banana River","PZ","B","ProjNumber","CB-36","ProjEntity","City of Cocoa Beach")</f>
        <v>1.7455822367759999</v>
      </c>
      <c r="F37" s="115">
        <f>GETPIVOTDATA("Sum of TN_C1",'2020 Pivot Load Summary'!$A$1,"BMAP","Banana River","PZ","B","ProjNumber","CB-36","ProjEntity","City of Cocoa Beach")</f>
        <v>19.076022082240172</v>
      </c>
      <c r="G37" s="116">
        <v>0.1</v>
      </c>
      <c r="H37" s="115">
        <f t="shared" si="0"/>
        <v>1.9076022082240174</v>
      </c>
      <c r="I37" s="115">
        <f>GETPIVOTDATA("Sum of TP_C1",'2020 Pivot Load Summary'!$A$1,"BMAP","Banana River","PZ","B","ProjNumber","CB-36","ProjEntity","City of Cocoa Beach")</f>
        <v>3.1877233325534093</v>
      </c>
      <c r="J37" s="116">
        <v>0.1</v>
      </c>
      <c r="K37" s="115">
        <f t="shared" si="3"/>
        <v>0.31877233325534093</v>
      </c>
      <c r="L37" s="118"/>
    </row>
    <row r="38" spans="1:12" ht="15" x14ac:dyDescent="0.25">
      <c r="A38" s="86" t="s">
        <v>313</v>
      </c>
      <c r="B38" s="86" t="s">
        <v>3</v>
      </c>
      <c r="C38" s="86" t="s">
        <v>3</v>
      </c>
      <c r="D38" s="86" t="s">
        <v>68</v>
      </c>
      <c r="E38" s="86" t="s">
        <v>12</v>
      </c>
      <c r="F38" s="86" t="s">
        <v>12</v>
      </c>
      <c r="G38" s="86" t="s">
        <v>12</v>
      </c>
      <c r="H38" s="115">
        <v>84</v>
      </c>
      <c r="I38" s="86" t="s">
        <v>12</v>
      </c>
      <c r="J38" s="86" t="s">
        <v>12</v>
      </c>
      <c r="K38" s="115">
        <v>54</v>
      </c>
      <c r="L38" s="118"/>
    </row>
    <row r="39" spans="1:12" ht="15" x14ac:dyDescent="0.25">
      <c r="A39" s="86" t="s">
        <v>314</v>
      </c>
      <c r="B39" s="86" t="s">
        <v>99</v>
      </c>
      <c r="C39" s="86" t="s">
        <v>99</v>
      </c>
      <c r="D39" s="86" t="s">
        <v>68</v>
      </c>
      <c r="E39" s="124" t="s">
        <v>12</v>
      </c>
      <c r="F39" s="124">
        <f>'New Required Reductions'!B4</f>
        <v>16412</v>
      </c>
      <c r="G39" s="122">
        <f>Education!B16</f>
        <v>0.06</v>
      </c>
      <c r="H39" s="115">
        <f t="shared" si="0"/>
        <v>984.71999999999991</v>
      </c>
      <c r="I39" s="124">
        <f>'New Required Reductions'!F4</f>
        <v>2500</v>
      </c>
      <c r="J39" s="122">
        <f>Education!B16</f>
        <v>0.06</v>
      </c>
      <c r="K39" s="115">
        <f t="shared" si="3"/>
        <v>150</v>
      </c>
      <c r="L39" s="121"/>
    </row>
    <row r="40" spans="1:12" ht="25.5" x14ac:dyDescent="0.25">
      <c r="A40" s="86" t="s">
        <v>315</v>
      </c>
      <c r="B40" s="86" t="s">
        <v>316</v>
      </c>
      <c r="C40" s="86" t="s">
        <v>87</v>
      </c>
      <c r="D40" s="86" t="s">
        <v>68</v>
      </c>
      <c r="E40" s="114">
        <f>GETPIVOTDATA("Sum of Acres",'2020 Pivot Load Summary'!$A$1,"BMAP","Banana River","PZ","B","ProjNumber","CB-39","ProjEntity","City of Cocoa Beach")</f>
        <v>17.481337003213692</v>
      </c>
      <c r="F40" s="115">
        <f>GETPIVOTDATA("Sum of TN_C1",'2020 Pivot Load Summary'!$A$1,"BMAP","Banana River","PZ","B","ProjNumber","CB-39","ProjEntity","City of Cocoa Beach")</f>
        <v>196.15787758246063</v>
      </c>
      <c r="G40" s="125">
        <f>'Retention, Trains, and Swales'!F28</f>
        <v>0.84969280805516645</v>
      </c>
      <c r="H40" s="115">
        <f t="shared" si="0"/>
        <v>166.67393782518255</v>
      </c>
      <c r="I40" s="115">
        <f>GETPIVOTDATA("Sum of TP_C1",'2020 Pivot Load Summary'!$A$1,"BMAP","Banana River","PZ","B","ProjNumber","CB-39","ProjEntity","City of Cocoa Beach")</f>
        <v>27.101292179066611</v>
      </c>
      <c r="J40" s="125">
        <f>'Retention, Trains, and Swales'!F28</f>
        <v>0.84969280805516645</v>
      </c>
      <c r="K40" s="115">
        <f t="shared" si="3"/>
        <v>23.027773053554629</v>
      </c>
      <c r="L40" s="126"/>
    </row>
    <row r="41" spans="1:12" ht="15" x14ac:dyDescent="0.25">
      <c r="A41" s="86" t="s">
        <v>317</v>
      </c>
      <c r="B41" s="86" t="s">
        <v>318</v>
      </c>
      <c r="C41" s="86" t="s">
        <v>87</v>
      </c>
      <c r="D41" s="86" t="s">
        <v>68</v>
      </c>
      <c r="E41" s="114"/>
      <c r="F41" s="115"/>
      <c r="G41" s="125" t="e">
        <f>'Retention, Trains, and Swales'!F29</f>
        <v>#NUM!</v>
      </c>
      <c r="H41" s="115">
        <f t="shared" si="0"/>
        <v>0</v>
      </c>
      <c r="I41" s="115"/>
      <c r="J41" s="125" t="e">
        <f>'Retention, Trains, and Swales'!F29</f>
        <v>#NUM!</v>
      </c>
      <c r="K41" s="115">
        <f t="shared" si="3"/>
        <v>0</v>
      </c>
      <c r="L41" s="126"/>
    </row>
    <row r="42" spans="1:12" ht="15" x14ac:dyDescent="0.25">
      <c r="A42" s="86" t="s">
        <v>319</v>
      </c>
      <c r="B42" s="87" t="s">
        <v>320</v>
      </c>
      <c r="C42" s="86" t="s">
        <v>87</v>
      </c>
      <c r="D42" s="86" t="s">
        <v>68</v>
      </c>
      <c r="E42" s="114"/>
      <c r="F42" s="115"/>
      <c r="G42" s="125" t="e">
        <f>'Retention, Trains, and Swales'!F30</f>
        <v>#NUM!</v>
      </c>
      <c r="H42" s="115">
        <f t="shared" si="0"/>
        <v>0</v>
      </c>
      <c r="I42" s="115"/>
      <c r="J42" s="125" t="e">
        <f>'Retention, Trains, and Swales'!F30</f>
        <v>#NUM!</v>
      </c>
      <c r="K42" s="115">
        <f t="shared" si="3"/>
        <v>0</v>
      </c>
      <c r="L42" s="121"/>
    </row>
    <row r="43" spans="1:12" x14ac:dyDescent="0.25">
      <c r="G43" s="44" t="s">
        <v>43</v>
      </c>
      <c r="H43" s="45">
        <f>SUM(H2:H42)</f>
        <v>2299.1359483843862</v>
      </c>
      <c r="I43" s="46"/>
      <c r="J43" s="46"/>
      <c r="K43" s="45">
        <f>SUM(K2:K42)</f>
        <v>492.44492858236623</v>
      </c>
    </row>
  </sheetData>
  <autoFilter ref="A1:M44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6"/>
  <sheetViews>
    <sheetView workbookViewId="0">
      <selection activeCell="J17" sqref="J17"/>
    </sheetView>
  </sheetViews>
  <sheetFormatPr defaultRowHeight="15" x14ac:dyDescent="0.25"/>
  <cols>
    <col min="1" max="1" width="20.28515625" bestFit="1" customWidth="1"/>
    <col min="2" max="2" width="13.28515625" bestFit="1" customWidth="1"/>
    <col min="3" max="3" width="12.85546875" bestFit="1" customWidth="1"/>
    <col min="4" max="4" width="13.85546875" bestFit="1" customWidth="1"/>
    <col min="5" max="5" width="18.85546875" bestFit="1" customWidth="1"/>
    <col min="6" max="6" width="12.42578125" bestFit="1" customWidth="1"/>
  </cols>
  <sheetData>
    <row r="1" spans="1:6" x14ac:dyDescent="0.25">
      <c r="A1" s="103" t="s">
        <v>441</v>
      </c>
      <c r="B1" s="90" t="s">
        <v>443</v>
      </c>
      <c r="C1" s="90" t="s">
        <v>444</v>
      </c>
      <c r="D1" s="90" t="s">
        <v>445</v>
      </c>
      <c r="E1" s="90" t="s">
        <v>446</v>
      </c>
      <c r="F1" s="90" t="s">
        <v>447</v>
      </c>
    </row>
    <row r="2" spans="1:6" x14ac:dyDescent="0.25">
      <c r="A2" s="104" t="s">
        <v>244</v>
      </c>
      <c r="B2" s="108">
        <v>3503.068639625757</v>
      </c>
      <c r="C2" s="108">
        <v>557.51684130236754</v>
      </c>
      <c r="D2" s="108">
        <v>1771860.3570092001</v>
      </c>
      <c r="E2" s="108">
        <v>1437.0319197159467</v>
      </c>
      <c r="F2" s="108">
        <v>350.48525265243774</v>
      </c>
    </row>
    <row r="3" spans="1:6" x14ac:dyDescent="0.25">
      <c r="A3" s="105" t="s">
        <v>374</v>
      </c>
      <c r="B3" s="108">
        <v>3503.068639625757</v>
      </c>
      <c r="C3" s="108">
        <v>557.51684130236754</v>
      </c>
      <c r="D3" s="108">
        <v>1771860.3570092001</v>
      </c>
      <c r="E3" s="108">
        <v>1437.0319197159467</v>
      </c>
      <c r="F3" s="108">
        <v>350.48525265243774</v>
      </c>
    </row>
    <row r="4" spans="1:6" x14ac:dyDescent="0.25">
      <c r="A4" s="106" t="s">
        <v>380</v>
      </c>
      <c r="B4" s="108">
        <v>1498.7105829883681</v>
      </c>
      <c r="C4" s="108">
        <v>238.01627940666617</v>
      </c>
      <c r="D4" s="108">
        <v>622417.15538460505</v>
      </c>
      <c r="E4" s="108">
        <v>504.79899057909995</v>
      </c>
      <c r="F4" s="108">
        <v>150.69903630556658</v>
      </c>
    </row>
    <row r="5" spans="1:6" x14ac:dyDescent="0.25">
      <c r="A5" s="107" t="s">
        <v>68</v>
      </c>
      <c r="B5" s="108">
        <v>1498.7105829883681</v>
      </c>
      <c r="C5" s="108">
        <v>238.01627940666617</v>
      </c>
      <c r="D5" s="108">
        <v>622417.15538460505</v>
      </c>
      <c r="E5" s="108">
        <v>504.79899057909995</v>
      </c>
      <c r="F5" s="108">
        <v>150.69903630556658</v>
      </c>
    </row>
    <row r="6" spans="1:6" x14ac:dyDescent="0.25">
      <c r="A6" s="106" t="s">
        <v>263</v>
      </c>
      <c r="B6" s="108">
        <v>17.567640853473389</v>
      </c>
      <c r="C6" s="108">
        <v>2.5834739353974796</v>
      </c>
      <c r="D6" s="108">
        <v>9393.533054651567</v>
      </c>
      <c r="E6" s="108">
        <v>7.6184371893999998</v>
      </c>
      <c r="F6" s="108">
        <v>1.8981888760249197</v>
      </c>
    </row>
    <row r="7" spans="1:6" x14ac:dyDescent="0.25">
      <c r="A7" s="107" t="s">
        <v>68</v>
      </c>
      <c r="B7" s="108">
        <v>17.567640853473389</v>
      </c>
      <c r="C7" s="108">
        <v>2.5834739353974796</v>
      </c>
      <c r="D7" s="108">
        <v>9393.533054651567</v>
      </c>
      <c r="E7" s="108">
        <v>7.6184371893999998</v>
      </c>
      <c r="F7" s="108">
        <v>1.8981888760249197</v>
      </c>
    </row>
    <row r="8" spans="1:6" x14ac:dyDescent="0.25">
      <c r="A8" s="106" t="s">
        <v>265</v>
      </c>
      <c r="B8" s="108">
        <v>18.546329742421772</v>
      </c>
      <c r="C8" s="108">
        <v>2.7280171022244297</v>
      </c>
      <c r="D8" s="108">
        <v>11246.913345459625</v>
      </c>
      <c r="E8" s="108">
        <v>9.1215842218999992</v>
      </c>
      <c r="F8" s="108">
        <v>2.0288415987039397</v>
      </c>
    </row>
    <row r="9" spans="1:6" x14ac:dyDescent="0.25">
      <c r="A9" s="107" t="s">
        <v>68</v>
      </c>
      <c r="B9" s="108">
        <v>18.546329742421772</v>
      </c>
      <c r="C9" s="108">
        <v>2.7280171022244297</v>
      </c>
      <c r="D9" s="108">
        <v>11246.913345459625</v>
      </c>
      <c r="E9" s="108">
        <v>9.1215842218999992</v>
      </c>
      <c r="F9" s="108">
        <v>2.0288415987039397</v>
      </c>
    </row>
    <row r="10" spans="1:6" x14ac:dyDescent="0.25">
      <c r="A10" s="106" t="s">
        <v>267</v>
      </c>
      <c r="B10" s="108">
        <v>15.075394222618009</v>
      </c>
      <c r="C10" s="108">
        <v>2.7453694357317704</v>
      </c>
      <c r="D10" s="108">
        <v>12462.657777660097</v>
      </c>
      <c r="E10" s="108">
        <v>10.107589438499998</v>
      </c>
      <c r="F10" s="108">
        <v>1.40135706061788</v>
      </c>
    </row>
    <row r="11" spans="1:6" x14ac:dyDescent="0.25">
      <c r="A11" s="107" t="s">
        <v>68</v>
      </c>
      <c r="B11" s="108">
        <v>15.075394222618009</v>
      </c>
      <c r="C11" s="108">
        <v>2.7453694357317704</v>
      </c>
      <c r="D11" s="108">
        <v>12462.657777660097</v>
      </c>
      <c r="E11" s="108">
        <v>10.107589438499998</v>
      </c>
      <c r="F11" s="108">
        <v>1.40135706061788</v>
      </c>
    </row>
    <row r="12" spans="1:6" x14ac:dyDescent="0.25">
      <c r="A12" s="106" t="s">
        <v>269</v>
      </c>
      <c r="B12" s="108">
        <v>8.7249550142649998E-2</v>
      </c>
      <c r="C12" s="108">
        <v>1.1518685692780001E-2</v>
      </c>
      <c r="D12" s="108">
        <v>560.75566525094098</v>
      </c>
      <c r="E12" s="108">
        <v>0.45478967170000001</v>
      </c>
      <c r="F12" s="108">
        <v>7.59218242267E-3</v>
      </c>
    </row>
    <row r="13" spans="1:6" x14ac:dyDescent="0.25">
      <c r="A13" s="107" t="s">
        <v>68</v>
      </c>
      <c r="B13" s="108">
        <v>8.7249550142649998E-2</v>
      </c>
      <c r="C13" s="108">
        <v>1.1518685692780001E-2</v>
      </c>
      <c r="D13" s="108">
        <v>560.75566525094098</v>
      </c>
      <c r="E13" s="108">
        <v>0.45478967170000001</v>
      </c>
      <c r="F13" s="108">
        <v>7.59218242267E-3</v>
      </c>
    </row>
    <row r="14" spans="1:6" x14ac:dyDescent="0.25">
      <c r="A14" s="106" t="s">
        <v>271</v>
      </c>
      <c r="B14" s="108">
        <v>7.1787297261051393</v>
      </c>
      <c r="C14" s="108">
        <v>1.0696795098245502</v>
      </c>
      <c r="D14" s="108">
        <v>10021.950856219008</v>
      </c>
      <c r="E14" s="108">
        <v>8.1281028840000005</v>
      </c>
      <c r="F14" s="108">
        <v>0.78068854051113001</v>
      </c>
    </row>
    <row r="15" spans="1:6" x14ac:dyDescent="0.25">
      <c r="A15" s="107" t="s">
        <v>68</v>
      </c>
      <c r="B15" s="108">
        <v>7.1787297261051393</v>
      </c>
      <c r="C15" s="108">
        <v>1.0696795098245502</v>
      </c>
      <c r="D15" s="108">
        <v>10021.950856219008</v>
      </c>
      <c r="E15" s="108">
        <v>8.1281028840000005</v>
      </c>
      <c r="F15" s="108">
        <v>0.78068854051113001</v>
      </c>
    </row>
    <row r="16" spans="1:6" x14ac:dyDescent="0.25">
      <c r="A16" s="106" t="s">
        <v>273</v>
      </c>
      <c r="B16" s="108">
        <v>2.39715512885045</v>
      </c>
      <c r="C16" s="108">
        <v>0.38679271726991998</v>
      </c>
      <c r="D16" s="108">
        <v>7208.2920038358507</v>
      </c>
      <c r="E16" s="108">
        <v>5.8461411223000015</v>
      </c>
      <c r="F16" s="108">
        <v>0.21428275136532801</v>
      </c>
    </row>
    <row r="17" spans="1:6" x14ac:dyDescent="0.25">
      <c r="A17" s="107" t="s">
        <v>68</v>
      </c>
      <c r="B17" s="108">
        <v>2.39715512885045</v>
      </c>
      <c r="C17" s="108">
        <v>0.38679271726991998</v>
      </c>
      <c r="D17" s="108">
        <v>7208.2920038358507</v>
      </c>
      <c r="E17" s="108">
        <v>5.8461411223000015</v>
      </c>
      <c r="F17" s="108">
        <v>0.21428275136532801</v>
      </c>
    </row>
    <row r="18" spans="1:6" x14ac:dyDescent="0.25">
      <c r="A18" s="106" t="s">
        <v>275</v>
      </c>
      <c r="B18" s="108">
        <v>9.8906496942199524</v>
      </c>
      <c r="C18" s="108">
        <v>1.7617498801993301</v>
      </c>
      <c r="D18" s="108">
        <v>12446.048885248953</v>
      </c>
      <c r="E18" s="108">
        <v>10.094119128399999</v>
      </c>
      <c r="F18" s="108">
        <v>0.90249975442865993</v>
      </c>
    </row>
    <row r="19" spans="1:6" x14ac:dyDescent="0.25">
      <c r="A19" s="107" t="s">
        <v>68</v>
      </c>
      <c r="B19" s="108">
        <v>9.8906496942199524</v>
      </c>
      <c r="C19" s="108">
        <v>1.7617498801993301</v>
      </c>
      <c r="D19" s="108">
        <v>12446.048885248953</v>
      </c>
      <c r="E19" s="108">
        <v>10.094119128399999</v>
      </c>
      <c r="F19" s="108">
        <v>0.90249975442865993</v>
      </c>
    </row>
    <row r="20" spans="1:6" x14ac:dyDescent="0.25">
      <c r="A20" s="106" t="s">
        <v>277</v>
      </c>
      <c r="B20" s="108">
        <v>7.7980621230909311</v>
      </c>
      <c r="C20" s="108">
        <v>1.3670794676447999</v>
      </c>
      <c r="D20" s="108">
        <v>7453.1631366225447</v>
      </c>
      <c r="E20" s="108">
        <v>6.0447389590999991</v>
      </c>
      <c r="F20" s="108">
        <v>0.79031239902045003</v>
      </c>
    </row>
    <row r="21" spans="1:6" x14ac:dyDescent="0.25">
      <c r="A21" s="107" t="s">
        <v>68</v>
      </c>
      <c r="B21" s="108">
        <v>7.7980621230909311</v>
      </c>
      <c r="C21" s="108">
        <v>1.3670794676447999</v>
      </c>
      <c r="D21" s="108">
        <v>7453.1631366225447</v>
      </c>
      <c r="E21" s="108">
        <v>6.0447389590999991</v>
      </c>
      <c r="F21" s="108">
        <v>0.79031239902045003</v>
      </c>
    </row>
    <row r="22" spans="1:6" x14ac:dyDescent="0.25">
      <c r="A22" s="106" t="s">
        <v>279</v>
      </c>
      <c r="B22" s="108">
        <v>26.176912847568261</v>
      </c>
      <c r="C22" s="108">
        <v>4.3348771202017202</v>
      </c>
      <c r="D22" s="108">
        <v>16093.306872171255</v>
      </c>
      <c r="E22" s="108">
        <v>13.052154803099999</v>
      </c>
      <c r="F22" s="108">
        <v>2.9543462132417337</v>
      </c>
    </row>
    <row r="23" spans="1:6" x14ac:dyDescent="0.25">
      <c r="A23" s="107" t="s">
        <v>68</v>
      </c>
      <c r="B23" s="108">
        <v>26.176912847568261</v>
      </c>
      <c r="C23" s="108">
        <v>4.3348771202017202</v>
      </c>
      <c r="D23" s="108">
        <v>16093.306872171255</v>
      </c>
      <c r="E23" s="108">
        <v>13.052154803099999</v>
      </c>
      <c r="F23" s="108">
        <v>2.9543462132417337</v>
      </c>
    </row>
    <row r="24" spans="1:6" x14ac:dyDescent="0.25">
      <c r="A24" s="106" t="s">
        <v>281</v>
      </c>
      <c r="B24" s="108">
        <v>62.099251290334273</v>
      </c>
      <c r="C24" s="108">
        <v>8.36508798289921</v>
      </c>
      <c r="D24" s="108">
        <v>45013.951004997187</v>
      </c>
      <c r="E24" s="108">
        <v>36.507665048499994</v>
      </c>
      <c r="F24" s="108">
        <v>5.6539806486036861</v>
      </c>
    </row>
    <row r="25" spans="1:6" x14ac:dyDescent="0.25">
      <c r="A25" s="107" t="s">
        <v>68</v>
      </c>
      <c r="B25" s="108">
        <v>62.099251290334273</v>
      </c>
      <c r="C25" s="108">
        <v>8.36508798289921</v>
      </c>
      <c r="D25" s="108">
        <v>45013.951004997187</v>
      </c>
      <c r="E25" s="108">
        <v>36.507665048499994</v>
      </c>
      <c r="F25" s="108">
        <v>5.6539806486036861</v>
      </c>
    </row>
    <row r="26" spans="1:6" x14ac:dyDescent="0.25">
      <c r="A26" s="106" t="s">
        <v>405</v>
      </c>
      <c r="B26" s="108">
        <v>580.56880593415417</v>
      </c>
      <c r="C26" s="108">
        <v>91.318563977432376</v>
      </c>
      <c r="D26" s="108">
        <v>278196.6444137998</v>
      </c>
      <c r="E26" s="108">
        <v>225.6258267746002</v>
      </c>
      <c r="F26" s="108">
        <v>57.963081337093541</v>
      </c>
    </row>
    <row r="27" spans="1:6" x14ac:dyDescent="0.25">
      <c r="A27" s="107" t="s">
        <v>68</v>
      </c>
      <c r="B27" s="108">
        <v>580.56880593415417</v>
      </c>
      <c r="C27" s="108">
        <v>91.318563977432376</v>
      </c>
      <c r="D27" s="108">
        <v>278196.6444137998</v>
      </c>
      <c r="E27" s="108">
        <v>225.6258267746002</v>
      </c>
      <c r="F27" s="108">
        <v>57.963081337093541</v>
      </c>
    </row>
    <row r="28" spans="1:6" x14ac:dyDescent="0.25">
      <c r="A28" s="106" t="s">
        <v>283</v>
      </c>
      <c r="B28" s="108">
        <v>48.729806145812951</v>
      </c>
      <c r="C28" s="108">
        <v>9.1122747795589394</v>
      </c>
      <c r="D28" s="108">
        <v>28420.487312864134</v>
      </c>
      <c r="E28" s="108">
        <v>23.049868055900006</v>
      </c>
      <c r="F28" s="108">
        <v>4.7216956835255033</v>
      </c>
    </row>
    <row r="29" spans="1:6" x14ac:dyDescent="0.25">
      <c r="A29" s="107" t="s">
        <v>68</v>
      </c>
      <c r="B29" s="108">
        <v>48.729806145812951</v>
      </c>
      <c r="C29" s="108">
        <v>9.1122747795589394</v>
      </c>
      <c r="D29" s="108">
        <v>28420.487312864134</v>
      </c>
      <c r="E29" s="108">
        <v>23.049868055900006</v>
      </c>
      <c r="F29" s="108">
        <v>4.7216956835255033</v>
      </c>
    </row>
    <row r="30" spans="1:6" x14ac:dyDescent="0.25">
      <c r="A30" s="106" t="s">
        <v>285</v>
      </c>
      <c r="B30" s="108">
        <v>20.02410573461496</v>
      </c>
      <c r="C30" s="108">
        <v>3.4727967427440403</v>
      </c>
      <c r="D30" s="108">
        <v>13412.177922574518</v>
      </c>
      <c r="E30" s="108">
        <v>10.877678769299999</v>
      </c>
      <c r="F30" s="108">
        <v>2.1676831713923699</v>
      </c>
    </row>
    <row r="31" spans="1:6" x14ac:dyDescent="0.25">
      <c r="A31" s="107" t="s">
        <v>68</v>
      </c>
      <c r="B31" s="108">
        <v>20.02410573461496</v>
      </c>
      <c r="C31" s="108">
        <v>3.4727967427440403</v>
      </c>
      <c r="D31" s="108">
        <v>13412.177922574518</v>
      </c>
      <c r="E31" s="108">
        <v>10.877678769299999</v>
      </c>
      <c r="F31" s="108">
        <v>2.1676831713923699</v>
      </c>
    </row>
    <row r="32" spans="1:6" x14ac:dyDescent="0.25">
      <c r="A32" s="106" t="s">
        <v>286</v>
      </c>
      <c r="B32" s="108">
        <v>12.342800701125759</v>
      </c>
      <c r="C32" s="108">
        <v>2.3726078004853899</v>
      </c>
      <c r="D32" s="108">
        <v>22602.360974137264</v>
      </c>
      <c r="E32" s="108">
        <v>18.331193004199999</v>
      </c>
      <c r="F32" s="108">
        <v>1.1427273203224397</v>
      </c>
    </row>
    <row r="33" spans="1:6" x14ac:dyDescent="0.25">
      <c r="A33" s="107" t="s">
        <v>68</v>
      </c>
      <c r="B33" s="108">
        <v>12.342800701125759</v>
      </c>
      <c r="C33" s="108">
        <v>2.3726078004853899</v>
      </c>
      <c r="D33" s="108">
        <v>22602.360974137264</v>
      </c>
      <c r="E33" s="108">
        <v>18.331193004199999</v>
      </c>
      <c r="F33" s="108">
        <v>1.1427273203224397</v>
      </c>
    </row>
    <row r="34" spans="1:6" x14ac:dyDescent="0.25">
      <c r="A34" s="106" t="s">
        <v>288</v>
      </c>
      <c r="B34" s="108">
        <v>14.653704294915428</v>
      </c>
      <c r="C34" s="108">
        <v>2.7967086930110598</v>
      </c>
      <c r="D34" s="108">
        <v>24083.867702288993</v>
      </c>
      <c r="E34" s="108">
        <v>19.532739417799998</v>
      </c>
      <c r="F34" s="108">
        <v>1.3634102165412898</v>
      </c>
    </row>
    <row r="35" spans="1:6" x14ac:dyDescent="0.25">
      <c r="A35" s="107" t="s">
        <v>68</v>
      </c>
      <c r="B35" s="108">
        <v>14.653704294915428</v>
      </c>
      <c r="C35" s="108">
        <v>2.7967086930110598</v>
      </c>
      <c r="D35" s="108">
        <v>24083.867702288993</v>
      </c>
      <c r="E35" s="108">
        <v>19.532739417799998</v>
      </c>
      <c r="F35" s="108">
        <v>1.3634102165412898</v>
      </c>
    </row>
    <row r="36" spans="1:6" x14ac:dyDescent="0.25">
      <c r="A36" s="106" t="s">
        <v>289</v>
      </c>
      <c r="B36" s="108">
        <v>31.25611907820414</v>
      </c>
      <c r="C36" s="108">
        <v>5.2716370633076002</v>
      </c>
      <c r="D36" s="108">
        <v>28797.648597928346</v>
      </c>
      <c r="E36" s="108">
        <v>23.355757176399997</v>
      </c>
      <c r="F36" s="108">
        <v>3.2060677724860307</v>
      </c>
    </row>
    <row r="37" spans="1:6" x14ac:dyDescent="0.25">
      <c r="A37" s="107" t="s">
        <v>68</v>
      </c>
      <c r="B37" s="108">
        <v>31.25611907820414</v>
      </c>
      <c r="C37" s="108">
        <v>5.2716370633076002</v>
      </c>
      <c r="D37" s="108">
        <v>28797.648597928346</v>
      </c>
      <c r="E37" s="108">
        <v>23.355757176399997</v>
      </c>
      <c r="F37" s="108">
        <v>3.2060677724860307</v>
      </c>
    </row>
    <row r="38" spans="1:6" x14ac:dyDescent="0.25">
      <c r="A38" s="106" t="s">
        <v>291</v>
      </c>
      <c r="B38" s="108">
        <v>10.618204340822551</v>
      </c>
      <c r="C38" s="108">
        <v>1.6745777326920999</v>
      </c>
      <c r="D38" s="108">
        <v>13203.754595824475</v>
      </c>
      <c r="E38" s="108">
        <v>10.7086411971</v>
      </c>
      <c r="F38" s="108">
        <v>1.17799206239059</v>
      </c>
    </row>
    <row r="39" spans="1:6" x14ac:dyDescent="0.25">
      <c r="A39" s="107" t="s">
        <v>68</v>
      </c>
      <c r="B39" s="108">
        <v>10.618204340822551</v>
      </c>
      <c r="C39" s="108">
        <v>1.6745777326920999</v>
      </c>
      <c r="D39" s="108">
        <v>13203.754595824475</v>
      </c>
      <c r="E39" s="108">
        <v>10.7086411971</v>
      </c>
      <c r="F39" s="108">
        <v>1.17799206239059</v>
      </c>
    </row>
    <row r="40" spans="1:6" x14ac:dyDescent="0.25">
      <c r="A40" s="106" t="s">
        <v>293</v>
      </c>
      <c r="B40" s="108">
        <v>9.5780687642040494</v>
      </c>
      <c r="C40" s="108">
        <v>1.2830680751480801</v>
      </c>
      <c r="D40" s="108">
        <v>14860.696634555514</v>
      </c>
      <c r="E40" s="108">
        <v>12.0524709122</v>
      </c>
      <c r="F40" s="108">
        <v>1.3224320067333504</v>
      </c>
    </row>
    <row r="41" spans="1:6" x14ac:dyDescent="0.25">
      <c r="A41" s="107" t="s">
        <v>68</v>
      </c>
      <c r="B41" s="108">
        <v>9.5780687642040494</v>
      </c>
      <c r="C41" s="108">
        <v>1.2830680751480801</v>
      </c>
      <c r="D41" s="108">
        <v>14860.696634555514</v>
      </c>
      <c r="E41" s="108">
        <v>12.0524709122</v>
      </c>
      <c r="F41" s="108">
        <v>1.3224320067333504</v>
      </c>
    </row>
    <row r="42" spans="1:6" x14ac:dyDescent="0.25">
      <c r="A42" s="106" t="s">
        <v>295</v>
      </c>
      <c r="B42" s="108">
        <v>14.250953487034293</v>
      </c>
      <c r="C42" s="108">
        <v>1.9572232440887802</v>
      </c>
      <c r="D42" s="108">
        <v>20732.616472234269</v>
      </c>
      <c r="E42" s="108">
        <v>16.8147741055</v>
      </c>
      <c r="F42" s="108">
        <v>1.9313049216865201</v>
      </c>
    </row>
    <row r="43" spans="1:6" x14ac:dyDescent="0.25">
      <c r="A43" s="107" t="s">
        <v>68</v>
      </c>
      <c r="B43" s="108">
        <v>14.250953487034293</v>
      </c>
      <c r="C43" s="108">
        <v>1.9572232440887802</v>
      </c>
      <c r="D43" s="108">
        <v>20732.616472234269</v>
      </c>
      <c r="E43" s="108">
        <v>16.8147741055</v>
      </c>
      <c r="F43" s="108">
        <v>1.9313049216865201</v>
      </c>
    </row>
    <row r="44" spans="1:6" x14ac:dyDescent="0.25">
      <c r="A44" s="106" t="s">
        <v>297</v>
      </c>
      <c r="B44" s="108">
        <v>6.7723966257823704</v>
      </c>
      <c r="C44" s="108">
        <v>0.92795584477203008</v>
      </c>
      <c r="D44" s="108">
        <v>16526.353655957297</v>
      </c>
      <c r="E44" s="108">
        <v>13.403368739800001</v>
      </c>
      <c r="F44" s="108">
        <v>0.91311406177757015</v>
      </c>
    </row>
    <row r="45" spans="1:6" x14ac:dyDescent="0.25">
      <c r="A45" s="107" t="s">
        <v>68</v>
      </c>
      <c r="B45" s="108">
        <v>6.7723966257823704</v>
      </c>
      <c r="C45" s="108">
        <v>0.92795584477203008</v>
      </c>
      <c r="D45" s="108">
        <v>16526.353655957297</v>
      </c>
      <c r="E45" s="108">
        <v>13.403368739800001</v>
      </c>
      <c r="F45" s="108">
        <v>0.91311406177757015</v>
      </c>
    </row>
    <row r="46" spans="1:6" x14ac:dyDescent="0.25">
      <c r="A46" s="106" t="s">
        <v>299</v>
      </c>
      <c r="B46" s="108">
        <v>29.514748840577116</v>
      </c>
      <c r="C46" s="108">
        <v>4.9009404071298999</v>
      </c>
      <c r="D46" s="108">
        <v>23793.982937529207</v>
      </c>
      <c r="E46" s="108">
        <v>19.297634174999999</v>
      </c>
      <c r="F46" s="108">
        <v>3.1595428518348396</v>
      </c>
    </row>
    <row r="47" spans="1:6" x14ac:dyDescent="0.25">
      <c r="A47" s="107" t="s">
        <v>68</v>
      </c>
      <c r="B47" s="108">
        <v>29.514748840577116</v>
      </c>
      <c r="C47" s="108">
        <v>4.9009404071298999</v>
      </c>
      <c r="D47" s="108">
        <v>23793.982937529207</v>
      </c>
      <c r="E47" s="108">
        <v>19.297634174999999</v>
      </c>
      <c r="F47" s="108">
        <v>3.1595428518348396</v>
      </c>
    </row>
    <row r="48" spans="1:6" x14ac:dyDescent="0.25">
      <c r="A48" s="106" t="s">
        <v>422</v>
      </c>
      <c r="B48" s="108">
        <v>643.67432678686703</v>
      </c>
      <c r="C48" s="108">
        <v>109.96058284512009</v>
      </c>
      <c r="D48" s="108">
        <v>268443.3339396519</v>
      </c>
      <c r="E48" s="108">
        <v>217.71559930184642</v>
      </c>
      <c r="F48" s="108">
        <v>63.836958984982111</v>
      </c>
    </row>
    <row r="49" spans="1:6" x14ac:dyDescent="0.25">
      <c r="A49" s="107" t="s">
        <v>68</v>
      </c>
      <c r="B49" s="108">
        <v>643.67432678686703</v>
      </c>
      <c r="C49" s="108">
        <v>109.96058284512009</v>
      </c>
      <c r="D49" s="108">
        <v>268443.3339396519</v>
      </c>
      <c r="E49" s="108">
        <v>217.71559930184642</v>
      </c>
      <c r="F49" s="108">
        <v>63.836958984982111</v>
      </c>
    </row>
    <row r="50" spans="1:6" x14ac:dyDescent="0.25">
      <c r="A50" s="106" t="s">
        <v>301</v>
      </c>
      <c r="B50" s="108">
        <v>44.265211171295661</v>
      </c>
      <c r="C50" s="108">
        <v>6.3582783513073799</v>
      </c>
      <c r="D50" s="108">
        <v>30583.069306503057</v>
      </c>
      <c r="E50" s="108">
        <v>24.803786947799999</v>
      </c>
      <c r="F50" s="108">
        <v>4.5650821165533602</v>
      </c>
    </row>
    <row r="51" spans="1:6" x14ac:dyDescent="0.25">
      <c r="A51" s="107" t="s">
        <v>68</v>
      </c>
      <c r="B51" s="108">
        <v>44.265211171295661</v>
      </c>
      <c r="C51" s="108">
        <v>6.3582783513073799</v>
      </c>
      <c r="D51" s="108">
        <v>30583.069306503057</v>
      </c>
      <c r="E51" s="108">
        <v>24.803786947799999</v>
      </c>
      <c r="F51" s="108">
        <v>4.5650821165533602</v>
      </c>
    </row>
    <row r="52" spans="1:6" x14ac:dyDescent="0.25">
      <c r="A52" s="106" t="s">
        <v>302</v>
      </c>
      <c r="B52" s="108">
        <v>17.859838117771076</v>
      </c>
      <c r="C52" s="108">
        <v>2.6028334746834099</v>
      </c>
      <c r="D52" s="108">
        <v>17328.993314909017</v>
      </c>
      <c r="E52" s="108">
        <v>14.054333588599999</v>
      </c>
      <c r="F52" s="108">
        <v>1.9564126719998902</v>
      </c>
    </row>
    <row r="53" spans="1:6" x14ac:dyDescent="0.25">
      <c r="A53" s="107" t="s">
        <v>68</v>
      </c>
      <c r="B53" s="108">
        <v>17.859838117771076</v>
      </c>
      <c r="C53" s="108">
        <v>2.6028334746834099</v>
      </c>
      <c r="D53" s="108">
        <v>17328.993314909017</v>
      </c>
      <c r="E53" s="108">
        <v>14.054333588599999</v>
      </c>
      <c r="F53" s="108">
        <v>1.9564126719998902</v>
      </c>
    </row>
    <row r="54" spans="1:6" x14ac:dyDescent="0.25">
      <c r="A54" s="106" t="s">
        <v>304</v>
      </c>
      <c r="B54" s="108">
        <v>9.8658309212931243</v>
      </c>
      <c r="C54" s="108">
        <v>1.4458243216386597</v>
      </c>
      <c r="D54" s="108">
        <v>10347.456342003525</v>
      </c>
      <c r="E54" s="108">
        <v>8.3920976010999997</v>
      </c>
      <c r="F54" s="108">
        <v>1.0789027653743999</v>
      </c>
    </row>
    <row r="55" spans="1:6" x14ac:dyDescent="0.25">
      <c r="A55" s="107" t="s">
        <v>68</v>
      </c>
      <c r="B55" s="108">
        <v>9.8658309212931243</v>
      </c>
      <c r="C55" s="108">
        <v>1.4458243216386597</v>
      </c>
      <c r="D55" s="108">
        <v>10347.456342003525</v>
      </c>
      <c r="E55" s="108">
        <v>8.3920976010999997</v>
      </c>
      <c r="F55" s="108">
        <v>1.0789027653743999</v>
      </c>
    </row>
    <row r="56" spans="1:6" x14ac:dyDescent="0.25">
      <c r="A56" s="106" t="s">
        <v>306</v>
      </c>
      <c r="B56" s="108">
        <v>20.654472552631582</v>
      </c>
      <c r="C56" s="108">
        <v>3.0379683313389707</v>
      </c>
      <c r="D56" s="108">
        <v>14681.051011883788</v>
      </c>
      <c r="E56" s="108">
        <v>11.906772921100002</v>
      </c>
      <c r="F56" s="108">
        <v>2.2521869924116302</v>
      </c>
    </row>
    <row r="57" spans="1:6" x14ac:dyDescent="0.25">
      <c r="A57" s="107" t="s">
        <v>68</v>
      </c>
      <c r="B57" s="108">
        <v>20.654472552631582</v>
      </c>
      <c r="C57" s="108">
        <v>3.0379683313389707</v>
      </c>
      <c r="D57" s="108">
        <v>14681.051011883788</v>
      </c>
      <c r="E57" s="108">
        <v>11.906772921100002</v>
      </c>
      <c r="F57" s="108">
        <v>2.2521869924116302</v>
      </c>
    </row>
    <row r="58" spans="1:6" x14ac:dyDescent="0.25">
      <c r="A58" s="106" t="s">
        <v>309</v>
      </c>
      <c r="B58" s="108">
        <v>10.29128439290333</v>
      </c>
      <c r="C58" s="108">
        <v>1.5141888714770499</v>
      </c>
      <c r="D58" s="108">
        <v>7001.2992752150149</v>
      </c>
      <c r="E58" s="108">
        <v>5.6782638082000014</v>
      </c>
      <c r="F58" s="108">
        <v>1.23712389417559</v>
      </c>
    </row>
    <row r="59" spans="1:6" x14ac:dyDescent="0.25">
      <c r="A59" s="107" t="s">
        <v>68</v>
      </c>
      <c r="B59" s="108">
        <v>10.29128439290333</v>
      </c>
      <c r="C59" s="108">
        <v>1.5141888714770499</v>
      </c>
      <c r="D59" s="108">
        <v>7001.2992752150149</v>
      </c>
      <c r="E59" s="108">
        <v>5.6782638082000014</v>
      </c>
      <c r="F59" s="108">
        <v>1.23712389417559</v>
      </c>
    </row>
    <row r="60" spans="1:6" x14ac:dyDescent="0.25">
      <c r="A60" s="106" t="s">
        <v>311</v>
      </c>
      <c r="B60" s="108">
        <v>19.076022082240172</v>
      </c>
      <c r="C60" s="108">
        <v>3.1877233325534093</v>
      </c>
      <c r="D60" s="108">
        <v>14915.511869581884</v>
      </c>
      <c r="E60" s="108">
        <v>12.096927712499999</v>
      </c>
      <c r="F60" s="108">
        <v>1.7455822367759999</v>
      </c>
    </row>
    <row r="61" spans="1:6" x14ac:dyDescent="0.25">
      <c r="A61" s="107" t="s">
        <v>68</v>
      </c>
      <c r="B61" s="108">
        <v>19.076022082240172</v>
      </c>
      <c r="C61" s="108">
        <v>3.1877233325534093</v>
      </c>
      <c r="D61" s="108">
        <v>14915.511869581884</v>
      </c>
      <c r="E61" s="108">
        <v>12.096927712499999</v>
      </c>
      <c r="F61" s="108">
        <v>1.7455822367759999</v>
      </c>
    </row>
    <row r="62" spans="1:6" x14ac:dyDescent="0.25">
      <c r="A62" s="106" t="s">
        <v>315</v>
      </c>
      <c r="B62" s="108">
        <v>196.15787758246063</v>
      </c>
      <c r="C62" s="108">
        <v>27.101292179066611</v>
      </c>
      <c r="D62" s="108">
        <v>91542.146579904424</v>
      </c>
      <c r="E62" s="108">
        <v>74.243427883999971</v>
      </c>
      <c r="F62" s="108">
        <v>17.481337003213692</v>
      </c>
    </row>
    <row r="63" spans="1:6" x14ac:dyDescent="0.25">
      <c r="A63" s="107" t="s">
        <v>68</v>
      </c>
      <c r="B63" s="108">
        <v>196.15787758246063</v>
      </c>
      <c r="C63" s="108">
        <v>27.101292179066611</v>
      </c>
      <c r="D63" s="108">
        <v>91542.146579904424</v>
      </c>
      <c r="E63" s="108">
        <v>74.243427883999971</v>
      </c>
      <c r="F63" s="108">
        <v>17.481337003213692</v>
      </c>
    </row>
    <row r="64" spans="1:6" x14ac:dyDescent="0.25">
      <c r="A64" s="106" t="s">
        <v>431</v>
      </c>
      <c r="B64" s="108">
        <v>30.193864040440854</v>
      </c>
      <c r="C64" s="108">
        <v>4.0127513631675917</v>
      </c>
      <c r="D64" s="108">
        <v>26972.663847470598</v>
      </c>
      <c r="E64" s="108">
        <v>21.875639779100005</v>
      </c>
      <c r="F64" s="108">
        <v>2.7003342316818708</v>
      </c>
    </row>
    <row r="65" spans="1:6" x14ac:dyDescent="0.25">
      <c r="A65" s="107" t="s">
        <v>68</v>
      </c>
      <c r="B65" s="108">
        <v>30.193864040440854</v>
      </c>
      <c r="C65" s="108">
        <v>4.0127513631675917</v>
      </c>
      <c r="D65" s="108">
        <v>26972.663847470598</v>
      </c>
      <c r="E65" s="108">
        <v>21.875639779100005</v>
      </c>
      <c r="F65" s="108">
        <v>2.7003342316818708</v>
      </c>
    </row>
    <row r="66" spans="1:6" x14ac:dyDescent="0.25">
      <c r="A66" s="106" t="s">
        <v>433</v>
      </c>
      <c r="B66" s="108">
        <v>15.942071464027761</v>
      </c>
      <c r="C66" s="108">
        <v>2.4696830347505694</v>
      </c>
      <c r="D66" s="108">
        <v>11037.948377218034</v>
      </c>
      <c r="E66" s="108">
        <v>8.9521073621999996</v>
      </c>
      <c r="F66" s="108">
        <v>1.4400670493763701</v>
      </c>
    </row>
    <row r="67" spans="1:6" x14ac:dyDescent="0.25">
      <c r="A67" s="107" t="s">
        <v>68</v>
      </c>
      <c r="B67" s="108">
        <v>15.942071464027761</v>
      </c>
      <c r="C67" s="108">
        <v>2.4696830347505694</v>
      </c>
      <c r="D67" s="108">
        <v>11037.948377218034</v>
      </c>
      <c r="E67" s="108">
        <v>8.9521073621999996</v>
      </c>
      <c r="F67" s="108">
        <v>1.4400670493763701</v>
      </c>
    </row>
    <row r="68" spans="1:6" x14ac:dyDescent="0.25">
      <c r="A68" s="106" t="s">
        <v>435</v>
      </c>
      <c r="B68" s="108">
        <v>9.5099536135660205</v>
      </c>
      <c r="C68" s="108">
        <v>1.2557435767676401</v>
      </c>
      <c r="D68" s="108">
        <v>8046.648309298198</v>
      </c>
      <c r="E68" s="108">
        <v>6.5260732435999991</v>
      </c>
      <c r="F68" s="108">
        <v>0.81968970892987991</v>
      </c>
    </row>
    <row r="69" spans="1:6" x14ac:dyDescent="0.25">
      <c r="A69" s="107" t="s">
        <v>68</v>
      </c>
      <c r="B69" s="108">
        <v>9.5099536135660205</v>
      </c>
      <c r="C69" s="108">
        <v>1.2557435767676401</v>
      </c>
      <c r="D69" s="108">
        <v>8046.648309298198</v>
      </c>
      <c r="E69" s="108">
        <v>6.5260732435999991</v>
      </c>
      <c r="F69" s="108">
        <v>0.81968970892987991</v>
      </c>
    </row>
    <row r="70" spans="1:6" x14ac:dyDescent="0.25">
      <c r="A70" s="106" t="s">
        <v>436</v>
      </c>
      <c r="B70" s="108">
        <v>3.1083197572619197</v>
      </c>
      <c r="C70" s="108">
        <v>0.43057932784446007</v>
      </c>
      <c r="D70" s="108">
        <v>3464.485068726734</v>
      </c>
      <c r="E70" s="108">
        <v>2.8098013532000001</v>
      </c>
      <c r="F70" s="108">
        <v>0.48036387850447004</v>
      </c>
    </row>
    <row r="71" spans="1:6" x14ac:dyDescent="0.25">
      <c r="A71" s="107" t="s">
        <v>68</v>
      </c>
      <c r="B71" s="108">
        <v>3.1083197572619197</v>
      </c>
      <c r="C71" s="108">
        <v>0.43057932784446007</v>
      </c>
      <c r="D71" s="108">
        <v>3464.485068726734</v>
      </c>
      <c r="E71" s="108">
        <v>2.8098013532000001</v>
      </c>
      <c r="F71" s="108">
        <v>0.48036387850447004</v>
      </c>
    </row>
    <row r="72" spans="1:6" x14ac:dyDescent="0.25">
      <c r="A72" s="106" t="s">
        <v>438</v>
      </c>
      <c r="B72" s="108">
        <v>23.276611095736094</v>
      </c>
      <c r="C72" s="108">
        <v>3.4225771458821801</v>
      </c>
      <c r="D72" s="108">
        <v>15711.807294602761</v>
      </c>
      <c r="E72" s="108">
        <v>12.742747197499996</v>
      </c>
      <c r="F72" s="108">
        <v>2.7417283043327583</v>
      </c>
    </row>
    <row r="73" spans="1:6" x14ac:dyDescent="0.25">
      <c r="A73" s="107" t="s">
        <v>68</v>
      </c>
      <c r="B73" s="108">
        <v>23.276611095736094</v>
      </c>
      <c r="C73" s="108">
        <v>3.4225771458821801</v>
      </c>
      <c r="D73" s="108">
        <v>15711.807294602761</v>
      </c>
      <c r="E73" s="108">
        <v>12.742747197499996</v>
      </c>
      <c r="F73" s="108">
        <v>2.7417283043327583</v>
      </c>
    </row>
    <row r="74" spans="1:6" x14ac:dyDescent="0.25">
      <c r="A74" s="106" t="s">
        <v>439</v>
      </c>
      <c r="B74" s="108">
        <v>15.35528393282201</v>
      </c>
      <c r="C74" s="108">
        <v>2.2585355426471097</v>
      </c>
      <c r="D74" s="108">
        <v>12835.623265814873</v>
      </c>
      <c r="E74" s="108">
        <v>10.410075641399999</v>
      </c>
      <c r="F74" s="108">
        <v>1.7493050778347201</v>
      </c>
    </row>
    <row r="75" spans="1:6" x14ac:dyDescent="0.25">
      <c r="A75" s="107" t="s">
        <v>68</v>
      </c>
      <c r="B75" s="108">
        <v>15.35528393282201</v>
      </c>
      <c r="C75" s="108">
        <v>2.2585355426471097</v>
      </c>
      <c r="D75" s="108">
        <v>12835.623265814873</v>
      </c>
      <c r="E75" s="108">
        <v>10.410075641399999</v>
      </c>
      <c r="F75" s="108">
        <v>1.7493050778347201</v>
      </c>
    </row>
    <row r="76" spans="1:6" x14ac:dyDescent="0.25">
      <c r="A76" s="104" t="s">
        <v>442</v>
      </c>
      <c r="B76" s="108">
        <v>3503.068639625757</v>
      </c>
      <c r="C76" s="108">
        <v>557.51684130236754</v>
      </c>
      <c r="D76" s="108">
        <v>1771860.3570092001</v>
      </c>
      <c r="E76" s="108">
        <v>1437.0319197159467</v>
      </c>
      <c r="F76" s="108">
        <v>350.48525265243774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3475"/>
  <sheetViews>
    <sheetView workbookViewId="0">
      <selection activeCell="B4" sqref="B4"/>
    </sheetView>
  </sheetViews>
  <sheetFormatPr defaultRowHeight="15" x14ac:dyDescent="0.25"/>
  <cols>
    <col min="1" max="16384" width="9.140625" style="90"/>
  </cols>
  <sheetData>
    <row r="1" spans="1:50" x14ac:dyDescent="0.25">
      <c r="A1" s="90" t="s">
        <v>328</v>
      </c>
      <c r="B1" s="90" t="s">
        <v>329</v>
      </c>
      <c r="C1" s="90" t="s">
        <v>330</v>
      </c>
      <c r="D1" s="90" t="s">
        <v>163</v>
      </c>
      <c r="E1" s="90" t="s">
        <v>331</v>
      </c>
      <c r="F1" s="90" t="s">
        <v>332</v>
      </c>
      <c r="G1" s="90" t="s">
        <v>333</v>
      </c>
      <c r="H1" s="90" t="s">
        <v>334</v>
      </c>
      <c r="I1" s="90" t="s">
        <v>335</v>
      </c>
      <c r="J1" s="90" t="s">
        <v>17</v>
      </c>
      <c r="K1" s="90" t="s">
        <v>14</v>
      </c>
      <c r="L1" s="90" t="s">
        <v>336</v>
      </c>
      <c r="M1" s="90" t="s">
        <v>337</v>
      </c>
      <c r="N1" s="90" t="s">
        <v>338</v>
      </c>
      <c r="O1" s="90" t="s">
        <v>339</v>
      </c>
      <c r="P1" s="90" t="s">
        <v>340</v>
      </c>
      <c r="Q1" s="90" t="s">
        <v>341</v>
      </c>
      <c r="R1" s="90" t="s">
        <v>342</v>
      </c>
      <c r="S1" s="90" t="s">
        <v>343</v>
      </c>
      <c r="T1" s="90" t="s">
        <v>344</v>
      </c>
      <c r="U1" s="90" t="s">
        <v>345</v>
      </c>
      <c r="V1" s="90" t="s">
        <v>346</v>
      </c>
      <c r="W1" s="90" t="s">
        <v>347</v>
      </c>
      <c r="X1" s="90" t="s">
        <v>348</v>
      </c>
      <c r="Y1" s="90" t="s">
        <v>349</v>
      </c>
      <c r="Z1" s="90" t="s">
        <v>350</v>
      </c>
      <c r="AA1" s="90" t="s">
        <v>351</v>
      </c>
      <c r="AB1" s="90" t="s">
        <v>352</v>
      </c>
      <c r="AC1" s="90" t="s">
        <v>353</v>
      </c>
      <c r="AD1" s="90" t="s">
        <v>354</v>
      </c>
      <c r="AE1" s="90" t="s">
        <v>355</v>
      </c>
      <c r="AF1" s="90" t="s">
        <v>356</v>
      </c>
      <c r="AG1" s="90" t="s">
        <v>357</v>
      </c>
      <c r="AH1" s="90" t="s">
        <v>358</v>
      </c>
      <c r="AI1" s="90" t="s">
        <v>359</v>
      </c>
      <c r="AJ1" s="90" t="s">
        <v>360</v>
      </c>
      <c r="AK1" s="90" t="s">
        <v>361</v>
      </c>
      <c r="AL1" s="90" t="s">
        <v>362</v>
      </c>
      <c r="AM1" s="90" t="s">
        <v>174</v>
      </c>
      <c r="AN1" s="90" t="s">
        <v>363</v>
      </c>
      <c r="AO1" s="90" t="s">
        <v>364</v>
      </c>
      <c r="AP1" s="90" t="s">
        <v>365</v>
      </c>
      <c r="AQ1" s="90" t="s">
        <v>366</v>
      </c>
      <c r="AR1" s="90" t="s">
        <v>367</v>
      </c>
      <c r="AS1" s="90" t="s">
        <v>368</v>
      </c>
      <c r="AT1" s="90" t="s">
        <v>369</v>
      </c>
      <c r="AU1" s="90" t="s">
        <v>370</v>
      </c>
      <c r="AV1" s="90" t="s">
        <v>371</v>
      </c>
      <c r="AW1" s="90" t="s">
        <v>372</v>
      </c>
      <c r="AX1" s="90" t="s">
        <v>373</v>
      </c>
    </row>
    <row r="2" spans="1:50" x14ac:dyDescent="0.25">
      <c r="A2" s="102">
        <v>830000</v>
      </c>
      <c r="B2" s="102">
        <v>1400000</v>
      </c>
      <c r="C2" s="102">
        <v>1400000</v>
      </c>
      <c r="D2" s="90" t="s">
        <v>374</v>
      </c>
      <c r="E2" s="90" t="s">
        <v>68</v>
      </c>
      <c r="F2" s="90" t="s">
        <v>375</v>
      </c>
      <c r="G2" s="90" t="s">
        <v>376</v>
      </c>
      <c r="H2" s="90">
        <v>0.59</v>
      </c>
      <c r="I2" s="90">
        <v>0.64</v>
      </c>
      <c r="J2" s="90" t="s">
        <v>244</v>
      </c>
      <c r="K2" s="90">
        <v>5.491864443556E-2</v>
      </c>
      <c r="L2" s="90">
        <v>3688.1050999793501</v>
      </c>
      <c r="M2" s="90">
        <v>7.3784570223213599</v>
      </c>
      <c r="N2" s="90">
        <v>1.00765961041271</v>
      </c>
      <c r="O2" s="90">
        <v>0.40521485769194998</v>
      </c>
      <c r="P2" s="90">
        <v>5.5339299856330001E-2</v>
      </c>
      <c r="Q2" s="90">
        <v>202.54573262675601</v>
      </c>
      <c r="R2" s="90">
        <v>1750</v>
      </c>
      <c r="S2" s="90" t="s">
        <v>377</v>
      </c>
      <c r="T2" s="90">
        <v>1750</v>
      </c>
      <c r="U2" s="90" t="s">
        <v>378</v>
      </c>
      <c r="V2" s="90" t="s">
        <v>244</v>
      </c>
      <c r="Z2" s="90">
        <v>0</v>
      </c>
      <c r="AA2" s="90">
        <v>1</v>
      </c>
      <c r="AB2" s="90">
        <v>0.40521485769194998</v>
      </c>
      <c r="AC2" s="90">
        <v>5.5339299856330001E-2</v>
      </c>
      <c r="AD2" s="90">
        <v>309.81057497828499</v>
      </c>
      <c r="AF2" s="90">
        <v>-1</v>
      </c>
      <c r="AG2" s="90">
        <v>-1</v>
      </c>
      <c r="AH2" s="90">
        <v>-1</v>
      </c>
      <c r="AI2" s="90">
        <v>-1</v>
      </c>
      <c r="AJ2" s="90">
        <v>0</v>
      </c>
      <c r="AM2" s="90" t="s">
        <v>379</v>
      </c>
      <c r="AN2" s="90">
        <v>-1</v>
      </c>
      <c r="AQ2" s="90">
        <v>356</v>
      </c>
      <c r="AR2" s="90" t="s">
        <v>380</v>
      </c>
      <c r="AS2" s="90" t="s">
        <v>246</v>
      </c>
      <c r="AT2" s="90" t="s">
        <v>244</v>
      </c>
      <c r="AU2" s="90">
        <v>175.87190000000001</v>
      </c>
      <c r="AV2" s="90">
        <v>76.401521359996906</v>
      </c>
      <c r="AW2" s="90">
        <v>222.24786894356299</v>
      </c>
      <c r="AX2" s="90">
        <v>0.25126567309999998</v>
      </c>
    </row>
    <row r="3" spans="1:50" x14ac:dyDescent="0.25">
      <c r="A3" s="102">
        <v>830000</v>
      </c>
      <c r="B3" s="102">
        <v>1400000</v>
      </c>
      <c r="C3" s="102">
        <v>1400000</v>
      </c>
      <c r="D3" s="90" t="s">
        <v>374</v>
      </c>
      <c r="E3" s="90" t="s">
        <v>68</v>
      </c>
      <c r="F3" s="90" t="s">
        <v>375</v>
      </c>
      <c r="G3" s="90" t="s">
        <v>376</v>
      </c>
      <c r="H3" s="90">
        <v>0.59</v>
      </c>
      <c r="I3" s="90">
        <v>0.64</v>
      </c>
      <c r="J3" s="90" t="s">
        <v>244</v>
      </c>
      <c r="K3" s="90">
        <v>0.33494011056084999</v>
      </c>
      <c r="L3" s="90">
        <v>3688.1050999793501</v>
      </c>
      <c r="M3" s="90">
        <v>7.3784570223213599</v>
      </c>
      <c r="N3" s="90">
        <v>1.00765961041271</v>
      </c>
      <c r="O3" s="90">
        <v>2.4713412108248201</v>
      </c>
      <c r="P3" s="90">
        <v>0.33750562131933998</v>
      </c>
      <c r="Q3" s="90">
        <v>1235.2943299471201</v>
      </c>
      <c r="R3" s="90">
        <v>1750</v>
      </c>
      <c r="S3" s="90" t="s">
        <v>377</v>
      </c>
      <c r="T3" s="90">
        <v>1750</v>
      </c>
      <c r="U3" s="90" t="s">
        <v>378</v>
      </c>
      <c r="V3" s="90" t="s">
        <v>244</v>
      </c>
      <c r="Z3" s="90">
        <v>0</v>
      </c>
      <c r="AA3" s="90">
        <v>1</v>
      </c>
      <c r="AB3" s="90">
        <v>2.4713412108248201</v>
      </c>
      <c r="AC3" s="90">
        <v>0.33750562131933998</v>
      </c>
      <c r="AD3" s="90">
        <v>1968.5659693298301</v>
      </c>
      <c r="AF3" s="90">
        <v>-1</v>
      </c>
      <c r="AG3" s="90">
        <v>-1</v>
      </c>
      <c r="AH3" s="90">
        <v>-1</v>
      </c>
      <c r="AI3" s="90">
        <v>-1</v>
      </c>
      <c r="AJ3" s="90">
        <v>0</v>
      </c>
      <c r="AM3" s="90" t="s">
        <v>379</v>
      </c>
      <c r="AN3" s="90">
        <v>-1</v>
      </c>
      <c r="AQ3" s="90">
        <v>356</v>
      </c>
      <c r="AR3" s="90" t="s">
        <v>380</v>
      </c>
      <c r="AS3" s="90" t="s">
        <v>246</v>
      </c>
      <c r="AT3" s="90" t="s">
        <v>244</v>
      </c>
      <c r="AU3" s="90">
        <v>175.87190000000001</v>
      </c>
      <c r="AV3" s="90">
        <v>148.980050542161</v>
      </c>
      <c r="AW3" s="90">
        <v>1355.45453754255</v>
      </c>
      <c r="AX3" s="90">
        <v>1.5965660741000001</v>
      </c>
    </row>
    <row r="4" spans="1:50" x14ac:dyDescent="0.25">
      <c r="A4" s="102">
        <v>830000</v>
      </c>
      <c r="B4" s="102">
        <v>1400000</v>
      </c>
      <c r="C4" s="102">
        <v>1400000</v>
      </c>
      <c r="D4" s="90" t="s">
        <v>374</v>
      </c>
      <c r="E4" s="90" t="s">
        <v>68</v>
      </c>
      <c r="F4" s="90" t="s">
        <v>375</v>
      </c>
      <c r="G4" s="90" t="s">
        <v>376</v>
      </c>
      <c r="H4" s="90">
        <v>0.59</v>
      </c>
      <c r="I4" s="90">
        <v>0.64</v>
      </c>
      <c r="J4" s="90" t="s">
        <v>244</v>
      </c>
      <c r="K4" s="90">
        <v>0.61776345348380002</v>
      </c>
      <c r="L4" s="90">
        <v>3689.27830018231</v>
      </c>
      <c r="M4" s="90">
        <v>7.3807862401086801</v>
      </c>
      <c r="N4" s="90">
        <v>1.00797854735869</v>
      </c>
      <c r="O4" s="90">
        <v>4.5595799971152902</v>
      </c>
      <c r="P4" s="90">
        <v>0.62269230845389001</v>
      </c>
      <c r="Q4" s="90">
        <v>2279.1013035834799</v>
      </c>
      <c r="R4" s="90">
        <v>1750</v>
      </c>
      <c r="S4" s="90" t="s">
        <v>377</v>
      </c>
      <c r="T4" s="90">
        <v>1750</v>
      </c>
      <c r="U4" s="90" t="s">
        <v>378</v>
      </c>
      <c r="V4" s="90" t="s">
        <v>244</v>
      </c>
      <c r="Z4" s="90">
        <v>0</v>
      </c>
      <c r="AA4" s="90">
        <v>1</v>
      </c>
      <c r="AB4" s="90">
        <v>4.5595799971152902</v>
      </c>
      <c r="AC4" s="90">
        <v>0.62269230845389001</v>
      </c>
      <c r="AD4" s="90">
        <v>2279.1013035834799</v>
      </c>
      <c r="AF4" s="90">
        <v>-1</v>
      </c>
      <c r="AG4" s="90">
        <v>-1</v>
      </c>
      <c r="AH4" s="90">
        <v>-1</v>
      </c>
      <c r="AI4" s="90">
        <v>-1</v>
      </c>
      <c r="AJ4" s="90">
        <v>0</v>
      </c>
      <c r="AM4" s="90" t="s">
        <v>379</v>
      </c>
      <c r="AN4" s="90">
        <v>-1</v>
      </c>
      <c r="AQ4" s="90">
        <v>356</v>
      </c>
      <c r="AR4" s="90" t="s">
        <v>380</v>
      </c>
      <c r="AS4" s="90" t="s">
        <v>246</v>
      </c>
      <c r="AT4" s="90" t="s">
        <v>244</v>
      </c>
      <c r="AU4" s="90">
        <v>175.87190000000001</v>
      </c>
      <c r="AV4" s="90">
        <v>199.999999970197</v>
      </c>
      <c r="AW4" s="90">
        <v>2499.9999992549401</v>
      </c>
      <c r="AX4" s="90">
        <v>1.8484195486999999</v>
      </c>
    </row>
    <row r="5" spans="1:50" x14ac:dyDescent="0.25">
      <c r="A5" s="102">
        <v>830000</v>
      </c>
      <c r="B5" s="102">
        <v>1400000</v>
      </c>
      <c r="C5" s="102">
        <v>1400000</v>
      </c>
      <c r="D5" s="90" t="s">
        <v>374</v>
      </c>
      <c r="E5" s="90" t="s">
        <v>68</v>
      </c>
      <c r="F5" s="90" t="s">
        <v>375</v>
      </c>
      <c r="G5" s="90" t="s">
        <v>376</v>
      </c>
      <c r="H5" s="90">
        <v>0.59</v>
      </c>
      <c r="I5" s="90">
        <v>0.64</v>
      </c>
      <c r="J5" s="90" t="s">
        <v>244</v>
      </c>
      <c r="K5" s="90">
        <v>0.61776345362188001</v>
      </c>
      <c r="L5" s="90">
        <v>3689.7789828459199</v>
      </c>
      <c r="M5" s="90">
        <v>7.3817771823938401</v>
      </c>
      <c r="N5" s="90">
        <v>1.00811438216062</v>
      </c>
      <c r="O5" s="90">
        <v>4.5601921660628602</v>
      </c>
      <c r="P5" s="90">
        <v>0.62277622236943997</v>
      </c>
      <c r="Q5" s="90">
        <v>2279.4106075443401</v>
      </c>
      <c r="R5" s="90">
        <v>1750</v>
      </c>
      <c r="S5" s="90" t="s">
        <v>377</v>
      </c>
      <c r="T5" s="90">
        <v>1750</v>
      </c>
      <c r="U5" s="90" t="s">
        <v>378</v>
      </c>
      <c r="V5" s="90" t="s">
        <v>244</v>
      </c>
      <c r="Z5" s="90">
        <v>0</v>
      </c>
      <c r="AA5" s="90">
        <v>1</v>
      </c>
      <c r="AB5" s="90">
        <v>4.5601921660628602</v>
      </c>
      <c r="AC5" s="90">
        <v>0.62277622236943997</v>
      </c>
      <c r="AD5" s="90">
        <v>2279.4106075443401</v>
      </c>
      <c r="AF5" s="90">
        <v>-1</v>
      </c>
      <c r="AG5" s="90">
        <v>-1</v>
      </c>
      <c r="AH5" s="90">
        <v>-1</v>
      </c>
      <c r="AI5" s="90">
        <v>-1</v>
      </c>
      <c r="AJ5" s="90">
        <v>0</v>
      </c>
      <c r="AM5" s="90" t="s">
        <v>379</v>
      </c>
      <c r="AN5" s="90">
        <v>-1</v>
      </c>
      <c r="AQ5" s="90">
        <v>356</v>
      </c>
      <c r="AR5" s="90" t="s">
        <v>380</v>
      </c>
      <c r="AS5" s="90" t="s">
        <v>246</v>
      </c>
      <c r="AT5" s="90" t="s">
        <v>244</v>
      </c>
      <c r="AU5" s="90">
        <v>175.87190000000001</v>
      </c>
      <c r="AV5" s="90">
        <v>199.99999999254899</v>
      </c>
      <c r="AW5" s="90">
        <v>2499.99999981373</v>
      </c>
      <c r="AX5" s="90">
        <v>1.8486704034999999</v>
      </c>
    </row>
    <row r="6" spans="1:50" x14ac:dyDescent="0.25">
      <c r="A6" s="102">
        <v>830000</v>
      </c>
      <c r="B6" s="102">
        <v>1400000</v>
      </c>
      <c r="C6" s="102">
        <v>1400000</v>
      </c>
      <c r="D6" s="90" t="s">
        <v>374</v>
      </c>
      <c r="E6" s="90" t="s">
        <v>68</v>
      </c>
      <c r="F6" s="90" t="s">
        <v>375</v>
      </c>
      <c r="G6" s="90" t="s">
        <v>376</v>
      </c>
      <c r="H6" s="90">
        <v>0.59</v>
      </c>
      <c r="I6" s="90">
        <v>0.64</v>
      </c>
      <c r="J6" s="90" t="s">
        <v>244</v>
      </c>
      <c r="K6" s="90">
        <v>0.4569020993979</v>
      </c>
      <c r="L6" s="90">
        <v>3686.6346152906299</v>
      </c>
      <c r="M6" s="90">
        <v>7.50461456070542</v>
      </c>
      <c r="N6" s="90">
        <v>1.01882291433314</v>
      </c>
      <c r="O6" s="90">
        <v>3.42887414795837</v>
      </c>
      <c r="P6" s="90">
        <v>0.46550232847349998</v>
      </c>
      <c r="Q6" s="90">
        <v>1684.4310954392599</v>
      </c>
      <c r="R6" s="90">
        <v>1750</v>
      </c>
      <c r="S6" s="90" t="s">
        <v>377</v>
      </c>
      <c r="T6" s="90">
        <v>1750</v>
      </c>
      <c r="U6" s="90" t="s">
        <v>378</v>
      </c>
      <c r="V6" s="90" t="s">
        <v>244</v>
      </c>
      <c r="Z6" s="90">
        <v>0</v>
      </c>
      <c r="AA6" s="90">
        <v>1</v>
      </c>
      <c r="AB6" s="90">
        <v>3.42887414795837</v>
      </c>
      <c r="AC6" s="90">
        <v>0.46550232847349998</v>
      </c>
      <c r="AD6" s="90">
        <v>1684.4310954392599</v>
      </c>
      <c r="AF6" s="90">
        <v>-1</v>
      </c>
      <c r="AG6" s="90">
        <v>-1</v>
      </c>
      <c r="AH6" s="90">
        <v>-1</v>
      </c>
      <c r="AI6" s="90">
        <v>-1</v>
      </c>
      <c r="AJ6" s="90">
        <v>0</v>
      </c>
      <c r="AM6" s="90" t="s">
        <v>379</v>
      </c>
      <c r="AN6" s="90">
        <v>-1</v>
      </c>
      <c r="AQ6" s="90">
        <v>356</v>
      </c>
      <c r="AR6" s="90" t="s">
        <v>380</v>
      </c>
      <c r="AS6" s="90" t="s">
        <v>246</v>
      </c>
      <c r="AT6" s="90" t="s">
        <v>244</v>
      </c>
      <c r="AU6" s="90">
        <v>175.87190000000001</v>
      </c>
      <c r="AV6" s="90">
        <v>173.976621421657</v>
      </c>
      <c r="AW6" s="90">
        <v>1849.01719535644</v>
      </c>
      <c r="AX6" s="90">
        <v>1.366124165</v>
      </c>
    </row>
    <row r="7" spans="1:50" x14ac:dyDescent="0.25">
      <c r="A7" s="102">
        <v>830000</v>
      </c>
      <c r="B7" s="102">
        <v>1400000</v>
      </c>
      <c r="C7" s="102">
        <v>1400000</v>
      </c>
      <c r="D7" s="90" t="s">
        <v>374</v>
      </c>
      <c r="E7" s="90" t="s">
        <v>68</v>
      </c>
      <c r="F7" s="90" t="s">
        <v>375</v>
      </c>
      <c r="G7" s="90" t="s">
        <v>376</v>
      </c>
      <c r="H7" s="90">
        <v>0.59</v>
      </c>
      <c r="I7" s="90">
        <v>0.64</v>
      </c>
      <c r="J7" s="90" t="s">
        <v>244</v>
      </c>
      <c r="K7" s="90">
        <v>0.61776345366790997</v>
      </c>
      <c r="L7" s="90">
        <v>3689.7789825710101</v>
      </c>
      <c r="M7" s="90">
        <v>7.3817771818438596</v>
      </c>
      <c r="N7" s="90">
        <v>1.0081143820855101</v>
      </c>
      <c r="O7" s="90">
        <v>4.5601921660628504</v>
      </c>
      <c r="P7" s="90">
        <v>0.62277622236942998</v>
      </c>
      <c r="Q7" s="90">
        <v>2279.4106075443401</v>
      </c>
      <c r="R7" s="90">
        <v>1750</v>
      </c>
      <c r="S7" s="90" t="s">
        <v>377</v>
      </c>
      <c r="T7" s="90">
        <v>1750</v>
      </c>
      <c r="U7" s="90" t="s">
        <v>378</v>
      </c>
      <c r="V7" s="90" t="s">
        <v>244</v>
      </c>
      <c r="Z7" s="90">
        <v>0</v>
      </c>
      <c r="AA7" s="90">
        <v>1</v>
      </c>
      <c r="AB7" s="90">
        <v>4.5601921660628504</v>
      </c>
      <c r="AC7" s="90">
        <v>0.62277622236942998</v>
      </c>
      <c r="AD7" s="90">
        <v>2279.4106075443401</v>
      </c>
      <c r="AF7" s="90">
        <v>-1</v>
      </c>
      <c r="AG7" s="90">
        <v>-1</v>
      </c>
      <c r="AH7" s="90">
        <v>-1</v>
      </c>
      <c r="AI7" s="90">
        <v>-1</v>
      </c>
      <c r="AJ7" s="90">
        <v>0</v>
      </c>
      <c r="AM7" s="90" t="s">
        <v>379</v>
      </c>
      <c r="AN7" s="90">
        <v>-1</v>
      </c>
      <c r="AQ7" s="90">
        <v>356</v>
      </c>
      <c r="AR7" s="90" t="s">
        <v>380</v>
      </c>
      <c r="AS7" s="90" t="s">
        <v>246</v>
      </c>
      <c r="AT7" s="90" t="s">
        <v>244</v>
      </c>
      <c r="AU7" s="90">
        <v>175.87190000000001</v>
      </c>
      <c r="AV7" s="90">
        <v>200</v>
      </c>
      <c r="AW7" s="90">
        <v>2500</v>
      </c>
      <c r="AX7" s="90">
        <v>1.8486704034999999</v>
      </c>
    </row>
    <row r="8" spans="1:50" x14ac:dyDescent="0.25">
      <c r="A8" s="102">
        <v>830000</v>
      </c>
      <c r="B8" s="102">
        <v>1400000</v>
      </c>
      <c r="C8" s="102">
        <v>1400000</v>
      </c>
      <c r="D8" s="90" t="s">
        <v>374</v>
      </c>
      <c r="E8" s="90" t="s">
        <v>68</v>
      </c>
      <c r="F8" s="90" t="s">
        <v>375</v>
      </c>
      <c r="G8" s="90" t="s">
        <v>376</v>
      </c>
      <c r="H8" s="90">
        <v>0.59</v>
      </c>
      <c r="I8" s="90">
        <v>0.64</v>
      </c>
      <c r="J8" s="90" t="s">
        <v>244</v>
      </c>
      <c r="K8" s="90">
        <v>0.24046158772702</v>
      </c>
      <c r="L8" s="90">
        <v>3695.55204772562</v>
      </c>
      <c r="M8" s="90">
        <v>8.2785820824438403</v>
      </c>
      <c r="N8" s="90">
        <v>1.10264367101645</v>
      </c>
      <c r="O8" s="90">
        <v>1.99068099167296</v>
      </c>
      <c r="P8" s="90">
        <v>0.26514344782977001</v>
      </c>
      <c r="Q8" s="90">
        <v>888.63831292397003</v>
      </c>
      <c r="R8" s="90">
        <v>1750</v>
      </c>
      <c r="S8" s="90" t="s">
        <v>377</v>
      </c>
      <c r="T8" s="90">
        <v>1750</v>
      </c>
      <c r="U8" s="90" t="s">
        <v>378</v>
      </c>
      <c r="V8" s="90" t="s">
        <v>244</v>
      </c>
      <c r="Z8" s="90">
        <v>0</v>
      </c>
      <c r="AA8" s="90">
        <v>1</v>
      </c>
      <c r="AB8" s="90">
        <v>1.99068099167296</v>
      </c>
      <c r="AC8" s="90">
        <v>0.26514344782977001</v>
      </c>
      <c r="AD8" s="90">
        <v>888.63831292397003</v>
      </c>
      <c r="AF8" s="90">
        <v>-1</v>
      </c>
      <c r="AG8" s="90">
        <v>-1</v>
      </c>
      <c r="AH8" s="90">
        <v>-1</v>
      </c>
      <c r="AI8" s="90">
        <v>-1</v>
      </c>
      <c r="AJ8" s="90">
        <v>0</v>
      </c>
      <c r="AM8" s="90" t="s">
        <v>379</v>
      </c>
      <c r="AN8" s="90">
        <v>-1</v>
      </c>
      <c r="AQ8" s="90">
        <v>356</v>
      </c>
      <c r="AR8" s="90" t="s">
        <v>380</v>
      </c>
      <c r="AS8" s="90" t="s">
        <v>246</v>
      </c>
      <c r="AT8" s="90" t="s">
        <v>244</v>
      </c>
      <c r="AU8" s="90">
        <v>175.87190000000001</v>
      </c>
      <c r="AV8" s="90">
        <v>134.33450411254799</v>
      </c>
      <c r="AW8" s="90">
        <v>973.11352063361903</v>
      </c>
      <c r="AX8" s="90">
        <v>0.72071233810000002</v>
      </c>
    </row>
    <row r="9" spans="1:50" x14ac:dyDescent="0.25">
      <c r="A9" s="102">
        <v>830000</v>
      </c>
      <c r="B9" s="102">
        <v>1400000</v>
      </c>
      <c r="C9" s="102">
        <v>1400000</v>
      </c>
      <c r="D9" s="90" t="s">
        <v>374</v>
      </c>
      <c r="E9" s="90" t="s">
        <v>68</v>
      </c>
      <c r="F9" s="90" t="s">
        <v>375</v>
      </c>
      <c r="G9" s="90" t="s">
        <v>376</v>
      </c>
      <c r="H9" s="90">
        <v>0.59</v>
      </c>
      <c r="I9" s="90">
        <v>0.64</v>
      </c>
      <c r="J9" s="90" t="s">
        <v>381</v>
      </c>
      <c r="K9" s="90">
        <v>1.9961114904300001E-3</v>
      </c>
      <c r="L9" s="90">
        <v>3695.55204772562</v>
      </c>
      <c r="M9" s="90">
        <v>8.2785820824438403</v>
      </c>
      <c r="N9" s="90">
        <v>1.10264367101645</v>
      </c>
      <c r="O9" s="90">
        <v>1.6524972819300002E-2</v>
      </c>
      <c r="P9" s="90">
        <v>2.2009997015699999E-3</v>
      </c>
      <c r="Q9" s="90">
        <v>7.3767339059804904</v>
      </c>
      <c r="R9" s="90">
        <v>1750</v>
      </c>
      <c r="S9" s="90" t="s">
        <v>377</v>
      </c>
      <c r="T9" s="90">
        <v>1750</v>
      </c>
      <c r="U9" s="90" t="s">
        <v>382</v>
      </c>
      <c r="V9" s="90" t="s">
        <v>381</v>
      </c>
      <c r="Z9" s="90">
        <v>0</v>
      </c>
      <c r="AA9" s="90">
        <v>1</v>
      </c>
      <c r="AB9" s="90">
        <v>1.6524972819300002E-2</v>
      </c>
      <c r="AC9" s="90">
        <v>2.2009997015699999E-3</v>
      </c>
      <c r="AD9" s="90">
        <v>7.3767339059818999</v>
      </c>
      <c r="AF9" s="90">
        <v>-1</v>
      </c>
      <c r="AG9" s="90">
        <v>-1</v>
      </c>
      <c r="AH9" s="90">
        <v>-1</v>
      </c>
      <c r="AI9" s="90">
        <v>-1</v>
      </c>
      <c r="AJ9" s="90">
        <v>0</v>
      </c>
      <c r="AM9" s="90" t="s">
        <v>379</v>
      </c>
      <c r="AN9" s="90">
        <v>-1</v>
      </c>
      <c r="AQ9" s="90">
        <v>356</v>
      </c>
      <c r="AR9" s="90" t="s">
        <v>380</v>
      </c>
      <c r="AS9" s="90" t="s">
        <v>246</v>
      </c>
      <c r="AT9" s="90" t="s">
        <v>244</v>
      </c>
      <c r="AU9" s="90">
        <v>175.87190000000001</v>
      </c>
      <c r="AV9" s="90">
        <v>91.748669995690193</v>
      </c>
      <c r="AW9" s="90">
        <v>8.0779766049110293</v>
      </c>
      <c r="AX9" s="90">
        <v>5.9827526000000002E-3</v>
      </c>
    </row>
    <row r="10" spans="1:50" x14ac:dyDescent="0.25">
      <c r="A10" s="102">
        <v>830000</v>
      </c>
      <c r="B10" s="102">
        <v>1400000</v>
      </c>
      <c r="C10" s="102">
        <v>1400000</v>
      </c>
      <c r="D10" s="90" t="s">
        <v>374</v>
      </c>
      <c r="E10" s="90" t="s">
        <v>68</v>
      </c>
      <c r="F10" s="90" t="s">
        <v>375</v>
      </c>
      <c r="G10" s="90" t="s">
        <v>376</v>
      </c>
      <c r="H10" s="90">
        <v>0.59</v>
      </c>
      <c r="I10" s="90">
        <v>0.64</v>
      </c>
      <c r="J10" s="90" t="s">
        <v>244</v>
      </c>
      <c r="K10" s="90">
        <v>0.61776345352982998</v>
      </c>
      <c r="L10" s="90">
        <v>3689.2782999074302</v>
      </c>
      <c r="M10" s="90">
        <v>7.3807862395587698</v>
      </c>
      <c r="N10" s="90">
        <v>1.00797854728359</v>
      </c>
      <c r="O10" s="90">
        <v>4.5595799971152902</v>
      </c>
      <c r="P10" s="90">
        <v>0.62269230845389001</v>
      </c>
      <c r="Q10" s="90">
        <v>2279.1013035834799</v>
      </c>
      <c r="R10" s="90">
        <v>1750</v>
      </c>
      <c r="S10" s="90" t="s">
        <v>377</v>
      </c>
      <c r="T10" s="90">
        <v>1750</v>
      </c>
      <c r="U10" s="90" t="s">
        <v>378</v>
      </c>
      <c r="V10" s="90" t="s">
        <v>244</v>
      </c>
      <c r="Z10" s="90">
        <v>0</v>
      </c>
      <c r="AA10" s="90">
        <v>1</v>
      </c>
      <c r="AB10" s="90">
        <v>4.5595799971152902</v>
      </c>
      <c r="AC10" s="90">
        <v>0.62269230845389001</v>
      </c>
      <c r="AD10" s="90">
        <v>2279.1013035834799</v>
      </c>
      <c r="AF10" s="90">
        <v>-1</v>
      </c>
      <c r="AG10" s="90">
        <v>-1</v>
      </c>
      <c r="AH10" s="90">
        <v>-1</v>
      </c>
      <c r="AI10" s="90">
        <v>-1</v>
      </c>
      <c r="AJ10" s="90">
        <v>0</v>
      </c>
      <c r="AM10" s="90" t="s">
        <v>379</v>
      </c>
      <c r="AN10" s="90">
        <v>-1</v>
      </c>
      <c r="AQ10" s="90">
        <v>356</v>
      </c>
      <c r="AR10" s="90" t="s">
        <v>380</v>
      </c>
      <c r="AS10" s="90" t="s">
        <v>246</v>
      </c>
      <c r="AT10" s="90" t="s">
        <v>244</v>
      </c>
      <c r="AU10" s="90">
        <v>175.87190000000001</v>
      </c>
      <c r="AV10" s="90">
        <v>199.999999977648</v>
      </c>
      <c r="AW10" s="90">
        <v>2499.9999994412001</v>
      </c>
      <c r="AX10" s="90">
        <v>1.8484195486999999</v>
      </c>
    </row>
    <row r="11" spans="1:50" x14ac:dyDescent="0.25">
      <c r="A11" s="102">
        <v>830000</v>
      </c>
      <c r="B11" s="102">
        <v>1400000</v>
      </c>
      <c r="C11" s="102">
        <v>1400000</v>
      </c>
      <c r="D11" s="90" t="s">
        <v>374</v>
      </c>
      <c r="E11" s="90" t="s">
        <v>68</v>
      </c>
      <c r="F11" s="90" t="s">
        <v>375</v>
      </c>
      <c r="G11" s="90" t="s">
        <v>376</v>
      </c>
      <c r="H11" s="90">
        <v>0.59</v>
      </c>
      <c r="I11" s="90">
        <v>0.64</v>
      </c>
      <c r="J11" s="90" t="s">
        <v>244</v>
      </c>
      <c r="K11" s="90">
        <v>0.53627989223441996</v>
      </c>
      <c r="L11" s="90">
        <v>3707.8260829399201</v>
      </c>
      <c r="M11" s="90">
        <v>7.9517851832758302</v>
      </c>
      <c r="N11" s="90">
        <v>1.0790172386046</v>
      </c>
      <c r="O11" s="90">
        <v>4.26438250115842</v>
      </c>
      <c r="P11" s="90">
        <v>0.57865524843795002</v>
      </c>
      <c r="Q11" s="90">
        <v>1988.43257218299</v>
      </c>
      <c r="R11" s="90">
        <v>1750</v>
      </c>
      <c r="S11" s="90" t="s">
        <v>377</v>
      </c>
      <c r="T11" s="90">
        <v>1750</v>
      </c>
      <c r="U11" s="90" t="s">
        <v>378</v>
      </c>
      <c r="V11" s="90" t="s">
        <v>244</v>
      </c>
      <c r="Z11" s="90">
        <v>0</v>
      </c>
      <c r="AA11" s="90">
        <v>1</v>
      </c>
      <c r="AB11" s="90">
        <v>4.26438250115842</v>
      </c>
      <c r="AC11" s="90">
        <v>0.57865524843795002</v>
      </c>
      <c r="AD11" s="90">
        <v>1988.43257218299</v>
      </c>
      <c r="AF11" s="90">
        <v>-1</v>
      </c>
      <c r="AG11" s="90">
        <v>-1</v>
      </c>
      <c r="AH11" s="90">
        <v>-1</v>
      </c>
      <c r="AI11" s="90">
        <v>-1</v>
      </c>
      <c r="AJ11" s="90">
        <v>0</v>
      </c>
      <c r="AM11" s="90" t="s">
        <v>379</v>
      </c>
      <c r="AN11" s="90">
        <v>-1</v>
      </c>
      <c r="AQ11" s="90">
        <v>356</v>
      </c>
      <c r="AR11" s="90" t="s">
        <v>380</v>
      </c>
      <c r="AS11" s="90" t="s">
        <v>246</v>
      </c>
      <c r="AT11" s="90" t="s">
        <v>244</v>
      </c>
      <c r="AU11" s="90">
        <v>175.87190000000001</v>
      </c>
      <c r="AV11" s="90">
        <v>186.83471934397301</v>
      </c>
      <c r="AW11" s="90">
        <v>2170.2477260928399</v>
      </c>
      <c r="AX11" s="90">
        <v>1.6126784851</v>
      </c>
    </row>
    <row r="12" spans="1:50" x14ac:dyDescent="0.25">
      <c r="A12" s="102">
        <v>830000</v>
      </c>
      <c r="B12" s="102">
        <v>1400000</v>
      </c>
      <c r="C12" s="102">
        <v>1400000</v>
      </c>
      <c r="D12" s="90" t="s">
        <v>374</v>
      </c>
      <c r="E12" s="90" t="s">
        <v>68</v>
      </c>
      <c r="F12" s="90" t="s">
        <v>375</v>
      </c>
      <c r="G12" s="90" t="s">
        <v>376</v>
      </c>
      <c r="H12" s="90">
        <v>0.59</v>
      </c>
      <c r="I12" s="90">
        <v>0.64</v>
      </c>
      <c r="J12" s="90" t="s">
        <v>244</v>
      </c>
      <c r="K12" s="90">
        <v>0.61776345366790997</v>
      </c>
      <c r="L12" s="90">
        <v>3689.5824003428902</v>
      </c>
      <c r="M12" s="90">
        <v>7.3813881887769197</v>
      </c>
      <c r="N12" s="90">
        <v>1.00806105656403</v>
      </c>
      <c r="O12" s="90">
        <v>4.5599518603623697</v>
      </c>
      <c r="P12" s="90">
        <v>0.62274327981111999</v>
      </c>
      <c r="Q12" s="90">
        <v>2279.28916622817</v>
      </c>
      <c r="R12" s="90">
        <v>1750</v>
      </c>
      <c r="S12" s="90" t="s">
        <v>377</v>
      </c>
      <c r="T12" s="90">
        <v>1750</v>
      </c>
      <c r="U12" s="90" t="s">
        <v>378</v>
      </c>
      <c r="V12" s="90" t="s">
        <v>244</v>
      </c>
      <c r="Z12" s="90">
        <v>0</v>
      </c>
      <c r="AA12" s="90">
        <v>1</v>
      </c>
      <c r="AB12" s="90">
        <v>4.5599518603623697</v>
      </c>
      <c r="AC12" s="90">
        <v>0.62274327981111999</v>
      </c>
      <c r="AD12" s="90">
        <v>2279.28916622817</v>
      </c>
      <c r="AF12" s="90">
        <v>-1</v>
      </c>
      <c r="AG12" s="90">
        <v>-1</v>
      </c>
      <c r="AH12" s="90">
        <v>-1</v>
      </c>
      <c r="AI12" s="90">
        <v>-1</v>
      </c>
      <c r="AJ12" s="90">
        <v>0</v>
      </c>
      <c r="AM12" s="90" t="s">
        <v>379</v>
      </c>
      <c r="AN12" s="90">
        <v>-1</v>
      </c>
      <c r="AQ12" s="90">
        <v>356</v>
      </c>
      <c r="AR12" s="90" t="s">
        <v>380</v>
      </c>
      <c r="AS12" s="90" t="s">
        <v>246</v>
      </c>
      <c r="AT12" s="90" t="s">
        <v>244</v>
      </c>
      <c r="AU12" s="90">
        <v>175.87190000000001</v>
      </c>
      <c r="AV12" s="90">
        <v>200</v>
      </c>
      <c r="AW12" s="90">
        <v>2500</v>
      </c>
      <c r="AX12" s="90">
        <v>1.8485719110000001</v>
      </c>
    </row>
    <row r="13" spans="1:50" x14ac:dyDescent="0.25">
      <c r="A13" s="102">
        <v>830000</v>
      </c>
      <c r="B13" s="102">
        <v>1400000</v>
      </c>
      <c r="C13" s="102">
        <v>1400000</v>
      </c>
      <c r="D13" s="90" t="s">
        <v>374</v>
      </c>
      <c r="E13" s="90" t="s">
        <v>68</v>
      </c>
      <c r="F13" s="90" t="s">
        <v>375</v>
      </c>
      <c r="G13" s="90" t="s">
        <v>376</v>
      </c>
      <c r="H13" s="90">
        <v>0.59</v>
      </c>
      <c r="I13" s="90">
        <v>0.64</v>
      </c>
      <c r="J13" s="90" t="s">
        <v>244</v>
      </c>
      <c r="K13" s="90">
        <v>0.30565087738354002</v>
      </c>
      <c r="L13" s="90">
        <v>3724.5547691608899</v>
      </c>
      <c r="M13" s="90">
        <v>8.1072001934389402</v>
      </c>
      <c r="N13" s="90">
        <v>1.08242589716147</v>
      </c>
      <c r="O13" s="90">
        <v>2.4779728522486701</v>
      </c>
      <c r="P13" s="90">
        <v>0.33084442517007001</v>
      </c>
      <c r="Q13" s="90">
        <v>1138.4134330571001</v>
      </c>
      <c r="R13" s="90">
        <v>1750</v>
      </c>
      <c r="S13" s="90" t="s">
        <v>377</v>
      </c>
      <c r="T13" s="90">
        <v>1750</v>
      </c>
      <c r="U13" s="90" t="s">
        <v>378</v>
      </c>
      <c r="V13" s="90" t="s">
        <v>244</v>
      </c>
      <c r="Z13" s="90">
        <v>0</v>
      </c>
      <c r="AA13" s="90">
        <v>1</v>
      </c>
      <c r="AB13" s="90">
        <v>2.4779728522486701</v>
      </c>
      <c r="AC13" s="90">
        <v>0.33084442517007001</v>
      </c>
      <c r="AD13" s="90">
        <v>1138.4134330571001</v>
      </c>
      <c r="AF13" s="90">
        <v>-1</v>
      </c>
      <c r="AG13" s="90">
        <v>-1</v>
      </c>
      <c r="AH13" s="90">
        <v>-1</v>
      </c>
      <c r="AI13" s="90">
        <v>-1</v>
      </c>
      <c r="AJ13" s="90">
        <v>0</v>
      </c>
      <c r="AM13" s="90" t="s">
        <v>379</v>
      </c>
      <c r="AN13" s="90">
        <v>-1</v>
      </c>
      <c r="AQ13" s="90">
        <v>356</v>
      </c>
      <c r="AR13" s="90" t="s">
        <v>380</v>
      </c>
      <c r="AS13" s="90" t="s">
        <v>246</v>
      </c>
      <c r="AT13" s="90" t="s">
        <v>244</v>
      </c>
      <c r="AU13" s="90">
        <v>175.87190000000001</v>
      </c>
      <c r="AV13" s="90">
        <v>147.372706819928</v>
      </c>
      <c r="AW13" s="90">
        <v>1236.9252161518</v>
      </c>
      <c r="AX13" s="90">
        <v>0.92328745580000005</v>
      </c>
    </row>
    <row r="14" spans="1:50" x14ac:dyDescent="0.25">
      <c r="A14" s="102">
        <v>830000</v>
      </c>
      <c r="B14" s="102">
        <v>1400000</v>
      </c>
      <c r="C14" s="102">
        <v>1400000</v>
      </c>
      <c r="D14" s="90" t="s">
        <v>374</v>
      </c>
      <c r="E14" s="90" t="s">
        <v>68</v>
      </c>
      <c r="F14" s="90" t="s">
        <v>375</v>
      </c>
      <c r="G14" s="90" t="s">
        <v>376</v>
      </c>
      <c r="H14" s="90">
        <v>0.59</v>
      </c>
      <c r="I14" s="90">
        <v>0.64</v>
      </c>
      <c r="J14" s="90" t="s">
        <v>381</v>
      </c>
      <c r="K14" s="90">
        <v>2.1076526764E-3</v>
      </c>
      <c r="L14" s="90">
        <v>3724.5547691608899</v>
      </c>
      <c r="M14" s="90">
        <v>8.1072001934389402</v>
      </c>
      <c r="N14" s="90">
        <v>1.08242589716147</v>
      </c>
      <c r="O14" s="90">
        <v>1.7087162185820001E-2</v>
      </c>
      <c r="P14" s="90">
        <v>2.2813778391500002E-3</v>
      </c>
      <c r="Q14" s="90">
        <v>7.8500678276277904</v>
      </c>
      <c r="R14" s="90">
        <v>1750</v>
      </c>
      <c r="S14" s="90" t="s">
        <v>377</v>
      </c>
      <c r="T14" s="90">
        <v>1750</v>
      </c>
      <c r="U14" s="90" t="s">
        <v>382</v>
      </c>
      <c r="V14" s="90" t="s">
        <v>381</v>
      </c>
      <c r="Z14" s="90">
        <v>0</v>
      </c>
      <c r="AA14" s="90">
        <v>1</v>
      </c>
      <c r="AB14" s="90">
        <v>1.7087162185820001E-2</v>
      </c>
      <c r="AC14" s="90">
        <v>2.2813778391500002E-3</v>
      </c>
      <c r="AD14" s="90">
        <v>7.8500678276291298</v>
      </c>
      <c r="AF14" s="90">
        <v>-1</v>
      </c>
      <c r="AG14" s="90">
        <v>-1</v>
      </c>
      <c r="AH14" s="90">
        <v>-1</v>
      </c>
      <c r="AI14" s="90">
        <v>-1</v>
      </c>
      <c r="AJ14" s="90">
        <v>0</v>
      </c>
      <c r="AM14" s="90" t="s">
        <v>379</v>
      </c>
      <c r="AN14" s="90">
        <v>-1</v>
      </c>
      <c r="AQ14" s="90">
        <v>356</v>
      </c>
      <c r="AR14" s="90" t="s">
        <v>380</v>
      </c>
      <c r="AS14" s="90" t="s">
        <v>246</v>
      </c>
      <c r="AT14" s="90" t="s">
        <v>244</v>
      </c>
      <c r="AU14" s="90">
        <v>175.87190000000001</v>
      </c>
      <c r="AV14" s="90">
        <v>96.777577620124902</v>
      </c>
      <c r="AW14" s="90">
        <v>8.5293677696874308</v>
      </c>
      <c r="AX14" s="90">
        <v>6.3666406E-3</v>
      </c>
    </row>
    <row r="15" spans="1:50" x14ac:dyDescent="0.25">
      <c r="A15" s="102">
        <v>830000</v>
      </c>
      <c r="B15" s="102">
        <v>1400000</v>
      </c>
      <c r="C15" s="102">
        <v>1400000</v>
      </c>
      <c r="D15" s="90" t="s">
        <v>374</v>
      </c>
      <c r="E15" s="90" t="s">
        <v>68</v>
      </c>
      <c r="F15" s="90" t="s">
        <v>375</v>
      </c>
      <c r="G15" s="90" t="s">
        <v>376</v>
      </c>
      <c r="H15" s="90">
        <v>0.59</v>
      </c>
      <c r="I15" s="90">
        <v>0.64</v>
      </c>
      <c r="J15" s="90" t="s">
        <v>244</v>
      </c>
      <c r="K15" s="90">
        <v>0.61776345348380002</v>
      </c>
      <c r="L15" s="90">
        <v>3689.7789828459199</v>
      </c>
      <c r="M15" s="90">
        <v>7.3817771823938401</v>
      </c>
      <c r="N15" s="90">
        <v>1.00811438216062</v>
      </c>
      <c r="O15" s="90">
        <v>4.5601921650435697</v>
      </c>
      <c r="P15" s="90">
        <v>0.62277622223022999</v>
      </c>
      <c r="Q15" s="90">
        <v>2279.4106070348598</v>
      </c>
      <c r="R15" s="90">
        <v>1750</v>
      </c>
      <c r="S15" s="90" t="s">
        <v>377</v>
      </c>
      <c r="T15" s="90">
        <v>1750</v>
      </c>
      <c r="U15" s="90" t="s">
        <v>378</v>
      </c>
      <c r="V15" s="90" t="s">
        <v>244</v>
      </c>
      <c r="Z15" s="90">
        <v>0</v>
      </c>
      <c r="AA15" s="90">
        <v>1</v>
      </c>
      <c r="AB15" s="90">
        <v>4.5601921650435697</v>
      </c>
      <c r="AC15" s="90">
        <v>0.62277622223022999</v>
      </c>
      <c r="AD15" s="90">
        <v>2279.4106070348598</v>
      </c>
      <c r="AF15" s="90">
        <v>-1</v>
      </c>
      <c r="AG15" s="90">
        <v>-1</v>
      </c>
      <c r="AH15" s="90">
        <v>-1</v>
      </c>
      <c r="AI15" s="90">
        <v>-1</v>
      </c>
      <c r="AJ15" s="90">
        <v>0</v>
      </c>
      <c r="AM15" s="90" t="s">
        <v>379</v>
      </c>
      <c r="AN15" s="90">
        <v>-1</v>
      </c>
      <c r="AQ15" s="90">
        <v>356</v>
      </c>
      <c r="AR15" s="90" t="s">
        <v>380</v>
      </c>
      <c r="AS15" s="90" t="s">
        <v>246</v>
      </c>
      <c r="AT15" s="90" t="s">
        <v>244</v>
      </c>
      <c r="AU15" s="90">
        <v>175.87190000000001</v>
      </c>
      <c r="AV15" s="90">
        <v>199.999999970197</v>
      </c>
      <c r="AW15" s="90">
        <v>2499.9999992549401</v>
      </c>
      <c r="AX15" s="90">
        <v>1.8486704031000001</v>
      </c>
    </row>
    <row r="16" spans="1:50" x14ac:dyDescent="0.25">
      <c r="A16" s="102">
        <v>830000</v>
      </c>
      <c r="B16" s="102">
        <v>1400000</v>
      </c>
      <c r="C16" s="102">
        <v>1400000</v>
      </c>
      <c r="D16" s="90" t="s">
        <v>374</v>
      </c>
      <c r="E16" s="90" t="s">
        <v>68</v>
      </c>
      <c r="F16" s="90" t="s">
        <v>375</v>
      </c>
      <c r="G16" s="90" t="s">
        <v>376</v>
      </c>
      <c r="H16" s="90">
        <v>0.59</v>
      </c>
      <c r="I16" s="90">
        <v>0.64</v>
      </c>
      <c r="J16" s="90" t="s">
        <v>244</v>
      </c>
      <c r="K16" s="90">
        <v>9.4002412512699998E-3</v>
      </c>
      <c r="L16" s="90">
        <v>3649.3014877856299</v>
      </c>
      <c r="M16" s="90">
        <v>7.4108151567419496</v>
      </c>
      <c r="N16" s="90">
        <v>1.0063952351009</v>
      </c>
      <c r="O16" s="90">
        <v>6.9663450341980002E-2</v>
      </c>
      <c r="P16" s="90">
        <v>9.4603580040800005E-3</v>
      </c>
      <c r="Q16" s="90">
        <v>34.304314383821698</v>
      </c>
      <c r="R16" s="90">
        <v>1750</v>
      </c>
      <c r="S16" s="90" t="s">
        <v>377</v>
      </c>
      <c r="T16" s="90">
        <v>1750</v>
      </c>
      <c r="U16" s="90" t="s">
        <v>378</v>
      </c>
      <c r="V16" s="90" t="s">
        <v>244</v>
      </c>
      <c r="Z16" s="90">
        <v>0</v>
      </c>
      <c r="AA16" s="90">
        <v>1</v>
      </c>
      <c r="AB16" s="90">
        <v>6.9663450341980002E-2</v>
      </c>
      <c r="AC16" s="90">
        <v>9.4603580040800005E-3</v>
      </c>
      <c r="AD16" s="90">
        <v>34.304314383821101</v>
      </c>
      <c r="AF16" s="90">
        <v>-1</v>
      </c>
      <c r="AG16" s="90">
        <v>-1</v>
      </c>
      <c r="AH16" s="90">
        <v>-1</v>
      </c>
      <c r="AI16" s="90">
        <v>-1</v>
      </c>
      <c r="AJ16" s="90">
        <v>0</v>
      </c>
      <c r="AM16" s="90" t="s">
        <v>379</v>
      </c>
      <c r="AN16" s="90">
        <v>-1</v>
      </c>
      <c r="AQ16" s="90">
        <v>356</v>
      </c>
      <c r="AR16" s="90" t="s">
        <v>380</v>
      </c>
      <c r="AS16" s="90" t="s">
        <v>246</v>
      </c>
      <c r="AT16" s="90" t="s">
        <v>244</v>
      </c>
      <c r="AU16" s="90">
        <v>175.87190000000001</v>
      </c>
      <c r="AV16" s="90">
        <v>71.069743021474494</v>
      </c>
      <c r="AW16" s="90">
        <v>38.041426679830899</v>
      </c>
      <c r="AX16" s="90">
        <v>2.7821828400000002E-2</v>
      </c>
    </row>
    <row r="17" spans="1:50" x14ac:dyDescent="0.25">
      <c r="A17" s="102">
        <v>830000</v>
      </c>
      <c r="B17" s="102">
        <v>1400000</v>
      </c>
      <c r="C17" s="102">
        <v>1400000</v>
      </c>
      <c r="D17" s="90" t="s">
        <v>374</v>
      </c>
      <c r="E17" s="90" t="s">
        <v>68</v>
      </c>
      <c r="F17" s="90" t="s">
        <v>375</v>
      </c>
      <c r="G17" s="90" t="s">
        <v>376</v>
      </c>
      <c r="H17" s="90">
        <v>0.59</v>
      </c>
      <c r="I17" s="90">
        <v>0.64</v>
      </c>
      <c r="J17" s="90" t="s">
        <v>244</v>
      </c>
      <c r="K17" s="90">
        <v>8.7577589380000002E-4</v>
      </c>
      <c r="L17" s="90">
        <v>3649.3014877856299</v>
      </c>
      <c r="M17" s="90">
        <v>7.4108151567419496</v>
      </c>
      <c r="N17" s="90">
        <v>1.0063952351009</v>
      </c>
      <c r="O17" s="90">
        <v>6.4902132677099999E-3</v>
      </c>
      <c r="P17" s="90">
        <v>8.8137668653999999E-4</v>
      </c>
      <c r="Q17" s="90">
        <v>3.1959702722293799</v>
      </c>
      <c r="R17" s="90">
        <v>1750</v>
      </c>
      <c r="S17" s="90" t="s">
        <v>377</v>
      </c>
      <c r="T17" s="90">
        <v>1750</v>
      </c>
      <c r="U17" s="90" t="s">
        <v>378</v>
      </c>
      <c r="V17" s="90" t="s">
        <v>244</v>
      </c>
      <c r="Z17" s="90">
        <v>0</v>
      </c>
      <c r="AA17" s="90">
        <v>1</v>
      </c>
      <c r="AB17" s="90">
        <v>6.4902132677099999E-3</v>
      </c>
      <c r="AC17" s="90">
        <v>8.8137668653999999E-4</v>
      </c>
      <c r="AD17" s="90">
        <v>3.1959702722304302</v>
      </c>
      <c r="AF17" s="90">
        <v>-1</v>
      </c>
      <c r="AG17" s="90">
        <v>-1</v>
      </c>
      <c r="AH17" s="90">
        <v>-1</v>
      </c>
      <c r="AI17" s="90">
        <v>-1</v>
      </c>
      <c r="AJ17" s="90">
        <v>0</v>
      </c>
      <c r="AM17" s="90" t="s">
        <v>379</v>
      </c>
      <c r="AN17" s="90">
        <v>-1</v>
      </c>
      <c r="AQ17" s="90">
        <v>356</v>
      </c>
      <c r="AR17" s="90" t="s">
        <v>380</v>
      </c>
      <c r="AS17" s="90" t="s">
        <v>246</v>
      </c>
      <c r="AT17" s="90" t="s">
        <v>244</v>
      </c>
      <c r="AU17" s="90">
        <v>175.87190000000001</v>
      </c>
      <c r="AV17" s="90">
        <v>11.0354554588976</v>
      </c>
      <c r="AW17" s="90">
        <v>3.5441393004290398</v>
      </c>
      <c r="AX17" s="90">
        <v>2.5920278000000001E-3</v>
      </c>
    </row>
    <row r="18" spans="1:50" x14ac:dyDescent="0.25">
      <c r="A18" s="102">
        <v>830000</v>
      </c>
      <c r="B18" s="102">
        <v>1400000</v>
      </c>
      <c r="C18" s="102">
        <v>1400000</v>
      </c>
      <c r="D18" s="90" t="s">
        <v>374</v>
      </c>
      <c r="E18" s="90" t="s">
        <v>68</v>
      </c>
      <c r="F18" s="90" t="s">
        <v>375</v>
      </c>
      <c r="G18" s="90" t="s">
        <v>376</v>
      </c>
      <c r="H18" s="90">
        <v>0.59</v>
      </c>
      <c r="I18" s="90">
        <v>0.64</v>
      </c>
      <c r="J18" s="90" t="s">
        <v>244</v>
      </c>
      <c r="K18" s="90">
        <v>2.724159373786E-2</v>
      </c>
      <c r="L18" s="90">
        <v>3752.8105449066202</v>
      </c>
      <c r="M18" s="90">
        <v>10.6434789165361</v>
      </c>
      <c r="N18" s="90">
        <v>1.9789777567598901</v>
      </c>
      <c r="O18" s="90">
        <v>0.28994532860184002</v>
      </c>
      <c r="P18" s="90">
        <v>5.391050806593E-2</v>
      </c>
      <c r="Q18" s="90">
        <v>102.23254023953299</v>
      </c>
      <c r="R18" s="90">
        <v>1750</v>
      </c>
      <c r="S18" s="90" t="s">
        <v>377</v>
      </c>
      <c r="T18" s="90">
        <v>1750</v>
      </c>
      <c r="U18" s="90" t="s">
        <v>378</v>
      </c>
      <c r="V18" s="90" t="s">
        <v>244</v>
      </c>
      <c r="Z18" s="90">
        <v>0</v>
      </c>
      <c r="AA18" s="90">
        <v>1</v>
      </c>
      <c r="AB18" s="90">
        <v>0.28994532860184002</v>
      </c>
      <c r="AC18" s="90">
        <v>5.391050806593E-2</v>
      </c>
      <c r="AD18" s="90">
        <v>102.232540239535</v>
      </c>
      <c r="AF18" s="90">
        <v>-1</v>
      </c>
      <c r="AG18" s="90">
        <v>-1</v>
      </c>
      <c r="AH18" s="90">
        <v>-1</v>
      </c>
      <c r="AI18" s="90">
        <v>-1</v>
      </c>
      <c r="AJ18" s="90">
        <v>0</v>
      </c>
      <c r="AM18" s="90" t="s">
        <v>379</v>
      </c>
      <c r="AN18" s="90">
        <v>-1</v>
      </c>
      <c r="AQ18" s="90">
        <v>356</v>
      </c>
      <c r="AR18" s="90" t="s">
        <v>380</v>
      </c>
      <c r="AS18" s="90" t="s">
        <v>246</v>
      </c>
      <c r="AT18" s="90" t="s">
        <v>244</v>
      </c>
      <c r="AU18" s="90">
        <v>175.87190000000001</v>
      </c>
      <c r="AV18" s="90">
        <v>64.399595476828495</v>
      </c>
      <c r="AW18" s="90">
        <v>110.242818574504</v>
      </c>
      <c r="AX18" s="90">
        <v>8.2913657900000007E-2</v>
      </c>
    </row>
    <row r="19" spans="1:50" x14ac:dyDescent="0.25">
      <c r="A19" s="102">
        <v>830000</v>
      </c>
      <c r="B19" s="102">
        <v>1400000</v>
      </c>
      <c r="C19" s="102">
        <v>1400000</v>
      </c>
      <c r="D19" s="90" t="s">
        <v>374</v>
      </c>
      <c r="E19" s="90" t="s">
        <v>68</v>
      </c>
      <c r="F19" s="90" t="s">
        <v>375</v>
      </c>
      <c r="G19" s="90" t="s">
        <v>376</v>
      </c>
      <c r="H19" s="90">
        <v>0.59</v>
      </c>
      <c r="I19" s="90">
        <v>0.64</v>
      </c>
      <c r="J19" s="90" t="s">
        <v>244</v>
      </c>
      <c r="K19" s="90">
        <v>0.61776345366790997</v>
      </c>
      <c r="L19" s="90">
        <v>3689.2782999074302</v>
      </c>
      <c r="M19" s="90">
        <v>7.3807862395587698</v>
      </c>
      <c r="N19" s="90">
        <v>1.00797854728359</v>
      </c>
      <c r="O19" s="90">
        <v>4.5595799981344296</v>
      </c>
      <c r="P19" s="90">
        <v>0.62269230859308</v>
      </c>
      <c r="Q19" s="90">
        <v>2279.1013040929001</v>
      </c>
      <c r="R19" s="90">
        <v>1750</v>
      </c>
      <c r="S19" s="90" t="s">
        <v>377</v>
      </c>
      <c r="T19" s="90">
        <v>1750</v>
      </c>
      <c r="U19" s="90" t="s">
        <v>378</v>
      </c>
      <c r="V19" s="90" t="s">
        <v>244</v>
      </c>
      <c r="Z19" s="90">
        <v>0</v>
      </c>
      <c r="AA19" s="90">
        <v>1</v>
      </c>
      <c r="AB19" s="90">
        <v>4.5595799981344296</v>
      </c>
      <c r="AC19" s="90">
        <v>0.62269230859308</v>
      </c>
      <c r="AD19" s="90">
        <v>2279.1013040929001</v>
      </c>
      <c r="AF19" s="90">
        <v>-1</v>
      </c>
      <c r="AG19" s="90">
        <v>-1</v>
      </c>
      <c r="AH19" s="90">
        <v>-1</v>
      </c>
      <c r="AI19" s="90">
        <v>-1</v>
      </c>
      <c r="AJ19" s="90">
        <v>0</v>
      </c>
      <c r="AM19" s="90" t="s">
        <v>379</v>
      </c>
      <c r="AN19" s="90">
        <v>-1</v>
      </c>
      <c r="AQ19" s="90">
        <v>356</v>
      </c>
      <c r="AR19" s="90" t="s">
        <v>380</v>
      </c>
      <c r="AS19" s="90" t="s">
        <v>246</v>
      </c>
      <c r="AT19" s="90" t="s">
        <v>244</v>
      </c>
      <c r="AU19" s="90">
        <v>175.87190000000001</v>
      </c>
      <c r="AV19" s="90">
        <v>200</v>
      </c>
      <c r="AW19" s="90">
        <v>2500</v>
      </c>
      <c r="AX19" s="90">
        <v>1.8484195490999999</v>
      </c>
    </row>
    <row r="20" spans="1:50" x14ac:dyDescent="0.25">
      <c r="A20" s="102">
        <v>830000</v>
      </c>
      <c r="B20" s="102">
        <v>1400000</v>
      </c>
      <c r="C20" s="102">
        <v>1400000</v>
      </c>
      <c r="D20" s="90" t="s">
        <v>374</v>
      </c>
      <c r="E20" s="90" t="s">
        <v>68</v>
      </c>
      <c r="F20" s="90" t="s">
        <v>375</v>
      </c>
      <c r="G20" s="90" t="s">
        <v>376</v>
      </c>
      <c r="H20" s="90">
        <v>0.59</v>
      </c>
      <c r="I20" s="90">
        <v>0.64</v>
      </c>
      <c r="J20" s="90" t="s">
        <v>244</v>
      </c>
      <c r="K20" s="90">
        <v>0.61776345352982998</v>
      </c>
      <c r="L20" s="90">
        <v>3689.57871079491</v>
      </c>
      <c r="M20" s="90">
        <v>7.3813808074564298</v>
      </c>
      <c r="N20" s="90">
        <v>1.0080600485122799</v>
      </c>
      <c r="O20" s="90">
        <v>4.5599472994331096</v>
      </c>
      <c r="P20" s="90">
        <v>0.62274265693439002</v>
      </c>
      <c r="Q20" s="90">
        <v>2279.2868864508</v>
      </c>
      <c r="R20" s="90">
        <v>1750</v>
      </c>
      <c r="S20" s="90" t="s">
        <v>377</v>
      </c>
      <c r="T20" s="90">
        <v>1750</v>
      </c>
      <c r="U20" s="90" t="s">
        <v>378</v>
      </c>
      <c r="V20" s="90" t="s">
        <v>244</v>
      </c>
      <c r="Z20" s="90">
        <v>0</v>
      </c>
      <c r="AA20" s="90">
        <v>1</v>
      </c>
      <c r="AB20" s="90">
        <v>4.5599472994331096</v>
      </c>
      <c r="AC20" s="90">
        <v>0.62274265693439002</v>
      </c>
      <c r="AD20" s="90">
        <v>2279.2868864508</v>
      </c>
      <c r="AF20" s="90">
        <v>-1</v>
      </c>
      <c r="AG20" s="90">
        <v>-1</v>
      </c>
      <c r="AH20" s="90">
        <v>-1</v>
      </c>
      <c r="AI20" s="90">
        <v>-1</v>
      </c>
      <c r="AJ20" s="90">
        <v>0</v>
      </c>
      <c r="AM20" s="90" t="s">
        <v>379</v>
      </c>
      <c r="AN20" s="90">
        <v>-1</v>
      </c>
      <c r="AQ20" s="90">
        <v>356</v>
      </c>
      <c r="AR20" s="90" t="s">
        <v>380</v>
      </c>
      <c r="AS20" s="90" t="s">
        <v>246</v>
      </c>
      <c r="AT20" s="90" t="s">
        <v>244</v>
      </c>
      <c r="AU20" s="90">
        <v>175.87190000000001</v>
      </c>
      <c r="AV20" s="90">
        <v>199.999999977648</v>
      </c>
      <c r="AW20" s="90">
        <v>2499.9999994412001</v>
      </c>
      <c r="AX20" s="90">
        <v>1.8485700620000001</v>
      </c>
    </row>
    <row r="21" spans="1:50" x14ac:dyDescent="0.25">
      <c r="A21" s="102">
        <v>830000</v>
      </c>
      <c r="B21" s="102">
        <v>1400000</v>
      </c>
      <c r="C21" s="102">
        <v>1400000</v>
      </c>
      <c r="D21" s="90" t="s">
        <v>374</v>
      </c>
      <c r="E21" s="90" t="s">
        <v>68</v>
      </c>
      <c r="F21" s="90" t="s">
        <v>375</v>
      </c>
      <c r="G21" s="90" t="s">
        <v>376</v>
      </c>
      <c r="H21" s="90">
        <v>0.59</v>
      </c>
      <c r="I21" s="90">
        <v>0.64</v>
      </c>
      <c r="J21" s="90" t="s">
        <v>244</v>
      </c>
      <c r="K21" s="90">
        <v>0.55574345036618</v>
      </c>
      <c r="L21" s="90">
        <v>3703.6532917064201</v>
      </c>
      <c r="M21" s="90">
        <v>7.8158993568162298</v>
      </c>
      <c r="N21" s="90">
        <v>1.0621180944037401</v>
      </c>
      <c r="O21" s="90">
        <v>4.3436348762719197</v>
      </c>
      <c r="P21" s="90">
        <v>0.59026517448030003</v>
      </c>
      <c r="Q21" s="90">
        <v>2058.28105929301</v>
      </c>
      <c r="R21" s="90">
        <v>1750</v>
      </c>
      <c r="S21" s="90" t="s">
        <v>377</v>
      </c>
      <c r="T21" s="90">
        <v>1750</v>
      </c>
      <c r="U21" s="90" t="s">
        <v>378</v>
      </c>
      <c r="V21" s="90" t="s">
        <v>244</v>
      </c>
      <c r="Z21" s="90">
        <v>0</v>
      </c>
      <c r="AA21" s="90">
        <v>1</v>
      </c>
      <c r="AB21" s="90">
        <v>4.3436348762719197</v>
      </c>
      <c r="AC21" s="90">
        <v>0.59026517448030003</v>
      </c>
      <c r="AD21" s="90">
        <v>2058.28105929301</v>
      </c>
      <c r="AF21" s="90">
        <v>-1</v>
      </c>
      <c r="AG21" s="90">
        <v>-1</v>
      </c>
      <c r="AH21" s="90">
        <v>-1</v>
      </c>
      <c r="AI21" s="90">
        <v>-1</v>
      </c>
      <c r="AJ21" s="90">
        <v>0</v>
      </c>
      <c r="AM21" s="90" t="s">
        <v>379</v>
      </c>
      <c r="AN21" s="90">
        <v>-1</v>
      </c>
      <c r="AQ21" s="90">
        <v>356</v>
      </c>
      <c r="AR21" s="90" t="s">
        <v>380</v>
      </c>
      <c r="AS21" s="90" t="s">
        <v>246</v>
      </c>
      <c r="AT21" s="90" t="s">
        <v>244</v>
      </c>
      <c r="AU21" s="90">
        <v>175.87190000000001</v>
      </c>
      <c r="AV21" s="90">
        <v>189.98536834135101</v>
      </c>
      <c r="AW21" s="90">
        <v>2249.0139513211402</v>
      </c>
      <c r="AX21" s="90">
        <v>1.6693277042000001</v>
      </c>
    </row>
    <row r="22" spans="1:50" x14ac:dyDescent="0.25">
      <c r="A22" s="102">
        <v>830000</v>
      </c>
      <c r="B22" s="102">
        <v>1400000</v>
      </c>
      <c r="C22" s="102">
        <v>1400000</v>
      </c>
      <c r="D22" s="90" t="s">
        <v>374</v>
      </c>
      <c r="E22" s="90" t="s">
        <v>68</v>
      </c>
      <c r="F22" s="90" t="s">
        <v>375</v>
      </c>
      <c r="G22" s="90" t="s">
        <v>376</v>
      </c>
      <c r="H22" s="90">
        <v>0.59</v>
      </c>
      <c r="I22" s="90">
        <v>0.64</v>
      </c>
      <c r="J22" s="90" t="s">
        <v>244</v>
      </c>
      <c r="K22" s="90">
        <v>0.57677821882381997</v>
      </c>
      <c r="L22" s="90">
        <v>3701.46234073202</v>
      </c>
      <c r="M22" s="90">
        <v>7.4631608493218904</v>
      </c>
      <c r="N22" s="90">
        <v>1.01878397874913</v>
      </c>
      <c r="O22" s="90">
        <v>4.3045886214676097</v>
      </c>
      <c r="P22" s="90">
        <v>0.58761240862917996</v>
      </c>
      <c r="Q22" s="90">
        <v>2134.9228559308899</v>
      </c>
      <c r="R22" s="90">
        <v>1750</v>
      </c>
      <c r="S22" s="90" t="s">
        <v>377</v>
      </c>
      <c r="T22" s="90">
        <v>1750</v>
      </c>
      <c r="U22" s="90" t="s">
        <v>378</v>
      </c>
      <c r="V22" s="90" t="s">
        <v>244</v>
      </c>
      <c r="Z22" s="90">
        <v>0</v>
      </c>
      <c r="AA22" s="90">
        <v>1</v>
      </c>
      <c r="AB22" s="90">
        <v>4.3045886214676097</v>
      </c>
      <c r="AC22" s="90">
        <v>0.58761240862917996</v>
      </c>
      <c r="AD22" s="90">
        <v>2134.9228559308899</v>
      </c>
      <c r="AF22" s="90">
        <v>-1</v>
      </c>
      <c r="AG22" s="90">
        <v>-1</v>
      </c>
      <c r="AH22" s="90">
        <v>-1</v>
      </c>
      <c r="AI22" s="90">
        <v>-1</v>
      </c>
      <c r="AJ22" s="90">
        <v>0</v>
      </c>
      <c r="AM22" s="90" t="s">
        <v>379</v>
      </c>
      <c r="AN22" s="90">
        <v>-1</v>
      </c>
      <c r="AQ22" s="90">
        <v>356</v>
      </c>
      <c r="AR22" s="90" t="s">
        <v>380</v>
      </c>
      <c r="AS22" s="90" t="s">
        <v>246</v>
      </c>
      <c r="AT22" s="90" t="s">
        <v>244</v>
      </c>
      <c r="AU22" s="90">
        <v>175.87190000000001</v>
      </c>
      <c r="AV22" s="90">
        <v>193.38146872986499</v>
      </c>
      <c r="AW22" s="90">
        <v>2334.1386391476399</v>
      </c>
      <c r="AX22" s="90">
        <v>1.7314865012</v>
      </c>
    </row>
    <row r="23" spans="1:50" x14ac:dyDescent="0.25">
      <c r="A23" s="102">
        <v>830000</v>
      </c>
      <c r="B23" s="102">
        <v>1400000</v>
      </c>
      <c r="C23" s="102">
        <v>1400000</v>
      </c>
      <c r="D23" s="90" t="s">
        <v>374</v>
      </c>
      <c r="E23" s="90" t="s">
        <v>68</v>
      </c>
      <c r="F23" s="90" t="s">
        <v>375</v>
      </c>
      <c r="G23" s="90" t="s">
        <v>376</v>
      </c>
      <c r="H23" s="90">
        <v>0.59</v>
      </c>
      <c r="I23" s="90">
        <v>0.64</v>
      </c>
      <c r="J23" s="90" t="s">
        <v>244</v>
      </c>
      <c r="K23" s="90">
        <v>5.9750283734749998E-2</v>
      </c>
      <c r="L23" s="90">
        <v>3759.49731767804</v>
      </c>
      <c r="M23" s="90">
        <v>8.0615853241044597</v>
      </c>
      <c r="N23" s="90">
        <v>1.14374272956833</v>
      </c>
      <c r="O23" s="90">
        <v>0.48168201046713</v>
      </c>
      <c r="P23" s="90">
        <v>6.8338952611259995E-2</v>
      </c>
      <c r="Q23" s="90">
        <v>224.63103143129399</v>
      </c>
      <c r="R23" s="90">
        <v>1750</v>
      </c>
      <c r="S23" s="90" t="s">
        <v>377</v>
      </c>
      <c r="T23" s="90">
        <v>1750</v>
      </c>
      <c r="U23" s="90" t="s">
        <v>378</v>
      </c>
      <c r="V23" s="90" t="s">
        <v>244</v>
      </c>
      <c r="Z23" s="90">
        <v>0</v>
      </c>
      <c r="AA23" s="90">
        <v>1</v>
      </c>
      <c r="AB23" s="90">
        <v>0.48168201046713</v>
      </c>
      <c r="AC23" s="90">
        <v>6.8338952611259995E-2</v>
      </c>
      <c r="AD23" s="90">
        <v>224.63103143129399</v>
      </c>
      <c r="AF23" s="90">
        <v>-1</v>
      </c>
      <c r="AG23" s="90">
        <v>-1</v>
      </c>
      <c r="AH23" s="90">
        <v>-1</v>
      </c>
      <c r="AI23" s="90">
        <v>-1</v>
      </c>
      <c r="AJ23" s="90">
        <v>0</v>
      </c>
      <c r="AM23" s="90" t="s">
        <v>379</v>
      </c>
      <c r="AN23" s="90">
        <v>-1</v>
      </c>
      <c r="AQ23" s="90">
        <v>356</v>
      </c>
      <c r="AR23" s="90" t="s">
        <v>380</v>
      </c>
      <c r="AS23" s="90" t="s">
        <v>246</v>
      </c>
      <c r="AT23" s="90" t="s">
        <v>244</v>
      </c>
      <c r="AU23" s="90">
        <v>175.87190000000001</v>
      </c>
      <c r="AV23" s="90">
        <v>74.806560384856297</v>
      </c>
      <c r="AW23" s="90">
        <v>241.800819472195</v>
      </c>
      <c r="AX23" s="90">
        <v>0.18218250720000001</v>
      </c>
    </row>
    <row r="24" spans="1:50" x14ac:dyDescent="0.25">
      <c r="A24" s="102">
        <v>830000</v>
      </c>
      <c r="B24" s="102">
        <v>1400000</v>
      </c>
      <c r="C24" s="102">
        <v>1400000</v>
      </c>
      <c r="D24" s="90" t="s">
        <v>374</v>
      </c>
      <c r="E24" s="90" t="s">
        <v>68</v>
      </c>
      <c r="F24" s="90" t="s">
        <v>375</v>
      </c>
      <c r="G24" s="90" t="s">
        <v>376</v>
      </c>
      <c r="H24" s="90">
        <v>0.59</v>
      </c>
      <c r="I24" s="90">
        <v>0.64</v>
      </c>
      <c r="J24" s="90" t="s">
        <v>244</v>
      </c>
      <c r="K24" s="90">
        <v>0.30299328031139</v>
      </c>
      <c r="L24" s="90">
        <v>3759.49731767804</v>
      </c>
      <c r="M24" s="90">
        <v>8.0615853241044597</v>
      </c>
      <c r="N24" s="90">
        <v>1.14374272956833</v>
      </c>
      <c r="O24" s="90">
        <v>2.4426061818606102</v>
      </c>
      <c r="P24" s="90">
        <v>0.34654636146420997</v>
      </c>
      <c r="Q24" s="90">
        <v>1139.10242460516</v>
      </c>
      <c r="R24" s="90">
        <v>1750</v>
      </c>
      <c r="S24" s="90" t="s">
        <v>377</v>
      </c>
      <c r="T24" s="90">
        <v>1750</v>
      </c>
      <c r="U24" s="90" t="s">
        <v>378</v>
      </c>
      <c r="V24" s="90" t="s">
        <v>244</v>
      </c>
      <c r="Z24" s="90">
        <v>0</v>
      </c>
      <c r="AA24" s="90">
        <v>1</v>
      </c>
      <c r="AB24" s="90">
        <v>2.4426061818606102</v>
      </c>
      <c r="AC24" s="90">
        <v>0.34654636146420997</v>
      </c>
      <c r="AD24" s="90">
        <v>1139.10242460516</v>
      </c>
      <c r="AF24" s="90">
        <v>-1</v>
      </c>
      <c r="AG24" s="90">
        <v>-1</v>
      </c>
      <c r="AH24" s="90">
        <v>-1</v>
      </c>
      <c r="AI24" s="90">
        <v>-1</v>
      </c>
      <c r="AJ24" s="90">
        <v>0</v>
      </c>
      <c r="AM24" s="90" t="s">
        <v>379</v>
      </c>
      <c r="AN24" s="90">
        <v>-1</v>
      </c>
      <c r="AQ24" s="90">
        <v>356</v>
      </c>
      <c r="AR24" s="90" t="s">
        <v>380</v>
      </c>
      <c r="AS24" s="90" t="s">
        <v>246</v>
      </c>
      <c r="AT24" s="90" t="s">
        <v>244</v>
      </c>
      <c r="AU24" s="90">
        <v>175.87190000000001</v>
      </c>
      <c r="AV24" s="90">
        <v>142.23168252397301</v>
      </c>
      <c r="AW24" s="90">
        <v>1226.17030237221</v>
      </c>
      <c r="AX24" s="90">
        <v>0.92384624869999998</v>
      </c>
    </row>
    <row r="25" spans="1:50" x14ac:dyDescent="0.25">
      <c r="A25" s="102">
        <v>830000</v>
      </c>
      <c r="B25" s="102">
        <v>1400000</v>
      </c>
      <c r="C25" s="102">
        <v>1400000</v>
      </c>
      <c r="D25" s="90" t="s">
        <v>374</v>
      </c>
      <c r="E25" s="90" t="s">
        <v>68</v>
      </c>
      <c r="F25" s="90" t="s">
        <v>375</v>
      </c>
      <c r="G25" s="90" t="s">
        <v>376</v>
      </c>
      <c r="H25" s="90">
        <v>0.59</v>
      </c>
      <c r="I25" s="90">
        <v>0.64</v>
      </c>
      <c r="J25" s="90" t="s">
        <v>244</v>
      </c>
      <c r="K25" s="90">
        <v>0.44130257519971999</v>
      </c>
      <c r="L25" s="90">
        <v>3672.8799240073099</v>
      </c>
      <c r="M25" s="90">
        <v>7.4739828555063204</v>
      </c>
      <c r="N25" s="90">
        <v>1.01459676622211</v>
      </c>
      <c r="O25" s="90">
        <v>3.2982878811335499</v>
      </c>
      <c r="P25" s="90">
        <v>0.44774416572313003</v>
      </c>
      <c r="Q25" s="90">
        <v>1620.8513688638</v>
      </c>
      <c r="R25" s="90">
        <v>1750</v>
      </c>
      <c r="S25" s="90" t="s">
        <v>377</v>
      </c>
      <c r="T25" s="90">
        <v>1750</v>
      </c>
      <c r="U25" s="90" t="s">
        <v>378</v>
      </c>
      <c r="V25" s="90" t="s">
        <v>244</v>
      </c>
      <c r="Z25" s="90">
        <v>0</v>
      </c>
      <c r="AA25" s="90">
        <v>1</v>
      </c>
      <c r="AB25" s="90">
        <v>3.2982878811335499</v>
      </c>
      <c r="AC25" s="90">
        <v>0.44774416572313003</v>
      </c>
      <c r="AD25" s="90">
        <v>1620.8513688638</v>
      </c>
      <c r="AF25" s="90">
        <v>-1</v>
      </c>
      <c r="AG25" s="90">
        <v>-1</v>
      </c>
      <c r="AH25" s="90">
        <v>-1</v>
      </c>
      <c r="AI25" s="90">
        <v>-1</v>
      </c>
      <c r="AJ25" s="90">
        <v>0</v>
      </c>
      <c r="AM25" s="90" t="s">
        <v>379</v>
      </c>
      <c r="AN25" s="90">
        <v>-1</v>
      </c>
      <c r="AQ25" s="90">
        <v>356</v>
      </c>
      <c r="AR25" s="90" t="s">
        <v>380</v>
      </c>
      <c r="AS25" s="90" t="s">
        <v>246</v>
      </c>
      <c r="AT25" s="90" t="s">
        <v>244</v>
      </c>
      <c r="AU25" s="90">
        <v>175.87190000000001</v>
      </c>
      <c r="AV25" s="90">
        <v>171.45146515859801</v>
      </c>
      <c r="AW25" s="90">
        <v>1785.88816066867</v>
      </c>
      <c r="AX25" s="90">
        <v>1.3145590988</v>
      </c>
    </row>
    <row r="26" spans="1:50" x14ac:dyDescent="0.25">
      <c r="A26" s="102">
        <v>830000</v>
      </c>
      <c r="B26" s="102">
        <v>1400000</v>
      </c>
      <c r="C26" s="102">
        <v>1400000</v>
      </c>
      <c r="D26" s="90" t="s">
        <v>374</v>
      </c>
      <c r="E26" s="90" t="s">
        <v>68</v>
      </c>
      <c r="F26" s="90" t="s">
        <v>375</v>
      </c>
      <c r="G26" s="90" t="s">
        <v>376</v>
      </c>
      <c r="H26" s="90">
        <v>0.59</v>
      </c>
      <c r="I26" s="90">
        <v>0.64</v>
      </c>
      <c r="J26" s="90" t="s">
        <v>244</v>
      </c>
      <c r="K26" s="90">
        <v>0.14436567821436999</v>
      </c>
      <c r="L26" s="90">
        <v>3749.6178227435298</v>
      </c>
      <c r="M26" s="90">
        <v>9.1118742840489908</v>
      </c>
      <c r="N26" s="90">
        <v>1.29799284323793</v>
      </c>
      <c r="O26" s="90">
        <v>1.3154419108208399</v>
      </c>
      <c r="P26" s="90">
        <v>0.18738561713144</v>
      </c>
      <c r="Q26" s="90">
        <v>541.31612002507404</v>
      </c>
      <c r="R26" s="90">
        <v>1740</v>
      </c>
      <c r="S26" s="90" t="s">
        <v>383</v>
      </c>
      <c r="T26" s="90">
        <v>1740</v>
      </c>
      <c r="U26" s="90" t="s">
        <v>378</v>
      </c>
      <c r="V26" s="90" t="s">
        <v>244</v>
      </c>
      <c r="Z26" s="90">
        <v>0</v>
      </c>
      <c r="AA26" s="90">
        <v>1</v>
      </c>
      <c r="AB26" s="90">
        <v>1.3154419108208399</v>
      </c>
      <c r="AC26" s="90">
        <v>0.18738561713144</v>
      </c>
      <c r="AD26" s="90">
        <v>541.31612002507404</v>
      </c>
      <c r="AF26" s="90">
        <v>-1</v>
      </c>
      <c r="AG26" s="90">
        <v>-1</v>
      </c>
      <c r="AH26" s="90">
        <v>-1</v>
      </c>
      <c r="AI26" s="90">
        <v>-1</v>
      </c>
      <c r="AJ26" s="90">
        <v>0</v>
      </c>
      <c r="AM26" s="90" t="s">
        <v>379</v>
      </c>
      <c r="AN26" s="90">
        <v>-1</v>
      </c>
      <c r="AQ26" s="90">
        <v>356</v>
      </c>
      <c r="AR26" s="90" t="s">
        <v>380</v>
      </c>
      <c r="AS26" s="90" t="s">
        <v>246</v>
      </c>
      <c r="AT26" s="90" t="s">
        <v>244</v>
      </c>
      <c r="AU26" s="90">
        <v>175.87190000000001</v>
      </c>
      <c r="AV26" s="90">
        <v>108.797198009051</v>
      </c>
      <c r="AW26" s="90">
        <v>584.22717205597098</v>
      </c>
      <c r="AX26" s="90">
        <v>0.43902361719999999</v>
      </c>
    </row>
    <row r="27" spans="1:50" x14ac:dyDescent="0.25">
      <c r="A27" s="102">
        <v>830000</v>
      </c>
      <c r="B27" s="102">
        <v>1400000</v>
      </c>
      <c r="C27" s="102">
        <v>1400000</v>
      </c>
      <c r="D27" s="90" t="s">
        <v>374</v>
      </c>
      <c r="E27" s="90" t="s">
        <v>68</v>
      </c>
      <c r="F27" s="90" t="s">
        <v>375</v>
      </c>
      <c r="G27" s="90" t="s">
        <v>376</v>
      </c>
      <c r="H27" s="90">
        <v>0.59</v>
      </c>
      <c r="I27" s="90">
        <v>0.64</v>
      </c>
      <c r="J27" s="90" t="s">
        <v>244</v>
      </c>
      <c r="K27" s="90">
        <v>0.61776345366790997</v>
      </c>
      <c r="L27" s="90">
        <v>3689.2782999074302</v>
      </c>
      <c r="M27" s="90">
        <v>7.3807862395587698</v>
      </c>
      <c r="N27" s="90">
        <v>1.00797854728359</v>
      </c>
      <c r="O27" s="90">
        <v>4.5595799981344296</v>
      </c>
      <c r="P27" s="90">
        <v>0.62269230859308</v>
      </c>
      <c r="Q27" s="90">
        <v>2279.1013040929001</v>
      </c>
      <c r="R27" s="90">
        <v>1750</v>
      </c>
      <c r="S27" s="90" t="s">
        <v>377</v>
      </c>
      <c r="T27" s="90">
        <v>1750</v>
      </c>
      <c r="U27" s="90" t="s">
        <v>378</v>
      </c>
      <c r="V27" s="90" t="s">
        <v>244</v>
      </c>
      <c r="Z27" s="90">
        <v>0</v>
      </c>
      <c r="AA27" s="90">
        <v>1</v>
      </c>
      <c r="AB27" s="90">
        <v>4.5595799981344296</v>
      </c>
      <c r="AC27" s="90">
        <v>0.62269230859308</v>
      </c>
      <c r="AD27" s="90">
        <v>2279.1013040929001</v>
      </c>
      <c r="AF27" s="90">
        <v>-1</v>
      </c>
      <c r="AG27" s="90">
        <v>-1</v>
      </c>
      <c r="AH27" s="90">
        <v>-1</v>
      </c>
      <c r="AI27" s="90">
        <v>-1</v>
      </c>
      <c r="AJ27" s="90">
        <v>0</v>
      </c>
      <c r="AM27" s="90" t="s">
        <v>379</v>
      </c>
      <c r="AN27" s="90">
        <v>-1</v>
      </c>
      <c r="AQ27" s="90">
        <v>356</v>
      </c>
      <c r="AR27" s="90" t="s">
        <v>380</v>
      </c>
      <c r="AS27" s="90" t="s">
        <v>246</v>
      </c>
      <c r="AT27" s="90" t="s">
        <v>244</v>
      </c>
      <c r="AU27" s="90">
        <v>175.87190000000001</v>
      </c>
      <c r="AV27" s="90">
        <v>200</v>
      </c>
      <c r="AW27" s="90">
        <v>2500</v>
      </c>
      <c r="AX27" s="90">
        <v>1.8484195490999999</v>
      </c>
    </row>
    <row r="28" spans="1:50" x14ac:dyDescent="0.25">
      <c r="A28" s="102">
        <v>830000</v>
      </c>
      <c r="B28" s="102">
        <v>1400000</v>
      </c>
      <c r="C28" s="102">
        <v>1400000</v>
      </c>
      <c r="D28" s="90" t="s">
        <v>374</v>
      </c>
      <c r="E28" s="90" t="s">
        <v>68</v>
      </c>
      <c r="F28" s="90" t="s">
        <v>375</v>
      </c>
      <c r="G28" s="90" t="s">
        <v>376</v>
      </c>
      <c r="H28" s="90">
        <v>0.59</v>
      </c>
      <c r="I28" s="90">
        <v>0.64</v>
      </c>
      <c r="J28" s="90" t="s">
        <v>244</v>
      </c>
      <c r="K28" s="90">
        <v>0.40485718990839997</v>
      </c>
      <c r="L28" s="90">
        <v>3688.7266538850399</v>
      </c>
      <c r="M28" s="90">
        <v>7.3796794266747403</v>
      </c>
      <c r="N28" s="90">
        <v>1.00782754190674</v>
      </c>
      <c r="O28" s="90">
        <v>2.9877162751083701</v>
      </c>
      <c r="P28" s="90">
        <v>0.40802622652865</v>
      </c>
      <c r="Q28" s="90">
        <v>1493.4075074321099</v>
      </c>
      <c r="R28" s="90">
        <v>1750</v>
      </c>
      <c r="S28" s="90" t="s">
        <v>377</v>
      </c>
      <c r="T28" s="90">
        <v>1750</v>
      </c>
      <c r="U28" s="90" t="s">
        <v>378</v>
      </c>
      <c r="V28" s="90" t="s">
        <v>244</v>
      </c>
      <c r="Z28" s="90">
        <v>0</v>
      </c>
      <c r="AA28" s="90">
        <v>1</v>
      </c>
      <c r="AB28" s="90">
        <v>2.9877162751083701</v>
      </c>
      <c r="AC28" s="90">
        <v>0.40802622652865</v>
      </c>
      <c r="AD28" s="90">
        <v>2278.7605169164499</v>
      </c>
      <c r="AF28" s="90">
        <v>-1</v>
      </c>
      <c r="AG28" s="90">
        <v>-1</v>
      </c>
      <c r="AH28" s="90">
        <v>-1</v>
      </c>
      <c r="AI28" s="90">
        <v>-1</v>
      </c>
      <c r="AJ28" s="90">
        <v>0</v>
      </c>
      <c r="AM28" s="90" t="s">
        <v>379</v>
      </c>
      <c r="AN28" s="90">
        <v>-1</v>
      </c>
      <c r="AQ28" s="90">
        <v>356</v>
      </c>
      <c r="AR28" s="90" t="s">
        <v>380</v>
      </c>
      <c r="AS28" s="90" t="s">
        <v>246</v>
      </c>
      <c r="AT28" s="90" t="s">
        <v>244</v>
      </c>
      <c r="AU28" s="90">
        <v>175.87190000000001</v>
      </c>
      <c r="AV28" s="90">
        <v>165.55069085475299</v>
      </c>
      <c r="AW28" s="90">
        <v>1638.39891913563</v>
      </c>
      <c r="AX28" s="90">
        <v>1.8481431605</v>
      </c>
    </row>
    <row r="29" spans="1:50" x14ac:dyDescent="0.25">
      <c r="A29" s="102">
        <v>830000</v>
      </c>
      <c r="B29" s="102">
        <v>1400000</v>
      </c>
      <c r="C29" s="102">
        <v>1400000</v>
      </c>
      <c r="D29" s="90" t="s">
        <v>374</v>
      </c>
      <c r="E29" s="90" t="s">
        <v>68</v>
      </c>
      <c r="F29" s="90" t="s">
        <v>375</v>
      </c>
      <c r="G29" s="90" t="s">
        <v>376</v>
      </c>
      <c r="H29" s="90">
        <v>0.59</v>
      </c>
      <c r="I29" s="90">
        <v>0.64</v>
      </c>
      <c r="J29" s="90" t="s">
        <v>244</v>
      </c>
      <c r="K29" s="90">
        <v>0.31179883139550002</v>
      </c>
      <c r="L29" s="90">
        <v>3772.5504468180702</v>
      </c>
      <c r="M29" s="90">
        <v>8.6581349508299699</v>
      </c>
      <c r="N29" s="90">
        <v>1.1692963229364699</v>
      </c>
      <c r="O29" s="90">
        <v>2.6995963597333299</v>
      </c>
      <c r="P29" s="90">
        <v>0.36458522704663998</v>
      </c>
      <c r="Q29" s="90">
        <v>1176.2768206984499</v>
      </c>
      <c r="R29" s="90">
        <v>1750</v>
      </c>
      <c r="S29" s="90" t="s">
        <v>377</v>
      </c>
      <c r="T29" s="90">
        <v>1750</v>
      </c>
      <c r="U29" s="90" t="s">
        <v>378</v>
      </c>
      <c r="V29" s="90" t="s">
        <v>244</v>
      </c>
      <c r="Z29" s="90">
        <v>0</v>
      </c>
      <c r="AA29" s="90">
        <v>1</v>
      </c>
      <c r="AB29" s="90">
        <v>2.6995963597333299</v>
      </c>
      <c r="AC29" s="90">
        <v>0.36458522704663998</v>
      </c>
      <c r="AD29" s="90">
        <v>1176.2768206984499</v>
      </c>
      <c r="AF29" s="90">
        <v>-1</v>
      </c>
      <c r="AG29" s="90">
        <v>-1</v>
      </c>
      <c r="AH29" s="90">
        <v>-1</v>
      </c>
      <c r="AI29" s="90">
        <v>-1</v>
      </c>
      <c r="AJ29" s="90">
        <v>0</v>
      </c>
      <c r="AM29" s="90" t="s">
        <v>379</v>
      </c>
      <c r="AN29" s="90">
        <v>-1</v>
      </c>
      <c r="AQ29" s="90">
        <v>356</v>
      </c>
      <c r="AR29" s="90" t="s">
        <v>380</v>
      </c>
      <c r="AS29" s="90" t="s">
        <v>246</v>
      </c>
      <c r="AT29" s="90" t="s">
        <v>244</v>
      </c>
      <c r="AU29" s="90">
        <v>175.87190000000001</v>
      </c>
      <c r="AV29" s="90">
        <v>143.63843858021801</v>
      </c>
      <c r="AW29" s="90">
        <v>1261.8051033296999</v>
      </c>
      <c r="AX29" s="90">
        <v>0.95399579940000001</v>
      </c>
    </row>
    <row r="30" spans="1:50" x14ac:dyDescent="0.25">
      <c r="A30" s="102">
        <v>830000</v>
      </c>
      <c r="B30" s="102">
        <v>1400000</v>
      </c>
      <c r="C30" s="102">
        <v>1400000</v>
      </c>
      <c r="D30" s="90" t="s">
        <v>374</v>
      </c>
      <c r="E30" s="90" t="s">
        <v>68</v>
      </c>
      <c r="F30" s="90" t="s">
        <v>375</v>
      </c>
      <c r="G30" s="90" t="s">
        <v>376</v>
      </c>
      <c r="H30" s="90">
        <v>0.59</v>
      </c>
      <c r="I30" s="90">
        <v>0.64</v>
      </c>
      <c r="J30" s="90" t="s">
        <v>244</v>
      </c>
      <c r="K30" s="90">
        <v>0.30050197563908998</v>
      </c>
      <c r="L30" s="90">
        <v>3724.5902340310099</v>
      </c>
      <c r="M30" s="90">
        <v>8.1031414486942204</v>
      </c>
      <c r="N30" s="90">
        <v>1.0815343837899101</v>
      </c>
      <c r="O30" s="90">
        <v>2.4350100142156599</v>
      </c>
      <c r="P30" s="90">
        <v>0.32500321905048002</v>
      </c>
      <c r="Q30" s="90">
        <v>1119.2467237723999</v>
      </c>
      <c r="R30" s="90">
        <v>1750</v>
      </c>
      <c r="S30" s="90" t="s">
        <v>377</v>
      </c>
      <c r="T30" s="90">
        <v>1750</v>
      </c>
      <c r="U30" s="90" t="s">
        <v>378</v>
      </c>
      <c r="V30" s="90" t="s">
        <v>244</v>
      </c>
      <c r="Z30" s="90">
        <v>0</v>
      </c>
      <c r="AA30" s="90">
        <v>1</v>
      </c>
      <c r="AB30" s="90">
        <v>2.4350100142156599</v>
      </c>
      <c r="AC30" s="90">
        <v>0.32500321905048002</v>
      </c>
      <c r="AD30" s="90">
        <v>1119.2467237723999</v>
      </c>
      <c r="AF30" s="90">
        <v>-1</v>
      </c>
      <c r="AG30" s="90">
        <v>-1</v>
      </c>
      <c r="AH30" s="90">
        <v>-1</v>
      </c>
      <c r="AI30" s="90">
        <v>-1</v>
      </c>
      <c r="AJ30" s="90">
        <v>0</v>
      </c>
      <c r="AM30" s="90" t="s">
        <v>379</v>
      </c>
      <c r="AN30" s="90">
        <v>-1</v>
      </c>
      <c r="AQ30" s="90">
        <v>356</v>
      </c>
      <c r="AR30" s="90" t="s">
        <v>380</v>
      </c>
      <c r="AS30" s="90" t="s">
        <v>246</v>
      </c>
      <c r="AT30" s="90" t="s">
        <v>244</v>
      </c>
      <c r="AU30" s="90">
        <v>175.87190000000001</v>
      </c>
      <c r="AV30" s="90">
        <v>148.669487193668</v>
      </c>
      <c r="AW30" s="90">
        <v>1216.08835005896</v>
      </c>
      <c r="AX30" s="90">
        <v>0.90774267949999998</v>
      </c>
    </row>
    <row r="31" spans="1:50" x14ac:dyDescent="0.25">
      <c r="A31" s="102">
        <v>830000</v>
      </c>
      <c r="B31" s="102">
        <v>1400000</v>
      </c>
      <c r="C31" s="102">
        <v>1400000</v>
      </c>
      <c r="D31" s="90" t="s">
        <v>374</v>
      </c>
      <c r="E31" s="90" t="s">
        <v>68</v>
      </c>
      <c r="F31" s="90" t="s">
        <v>375</v>
      </c>
      <c r="G31" s="90" t="s">
        <v>376</v>
      </c>
      <c r="H31" s="90">
        <v>0.59</v>
      </c>
      <c r="I31" s="90">
        <v>0.64</v>
      </c>
      <c r="J31" s="90" t="s">
        <v>381</v>
      </c>
      <c r="K31" s="90">
        <v>2.1867434811899998E-3</v>
      </c>
      <c r="L31" s="90">
        <v>3724.5902340310099</v>
      </c>
      <c r="M31" s="90">
        <v>8.1031414486942204</v>
      </c>
      <c r="N31" s="90">
        <v>1.0815343837899101</v>
      </c>
      <c r="O31" s="90">
        <v>1.7719491740099999E-2</v>
      </c>
      <c r="P31" s="90">
        <v>2.3650382634299999E-3</v>
      </c>
      <c r="Q31" s="90">
        <v>8.1447234143749796</v>
      </c>
      <c r="R31" s="90">
        <v>1750</v>
      </c>
      <c r="S31" s="90" t="s">
        <v>377</v>
      </c>
      <c r="T31" s="90">
        <v>1750</v>
      </c>
      <c r="U31" s="90" t="s">
        <v>382</v>
      </c>
      <c r="V31" s="90" t="s">
        <v>381</v>
      </c>
      <c r="Z31" s="90">
        <v>0</v>
      </c>
      <c r="AA31" s="90">
        <v>1</v>
      </c>
      <c r="AB31" s="90">
        <v>1.7719491740099999E-2</v>
      </c>
      <c r="AC31" s="90">
        <v>2.3650382634299999E-3</v>
      </c>
      <c r="AD31" s="90">
        <v>8.1447234143753899</v>
      </c>
      <c r="AF31" s="90">
        <v>-1</v>
      </c>
      <c r="AG31" s="90">
        <v>-1</v>
      </c>
      <c r="AH31" s="90">
        <v>-1</v>
      </c>
      <c r="AI31" s="90">
        <v>-1</v>
      </c>
      <c r="AJ31" s="90">
        <v>0</v>
      </c>
      <c r="AM31" s="90" t="s">
        <v>379</v>
      </c>
      <c r="AN31" s="90">
        <v>-1</v>
      </c>
      <c r="AQ31" s="90">
        <v>356</v>
      </c>
      <c r="AR31" s="90" t="s">
        <v>380</v>
      </c>
      <c r="AS31" s="90" t="s">
        <v>246</v>
      </c>
      <c r="AT31" s="90" t="s">
        <v>244</v>
      </c>
      <c r="AU31" s="90">
        <v>175.87190000000001</v>
      </c>
      <c r="AV31" s="90">
        <v>100.405884141952</v>
      </c>
      <c r="AW31" s="90">
        <v>8.8494369009995602</v>
      </c>
      <c r="AX31" s="90">
        <v>6.6056151E-3</v>
      </c>
    </row>
    <row r="32" spans="1:50" x14ac:dyDescent="0.25">
      <c r="A32" s="102">
        <v>830000</v>
      </c>
      <c r="B32" s="102">
        <v>1400000</v>
      </c>
      <c r="C32" s="102">
        <v>1400000</v>
      </c>
      <c r="D32" s="90" t="s">
        <v>374</v>
      </c>
      <c r="E32" s="90" t="s">
        <v>68</v>
      </c>
      <c r="F32" s="90" t="s">
        <v>375</v>
      </c>
      <c r="G32" s="90" t="s">
        <v>376</v>
      </c>
      <c r="H32" s="90">
        <v>0.59</v>
      </c>
      <c r="I32" s="90">
        <v>0.64</v>
      </c>
      <c r="J32" s="90" t="s">
        <v>244</v>
      </c>
      <c r="K32" s="90">
        <v>0.10919016282886</v>
      </c>
      <c r="L32" s="90">
        <v>3686.87780127324</v>
      </c>
      <c r="M32" s="90">
        <v>7.3753926178670701</v>
      </c>
      <c r="N32" s="90">
        <v>1.0072369128002501</v>
      </c>
      <c r="O32" s="90">
        <v>0.80532032087173999</v>
      </c>
      <c r="P32" s="90">
        <v>0.1099803625159</v>
      </c>
      <c r="Q32" s="90">
        <v>402.57078745116797</v>
      </c>
      <c r="R32" s="90">
        <v>1750</v>
      </c>
      <c r="S32" s="90" t="s">
        <v>377</v>
      </c>
      <c r="T32" s="90">
        <v>1750</v>
      </c>
      <c r="U32" s="90" t="s">
        <v>378</v>
      </c>
      <c r="V32" s="90" t="s">
        <v>244</v>
      </c>
      <c r="Z32" s="90">
        <v>0</v>
      </c>
      <c r="AA32" s="90">
        <v>1</v>
      </c>
      <c r="AB32" s="90">
        <v>0.80532032087173999</v>
      </c>
      <c r="AC32" s="90">
        <v>0.1099803625159</v>
      </c>
      <c r="AD32" s="90">
        <v>402.57078745116797</v>
      </c>
      <c r="AF32" s="90">
        <v>-1</v>
      </c>
      <c r="AG32" s="90">
        <v>-1</v>
      </c>
      <c r="AH32" s="90">
        <v>-1</v>
      </c>
      <c r="AI32" s="90">
        <v>-1</v>
      </c>
      <c r="AJ32" s="90">
        <v>0</v>
      </c>
      <c r="AM32" s="90" t="s">
        <v>379</v>
      </c>
      <c r="AN32" s="90">
        <v>-1</v>
      </c>
      <c r="AQ32" s="90">
        <v>356</v>
      </c>
      <c r="AR32" s="90" t="s">
        <v>380</v>
      </c>
      <c r="AS32" s="90" t="s">
        <v>246</v>
      </c>
      <c r="AT32" s="90" t="s">
        <v>244</v>
      </c>
      <c r="AU32" s="90">
        <v>175.87190000000001</v>
      </c>
      <c r="AV32" s="90">
        <v>117.947195309449</v>
      </c>
      <c r="AW32" s="90">
        <v>441.87691170690903</v>
      </c>
      <c r="AX32" s="90">
        <v>0.32649698900000002</v>
      </c>
    </row>
    <row r="33" spans="1:50" x14ac:dyDescent="0.25">
      <c r="A33" s="102">
        <v>830000</v>
      </c>
      <c r="B33" s="102">
        <v>1400000</v>
      </c>
      <c r="C33" s="102">
        <v>1400000</v>
      </c>
      <c r="D33" s="90" t="s">
        <v>374</v>
      </c>
      <c r="E33" s="90" t="s">
        <v>68</v>
      </c>
      <c r="F33" s="90" t="s">
        <v>375</v>
      </c>
      <c r="G33" s="90" t="s">
        <v>376</v>
      </c>
      <c r="H33" s="90">
        <v>0.59</v>
      </c>
      <c r="I33" s="90">
        <v>0.64</v>
      </c>
      <c r="J33" s="90" t="s">
        <v>244</v>
      </c>
      <c r="K33" s="90">
        <v>3.5487455519870002E-2</v>
      </c>
      <c r="L33" s="90">
        <v>3744.1883093618799</v>
      </c>
      <c r="M33" s="90">
        <v>10.4106381655143</v>
      </c>
      <c r="N33" s="90">
        <v>1.90710301332968</v>
      </c>
      <c r="O33" s="90">
        <v>0.36944705883216999</v>
      </c>
      <c r="P33" s="90">
        <v>6.7678233357350001E-2</v>
      </c>
      <c r="Q33" s="90">
        <v>132.87171608650399</v>
      </c>
      <c r="R33" s="90">
        <v>1750</v>
      </c>
      <c r="S33" s="90" t="s">
        <v>377</v>
      </c>
      <c r="T33" s="90">
        <v>1750</v>
      </c>
      <c r="U33" s="90" t="s">
        <v>378</v>
      </c>
      <c r="V33" s="90" t="s">
        <v>244</v>
      </c>
      <c r="Z33" s="90">
        <v>0</v>
      </c>
      <c r="AA33" s="90">
        <v>1</v>
      </c>
      <c r="AB33" s="90">
        <v>0.36944705883216999</v>
      </c>
      <c r="AC33" s="90">
        <v>6.7678233357350001E-2</v>
      </c>
      <c r="AD33" s="90">
        <v>239.25195837186601</v>
      </c>
      <c r="AF33" s="90">
        <v>-1</v>
      </c>
      <c r="AG33" s="90">
        <v>-1</v>
      </c>
      <c r="AH33" s="90">
        <v>-1</v>
      </c>
      <c r="AI33" s="90">
        <v>-1</v>
      </c>
      <c r="AJ33" s="90">
        <v>0</v>
      </c>
      <c r="AM33" s="90" t="s">
        <v>379</v>
      </c>
      <c r="AN33" s="90">
        <v>-1</v>
      </c>
      <c r="AQ33" s="90">
        <v>356</v>
      </c>
      <c r="AR33" s="90" t="s">
        <v>380</v>
      </c>
      <c r="AS33" s="90" t="s">
        <v>246</v>
      </c>
      <c r="AT33" s="90" t="s">
        <v>244</v>
      </c>
      <c r="AU33" s="90">
        <v>175.87190000000001</v>
      </c>
      <c r="AV33" s="90">
        <v>69.033420771699099</v>
      </c>
      <c r="AW33" s="90">
        <v>143.612637285228</v>
      </c>
      <c r="AX33" s="90">
        <v>0.1940405177</v>
      </c>
    </row>
    <row r="34" spans="1:50" x14ac:dyDescent="0.25">
      <c r="A34" s="102">
        <v>830000</v>
      </c>
      <c r="B34" s="102">
        <v>1400000</v>
      </c>
      <c r="C34" s="102">
        <v>1400000</v>
      </c>
      <c r="D34" s="90" t="s">
        <v>374</v>
      </c>
      <c r="E34" s="90" t="s">
        <v>68</v>
      </c>
      <c r="F34" s="90" t="s">
        <v>375</v>
      </c>
      <c r="G34" s="90" t="s">
        <v>376</v>
      </c>
      <c r="H34" s="90">
        <v>0.59</v>
      </c>
      <c r="I34" s="90">
        <v>0.64</v>
      </c>
      <c r="J34" s="90" t="s">
        <v>244</v>
      </c>
      <c r="K34" s="90">
        <v>0.61776345362188001</v>
      </c>
      <c r="L34" s="90">
        <v>3689.27830018231</v>
      </c>
      <c r="M34" s="90">
        <v>7.3807862401086801</v>
      </c>
      <c r="N34" s="90">
        <v>1.00797854735869</v>
      </c>
      <c r="O34" s="90">
        <v>4.5595799981344296</v>
      </c>
      <c r="P34" s="90">
        <v>0.62269230859308</v>
      </c>
      <c r="Q34" s="90">
        <v>2279.1013040929001</v>
      </c>
      <c r="R34" s="90">
        <v>1750</v>
      </c>
      <c r="S34" s="90" t="s">
        <v>377</v>
      </c>
      <c r="T34" s="90">
        <v>1750</v>
      </c>
      <c r="U34" s="90" t="s">
        <v>378</v>
      </c>
      <c r="V34" s="90" t="s">
        <v>244</v>
      </c>
      <c r="Z34" s="90">
        <v>0</v>
      </c>
      <c r="AA34" s="90">
        <v>1</v>
      </c>
      <c r="AB34" s="90">
        <v>4.5595799981344296</v>
      </c>
      <c r="AC34" s="90">
        <v>0.62269230859308</v>
      </c>
      <c r="AD34" s="90">
        <v>2279.1013040929001</v>
      </c>
      <c r="AF34" s="90">
        <v>-1</v>
      </c>
      <c r="AG34" s="90">
        <v>-1</v>
      </c>
      <c r="AH34" s="90">
        <v>-1</v>
      </c>
      <c r="AI34" s="90">
        <v>-1</v>
      </c>
      <c r="AJ34" s="90">
        <v>0</v>
      </c>
      <c r="AM34" s="90" t="s">
        <v>379</v>
      </c>
      <c r="AN34" s="90">
        <v>-1</v>
      </c>
      <c r="AQ34" s="90">
        <v>356</v>
      </c>
      <c r="AR34" s="90" t="s">
        <v>380</v>
      </c>
      <c r="AS34" s="90" t="s">
        <v>246</v>
      </c>
      <c r="AT34" s="90" t="s">
        <v>244</v>
      </c>
      <c r="AU34" s="90">
        <v>175.87190000000001</v>
      </c>
      <c r="AV34" s="90">
        <v>199.99999999254899</v>
      </c>
      <c r="AW34" s="90">
        <v>2499.99999981373</v>
      </c>
      <c r="AX34" s="90">
        <v>1.8484195490999999</v>
      </c>
    </row>
    <row r="35" spans="1:50" x14ac:dyDescent="0.25">
      <c r="A35" s="102">
        <v>830000</v>
      </c>
      <c r="B35" s="102">
        <v>1400000</v>
      </c>
      <c r="C35" s="102">
        <v>1400000</v>
      </c>
      <c r="D35" s="90" t="s">
        <v>374</v>
      </c>
      <c r="E35" s="90" t="s">
        <v>68</v>
      </c>
      <c r="F35" s="90" t="s">
        <v>375</v>
      </c>
      <c r="G35" s="90" t="s">
        <v>376</v>
      </c>
      <c r="H35" s="90">
        <v>0.59</v>
      </c>
      <c r="I35" s="90">
        <v>0.64</v>
      </c>
      <c r="J35" s="90" t="s">
        <v>244</v>
      </c>
      <c r="K35" s="90">
        <v>0.57520703144690999</v>
      </c>
      <c r="L35" s="90">
        <v>3699.3915047379601</v>
      </c>
      <c r="M35" s="90">
        <v>7.6798407945968501</v>
      </c>
      <c r="N35" s="90">
        <v>1.0451951489014299</v>
      </c>
      <c r="O35" s="90">
        <v>4.4174984254449301</v>
      </c>
      <c r="P35" s="90">
        <v>0.60120359888230002</v>
      </c>
      <c r="Q35" s="90">
        <v>2127.9160056002302</v>
      </c>
      <c r="R35" s="90">
        <v>1750</v>
      </c>
      <c r="S35" s="90" t="s">
        <v>377</v>
      </c>
      <c r="T35" s="90">
        <v>1750</v>
      </c>
      <c r="U35" s="90" t="s">
        <v>378</v>
      </c>
      <c r="V35" s="90" t="s">
        <v>244</v>
      </c>
      <c r="Z35" s="90">
        <v>0</v>
      </c>
      <c r="AA35" s="90">
        <v>1</v>
      </c>
      <c r="AB35" s="90">
        <v>4.4174984254449301</v>
      </c>
      <c r="AC35" s="90">
        <v>0.60120359888230002</v>
      </c>
      <c r="AD35" s="90">
        <v>2127.9160056002302</v>
      </c>
      <c r="AF35" s="90">
        <v>-1</v>
      </c>
      <c r="AG35" s="90">
        <v>-1</v>
      </c>
      <c r="AH35" s="90">
        <v>-1</v>
      </c>
      <c r="AI35" s="90">
        <v>-1</v>
      </c>
      <c r="AJ35" s="90">
        <v>0</v>
      </c>
      <c r="AM35" s="90" t="s">
        <v>379</v>
      </c>
      <c r="AN35" s="90">
        <v>-1</v>
      </c>
      <c r="AQ35" s="90">
        <v>356</v>
      </c>
      <c r="AR35" s="90" t="s">
        <v>380</v>
      </c>
      <c r="AS35" s="90" t="s">
        <v>246</v>
      </c>
      <c r="AT35" s="90" t="s">
        <v>244</v>
      </c>
      <c r="AU35" s="90">
        <v>175.87190000000001</v>
      </c>
      <c r="AV35" s="90">
        <v>193.13602100612599</v>
      </c>
      <c r="AW35" s="90">
        <v>2327.7802694205602</v>
      </c>
      <c r="AX35" s="90">
        <v>1.7258037353</v>
      </c>
    </row>
    <row r="36" spans="1:50" x14ac:dyDescent="0.25">
      <c r="A36" s="102">
        <v>830000</v>
      </c>
      <c r="B36" s="102">
        <v>1400000</v>
      </c>
      <c r="C36" s="102">
        <v>1400000</v>
      </c>
      <c r="D36" s="90" t="s">
        <v>374</v>
      </c>
      <c r="E36" s="90" t="s">
        <v>68</v>
      </c>
      <c r="F36" s="90" t="s">
        <v>375</v>
      </c>
      <c r="G36" s="90" t="s">
        <v>376</v>
      </c>
      <c r="H36" s="90">
        <v>0.59</v>
      </c>
      <c r="I36" s="90">
        <v>0.64</v>
      </c>
      <c r="J36" s="90" t="s">
        <v>244</v>
      </c>
      <c r="K36" s="90">
        <v>0.56118631179458001</v>
      </c>
      <c r="L36" s="90">
        <v>3706.3972820003701</v>
      </c>
      <c r="M36" s="90">
        <v>7.4950958978600397</v>
      </c>
      <c r="N36" s="90">
        <v>1.0229763637866001</v>
      </c>
      <c r="O36" s="90">
        <v>4.2061452234668204</v>
      </c>
      <c r="P36" s="90">
        <v>0.57408033264643998</v>
      </c>
      <c r="Q36" s="90">
        <v>2079.9794207312698</v>
      </c>
      <c r="R36" s="90">
        <v>1750</v>
      </c>
      <c r="S36" s="90" t="s">
        <v>377</v>
      </c>
      <c r="T36" s="90">
        <v>1750</v>
      </c>
      <c r="U36" s="90" t="s">
        <v>378</v>
      </c>
      <c r="V36" s="90" t="s">
        <v>244</v>
      </c>
      <c r="Z36" s="90">
        <v>0</v>
      </c>
      <c r="AA36" s="90">
        <v>1</v>
      </c>
      <c r="AB36" s="90">
        <v>4.2061452234668204</v>
      </c>
      <c r="AC36" s="90">
        <v>0.57408033264643998</v>
      </c>
      <c r="AD36" s="90">
        <v>2079.9794207312698</v>
      </c>
      <c r="AF36" s="90">
        <v>-1</v>
      </c>
      <c r="AG36" s="90">
        <v>-1</v>
      </c>
      <c r="AH36" s="90">
        <v>-1</v>
      </c>
      <c r="AI36" s="90">
        <v>-1</v>
      </c>
      <c r="AJ36" s="90">
        <v>0</v>
      </c>
      <c r="AM36" s="90" t="s">
        <v>379</v>
      </c>
      <c r="AN36" s="90">
        <v>-1</v>
      </c>
      <c r="AQ36" s="90">
        <v>356</v>
      </c>
      <c r="AR36" s="90" t="s">
        <v>380</v>
      </c>
      <c r="AS36" s="90" t="s">
        <v>246</v>
      </c>
      <c r="AT36" s="90" t="s">
        <v>244</v>
      </c>
      <c r="AU36" s="90">
        <v>175.87190000000001</v>
      </c>
      <c r="AV36" s="90">
        <v>190.85753848512999</v>
      </c>
      <c r="AW36" s="90">
        <v>2271.0404300488899</v>
      </c>
      <c r="AX36" s="90">
        <v>1.6869257264999999</v>
      </c>
    </row>
    <row r="37" spans="1:50" x14ac:dyDescent="0.25">
      <c r="A37" s="102">
        <v>830000</v>
      </c>
      <c r="B37" s="102">
        <v>1400000</v>
      </c>
      <c r="C37" s="102">
        <v>1400000</v>
      </c>
      <c r="D37" s="90" t="s">
        <v>374</v>
      </c>
      <c r="E37" s="90" t="s">
        <v>68</v>
      </c>
      <c r="F37" s="90" t="s">
        <v>375</v>
      </c>
      <c r="G37" s="90" t="s">
        <v>376</v>
      </c>
      <c r="H37" s="90">
        <v>0.59</v>
      </c>
      <c r="I37" s="90">
        <v>0.64</v>
      </c>
      <c r="J37" s="90" t="s">
        <v>244</v>
      </c>
      <c r="K37" s="90">
        <v>0.27609097664525001</v>
      </c>
      <c r="L37" s="90">
        <v>3689.7850988857099</v>
      </c>
      <c r="M37" s="90">
        <v>7.3817894181513397</v>
      </c>
      <c r="N37" s="90">
        <v>1.0081160531733</v>
      </c>
      <c r="O37" s="90">
        <v>2.0380454498470102</v>
      </c>
      <c r="P37" s="90">
        <v>0.27833174569237001</v>
      </c>
      <c r="Q37" s="90">
        <v>1018.71637156246</v>
      </c>
      <c r="R37" s="90">
        <v>1750</v>
      </c>
      <c r="S37" s="90" t="s">
        <v>377</v>
      </c>
      <c r="T37" s="90">
        <v>1750</v>
      </c>
      <c r="U37" s="90" t="s">
        <v>378</v>
      </c>
      <c r="V37" s="90" t="s">
        <v>244</v>
      </c>
      <c r="Z37" s="90">
        <v>0</v>
      </c>
      <c r="AA37" s="90">
        <v>1</v>
      </c>
      <c r="AB37" s="90">
        <v>2.0380454498470102</v>
      </c>
      <c r="AC37" s="90">
        <v>0.27833174569237001</v>
      </c>
      <c r="AD37" s="90">
        <v>1018.71637156246</v>
      </c>
      <c r="AF37" s="90">
        <v>-1</v>
      </c>
      <c r="AG37" s="90">
        <v>-1</v>
      </c>
      <c r="AH37" s="90">
        <v>-1</v>
      </c>
      <c r="AI37" s="90">
        <v>-1</v>
      </c>
      <c r="AJ37" s="90">
        <v>0</v>
      </c>
      <c r="AM37" s="90" t="s">
        <v>379</v>
      </c>
      <c r="AN37" s="90">
        <v>-1</v>
      </c>
      <c r="AQ37" s="90">
        <v>356</v>
      </c>
      <c r="AR37" s="90" t="s">
        <v>380</v>
      </c>
      <c r="AS37" s="90" t="s">
        <v>246</v>
      </c>
      <c r="AT37" s="90" t="s">
        <v>244</v>
      </c>
      <c r="AU37" s="90">
        <v>175.87190000000001</v>
      </c>
      <c r="AV37" s="90">
        <v>144.923346877727</v>
      </c>
      <c r="AW37" s="90">
        <v>1117.3005420035399</v>
      </c>
      <c r="AX37" s="90">
        <v>0.82620954710000005</v>
      </c>
    </row>
    <row r="38" spans="1:50" x14ac:dyDescent="0.25">
      <c r="A38" s="102">
        <v>830000</v>
      </c>
      <c r="B38" s="102">
        <v>1400000</v>
      </c>
      <c r="C38" s="102">
        <v>1400000</v>
      </c>
      <c r="D38" s="90" t="s">
        <v>374</v>
      </c>
      <c r="E38" s="90" t="s">
        <v>68</v>
      </c>
      <c r="F38" s="90" t="s">
        <v>375</v>
      </c>
      <c r="G38" s="90" t="s">
        <v>376</v>
      </c>
      <c r="H38" s="90">
        <v>0.59</v>
      </c>
      <c r="I38" s="90">
        <v>0.64</v>
      </c>
      <c r="J38" s="90" t="s">
        <v>244</v>
      </c>
      <c r="K38" s="90">
        <v>5.827916217964E-2</v>
      </c>
      <c r="L38" s="90">
        <v>3689.2782999074302</v>
      </c>
      <c r="M38" s="90">
        <v>7.3807862395587698</v>
      </c>
      <c r="N38" s="90">
        <v>1.00797854728359</v>
      </c>
      <c r="O38" s="90">
        <v>0.43014603826852998</v>
      </c>
      <c r="P38" s="90">
        <v>5.8744145230740001E-2</v>
      </c>
      <c r="Q38" s="90">
        <v>215.00804836615001</v>
      </c>
      <c r="R38" s="90">
        <v>1750</v>
      </c>
      <c r="S38" s="90" t="s">
        <v>377</v>
      </c>
      <c r="T38" s="90">
        <v>1750</v>
      </c>
      <c r="U38" s="90" t="s">
        <v>378</v>
      </c>
      <c r="V38" s="90" t="s">
        <v>244</v>
      </c>
      <c r="Z38" s="90">
        <v>0</v>
      </c>
      <c r="AA38" s="90">
        <v>1</v>
      </c>
      <c r="AB38" s="90">
        <v>0.43014603826852998</v>
      </c>
      <c r="AC38" s="90">
        <v>5.8744145230740001E-2</v>
      </c>
      <c r="AD38" s="90">
        <v>215.00804836614901</v>
      </c>
      <c r="AF38" s="90">
        <v>-1</v>
      </c>
      <c r="AG38" s="90">
        <v>-1</v>
      </c>
      <c r="AH38" s="90">
        <v>-1</v>
      </c>
      <c r="AI38" s="90">
        <v>-1</v>
      </c>
      <c r="AJ38" s="90">
        <v>0</v>
      </c>
      <c r="AM38" s="90" t="s">
        <v>379</v>
      </c>
      <c r="AN38" s="90">
        <v>-1</v>
      </c>
      <c r="AQ38" s="90">
        <v>356</v>
      </c>
      <c r="AR38" s="90" t="s">
        <v>380</v>
      </c>
      <c r="AS38" s="90" t="s">
        <v>246</v>
      </c>
      <c r="AT38" s="90" t="s">
        <v>244</v>
      </c>
      <c r="AU38" s="90">
        <v>175.87190000000001</v>
      </c>
      <c r="AV38" s="90">
        <v>112.77455552473501</v>
      </c>
      <c r="AW38" s="90">
        <v>235.84740175878599</v>
      </c>
      <c r="AX38" s="90">
        <v>0.17437797920000001</v>
      </c>
    </row>
    <row r="39" spans="1:50" x14ac:dyDescent="0.25">
      <c r="A39" s="102">
        <v>830000</v>
      </c>
      <c r="B39" s="102">
        <v>1400000</v>
      </c>
      <c r="C39" s="102">
        <v>1400000</v>
      </c>
      <c r="D39" s="90" t="s">
        <v>374</v>
      </c>
      <c r="E39" s="90" t="s">
        <v>68</v>
      </c>
      <c r="F39" s="90" t="s">
        <v>375</v>
      </c>
      <c r="G39" s="90" t="s">
        <v>376</v>
      </c>
      <c r="H39" s="90">
        <v>0.59</v>
      </c>
      <c r="I39" s="90">
        <v>0.64</v>
      </c>
      <c r="J39" s="90" t="s">
        <v>244</v>
      </c>
      <c r="K39" s="90">
        <v>0.19939223850707</v>
      </c>
      <c r="L39" s="90">
        <v>3689.5780589762899</v>
      </c>
      <c r="M39" s="90">
        <v>7.3813795034269702</v>
      </c>
      <c r="N39" s="90">
        <v>1.0080598704236201</v>
      </c>
      <c r="O39" s="90">
        <v>1.47178978245851</v>
      </c>
      <c r="P39" s="90">
        <v>0.20099931411291</v>
      </c>
      <c r="Q39" s="90">
        <v>735.67322832585705</v>
      </c>
      <c r="R39" s="90">
        <v>1750</v>
      </c>
      <c r="S39" s="90" t="s">
        <v>377</v>
      </c>
      <c r="T39" s="90">
        <v>1750</v>
      </c>
      <c r="U39" s="90" t="s">
        <v>378</v>
      </c>
      <c r="V39" s="90" t="s">
        <v>244</v>
      </c>
      <c r="Z39" s="90">
        <v>0</v>
      </c>
      <c r="AA39" s="90">
        <v>1</v>
      </c>
      <c r="AB39" s="90">
        <v>1.47178978245851</v>
      </c>
      <c r="AC39" s="90">
        <v>0.20099931411291</v>
      </c>
      <c r="AD39" s="90">
        <v>735.67322832585705</v>
      </c>
      <c r="AF39" s="90">
        <v>-1</v>
      </c>
      <c r="AG39" s="90">
        <v>-1</v>
      </c>
      <c r="AH39" s="90">
        <v>-1</v>
      </c>
      <c r="AI39" s="90">
        <v>-1</v>
      </c>
      <c r="AJ39" s="90">
        <v>0</v>
      </c>
      <c r="AM39" s="90" t="s">
        <v>379</v>
      </c>
      <c r="AN39" s="90">
        <v>-1</v>
      </c>
      <c r="AQ39" s="90">
        <v>356</v>
      </c>
      <c r="AR39" s="90" t="s">
        <v>380</v>
      </c>
      <c r="AS39" s="90" t="s">
        <v>246</v>
      </c>
      <c r="AT39" s="90" t="s">
        <v>244</v>
      </c>
      <c r="AU39" s="90">
        <v>175.87190000000001</v>
      </c>
      <c r="AV39" s="90">
        <v>132.79853539010901</v>
      </c>
      <c r="AW39" s="90">
        <v>806.91176097905304</v>
      </c>
      <c r="AX39" s="90">
        <v>0.59665306429999998</v>
      </c>
    </row>
    <row r="40" spans="1:50" x14ac:dyDescent="0.25">
      <c r="A40" s="102">
        <v>830000</v>
      </c>
      <c r="B40" s="102">
        <v>1400000</v>
      </c>
      <c r="C40" s="102">
        <v>1400000</v>
      </c>
      <c r="D40" s="90" t="s">
        <v>374</v>
      </c>
      <c r="E40" s="90" t="s">
        <v>68</v>
      </c>
      <c r="F40" s="90" t="s">
        <v>375</v>
      </c>
      <c r="G40" s="90" t="s">
        <v>376</v>
      </c>
      <c r="H40" s="90">
        <v>0.59</v>
      </c>
      <c r="I40" s="90">
        <v>0.64</v>
      </c>
      <c r="J40" s="90" t="s">
        <v>244</v>
      </c>
      <c r="K40" s="90">
        <v>0.58083074597241002</v>
      </c>
      <c r="L40" s="90">
        <v>3661.38513554765</v>
      </c>
      <c r="M40" s="90">
        <v>7.3231018222776898</v>
      </c>
      <c r="N40" s="90">
        <v>0.99980768342222004</v>
      </c>
      <c r="O40" s="90">
        <v>4.2534826942654904</v>
      </c>
      <c r="P40" s="90">
        <v>0.58071904259107998</v>
      </c>
      <c r="Q40" s="90">
        <v>2126.64505957244</v>
      </c>
      <c r="R40" s="90">
        <v>1750</v>
      </c>
      <c r="S40" s="90" t="s">
        <v>377</v>
      </c>
      <c r="T40" s="90">
        <v>1750</v>
      </c>
      <c r="U40" s="90" t="s">
        <v>378</v>
      </c>
      <c r="V40" s="90" t="s">
        <v>244</v>
      </c>
      <c r="Z40" s="90">
        <v>0</v>
      </c>
      <c r="AA40" s="90">
        <v>1</v>
      </c>
      <c r="AB40" s="90">
        <v>4.2534826942654904</v>
      </c>
      <c r="AC40" s="90">
        <v>0.58071904259107998</v>
      </c>
      <c r="AD40" s="90">
        <v>2126.64505957244</v>
      </c>
      <c r="AF40" s="90">
        <v>-1</v>
      </c>
      <c r="AG40" s="90">
        <v>-1</v>
      </c>
      <c r="AH40" s="90">
        <v>-1</v>
      </c>
      <c r="AI40" s="90">
        <v>-1</v>
      </c>
      <c r="AJ40" s="90">
        <v>0</v>
      </c>
      <c r="AM40" s="90" t="s">
        <v>379</v>
      </c>
      <c r="AN40" s="90">
        <v>-1</v>
      </c>
      <c r="AQ40" s="90">
        <v>356</v>
      </c>
      <c r="AR40" s="90" t="s">
        <v>380</v>
      </c>
      <c r="AS40" s="90" t="s">
        <v>246</v>
      </c>
      <c r="AT40" s="90" t="s">
        <v>244</v>
      </c>
      <c r="AU40" s="90">
        <v>175.87190000000001</v>
      </c>
      <c r="AV40" s="90">
        <v>194.04300412715401</v>
      </c>
      <c r="AW40" s="90">
        <v>2350.5386346658402</v>
      </c>
      <c r="AX40" s="90">
        <v>1.7247729598999999</v>
      </c>
    </row>
    <row r="41" spans="1:50" x14ac:dyDescent="0.25">
      <c r="A41" s="102">
        <v>830000</v>
      </c>
      <c r="B41" s="102">
        <v>1400000</v>
      </c>
      <c r="C41" s="102">
        <v>1400000</v>
      </c>
      <c r="D41" s="90" t="s">
        <v>374</v>
      </c>
      <c r="E41" s="90" t="s">
        <v>68</v>
      </c>
      <c r="F41" s="90" t="s">
        <v>375</v>
      </c>
      <c r="G41" s="90" t="s">
        <v>376</v>
      </c>
      <c r="H41" s="90">
        <v>0.59</v>
      </c>
      <c r="I41" s="90">
        <v>0.64</v>
      </c>
      <c r="J41" s="90" t="s">
        <v>244</v>
      </c>
      <c r="K41" s="90">
        <v>2.6079576909049999E-2</v>
      </c>
      <c r="L41" s="90">
        <v>3689.27830018231</v>
      </c>
      <c r="M41" s="90">
        <v>7.3807862401086801</v>
      </c>
      <c r="N41" s="90">
        <v>1.00797854735869</v>
      </c>
      <c r="O41" s="90">
        <v>0.19248778239819</v>
      </c>
      <c r="P41" s="90">
        <v>2.6287654048509999E-2</v>
      </c>
      <c r="Q41" s="90">
        <v>96.214817168504894</v>
      </c>
      <c r="R41" s="90">
        <v>1750</v>
      </c>
      <c r="S41" s="90" t="s">
        <v>377</v>
      </c>
      <c r="T41" s="90">
        <v>1750</v>
      </c>
      <c r="U41" s="90" t="s">
        <v>378</v>
      </c>
      <c r="V41" s="90" t="s">
        <v>244</v>
      </c>
      <c r="Z41" s="90">
        <v>0</v>
      </c>
      <c r="AA41" s="90">
        <v>1</v>
      </c>
      <c r="AB41" s="90">
        <v>0.19248778239819</v>
      </c>
      <c r="AC41" s="90">
        <v>2.6287654048509999E-2</v>
      </c>
      <c r="AD41" s="90">
        <v>96.214817168504894</v>
      </c>
      <c r="AF41" s="90">
        <v>-1</v>
      </c>
      <c r="AG41" s="90">
        <v>-1</v>
      </c>
      <c r="AH41" s="90">
        <v>-1</v>
      </c>
      <c r="AI41" s="90">
        <v>-1</v>
      </c>
      <c r="AJ41" s="90">
        <v>0</v>
      </c>
      <c r="AM41" s="90" t="s">
        <v>379</v>
      </c>
      <c r="AN41" s="90">
        <v>-1</v>
      </c>
      <c r="AQ41" s="90">
        <v>356</v>
      </c>
      <c r="AR41" s="90" t="s">
        <v>380</v>
      </c>
      <c r="AS41" s="90" t="s">
        <v>246</v>
      </c>
      <c r="AT41" s="90" t="s">
        <v>244</v>
      </c>
      <c r="AU41" s="90">
        <v>175.87190000000001</v>
      </c>
      <c r="AV41" s="90">
        <v>104.406690234564</v>
      </c>
      <c r="AW41" s="90">
        <v>105.540303307876</v>
      </c>
      <c r="AX41" s="90">
        <v>7.8033103899999998E-2</v>
      </c>
    </row>
    <row r="42" spans="1:50" x14ac:dyDescent="0.25">
      <c r="A42" s="102">
        <v>830000</v>
      </c>
      <c r="B42" s="102">
        <v>1400000</v>
      </c>
      <c r="C42" s="102">
        <v>1400000</v>
      </c>
      <c r="D42" s="90" t="s">
        <v>374</v>
      </c>
      <c r="E42" s="90" t="s">
        <v>68</v>
      </c>
      <c r="F42" s="90" t="s">
        <v>375</v>
      </c>
      <c r="G42" s="90" t="s">
        <v>376</v>
      </c>
      <c r="H42" s="90">
        <v>0.59</v>
      </c>
      <c r="I42" s="90">
        <v>0.64</v>
      </c>
      <c r="J42" s="90" t="s">
        <v>244</v>
      </c>
      <c r="K42" s="90">
        <v>0.35417724377249998</v>
      </c>
      <c r="L42" s="90">
        <v>3760.4653990389202</v>
      </c>
      <c r="M42" s="90">
        <v>8.1089533195187204</v>
      </c>
      <c r="N42" s="90">
        <v>1.1585722648100401</v>
      </c>
      <c r="O42" s="90">
        <v>2.8720067365870099</v>
      </c>
      <c r="P42" s="90">
        <v>0.41033993146168002</v>
      </c>
      <c r="Q42" s="90">
        <v>1331.87127033346</v>
      </c>
      <c r="R42" s="90">
        <v>1750</v>
      </c>
      <c r="S42" s="90" t="s">
        <v>377</v>
      </c>
      <c r="T42" s="90">
        <v>1750</v>
      </c>
      <c r="U42" s="90" t="s">
        <v>378</v>
      </c>
      <c r="V42" s="90" t="s">
        <v>244</v>
      </c>
      <c r="Z42" s="90">
        <v>0</v>
      </c>
      <c r="AA42" s="90">
        <v>1</v>
      </c>
      <c r="AB42" s="90">
        <v>2.8720067365870099</v>
      </c>
      <c r="AC42" s="90">
        <v>0.41033993146168002</v>
      </c>
      <c r="AD42" s="90">
        <v>1331.87127033346</v>
      </c>
      <c r="AF42" s="90">
        <v>-1</v>
      </c>
      <c r="AG42" s="90">
        <v>-1</v>
      </c>
      <c r="AH42" s="90">
        <v>-1</v>
      </c>
      <c r="AI42" s="90">
        <v>-1</v>
      </c>
      <c r="AJ42" s="90">
        <v>0</v>
      </c>
      <c r="AM42" s="90" t="s">
        <v>379</v>
      </c>
      <c r="AN42" s="90">
        <v>-1</v>
      </c>
      <c r="AQ42" s="90">
        <v>356</v>
      </c>
      <c r="AR42" s="90" t="s">
        <v>380</v>
      </c>
      <c r="AS42" s="90" t="s">
        <v>246</v>
      </c>
      <c r="AT42" s="90" t="s">
        <v>244</v>
      </c>
      <c r="AU42" s="90">
        <v>175.87190000000001</v>
      </c>
      <c r="AV42" s="90">
        <v>157.336983599609</v>
      </c>
      <c r="AW42" s="90">
        <v>1433.30445362867</v>
      </c>
      <c r="AX42" s="90">
        <v>1.0801875672000001</v>
      </c>
    </row>
    <row r="43" spans="1:50" x14ac:dyDescent="0.25">
      <c r="A43" s="102">
        <v>830000</v>
      </c>
      <c r="B43" s="102">
        <v>1400000</v>
      </c>
      <c r="C43" s="102">
        <v>1400000</v>
      </c>
      <c r="D43" s="90" t="s">
        <v>374</v>
      </c>
      <c r="E43" s="90" t="s">
        <v>68</v>
      </c>
      <c r="F43" s="90" t="s">
        <v>375</v>
      </c>
      <c r="G43" s="90" t="s">
        <v>376</v>
      </c>
      <c r="H43" s="90">
        <v>0.59</v>
      </c>
      <c r="I43" s="90">
        <v>0.64</v>
      </c>
      <c r="J43" s="90" t="s">
        <v>244</v>
      </c>
      <c r="K43" s="90">
        <v>0.18385729390052999</v>
      </c>
      <c r="L43" s="90">
        <v>3721.7188092839601</v>
      </c>
      <c r="M43" s="90">
        <v>8.2794321320968898</v>
      </c>
      <c r="N43" s="90">
        <v>1.11508129709662</v>
      </c>
      <c r="O43" s="90">
        <v>1.52223398684043</v>
      </c>
      <c r="P43" s="90">
        <v>0.20501582976327001</v>
      </c>
      <c r="Q43" s="90">
        <v>684.26514893365095</v>
      </c>
      <c r="R43" s="90">
        <v>1750</v>
      </c>
      <c r="S43" s="90" t="s">
        <v>377</v>
      </c>
      <c r="T43" s="90">
        <v>1750</v>
      </c>
      <c r="U43" s="90" t="s">
        <v>378</v>
      </c>
      <c r="V43" s="90" t="s">
        <v>244</v>
      </c>
      <c r="Z43" s="90">
        <v>0</v>
      </c>
      <c r="AA43" s="90">
        <v>1</v>
      </c>
      <c r="AB43" s="90">
        <v>1.52223398684043</v>
      </c>
      <c r="AC43" s="90">
        <v>0.20501582976327001</v>
      </c>
      <c r="AD43" s="90">
        <v>684.26514893365095</v>
      </c>
      <c r="AF43" s="90">
        <v>-1</v>
      </c>
      <c r="AG43" s="90">
        <v>-1</v>
      </c>
      <c r="AH43" s="90">
        <v>-1</v>
      </c>
      <c r="AI43" s="90">
        <v>-1</v>
      </c>
      <c r="AJ43" s="90">
        <v>0</v>
      </c>
      <c r="AM43" s="90" t="s">
        <v>379</v>
      </c>
      <c r="AN43" s="90">
        <v>-1</v>
      </c>
      <c r="AQ43" s="90">
        <v>356</v>
      </c>
      <c r="AR43" s="90" t="s">
        <v>380</v>
      </c>
      <c r="AS43" s="90" t="s">
        <v>246</v>
      </c>
      <c r="AT43" s="90" t="s">
        <v>244</v>
      </c>
      <c r="AU43" s="90">
        <v>175.87190000000001</v>
      </c>
      <c r="AV43" s="90">
        <v>115.062567566683</v>
      </c>
      <c r="AW43" s="90">
        <v>744.04407062644395</v>
      </c>
      <c r="AX43" s="90">
        <v>0.55495956930000001</v>
      </c>
    </row>
    <row r="44" spans="1:50" x14ac:dyDescent="0.25">
      <c r="A44" s="102">
        <v>830000</v>
      </c>
      <c r="B44" s="102">
        <v>1400000</v>
      </c>
      <c r="C44" s="102">
        <v>1400000</v>
      </c>
      <c r="D44" s="90" t="s">
        <v>374</v>
      </c>
      <c r="E44" s="90" t="s">
        <v>68</v>
      </c>
      <c r="F44" s="90" t="s">
        <v>375</v>
      </c>
      <c r="G44" s="90" t="s">
        <v>376</v>
      </c>
      <c r="H44" s="90">
        <v>0.59</v>
      </c>
      <c r="I44" s="90">
        <v>0.64</v>
      </c>
      <c r="J44" s="90" t="s">
        <v>381</v>
      </c>
      <c r="K44" s="90">
        <v>1.65985025289E-3</v>
      </c>
      <c r="L44" s="90">
        <v>3721.7188092839601</v>
      </c>
      <c r="M44" s="90">
        <v>8.2794321320968898</v>
      </c>
      <c r="N44" s="90">
        <v>1.11508129709662</v>
      </c>
      <c r="O44" s="90">
        <v>1.374261751829E-2</v>
      </c>
      <c r="P44" s="90">
        <v>1.8508679729799999E-3</v>
      </c>
      <c r="Q44" s="90">
        <v>6.1774959067977804</v>
      </c>
      <c r="R44" s="90">
        <v>1750</v>
      </c>
      <c r="S44" s="90" t="s">
        <v>377</v>
      </c>
      <c r="T44" s="90">
        <v>1750</v>
      </c>
      <c r="U44" s="90" t="s">
        <v>382</v>
      </c>
      <c r="V44" s="90" t="s">
        <v>381</v>
      </c>
      <c r="Z44" s="90">
        <v>0</v>
      </c>
      <c r="AA44" s="90">
        <v>1</v>
      </c>
      <c r="AB44" s="90">
        <v>1.374261751829E-2</v>
      </c>
      <c r="AC44" s="90">
        <v>1.8508679729799999E-3</v>
      </c>
      <c r="AD44" s="90">
        <v>6.1774959067964401</v>
      </c>
      <c r="AF44" s="90">
        <v>-1</v>
      </c>
      <c r="AG44" s="90">
        <v>-1</v>
      </c>
      <c r="AH44" s="90">
        <v>-1</v>
      </c>
      <c r="AI44" s="90">
        <v>-1</v>
      </c>
      <c r="AJ44" s="90">
        <v>0</v>
      </c>
      <c r="AM44" s="90" t="s">
        <v>379</v>
      </c>
      <c r="AN44" s="90">
        <v>-1</v>
      </c>
      <c r="AQ44" s="90">
        <v>356</v>
      </c>
      <c r="AR44" s="90" t="s">
        <v>380</v>
      </c>
      <c r="AS44" s="90" t="s">
        <v>246</v>
      </c>
      <c r="AT44" s="90" t="s">
        <v>244</v>
      </c>
      <c r="AU44" s="90">
        <v>175.87190000000001</v>
      </c>
      <c r="AV44" s="90">
        <v>76.635028450187704</v>
      </c>
      <c r="AW44" s="90">
        <v>6.7171756561529898</v>
      </c>
      <c r="AX44" s="90">
        <v>5.0101345999999996E-3</v>
      </c>
    </row>
    <row r="45" spans="1:50" x14ac:dyDescent="0.25">
      <c r="A45" s="102">
        <v>830000</v>
      </c>
      <c r="B45" s="102">
        <v>1400000</v>
      </c>
      <c r="C45" s="102">
        <v>1400000</v>
      </c>
      <c r="D45" s="90" t="s">
        <v>374</v>
      </c>
      <c r="E45" s="90" t="s">
        <v>68</v>
      </c>
      <c r="F45" s="90" t="s">
        <v>375</v>
      </c>
      <c r="G45" s="90" t="s">
        <v>376</v>
      </c>
      <c r="H45" s="90">
        <v>0.59</v>
      </c>
      <c r="I45" s="90">
        <v>0.64</v>
      </c>
      <c r="J45" s="90" t="s">
        <v>244</v>
      </c>
      <c r="K45" s="90">
        <v>0.22665020960893001</v>
      </c>
      <c r="L45" s="90">
        <v>3721.3394832283602</v>
      </c>
      <c r="M45" s="90">
        <v>8.2695381231297596</v>
      </c>
      <c r="N45" s="90">
        <v>1.1221468200854801</v>
      </c>
      <c r="O45" s="90">
        <v>1.8742925489764399</v>
      </c>
      <c r="P45" s="90">
        <v>0.25433481198437002</v>
      </c>
      <c r="Q45" s="90">
        <v>843.44237389971397</v>
      </c>
      <c r="R45" s="90">
        <v>1750</v>
      </c>
      <c r="S45" s="90" t="s">
        <v>377</v>
      </c>
      <c r="T45" s="90">
        <v>1750</v>
      </c>
      <c r="U45" s="90" t="s">
        <v>378</v>
      </c>
      <c r="V45" s="90" t="s">
        <v>244</v>
      </c>
      <c r="Z45" s="90">
        <v>0</v>
      </c>
      <c r="AA45" s="90">
        <v>1</v>
      </c>
      <c r="AB45" s="90">
        <v>1.8742925489764399</v>
      </c>
      <c r="AC45" s="90">
        <v>0.25433481198437002</v>
      </c>
      <c r="AD45" s="90">
        <v>843.44237389971397</v>
      </c>
      <c r="AF45" s="90">
        <v>-1</v>
      </c>
      <c r="AG45" s="90">
        <v>-1</v>
      </c>
      <c r="AH45" s="90">
        <v>-1</v>
      </c>
      <c r="AI45" s="90">
        <v>-1</v>
      </c>
      <c r="AJ45" s="90">
        <v>0</v>
      </c>
      <c r="AM45" s="90" t="s">
        <v>379</v>
      </c>
      <c r="AN45" s="90">
        <v>-1</v>
      </c>
      <c r="AQ45" s="90">
        <v>356</v>
      </c>
      <c r="AR45" s="90" t="s">
        <v>380</v>
      </c>
      <c r="AS45" s="90" t="s">
        <v>246</v>
      </c>
      <c r="AT45" s="90" t="s">
        <v>244</v>
      </c>
      <c r="AU45" s="90">
        <v>175.87190000000001</v>
      </c>
      <c r="AV45" s="90">
        <v>136.71087288682801</v>
      </c>
      <c r="AW45" s="90">
        <v>917.22085639422301</v>
      </c>
      <c r="AX45" s="90">
        <v>0.68405707530000004</v>
      </c>
    </row>
    <row r="46" spans="1:50" x14ac:dyDescent="0.25">
      <c r="A46" s="102">
        <v>830000</v>
      </c>
      <c r="B46" s="102">
        <v>1400000</v>
      </c>
      <c r="C46" s="102">
        <v>1400000</v>
      </c>
      <c r="D46" s="90" t="s">
        <v>374</v>
      </c>
      <c r="E46" s="90" t="s">
        <v>68</v>
      </c>
      <c r="F46" s="90" t="s">
        <v>375</v>
      </c>
      <c r="G46" s="90" t="s">
        <v>376</v>
      </c>
      <c r="H46" s="90">
        <v>0.59</v>
      </c>
      <c r="I46" s="90">
        <v>0.64</v>
      </c>
      <c r="J46" s="90" t="s">
        <v>381</v>
      </c>
      <c r="K46" s="90">
        <v>2.1754854094600002E-3</v>
      </c>
      <c r="L46" s="90">
        <v>3721.3394832283602</v>
      </c>
      <c r="M46" s="90">
        <v>8.2695381231297596</v>
      </c>
      <c r="N46" s="90">
        <v>1.1221468200854801</v>
      </c>
      <c r="O46" s="90">
        <v>1.7990259529890001E-2</v>
      </c>
      <c r="P46" s="90">
        <v>2.44121403437E-3</v>
      </c>
      <c r="Q46" s="90">
        <v>8.0957197494330408</v>
      </c>
      <c r="R46" s="90">
        <v>1750</v>
      </c>
      <c r="S46" s="90" t="s">
        <v>377</v>
      </c>
      <c r="T46" s="90">
        <v>1750</v>
      </c>
      <c r="U46" s="90" t="s">
        <v>382</v>
      </c>
      <c r="V46" s="90" t="s">
        <v>381</v>
      </c>
      <c r="Z46" s="90">
        <v>0</v>
      </c>
      <c r="AA46" s="90">
        <v>1</v>
      </c>
      <c r="AB46" s="90">
        <v>1.7990259529890001E-2</v>
      </c>
      <c r="AC46" s="90">
        <v>2.44121403437E-3</v>
      </c>
      <c r="AD46" s="90">
        <v>8.0957197494313693</v>
      </c>
      <c r="AF46" s="90">
        <v>-1</v>
      </c>
      <c r="AG46" s="90">
        <v>-1</v>
      </c>
      <c r="AH46" s="90">
        <v>-1</v>
      </c>
      <c r="AI46" s="90">
        <v>-1</v>
      </c>
      <c r="AJ46" s="90">
        <v>0</v>
      </c>
      <c r="AM46" s="90" t="s">
        <v>379</v>
      </c>
      <c r="AN46" s="90">
        <v>-1</v>
      </c>
      <c r="AQ46" s="90">
        <v>356</v>
      </c>
      <c r="AR46" s="90" t="s">
        <v>380</v>
      </c>
      <c r="AS46" s="90" t="s">
        <v>246</v>
      </c>
      <c r="AT46" s="90" t="s">
        <v>244</v>
      </c>
      <c r="AU46" s="90">
        <v>175.87190000000001</v>
      </c>
      <c r="AV46" s="90">
        <v>100.396235102405</v>
      </c>
      <c r="AW46" s="90">
        <v>8.8038771011331693</v>
      </c>
      <c r="AX46" s="90">
        <v>6.5658716999999998E-3</v>
      </c>
    </row>
    <row r="47" spans="1:50" x14ac:dyDescent="0.25">
      <c r="A47" s="102">
        <v>830000</v>
      </c>
      <c r="B47" s="102">
        <v>1400000</v>
      </c>
      <c r="C47" s="102">
        <v>1400000</v>
      </c>
      <c r="D47" s="90" t="s">
        <v>374</v>
      </c>
      <c r="E47" s="90" t="s">
        <v>68</v>
      </c>
      <c r="F47" s="90" t="s">
        <v>375</v>
      </c>
      <c r="G47" s="90" t="s">
        <v>376</v>
      </c>
      <c r="H47" s="90">
        <v>0.59</v>
      </c>
      <c r="I47" s="90">
        <v>0.64</v>
      </c>
      <c r="J47" s="90" t="s">
        <v>244</v>
      </c>
      <c r="K47" s="90">
        <v>9.961321234744E-2</v>
      </c>
      <c r="L47" s="90">
        <v>3758.0075340928902</v>
      </c>
      <c r="M47" s="90">
        <v>9.5327557722830392</v>
      </c>
      <c r="N47" s="90">
        <v>1.34727642155907</v>
      </c>
      <c r="O47" s="90">
        <v>0.94958842500072005</v>
      </c>
      <c r="P47" s="90">
        <v>0.13420653227146001</v>
      </c>
      <c r="Q47" s="90">
        <v>374.34720249687803</v>
      </c>
      <c r="R47" s="90">
        <v>1740</v>
      </c>
      <c r="S47" s="90" t="s">
        <v>383</v>
      </c>
      <c r="T47" s="90">
        <v>1740</v>
      </c>
      <c r="U47" s="90" t="s">
        <v>378</v>
      </c>
      <c r="V47" s="90" t="s">
        <v>244</v>
      </c>
      <c r="Z47" s="90">
        <v>0</v>
      </c>
      <c r="AA47" s="90">
        <v>1</v>
      </c>
      <c r="AB47" s="90">
        <v>0.94958842500072005</v>
      </c>
      <c r="AC47" s="90">
        <v>0.13420653227146001</v>
      </c>
      <c r="AD47" s="90">
        <v>374.34720249688002</v>
      </c>
      <c r="AF47" s="90">
        <v>-1</v>
      </c>
      <c r="AG47" s="90">
        <v>-1</v>
      </c>
      <c r="AH47" s="90">
        <v>-1</v>
      </c>
      <c r="AI47" s="90">
        <v>-1</v>
      </c>
      <c r="AJ47" s="90">
        <v>0</v>
      </c>
      <c r="AM47" s="90" t="s">
        <v>379</v>
      </c>
      <c r="AN47" s="90">
        <v>-1</v>
      </c>
      <c r="AQ47" s="90">
        <v>356</v>
      </c>
      <c r="AR47" s="90" t="s">
        <v>380</v>
      </c>
      <c r="AS47" s="90" t="s">
        <v>246</v>
      </c>
      <c r="AT47" s="90" t="s">
        <v>244</v>
      </c>
      <c r="AU47" s="90">
        <v>175.87190000000001</v>
      </c>
      <c r="AV47" s="90">
        <v>82.758307132348605</v>
      </c>
      <c r="AW47" s="90">
        <v>403.12036814413801</v>
      </c>
      <c r="AX47" s="90">
        <v>0.30360681470000001</v>
      </c>
    </row>
    <row r="48" spans="1:50" x14ac:dyDescent="0.25">
      <c r="A48" s="102">
        <v>830000</v>
      </c>
      <c r="B48" s="102">
        <v>1400000</v>
      </c>
      <c r="C48" s="102">
        <v>1400000</v>
      </c>
      <c r="D48" s="90" t="s">
        <v>374</v>
      </c>
      <c r="E48" s="90" t="s">
        <v>68</v>
      </c>
      <c r="F48" s="90" t="s">
        <v>375</v>
      </c>
      <c r="G48" s="90" t="s">
        <v>376</v>
      </c>
      <c r="H48" s="90">
        <v>0.59</v>
      </c>
      <c r="I48" s="90">
        <v>0.64</v>
      </c>
      <c r="J48" s="90" t="s">
        <v>244</v>
      </c>
      <c r="K48" s="90">
        <v>0.59237003172708003</v>
      </c>
      <c r="L48" s="90">
        <v>3696.52287895274</v>
      </c>
      <c r="M48" s="90">
        <v>7.4312159128203401</v>
      </c>
      <c r="N48" s="90">
        <v>1.0145902486203</v>
      </c>
      <c r="O48" s="90">
        <v>4.4020296060481598</v>
      </c>
      <c r="P48" s="90">
        <v>0.60101285776518998</v>
      </c>
      <c r="Q48" s="90">
        <v>2189.70937508511</v>
      </c>
      <c r="R48" s="90">
        <v>1750</v>
      </c>
      <c r="S48" s="90" t="s">
        <v>377</v>
      </c>
      <c r="T48" s="90">
        <v>1750</v>
      </c>
      <c r="U48" s="90" t="s">
        <v>378</v>
      </c>
      <c r="V48" s="90" t="s">
        <v>244</v>
      </c>
      <c r="Z48" s="90">
        <v>0</v>
      </c>
      <c r="AA48" s="90">
        <v>1</v>
      </c>
      <c r="AB48" s="90">
        <v>4.4020296060481598</v>
      </c>
      <c r="AC48" s="90">
        <v>0.60101285776518998</v>
      </c>
      <c r="AD48" s="90">
        <v>2189.70937508511</v>
      </c>
      <c r="AF48" s="90">
        <v>-1</v>
      </c>
      <c r="AG48" s="90">
        <v>-1</v>
      </c>
      <c r="AH48" s="90">
        <v>-1</v>
      </c>
      <c r="AI48" s="90">
        <v>-1</v>
      </c>
      <c r="AJ48" s="90">
        <v>0</v>
      </c>
      <c r="AM48" s="90" t="s">
        <v>379</v>
      </c>
      <c r="AN48" s="90">
        <v>-1</v>
      </c>
      <c r="AQ48" s="90">
        <v>356</v>
      </c>
      <c r="AR48" s="90" t="s">
        <v>380</v>
      </c>
      <c r="AS48" s="90" t="s">
        <v>246</v>
      </c>
      <c r="AT48" s="90" t="s">
        <v>244</v>
      </c>
      <c r="AU48" s="90">
        <v>175.87190000000001</v>
      </c>
      <c r="AV48" s="90">
        <v>195.90538146886701</v>
      </c>
      <c r="AW48" s="90">
        <v>2397.2364673320199</v>
      </c>
      <c r="AX48" s="90">
        <v>1.7759200122000001</v>
      </c>
    </row>
    <row r="49" spans="1:50" x14ac:dyDescent="0.25">
      <c r="A49" s="102">
        <v>830000</v>
      </c>
      <c r="B49" s="102">
        <v>1400000</v>
      </c>
      <c r="C49" s="102">
        <v>1400000</v>
      </c>
      <c r="D49" s="90" t="s">
        <v>374</v>
      </c>
      <c r="E49" s="90" t="s">
        <v>68</v>
      </c>
      <c r="F49" s="90" t="s">
        <v>375</v>
      </c>
      <c r="G49" s="90" t="s">
        <v>376</v>
      </c>
      <c r="H49" s="90">
        <v>0.59</v>
      </c>
      <c r="I49" s="90">
        <v>0.64</v>
      </c>
      <c r="J49" s="90" t="s">
        <v>244</v>
      </c>
      <c r="K49" s="90">
        <v>0.18967311903833001</v>
      </c>
      <c r="L49" s="90">
        <v>3694.79515072614</v>
      </c>
      <c r="M49" s="90">
        <v>7.4204488561177397</v>
      </c>
      <c r="N49" s="90">
        <v>1.01317576059834</v>
      </c>
      <c r="O49" s="90">
        <v>1.4074596792042899</v>
      </c>
      <c r="P49" s="90">
        <v>0.19217220664672</v>
      </c>
      <c r="Q49" s="90">
        <v>700.80332044594195</v>
      </c>
      <c r="R49" s="90">
        <v>1750</v>
      </c>
      <c r="S49" s="90" t="s">
        <v>377</v>
      </c>
      <c r="T49" s="90">
        <v>1750</v>
      </c>
      <c r="U49" s="90" t="s">
        <v>378</v>
      </c>
      <c r="V49" s="90" t="s">
        <v>244</v>
      </c>
      <c r="Z49" s="90">
        <v>0</v>
      </c>
      <c r="AA49" s="90">
        <v>1</v>
      </c>
      <c r="AB49" s="90">
        <v>1.4074596792042899</v>
      </c>
      <c r="AC49" s="90">
        <v>0.19217220664672</v>
      </c>
      <c r="AD49" s="90">
        <v>700.80332044594195</v>
      </c>
      <c r="AF49" s="90">
        <v>-1</v>
      </c>
      <c r="AG49" s="90">
        <v>-1</v>
      </c>
      <c r="AH49" s="90">
        <v>-1</v>
      </c>
      <c r="AI49" s="90">
        <v>-1</v>
      </c>
      <c r="AJ49" s="90">
        <v>0</v>
      </c>
      <c r="AM49" s="90" t="s">
        <v>379</v>
      </c>
      <c r="AN49" s="90">
        <v>-1</v>
      </c>
      <c r="AQ49" s="90">
        <v>356</v>
      </c>
      <c r="AR49" s="90" t="s">
        <v>380</v>
      </c>
      <c r="AS49" s="90" t="s">
        <v>246</v>
      </c>
      <c r="AT49" s="90" t="s">
        <v>244</v>
      </c>
      <c r="AU49" s="90">
        <v>175.87190000000001</v>
      </c>
      <c r="AV49" s="90">
        <v>131.474036712805</v>
      </c>
      <c r="AW49" s="90">
        <v>767.57987993692495</v>
      </c>
      <c r="AX49" s="90">
        <v>0.56837252270000005</v>
      </c>
    </row>
    <row r="50" spans="1:50" x14ac:dyDescent="0.25">
      <c r="A50" s="102">
        <v>830000</v>
      </c>
      <c r="B50" s="102">
        <v>1400000</v>
      </c>
      <c r="C50" s="102">
        <v>1400000</v>
      </c>
      <c r="D50" s="90" t="s">
        <v>374</v>
      </c>
      <c r="E50" s="90" t="s">
        <v>68</v>
      </c>
      <c r="F50" s="90" t="s">
        <v>375</v>
      </c>
      <c r="G50" s="90" t="s">
        <v>376</v>
      </c>
      <c r="H50" s="90">
        <v>0.59</v>
      </c>
      <c r="I50" s="90">
        <v>0.64</v>
      </c>
      <c r="J50" s="90" t="s">
        <v>244</v>
      </c>
      <c r="K50" s="90">
        <v>0.45576530194506998</v>
      </c>
      <c r="L50" s="90">
        <v>3725.5452556959399</v>
      </c>
      <c r="M50" s="90">
        <v>8.4578375471489107</v>
      </c>
      <c r="N50" s="90">
        <v>1.1916338024236599</v>
      </c>
      <c r="O50" s="90">
        <v>3.85478888347874</v>
      </c>
      <c r="P50" s="90">
        <v>0.54310533976957998</v>
      </c>
      <c r="Q50" s="90">
        <v>1697.97425837231</v>
      </c>
      <c r="R50" s="90">
        <v>1740</v>
      </c>
      <c r="S50" s="90" t="s">
        <v>383</v>
      </c>
      <c r="T50" s="90">
        <v>1740</v>
      </c>
      <c r="U50" s="90" t="s">
        <v>378</v>
      </c>
      <c r="V50" s="90" t="s">
        <v>244</v>
      </c>
      <c r="Z50" s="90">
        <v>0</v>
      </c>
      <c r="AA50" s="90">
        <v>1</v>
      </c>
      <c r="AB50" s="90">
        <v>3.85478888347874</v>
      </c>
      <c r="AC50" s="90">
        <v>0.54310533976957998</v>
      </c>
      <c r="AD50" s="90">
        <v>1697.97425837231</v>
      </c>
      <c r="AF50" s="90">
        <v>-1</v>
      </c>
      <c r="AG50" s="90">
        <v>-1</v>
      </c>
      <c r="AH50" s="90">
        <v>-1</v>
      </c>
      <c r="AI50" s="90">
        <v>-1</v>
      </c>
      <c r="AJ50" s="90">
        <v>0</v>
      </c>
      <c r="AM50" s="90" t="s">
        <v>379</v>
      </c>
      <c r="AN50" s="90">
        <v>-1</v>
      </c>
      <c r="AQ50" s="90">
        <v>356</v>
      </c>
      <c r="AR50" s="90" t="s">
        <v>380</v>
      </c>
      <c r="AS50" s="90" t="s">
        <v>246</v>
      </c>
      <c r="AT50" s="90" t="s">
        <v>244</v>
      </c>
      <c r="AU50" s="90">
        <v>175.87190000000001</v>
      </c>
      <c r="AV50" s="90">
        <v>172.198213136101</v>
      </c>
      <c r="AW50" s="90">
        <v>1844.41673928351</v>
      </c>
      <c r="AX50" s="90">
        <v>1.3771080764999999</v>
      </c>
    </row>
    <row r="51" spans="1:50" x14ac:dyDescent="0.25">
      <c r="A51" s="102">
        <v>830000</v>
      </c>
      <c r="B51" s="102">
        <v>1400000</v>
      </c>
      <c r="C51" s="102">
        <v>1400000</v>
      </c>
      <c r="D51" s="90" t="s">
        <v>374</v>
      </c>
      <c r="E51" s="90" t="s">
        <v>68</v>
      </c>
      <c r="F51" s="90" t="s">
        <v>375</v>
      </c>
      <c r="G51" s="90" t="s">
        <v>376</v>
      </c>
      <c r="H51" s="90">
        <v>0.59</v>
      </c>
      <c r="I51" s="90">
        <v>0.64</v>
      </c>
      <c r="J51" s="90" t="s">
        <v>244</v>
      </c>
      <c r="K51" s="90">
        <v>0.28062041861977999</v>
      </c>
      <c r="L51" s="90">
        <v>3753.8259817634798</v>
      </c>
      <c r="M51" s="90">
        <v>9.6361025859285494</v>
      </c>
      <c r="N51" s="90">
        <v>1.36153364180382</v>
      </c>
      <c r="O51" s="90">
        <v>2.70408714152649</v>
      </c>
      <c r="P51" s="90">
        <v>0.38207414052791</v>
      </c>
      <c r="Q51" s="90">
        <v>1053.4002184282999</v>
      </c>
      <c r="R51" s="90">
        <v>1740</v>
      </c>
      <c r="S51" s="90" t="s">
        <v>383</v>
      </c>
      <c r="T51" s="90">
        <v>1740</v>
      </c>
      <c r="U51" s="90" t="s">
        <v>378</v>
      </c>
      <c r="V51" s="90" t="s">
        <v>244</v>
      </c>
      <c r="Z51" s="90">
        <v>0</v>
      </c>
      <c r="AA51" s="90">
        <v>1</v>
      </c>
      <c r="AB51" s="90">
        <v>2.70408714152649</v>
      </c>
      <c r="AC51" s="90">
        <v>0.38207414052791</v>
      </c>
      <c r="AD51" s="90">
        <v>1053.4002184282999</v>
      </c>
      <c r="AF51" s="90">
        <v>-1</v>
      </c>
      <c r="AG51" s="90">
        <v>-1</v>
      </c>
      <c r="AH51" s="90">
        <v>-1</v>
      </c>
      <c r="AI51" s="90">
        <v>-1</v>
      </c>
      <c r="AJ51" s="90">
        <v>0</v>
      </c>
      <c r="AM51" s="90" t="s">
        <v>379</v>
      </c>
      <c r="AN51" s="90">
        <v>-1</v>
      </c>
      <c r="AQ51" s="90">
        <v>356</v>
      </c>
      <c r="AR51" s="90" t="s">
        <v>380</v>
      </c>
      <c r="AS51" s="90" t="s">
        <v>246</v>
      </c>
      <c r="AT51" s="90" t="s">
        <v>244</v>
      </c>
      <c r="AU51" s="90">
        <v>175.87190000000001</v>
      </c>
      <c r="AV51" s="90">
        <v>140.32805029263301</v>
      </c>
      <c r="AW51" s="90">
        <v>1135.63054334806</v>
      </c>
      <c r="AX51" s="90">
        <v>0.85433918769999995</v>
      </c>
    </row>
    <row r="52" spans="1:50" x14ac:dyDescent="0.25">
      <c r="A52" s="102">
        <v>830000</v>
      </c>
      <c r="B52" s="102">
        <v>1400000</v>
      </c>
      <c r="C52" s="102">
        <v>1400000</v>
      </c>
      <c r="D52" s="90" t="s">
        <v>374</v>
      </c>
      <c r="E52" s="90" t="s">
        <v>68</v>
      </c>
      <c r="F52" s="90" t="s">
        <v>375</v>
      </c>
      <c r="G52" s="90" t="s">
        <v>376</v>
      </c>
      <c r="H52" s="90">
        <v>0.59</v>
      </c>
      <c r="I52" s="90">
        <v>0.64</v>
      </c>
      <c r="J52" s="90" t="s">
        <v>244</v>
      </c>
      <c r="K52" s="90">
        <v>0.37131051802916998</v>
      </c>
      <c r="L52" s="90">
        <v>3761.6745980614</v>
      </c>
      <c r="M52" s="90">
        <v>8.0510729966278003</v>
      </c>
      <c r="N52" s="90">
        <v>1.1085781312279701</v>
      </c>
      <c r="O52" s="90">
        <v>2.9894480850685401</v>
      </c>
      <c r="P52" s="90">
        <v>0.41162672018205998</v>
      </c>
      <c r="Q52" s="90">
        <v>1396.7493436633499</v>
      </c>
      <c r="R52" s="90">
        <v>1750</v>
      </c>
      <c r="S52" s="90" t="s">
        <v>377</v>
      </c>
      <c r="T52" s="90">
        <v>1750</v>
      </c>
      <c r="U52" s="90" t="s">
        <v>378</v>
      </c>
      <c r="V52" s="90" t="s">
        <v>244</v>
      </c>
      <c r="Z52" s="90">
        <v>0</v>
      </c>
      <c r="AA52" s="90">
        <v>1</v>
      </c>
      <c r="AB52" s="90">
        <v>2.9894480850685401</v>
      </c>
      <c r="AC52" s="90">
        <v>0.41162672018205998</v>
      </c>
      <c r="AD52" s="90">
        <v>1396.7493436633499</v>
      </c>
      <c r="AF52" s="90">
        <v>-1</v>
      </c>
      <c r="AG52" s="90">
        <v>-1</v>
      </c>
      <c r="AH52" s="90">
        <v>-1</v>
      </c>
      <c r="AI52" s="90">
        <v>-1</v>
      </c>
      <c r="AJ52" s="90">
        <v>0</v>
      </c>
      <c r="AM52" s="90" t="s">
        <v>379</v>
      </c>
      <c r="AN52" s="90">
        <v>-1</v>
      </c>
      <c r="AQ52" s="90">
        <v>356</v>
      </c>
      <c r="AR52" s="90" t="s">
        <v>380</v>
      </c>
      <c r="AS52" s="90" t="s">
        <v>246</v>
      </c>
      <c r="AT52" s="90" t="s">
        <v>244</v>
      </c>
      <c r="AU52" s="90">
        <v>175.87190000000001</v>
      </c>
      <c r="AV52" s="90">
        <v>160.11042156427101</v>
      </c>
      <c r="AW52" s="90">
        <v>1502.64035459102</v>
      </c>
      <c r="AX52" s="90">
        <v>1.1328056314999999</v>
      </c>
    </row>
    <row r="53" spans="1:50" x14ac:dyDescent="0.25">
      <c r="A53" s="102">
        <v>830000</v>
      </c>
      <c r="B53" s="102">
        <v>1400000</v>
      </c>
      <c r="C53" s="102">
        <v>1400000</v>
      </c>
      <c r="D53" s="90" t="s">
        <v>374</v>
      </c>
      <c r="E53" s="90" t="s">
        <v>68</v>
      </c>
      <c r="F53" s="90" t="s">
        <v>375</v>
      </c>
      <c r="G53" s="90" t="s">
        <v>376</v>
      </c>
      <c r="H53" s="90">
        <v>0.59</v>
      </c>
      <c r="I53" s="90">
        <v>0.64</v>
      </c>
      <c r="J53" s="90" t="s">
        <v>244</v>
      </c>
      <c r="K53" s="90">
        <v>0.37486031990381002</v>
      </c>
      <c r="L53" s="90">
        <v>3688.1051002541299</v>
      </c>
      <c r="M53" s="90">
        <v>7.3784570228710997</v>
      </c>
      <c r="N53" s="90">
        <v>1.00765961048779</v>
      </c>
      <c r="O53" s="90">
        <v>2.76589075999002</v>
      </c>
      <c r="P53" s="90">
        <v>0.37773160394160998</v>
      </c>
      <c r="Q53" s="90">
        <v>1382.52425772016</v>
      </c>
      <c r="R53" s="90">
        <v>1750</v>
      </c>
      <c r="S53" s="90" t="s">
        <v>377</v>
      </c>
      <c r="T53" s="90">
        <v>1750</v>
      </c>
      <c r="U53" s="90" t="s">
        <v>378</v>
      </c>
      <c r="V53" s="90" t="s">
        <v>244</v>
      </c>
      <c r="Z53" s="90">
        <v>0</v>
      </c>
      <c r="AA53" s="90">
        <v>1</v>
      </c>
      <c r="AB53" s="90">
        <v>2.76589075999002</v>
      </c>
      <c r="AC53" s="90">
        <v>0.37773160394160998</v>
      </c>
      <c r="AD53" s="90">
        <v>2278.3765444778701</v>
      </c>
      <c r="AF53" s="90">
        <v>-1</v>
      </c>
      <c r="AG53" s="90">
        <v>-1</v>
      </c>
      <c r="AH53" s="90">
        <v>-1</v>
      </c>
      <c r="AI53" s="90">
        <v>-1</v>
      </c>
      <c r="AJ53" s="90">
        <v>0</v>
      </c>
      <c r="AM53" s="90" t="s">
        <v>379</v>
      </c>
      <c r="AN53" s="90">
        <v>-1</v>
      </c>
      <c r="AQ53" s="90">
        <v>356</v>
      </c>
      <c r="AR53" s="90" t="s">
        <v>380</v>
      </c>
      <c r="AS53" s="90" t="s">
        <v>246</v>
      </c>
      <c r="AT53" s="90" t="s">
        <v>244</v>
      </c>
      <c r="AU53" s="90">
        <v>175.87190000000001</v>
      </c>
      <c r="AV53" s="90">
        <v>160.69496982481601</v>
      </c>
      <c r="AW53" s="90">
        <v>1517.0058931056701</v>
      </c>
      <c r="AX53" s="90">
        <v>1.8478317473000001</v>
      </c>
    </row>
    <row r="54" spans="1:50" x14ac:dyDescent="0.25">
      <c r="A54" s="102">
        <v>830000</v>
      </c>
      <c r="B54" s="102">
        <v>1400000</v>
      </c>
      <c r="C54" s="102">
        <v>1400000</v>
      </c>
      <c r="D54" s="90" t="s">
        <v>374</v>
      </c>
      <c r="E54" s="90" t="s">
        <v>68</v>
      </c>
      <c r="F54" s="90" t="s">
        <v>375</v>
      </c>
      <c r="G54" s="90" t="s">
        <v>376</v>
      </c>
      <c r="H54" s="90">
        <v>0.59</v>
      </c>
      <c r="I54" s="90">
        <v>0.64</v>
      </c>
      <c r="J54" s="90" t="s">
        <v>244</v>
      </c>
      <c r="K54" s="90">
        <v>0.42570308148327002</v>
      </c>
      <c r="L54" s="90">
        <v>3649.3014877856299</v>
      </c>
      <c r="M54" s="90">
        <v>7.4108151567419496</v>
      </c>
      <c r="N54" s="90">
        <v>1.0063952351009</v>
      </c>
      <c r="O54" s="90">
        <v>3.1548068485280401</v>
      </c>
      <c r="P54" s="90">
        <v>0.42842555277254002</v>
      </c>
      <c r="Q54" s="90">
        <v>1553.5188886118499</v>
      </c>
      <c r="R54" s="90">
        <v>1750</v>
      </c>
      <c r="S54" s="90" t="s">
        <v>377</v>
      </c>
      <c r="T54" s="90">
        <v>1750</v>
      </c>
      <c r="U54" s="90" t="s">
        <v>378</v>
      </c>
      <c r="V54" s="90" t="s">
        <v>244</v>
      </c>
      <c r="Z54" s="90">
        <v>0</v>
      </c>
      <c r="AA54" s="90">
        <v>1</v>
      </c>
      <c r="AB54" s="90">
        <v>3.1548068485280401</v>
      </c>
      <c r="AC54" s="90">
        <v>0.42842555277254002</v>
      </c>
      <c r="AD54" s="90">
        <v>1553.5188886118499</v>
      </c>
      <c r="AF54" s="90">
        <v>-1</v>
      </c>
      <c r="AG54" s="90">
        <v>-1</v>
      </c>
      <c r="AH54" s="90">
        <v>-1</v>
      </c>
      <c r="AI54" s="90">
        <v>-1</v>
      </c>
      <c r="AJ54" s="90">
        <v>0</v>
      </c>
      <c r="AM54" s="90" t="s">
        <v>379</v>
      </c>
      <c r="AN54" s="90">
        <v>-1</v>
      </c>
      <c r="AQ54" s="90">
        <v>356</v>
      </c>
      <c r="AR54" s="90" t="s">
        <v>380</v>
      </c>
      <c r="AS54" s="90" t="s">
        <v>246</v>
      </c>
      <c r="AT54" s="90" t="s">
        <v>244</v>
      </c>
      <c r="AU54" s="90">
        <v>175.87190000000001</v>
      </c>
      <c r="AV54" s="90">
        <v>168.926308576004</v>
      </c>
      <c r="AW54" s="90">
        <v>1722.7592493360701</v>
      </c>
      <c r="AX54" s="90">
        <v>1.2599504368000001</v>
      </c>
    </row>
    <row r="55" spans="1:50" x14ac:dyDescent="0.25">
      <c r="A55" s="102">
        <v>830000</v>
      </c>
      <c r="B55" s="102">
        <v>1400000</v>
      </c>
      <c r="C55" s="102">
        <v>1400000</v>
      </c>
      <c r="D55" s="90" t="s">
        <v>374</v>
      </c>
      <c r="E55" s="90" t="s">
        <v>68</v>
      </c>
      <c r="F55" s="90" t="s">
        <v>375</v>
      </c>
      <c r="G55" s="90" t="s">
        <v>376</v>
      </c>
      <c r="H55" s="90">
        <v>0.59</v>
      </c>
      <c r="I55" s="90">
        <v>0.64</v>
      </c>
      <c r="J55" s="90" t="s">
        <v>244</v>
      </c>
      <c r="K55" s="90">
        <v>1.9123185219700001E-3</v>
      </c>
      <c r="L55" s="90">
        <v>3649.3014877856299</v>
      </c>
      <c r="M55" s="90">
        <v>7.4108151567419496</v>
      </c>
      <c r="N55" s="90">
        <v>1.0063952351009</v>
      </c>
      <c r="O55" s="90">
        <v>1.417183908713E-2</v>
      </c>
      <c r="P55" s="90">
        <v>1.9245482485E-3</v>
      </c>
      <c r="Q55" s="90">
        <v>6.9786268273451402</v>
      </c>
      <c r="R55" s="90">
        <v>1750</v>
      </c>
      <c r="S55" s="90" t="s">
        <v>377</v>
      </c>
      <c r="T55" s="90">
        <v>1750</v>
      </c>
      <c r="U55" s="90" t="s">
        <v>378</v>
      </c>
      <c r="V55" s="90" t="s">
        <v>244</v>
      </c>
      <c r="Z55" s="90">
        <v>0</v>
      </c>
      <c r="AA55" s="90">
        <v>1</v>
      </c>
      <c r="AB55" s="90">
        <v>1.417183908713E-2</v>
      </c>
      <c r="AC55" s="90">
        <v>1.9245482485E-3</v>
      </c>
      <c r="AD55" s="90">
        <v>6.9786268273449599</v>
      </c>
      <c r="AF55" s="90">
        <v>-1</v>
      </c>
      <c r="AG55" s="90">
        <v>-1</v>
      </c>
      <c r="AH55" s="90">
        <v>-1</v>
      </c>
      <c r="AI55" s="90">
        <v>-1</v>
      </c>
      <c r="AJ55" s="90">
        <v>0</v>
      </c>
      <c r="AM55" s="90" t="s">
        <v>379</v>
      </c>
      <c r="AN55" s="90">
        <v>-1</v>
      </c>
      <c r="AQ55" s="90">
        <v>356</v>
      </c>
      <c r="AR55" s="90" t="s">
        <v>380</v>
      </c>
      <c r="AS55" s="90" t="s">
        <v>246</v>
      </c>
      <c r="AT55" s="90" t="s">
        <v>244</v>
      </c>
      <c r="AU55" s="90">
        <v>175.87190000000001</v>
      </c>
      <c r="AV55" s="90">
        <v>46.648918755769699</v>
      </c>
      <c r="AW55" s="90">
        <v>7.7388784923085803</v>
      </c>
      <c r="AX55" s="90">
        <v>5.6598758000000002E-3</v>
      </c>
    </row>
    <row r="56" spans="1:50" x14ac:dyDescent="0.25">
      <c r="A56" s="102">
        <v>830000</v>
      </c>
      <c r="B56" s="102">
        <v>1400000</v>
      </c>
      <c r="C56" s="102">
        <v>1400000</v>
      </c>
      <c r="D56" s="90" t="s">
        <v>374</v>
      </c>
      <c r="E56" s="90" t="s">
        <v>68</v>
      </c>
      <c r="F56" s="90" t="s">
        <v>375</v>
      </c>
      <c r="G56" s="90" t="s">
        <v>376</v>
      </c>
      <c r="H56" s="90">
        <v>0.59</v>
      </c>
      <c r="I56" s="90">
        <v>0.64</v>
      </c>
      <c r="J56" s="90" t="s">
        <v>244</v>
      </c>
      <c r="K56" s="90">
        <v>0.33559600328675998</v>
      </c>
      <c r="L56" s="90">
        <v>3714.65208561606</v>
      </c>
      <c r="M56" s="90">
        <v>8.2265464629281393</v>
      </c>
      <c r="N56" s="90">
        <v>1.13594259427787</v>
      </c>
      <c r="O56" s="90">
        <v>2.7607961138115402</v>
      </c>
      <c r="P56" s="90">
        <v>0.38121779460284999</v>
      </c>
      <c r="Q56" s="90">
        <v>1246.62239353359</v>
      </c>
      <c r="R56" s="90">
        <v>1750</v>
      </c>
      <c r="S56" s="90" t="s">
        <v>377</v>
      </c>
      <c r="T56" s="90">
        <v>1750</v>
      </c>
      <c r="U56" s="90" t="s">
        <v>378</v>
      </c>
      <c r="V56" s="90" t="s">
        <v>244</v>
      </c>
      <c r="Z56" s="90">
        <v>0</v>
      </c>
      <c r="AA56" s="90">
        <v>1</v>
      </c>
      <c r="AB56" s="90">
        <v>2.7607961138115402</v>
      </c>
      <c r="AC56" s="90">
        <v>0.38121779460284999</v>
      </c>
      <c r="AD56" s="90">
        <v>1828.8517910206699</v>
      </c>
      <c r="AF56" s="90">
        <v>-1</v>
      </c>
      <c r="AG56" s="90">
        <v>-1</v>
      </c>
      <c r="AH56" s="90">
        <v>-1</v>
      </c>
      <c r="AI56" s="90">
        <v>-1</v>
      </c>
      <c r="AJ56" s="90">
        <v>0</v>
      </c>
      <c r="AM56" s="90" t="s">
        <v>379</v>
      </c>
      <c r="AN56" s="90">
        <v>-1</v>
      </c>
      <c r="AQ56" s="90">
        <v>356</v>
      </c>
      <c r="AR56" s="90" t="s">
        <v>380</v>
      </c>
      <c r="AS56" s="90" t="s">
        <v>246</v>
      </c>
      <c r="AT56" s="90" t="s">
        <v>244</v>
      </c>
      <c r="AU56" s="90">
        <v>175.87190000000001</v>
      </c>
      <c r="AV56" s="90">
        <v>147.95387406725101</v>
      </c>
      <c r="AW56" s="90">
        <v>1358.1088412327999</v>
      </c>
      <c r="AX56" s="90">
        <v>1.4832536829</v>
      </c>
    </row>
    <row r="57" spans="1:50" x14ac:dyDescent="0.25">
      <c r="A57" s="102">
        <v>830000</v>
      </c>
      <c r="B57" s="102">
        <v>1400000</v>
      </c>
      <c r="C57" s="102">
        <v>1400000</v>
      </c>
      <c r="D57" s="90" t="s">
        <v>374</v>
      </c>
      <c r="E57" s="90" t="s">
        <v>68</v>
      </c>
      <c r="F57" s="90" t="s">
        <v>375</v>
      </c>
      <c r="G57" s="90" t="s">
        <v>376</v>
      </c>
      <c r="H57" s="90">
        <v>0.59</v>
      </c>
      <c r="I57" s="90">
        <v>0.64</v>
      </c>
      <c r="J57" s="90" t="s">
        <v>244</v>
      </c>
      <c r="K57" s="90">
        <v>0.61776345371394004</v>
      </c>
      <c r="L57" s="90">
        <v>3689.5787105200102</v>
      </c>
      <c r="M57" s="90">
        <v>7.3813808069064804</v>
      </c>
      <c r="N57" s="90">
        <v>1.00806004843717</v>
      </c>
      <c r="O57" s="90">
        <v>4.5599473004523299</v>
      </c>
      <c r="P57" s="90">
        <v>0.62274265707359</v>
      </c>
      <c r="Q57" s="90">
        <v>2279.2868869602598</v>
      </c>
      <c r="R57" s="90">
        <v>1750</v>
      </c>
      <c r="S57" s="90" t="s">
        <v>377</v>
      </c>
      <c r="T57" s="90">
        <v>1750</v>
      </c>
      <c r="U57" s="90" t="s">
        <v>378</v>
      </c>
      <c r="V57" s="90" t="s">
        <v>244</v>
      </c>
      <c r="Z57" s="90">
        <v>0</v>
      </c>
      <c r="AA57" s="90">
        <v>1</v>
      </c>
      <c r="AB57" s="90">
        <v>4.5599473004523299</v>
      </c>
      <c r="AC57" s="90">
        <v>0.62274265707359</v>
      </c>
      <c r="AD57" s="90">
        <v>2279.2868869602598</v>
      </c>
      <c r="AF57" s="90">
        <v>-1</v>
      </c>
      <c r="AG57" s="90">
        <v>-1</v>
      </c>
      <c r="AH57" s="90">
        <v>-1</v>
      </c>
      <c r="AI57" s="90">
        <v>-1</v>
      </c>
      <c r="AJ57" s="90">
        <v>0</v>
      </c>
      <c r="AM57" s="90" t="s">
        <v>379</v>
      </c>
      <c r="AN57" s="90">
        <v>-1</v>
      </c>
      <c r="AQ57" s="90">
        <v>356</v>
      </c>
      <c r="AR57" s="90" t="s">
        <v>380</v>
      </c>
      <c r="AS57" s="90" t="s">
        <v>246</v>
      </c>
      <c r="AT57" s="90" t="s">
        <v>244</v>
      </c>
      <c r="AU57" s="90">
        <v>175.87190000000001</v>
      </c>
      <c r="AV57" s="90">
        <v>200.00000000745001</v>
      </c>
      <c r="AW57" s="90">
        <v>2500.00000018626</v>
      </c>
      <c r="AX57" s="90">
        <v>1.8485700624000001</v>
      </c>
    </row>
    <row r="58" spans="1:50" x14ac:dyDescent="0.25">
      <c r="A58" s="102">
        <v>830000</v>
      </c>
      <c r="B58" s="102">
        <v>1400000</v>
      </c>
      <c r="C58" s="102">
        <v>1400000</v>
      </c>
      <c r="D58" s="90" t="s">
        <v>374</v>
      </c>
      <c r="E58" s="90" t="s">
        <v>68</v>
      </c>
      <c r="F58" s="90" t="s">
        <v>375</v>
      </c>
      <c r="G58" s="90" t="s">
        <v>376</v>
      </c>
      <c r="H58" s="90">
        <v>0.59</v>
      </c>
      <c r="I58" s="90">
        <v>0.64</v>
      </c>
      <c r="J58" s="90" t="s">
        <v>244</v>
      </c>
      <c r="K58" s="90">
        <v>0.28235540152700001</v>
      </c>
      <c r="L58" s="90">
        <v>3714.21462565406</v>
      </c>
      <c r="M58" s="90">
        <v>8.1656153578072193</v>
      </c>
      <c r="N58" s="90">
        <v>1.10560483512261</v>
      </c>
      <c r="O58" s="90">
        <v>2.30560560306871</v>
      </c>
      <c r="P58" s="90">
        <v>0.31217349715123999</v>
      </c>
      <c r="Q58" s="90">
        <v>1048.72856198401</v>
      </c>
      <c r="R58" s="90">
        <v>1750</v>
      </c>
      <c r="S58" s="90" t="s">
        <v>377</v>
      </c>
      <c r="T58" s="90">
        <v>1750</v>
      </c>
      <c r="U58" s="90" t="s">
        <v>378</v>
      </c>
      <c r="V58" s="90" t="s">
        <v>244</v>
      </c>
      <c r="Z58" s="90">
        <v>0</v>
      </c>
      <c r="AA58" s="90">
        <v>1</v>
      </c>
      <c r="AB58" s="90">
        <v>2.30560560306871</v>
      </c>
      <c r="AC58" s="90">
        <v>0.31217349715123999</v>
      </c>
      <c r="AD58" s="90">
        <v>1048.72856198401</v>
      </c>
      <c r="AF58" s="90">
        <v>-1</v>
      </c>
      <c r="AG58" s="90">
        <v>-1</v>
      </c>
      <c r="AH58" s="90">
        <v>-1</v>
      </c>
      <c r="AI58" s="90">
        <v>-1</v>
      </c>
      <c r="AJ58" s="90">
        <v>0</v>
      </c>
      <c r="AM58" s="90" t="s">
        <v>379</v>
      </c>
      <c r="AN58" s="90">
        <v>-1</v>
      </c>
      <c r="AQ58" s="90">
        <v>356</v>
      </c>
      <c r="AR58" s="90" t="s">
        <v>380</v>
      </c>
      <c r="AS58" s="90" t="s">
        <v>246</v>
      </c>
      <c r="AT58" s="90" t="s">
        <v>244</v>
      </c>
      <c r="AU58" s="90">
        <v>175.87190000000001</v>
      </c>
      <c r="AV58" s="90">
        <v>140.59761930241501</v>
      </c>
      <c r="AW58" s="90">
        <v>1142.6517700688701</v>
      </c>
      <c r="AX58" s="90">
        <v>0.85055033410000003</v>
      </c>
    </row>
    <row r="59" spans="1:50" x14ac:dyDescent="0.25">
      <c r="A59" s="102">
        <v>830000</v>
      </c>
      <c r="B59" s="102">
        <v>1400000</v>
      </c>
      <c r="C59" s="102">
        <v>1400000</v>
      </c>
      <c r="D59" s="90" t="s">
        <v>374</v>
      </c>
      <c r="E59" s="90" t="s">
        <v>68</v>
      </c>
      <c r="F59" s="90" t="s">
        <v>375</v>
      </c>
      <c r="G59" s="90" t="s">
        <v>376</v>
      </c>
      <c r="H59" s="90">
        <v>0.59</v>
      </c>
      <c r="I59" s="90">
        <v>0.64</v>
      </c>
      <c r="J59" s="90" t="s">
        <v>244</v>
      </c>
      <c r="K59" s="90">
        <v>0.20771919605924</v>
      </c>
      <c r="L59" s="90">
        <v>3700.9187948983499</v>
      </c>
      <c r="M59" s="90">
        <v>8.2590554106395508</v>
      </c>
      <c r="N59" s="90">
        <v>1.1239120622154299</v>
      </c>
      <c r="O59" s="90">
        <v>1.7155643501068301</v>
      </c>
      <c r="P59" s="90">
        <v>0.23345811000468</v>
      </c>
      <c r="Q59" s="90">
        <v>768.75187675685004</v>
      </c>
      <c r="R59" s="90">
        <v>1750</v>
      </c>
      <c r="S59" s="90" t="s">
        <v>377</v>
      </c>
      <c r="T59" s="90">
        <v>1750</v>
      </c>
      <c r="U59" s="90" t="s">
        <v>378</v>
      </c>
      <c r="V59" s="90" t="s">
        <v>244</v>
      </c>
      <c r="Z59" s="90">
        <v>0</v>
      </c>
      <c r="AA59" s="90">
        <v>1</v>
      </c>
      <c r="AB59" s="90">
        <v>1.7155643501068301</v>
      </c>
      <c r="AC59" s="90">
        <v>0.23345811000468</v>
      </c>
      <c r="AD59" s="90">
        <v>768.75187675685004</v>
      </c>
      <c r="AF59" s="90">
        <v>-1</v>
      </c>
      <c r="AG59" s="90">
        <v>-1</v>
      </c>
      <c r="AH59" s="90">
        <v>-1</v>
      </c>
      <c r="AI59" s="90">
        <v>-1</v>
      </c>
      <c r="AJ59" s="90">
        <v>0</v>
      </c>
      <c r="AM59" s="90" t="s">
        <v>379</v>
      </c>
      <c r="AN59" s="90">
        <v>-1</v>
      </c>
      <c r="AQ59" s="90">
        <v>356</v>
      </c>
      <c r="AR59" s="90" t="s">
        <v>380</v>
      </c>
      <c r="AS59" s="90" t="s">
        <v>246</v>
      </c>
      <c r="AT59" s="90" t="s">
        <v>244</v>
      </c>
      <c r="AU59" s="90">
        <v>175.87190000000001</v>
      </c>
      <c r="AV59" s="90">
        <v>133.64599729599399</v>
      </c>
      <c r="AW59" s="90">
        <v>840.60976262813494</v>
      </c>
      <c r="AX59" s="90">
        <v>0.62348084079999999</v>
      </c>
    </row>
    <row r="60" spans="1:50" x14ac:dyDescent="0.25">
      <c r="A60" s="102">
        <v>830000</v>
      </c>
      <c r="B60" s="102">
        <v>1400000</v>
      </c>
      <c r="C60" s="102">
        <v>1400000</v>
      </c>
      <c r="D60" s="90" t="s">
        <v>374</v>
      </c>
      <c r="E60" s="90" t="s">
        <v>68</v>
      </c>
      <c r="F60" s="90" t="s">
        <v>375</v>
      </c>
      <c r="G60" s="90" t="s">
        <v>376</v>
      </c>
      <c r="H60" s="90">
        <v>0.59</v>
      </c>
      <c r="I60" s="90">
        <v>0.64</v>
      </c>
      <c r="J60" s="90" t="s">
        <v>381</v>
      </c>
      <c r="K60" s="90">
        <v>2.1830169193500001E-3</v>
      </c>
      <c r="L60" s="90">
        <v>3700.9187948983499</v>
      </c>
      <c r="M60" s="90">
        <v>8.2590554106395508</v>
      </c>
      <c r="N60" s="90">
        <v>1.1239120622154299</v>
      </c>
      <c r="O60" s="90">
        <v>1.8029657699300001E-2</v>
      </c>
      <c r="P60" s="90">
        <v>2.4535190476800001E-3</v>
      </c>
      <c r="Q60" s="90">
        <v>8.0791683464183102</v>
      </c>
      <c r="R60" s="90">
        <v>1750</v>
      </c>
      <c r="S60" s="90" t="s">
        <v>377</v>
      </c>
      <c r="T60" s="90">
        <v>1750</v>
      </c>
      <c r="U60" s="90" t="s">
        <v>382</v>
      </c>
      <c r="V60" s="90" t="s">
        <v>381</v>
      </c>
      <c r="Z60" s="90">
        <v>0</v>
      </c>
      <c r="AA60" s="90">
        <v>1</v>
      </c>
      <c r="AB60" s="90">
        <v>1.8029657699300001E-2</v>
      </c>
      <c r="AC60" s="90">
        <v>2.4535190476800001E-3</v>
      </c>
      <c r="AD60" s="90">
        <v>8.0791683464177595</v>
      </c>
      <c r="AF60" s="90">
        <v>-1</v>
      </c>
      <c r="AG60" s="90">
        <v>-1</v>
      </c>
      <c r="AH60" s="90">
        <v>-1</v>
      </c>
      <c r="AI60" s="90">
        <v>-1</v>
      </c>
      <c r="AJ60" s="90">
        <v>0</v>
      </c>
      <c r="AM60" s="90" t="s">
        <v>379</v>
      </c>
      <c r="AN60" s="90">
        <v>-1</v>
      </c>
      <c r="AQ60" s="90">
        <v>356</v>
      </c>
      <c r="AR60" s="90" t="s">
        <v>380</v>
      </c>
      <c r="AS60" s="90" t="s">
        <v>246</v>
      </c>
      <c r="AT60" s="90" t="s">
        <v>244</v>
      </c>
      <c r="AU60" s="90">
        <v>175.87190000000001</v>
      </c>
      <c r="AV60" s="90">
        <v>100.402882759345</v>
      </c>
      <c r="AW60" s="90">
        <v>8.8343560402949706</v>
      </c>
      <c r="AX60" s="90">
        <v>6.5524479999999998E-3</v>
      </c>
    </row>
    <row r="61" spans="1:50" x14ac:dyDescent="0.25">
      <c r="A61" s="102">
        <v>830000</v>
      </c>
      <c r="B61" s="102">
        <v>1400000</v>
      </c>
      <c r="C61" s="102">
        <v>1400000</v>
      </c>
      <c r="D61" s="90" t="s">
        <v>374</v>
      </c>
      <c r="E61" s="90" t="s">
        <v>68</v>
      </c>
      <c r="F61" s="90" t="s">
        <v>375</v>
      </c>
      <c r="G61" s="90" t="s">
        <v>376</v>
      </c>
      <c r="H61" s="90">
        <v>0.59</v>
      </c>
      <c r="I61" s="90">
        <v>0.64</v>
      </c>
      <c r="J61" s="90" t="s">
        <v>244</v>
      </c>
      <c r="K61" s="90">
        <v>0.28059578389779999</v>
      </c>
      <c r="L61" s="90">
        <v>3705.6168823466501</v>
      </c>
      <c r="M61" s="90">
        <v>8.1968471827494405</v>
      </c>
      <c r="N61" s="90">
        <v>1.0935986220856699</v>
      </c>
      <c r="O61" s="90">
        <v>2.3000007607341102</v>
      </c>
      <c r="P61" s="90">
        <v>0.30685916263369001</v>
      </c>
      <c r="Q61" s="90">
        <v>1039.78047392701</v>
      </c>
      <c r="R61" s="90">
        <v>1750</v>
      </c>
      <c r="S61" s="90" t="s">
        <v>377</v>
      </c>
      <c r="T61" s="90">
        <v>1750</v>
      </c>
      <c r="U61" s="90" t="s">
        <v>378</v>
      </c>
      <c r="V61" s="90" t="s">
        <v>244</v>
      </c>
      <c r="Z61" s="90">
        <v>0</v>
      </c>
      <c r="AA61" s="90">
        <v>1</v>
      </c>
      <c r="AB61" s="90">
        <v>2.3000007607341102</v>
      </c>
      <c r="AC61" s="90">
        <v>0.30685916263369001</v>
      </c>
      <c r="AD61" s="90">
        <v>1039.78047392701</v>
      </c>
      <c r="AF61" s="90">
        <v>-1</v>
      </c>
      <c r="AG61" s="90">
        <v>-1</v>
      </c>
      <c r="AH61" s="90">
        <v>-1</v>
      </c>
      <c r="AI61" s="90">
        <v>-1</v>
      </c>
      <c r="AJ61" s="90">
        <v>0</v>
      </c>
      <c r="AM61" s="90" t="s">
        <v>379</v>
      </c>
      <c r="AN61" s="90">
        <v>-1</v>
      </c>
      <c r="AQ61" s="90">
        <v>356</v>
      </c>
      <c r="AR61" s="90" t="s">
        <v>380</v>
      </c>
      <c r="AS61" s="90" t="s">
        <v>246</v>
      </c>
      <c r="AT61" s="90" t="s">
        <v>244</v>
      </c>
      <c r="AU61" s="90">
        <v>175.87190000000001</v>
      </c>
      <c r="AV61" s="90">
        <v>145.44718397796601</v>
      </c>
      <c r="AW61" s="90">
        <v>1135.5308501652</v>
      </c>
      <c r="AX61" s="90">
        <v>0.84329316620000005</v>
      </c>
    </row>
    <row r="62" spans="1:50" x14ac:dyDescent="0.25">
      <c r="A62" s="102">
        <v>830000</v>
      </c>
      <c r="B62" s="102">
        <v>1400000</v>
      </c>
      <c r="C62" s="102">
        <v>1400000</v>
      </c>
      <c r="D62" s="90" t="s">
        <v>374</v>
      </c>
      <c r="E62" s="90" t="s">
        <v>68</v>
      </c>
      <c r="F62" s="90" t="s">
        <v>375</v>
      </c>
      <c r="G62" s="90" t="s">
        <v>376</v>
      </c>
      <c r="H62" s="90">
        <v>0.59</v>
      </c>
      <c r="I62" s="90">
        <v>0.64</v>
      </c>
      <c r="J62" s="90" t="s">
        <v>381</v>
      </c>
      <c r="K62" s="90">
        <v>2.1860254483500002E-3</v>
      </c>
      <c r="L62" s="90">
        <v>3705.6168823466501</v>
      </c>
      <c r="M62" s="90">
        <v>8.1968471827494405</v>
      </c>
      <c r="N62" s="90">
        <v>1.0935986220856699</v>
      </c>
      <c r="O62" s="90">
        <v>1.7918516537759999E-2</v>
      </c>
      <c r="P62" s="90">
        <v>2.3906344181600001E-3</v>
      </c>
      <c r="Q62" s="90">
        <v>8.1005728066637097</v>
      </c>
      <c r="R62" s="90">
        <v>1750</v>
      </c>
      <c r="S62" s="90" t="s">
        <v>377</v>
      </c>
      <c r="T62" s="90">
        <v>1750</v>
      </c>
      <c r="U62" s="90" t="s">
        <v>382</v>
      </c>
      <c r="V62" s="90" t="s">
        <v>381</v>
      </c>
      <c r="Z62" s="90">
        <v>0</v>
      </c>
      <c r="AA62" s="90">
        <v>1</v>
      </c>
      <c r="AB62" s="90">
        <v>1.7918516537759999E-2</v>
      </c>
      <c r="AC62" s="90">
        <v>2.3906344181600001E-3</v>
      </c>
      <c r="AD62" s="90">
        <v>8.1005728066625604</v>
      </c>
      <c r="AF62" s="90">
        <v>-1</v>
      </c>
      <c r="AG62" s="90">
        <v>-1</v>
      </c>
      <c r="AH62" s="90">
        <v>-1</v>
      </c>
      <c r="AI62" s="90">
        <v>-1</v>
      </c>
      <c r="AJ62" s="90">
        <v>0</v>
      </c>
      <c r="AM62" s="90" t="s">
        <v>379</v>
      </c>
      <c r="AN62" s="90">
        <v>-1</v>
      </c>
      <c r="AQ62" s="90">
        <v>356</v>
      </c>
      <c r="AR62" s="90" t="s">
        <v>380</v>
      </c>
      <c r="AS62" s="90" t="s">
        <v>246</v>
      </c>
      <c r="AT62" s="90" t="s">
        <v>244</v>
      </c>
      <c r="AU62" s="90">
        <v>175.87190000000001</v>
      </c>
      <c r="AV62" s="90">
        <v>100.40579046988999</v>
      </c>
      <c r="AW62" s="90">
        <v>8.8465311252040308</v>
      </c>
      <c r="AX62" s="90">
        <v>6.5698075999999998E-3</v>
      </c>
    </row>
    <row r="63" spans="1:50" x14ac:dyDescent="0.25">
      <c r="A63" s="102">
        <v>830000</v>
      </c>
      <c r="B63" s="102">
        <v>1400000</v>
      </c>
      <c r="C63" s="102">
        <v>1400000</v>
      </c>
      <c r="D63" s="90" t="s">
        <v>374</v>
      </c>
      <c r="E63" s="90" t="s">
        <v>68</v>
      </c>
      <c r="F63" s="90" t="s">
        <v>375</v>
      </c>
      <c r="G63" s="90" t="s">
        <v>376</v>
      </c>
      <c r="H63" s="90">
        <v>0.59</v>
      </c>
      <c r="I63" s="90">
        <v>0.64</v>
      </c>
      <c r="J63" s="90" t="s">
        <v>244</v>
      </c>
      <c r="K63" s="90">
        <v>0.59893209895527999</v>
      </c>
      <c r="L63" s="90">
        <v>3672.2045637647798</v>
      </c>
      <c r="M63" s="90">
        <v>7.3424141146240496</v>
      </c>
      <c r="N63" s="90">
        <v>1.00270227962331</v>
      </c>
      <c r="O63" s="90">
        <v>4.3976074970706804</v>
      </c>
      <c r="P63" s="90">
        <v>0.60055058096203995</v>
      </c>
      <c r="Q63" s="90">
        <v>2199.4011871688099</v>
      </c>
      <c r="R63" s="90">
        <v>1750</v>
      </c>
      <c r="S63" s="90" t="s">
        <v>377</v>
      </c>
      <c r="T63" s="90">
        <v>1750</v>
      </c>
      <c r="U63" s="90" t="s">
        <v>378</v>
      </c>
      <c r="V63" s="90" t="s">
        <v>244</v>
      </c>
      <c r="Z63" s="90">
        <v>0</v>
      </c>
      <c r="AA63" s="90">
        <v>1</v>
      </c>
      <c r="AB63" s="90">
        <v>4.3976074970706804</v>
      </c>
      <c r="AC63" s="90">
        <v>0.60055058096203995</v>
      </c>
      <c r="AD63" s="90">
        <v>2199.4011871688099</v>
      </c>
      <c r="AF63" s="90">
        <v>-1</v>
      </c>
      <c r="AG63" s="90">
        <v>-1</v>
      </c>
      <c r="AH63" s="90">
        <v>-1</v>
      </c>
      <c r="AI63" s="90">
        <v>-1</v>
      </c>
      <c r="AJ63" s="90">
        <v>0</v>
      </c>
      <c r="AM63" s="90" t="s">
        <v>379</v>
      </c>
      <c r="AN63" s="90">
        <v>-1</v>
      </c>
      <c r="AQ63" s="90">
        <v>356</v>
      </c>
      <c r="AR63" s="90" t="s">
        <v>380</v>
      </c>
      <c r="AS63" s="90" t="s">
        <v>246</v>
      </c>
      <c r="AT63" s="90" t="s">
        <v>244</v>
      </c>
      <c r="AU63" s="90">
        <v>175.87190000000001</v>
      </c>
      <c r="AV63" s="90">
        <v>196.97314835443299</v>
      </c>
      <c r="AW63" s="90">
        <v>2423.7922112387</v>
      </c>
      <c r="AX63" s="90">
        <v>1.7837803627</v>
      </c>
    </row>
    <row r="64" spans="1:50" x14ac:dyDescent="0.25">
      <c r="A64" s="102">
        <v>830000</v>
      </c>
      <c r="B64" s="102">
        <v>1400000</v>
      </c>
      <c r="C64" s="102">
        <v>1400000</v>
      </c>
      <c r="D64" s="90" t="s">
        <v>374</v>
      </c>
      <c r="E64" s="90" t="s">
        <v>68</v>
      </c>
      <c r="F64" s="90" t="s">
        <v>375</v>
      </c>
      <c r="G64" s="90" t="s">
        <v>376</v>
      </c>
      <c r="H64" s="90">
        <v>0.59</v>
      </c>
      <c r="I64" s="90">
        <v>0.64</v>
      </c>
      <c r="J64" s="90" t="s">
        <v>244</v>
      </c>
      <c r="K64" s="90">
        <v>0.61776345371394004</v>
      </c>
      <c r="L64" s="90">
        <v>3689.27829963256</v>
      </c>
      <c r="M64" s="90">
        <v>7.3807862390088603</v>
      </c>
      <c r="N64" s="90">
        <v>1.0079785472084899</v>
      </c>
      <c r="O64" s="90">
        <v>4.5595799981344296</v>
      </c>
      <c r="P64" s="90">
        <v>0.62269230859308</v>
      </c>
      <c r="Q64" s="90">
        <v>2279.1013040929001</v>
      </c>
      <c r="R64" s="90">
        <v>1750</v>
      </c>
      <c r="S64" s="90" t="s">
        <v>377</v>
      </c>
      <c r="T64" s="90">
        <v>1750</v>
      </c>
      <c r="U64" s="90" t="s">
        <v>378</v>
      </c>
      <c r="V64" s="90" t="s">
        <v>244</v>
      </c>
      <c r="Z64" s="90">
        <v>0</v>
      </c>
      <c r="AA64" s="90">
        <v>1</v>
      </c>
      <c r="AB64" s="90">
        <v>4.5595799981344296</v>
      </c>
      <c r="AC64" s="90">
        <v>0.62269230859308</v>
      </c>
      <c r="AD64" s="90">
        <v>2279.1013040929001</v>
      </c>
      <c r="AF64" s="90">
        <v>-1</v>
      </c>
      <c r="AG64" s="90">
        <v>-1</v>
      </c>
      <c r="AH64" s="90">
        <v>-1</v>
      </c>
      <c r="AI64" s="90">
        <v>-1</v>
      </c>
      <c r="AJ64" s="90">
        <v>0</v>
      </c>
      <c r="AM64" s="90" t="s">
        <v>379</v>
      </c>
      <c r="AN64" s="90">
        <v>-1</v>
      </c>
      <c r="AQ64" s="90">
        <v>356</v>
      </c>
      <c r="AR64" s="90" t="s">
        <v>380</v>
      </c>
      <c r="AS64" s="90" t="s">
        <v>246</v>
      </c>
      <c r="AT64" s="90" t="s">
        <v>244</v>
      </c>
      <c r="AU64" s="90">
        <v>175.87190000000001</v>
      </c>
      <c r="AV64" s="90">
        <v>200.00000000745001</v>
      </c>
      <c r="AW64" s="90">
        <v>2500.00000018626</v>
      </c>
      <c r="AX64" s="90">
        <v>1.8484195490999999</v>
      </c>
    </row>
    <row r="65" spans="1:50" x14ac:dyDescent="0.25">
      <c r="A65" s="102">
        <v>830000</v>
      </c>
      <c r="B65" s="102">
        <v>1400000</v>
      </c>
      <c r="C65" s="102">
        <v>1400000</v>
      </c>
      <c r="D65" s="90" t="s">
        <v>374</v>
      </c>
      <c r="E65" s="90" t="s">
        <v>68</v>
      </c>
      <c r="F65" s="90" t="s">
        <v>375</v>
      </c>
      <c r="G65" s="90" t="s">
        <v>376</v>
      </c>
      <c r="H65" s="90">
        <v>0.59</v>
      </c>
      <c r="I65" s="90">
        <v>0.64</v>
      </c>
      <c r="J65" s="90" t="s">
        <v>244</v>
      </c>
      <c r="K65" s="90">
        <v>0.16876281265001</v>
      </c>
      <c r="L65" s="90">
        <v>3708.5569020825701</v>
      </c>
      <c r="M65" s="90">
        <v>8.4403678091058403</v>
      </c>
      <c r="N65" s="90">
        <v>1.17893637367032</v>
      </c>
      <c r="O65" s="90">
        <v>1.4244202112653199</v>
      </c>
      <c r="P65" s="90">
        <v>0.19896061835600001</v>
      </c>
      <c r="Q65" s="90">
        <v>625.86649366807001</v>
      </c>
      <c r="R65" s="90">
        <v>1750</v>
      </c>
      <c r="S65" s="90" t="s">
        <v>377</v>
      </c>
      <c r="T65" s="90">
        <v>1750</v>
      </c>
      <c r="U65" s="90" t="s">
        <v>378</v>
      </c>
      <c r="V65" s="90" t="s">
        <v>244</v>
      </c>
      <c r="Z65" s="90">
        <v>0</v>
      </c>
      <c r="AA65" s="90">
        <v>1</v>
      </c>
      <c r="AB65" s="90">
        <v>1.4244202112653199</v>
      </c>
      <c r="AC65" s="90">
        <v>0.19896061835600001</v>
      </c>
      <c r="AD65" s="90">
        <v>625.86649366807001</v>
      </c>
      <c r="AF65" s="90">
        <v>-1</v>
      </c>
      <c r="AG65" s="90">
        <v>-1</v>
      </c>
      <c r="AH65" s="90">
        <v>-1</v>
      </c>
      <c r="AI65" s="90">
        <v>-1</v>
      </c>
      <c r="AJ65" s="90">
        <v>0</v>
      </c>
      <c r="AM65" s="90" t="s">
        <v>379</v>
      </c>
      <c r="AN65" s="90">
        <v>-1</v>
      </c>
      <c r="AQ65" s="90">
        <v>356</v>
      </c>
      <c r="AR65" s="90" t="s">
        <v>380</v>
      </c>
      <c r="AS65" s="90" t="s">
        <v>246</v>
      </c>
      <c r="AT65" s="90" t="s">
        <v>244</v>
      </c>
      <c r="AU65" s="90">
        <v>175.87190000000001</v>
      </c>
      <c r="AV65" s="90">
        <v>119.86677147366601</v>
      </c>
      <c r="AW65" s="90">
        <v>682.95887223498903</v>
      </c>
      <c r="AX65" s="90">
        <v>0.50759650739999995</v>
      </c>
    </row>
    <row r="66" spans="1:50" x14ac:dyDescent="0.25">
      <c r="A66" s="102">
        <v>830000</v>
      </c>
      <c r="B66" s="102">
        <v>1400000</v>
      </c>
      <c r="C66" s="102">
        <v>1400000</v>
      </c>
      <c r="D66" s="90" t="s">
        <v>374</v>
      </c>
      <c r="E66" s="90" t="s">
        <v>68</v>
      </c>
      <c r="F66" s="90" t="s">
        <v>375</v>
      </c>
      <c r="G66" s="90" t="s">
        <v>376</v>
      </c>
      <c r="H66" s="90">
        <v>0.59</v>
      </c>
      <c r="I66" s="90">
        <v>0.64</v>
      </c>
      <c r="J66" s="90" t="s">
        <v>381</v>
      </c>
      <c r="K66" s="90">
        <v>1.9401700265899999E-3</v>
      </c>
      <c r="L66" s="90">
        <v>3708.5569020825701</v>
      </c>
      <c r="M66" s="90">
        <v>8.4403678091058403</v>
      </c>
      <c r="N66" s="90">
        <v>1.17893637367032</v>
      </c>
      <c r="O66" s="90">
        <v>1.6375748636630001E-2</v>
      </c>
      <c r="P66" s="90">
        <v>2.2873370154500002E-3</v>
      </c>
      <c r="Q66" s="90">
        <v>7.1952309433277799</v>
      </c>
      <c r="R66" s="90">
        <v>1750</v>
      </c>
      <c r="S66" s="90" t="s">
        <v>377</v>
      </c>
      <c r="T66" s="90">
        <v>1750</v>
      </c>
      <c r="U66" s="90" t="s">
        <v>382</v>
      </c>
      <c r="V66" s="90" t="s">
        <v>381</v>
      </c>
      <c r="Z66" s="90">
        <v>0</v>
      </c>
      <c r="AA66" s="90">
        <v>1</v>
      </c>
      <c r="AB66" s="90">
        <v>1.6375748636630001E-2</v>
      </c>
      <c r="AC66" s="90">
        <v>2.2873370154500002E-3</v>
      </c>
      <c r="AD66" s="90">
        <v>7.1952309433275197</v>
      </c>
      <c r="AF66" s="90">
        <v>-1</v>
      </c>
      <c r="AG66" s="90">
        <v>-1</v>
      </c>
      <c r="AH66" s="90">
        <v>-1</v>
      </c>
      <c r="AI66" s="90">
        <v>-1</v>
      </c>
      <c r="AJ66" s="90">
        <v>0</v>
      </c>
      <c r="AM66" s="90" t="s">
        <v>379</v>
      </c>
      <c r="AN66" s="90">
        <v>-1</v>
      </c>
      <c r="AQ66" s="90">
        <v>356</v>
      </c>
      <c r="AR66" s="90" t="s">
        <v>380</v>
      </c>
      <c r="AS66" s="90" t="s">
        <v>246</v>
      </c>
      <c r="AT66" s="90" t="s">
        <v>244</v>
      </c>
      <c r="AU66" s="90">
        <v>175.87190000000001</v>
      </c>
      <c r="AV66" s="90">
        <v>89.235336361243299</v>
      </c>
      <c r="AW66" s="90">
        <v>7.8515895326574796</v>
      </c>
      <c r="AX66" s="90">
        <v>5.8355482000000004E-3</v>
      </c>
    </row>
    <row r="67" spans="1:50" x14ac:dyDescent="0.25">
      <c r="A67" s="102">
        <v>830000</v>
      </c>
      <c r="B67" s="102">
        <v>1400000</v>
      </c>
      <c r="C67" s="102">
        <v>1400000</v>
      </c>
      <c r="D67" s="90" t="s">
        <v>374</v>
      </c>
      <c r="E67" s="90" t="s">
        <v>68</v>
      </c>
      <c r="F67" s="90" t="s">
        <v>375</v>
      </c>
      <c r="G67" s="90" t="s">
        <v>376</v>
      </c>
      <c r="H67" s="90">
        <v>0.59</v>
      </c>
      <c r="I67" s="90">
        <v>0.64</v>
      </c>
      <c r="J67" s="90" t="s">
        <v>244</v>
      </c>
      <c r="K67" s="90">
        <v>0.61512099815124999</v>
      </c>
      <c r="L67" s="90">
        <v>3686.87780127324</v>
      </c>
      <c r="M67" s="90">
        <v>7.3753926178670701</v>
      </c>
      <c r="N67" s="90">
        <v>1.0072369128002501</v>
      </c>
      <c r="O67" s="90">
        <v>4.5367588688598</v>
      </c>
      <c r="P67" s="90">
        <v>0.61957257517648001</v>
      </c>
      <c r="Q67" s="90">
        <v>2267.8759531809001</v>
      </c>
      <c r="R67" s="90">
        <v>1750</v>
      </c>
      <c r="S67" s="90" t="s">
        <v>377</v>
      </c>
      <c r="T67" s="90">
        <v>1750</v>
      </c>
      <c r="U67" s="90" t="s">
        <v>378</v>
      </c>
      <c r="V67" s="90" t="s">
        <v>244</v>
      </c>
      <c r="Z67" s="90">
        <v>0</v>
      </c>
      <c r="AA67" s="90">
        <v>1</v>
      </c>
      <c r="AB67" s="90">
        <v>4.5367588688598</v>
      </c>
      <c r="AC67" s="90">
        <v>0.61957257517648001</v>
      </c>
      <c r="AD67" s="90">
        <v>2267.8759531809001</v>
      </c>
      <c r="AF67" s="90">
        <v>-1</v>
      </c>
      <c r="AG67" s="90">
        <v>-1</v>
      </c>
      <c r="AH67" s="90">
        <v>-1</v>
      </c>
      <c r="AI67" s="90">
        <v>-1</v>
      </c>
      <c r="AJ67" s="90">
        <v>0</v>
      </c>
      <c r="AM67" s="90" t="s">
        <v>379</v>
      </c>
      <c r="AN67" s="90">
        <v>-1</v>
      </c>
      <c r="AQ67" s="90">
        <v>356</v>
      </c>
      <c r="AR67" s="90" t="s">
        <v>380</v>
      </c>
      <c r="AS67" s="90" t="s">
        <v>246</v>
      </c>
      <c r="AT67" s="90" t="s">
        <v>244</v>
      </c>
      <c r="AU67" s="90">
        <v>175.87190000000001</v>
      </c>
      <c r="AV67" s="90">
        <v>199.21996763645501</v>
      </c>
      <c r="AW67" s="90">
        <v>2489.3063619215</v>
      </c>
      <c r="AX67" s="90">
        <v>1.8393154527</v>
      </c>
    </row>
    <row r="68" spans="1:50" x14ac:dyDescent="0.25">
      <c r="A68" s="102">
        <v>830000</v>
      </c>
      <c r="B68" s="102">
        <v>2400000</v>
      </c>
      <c r="C68" s="102">
        <v>2400000</v>
      </c>
      <c r="D68" s="90" t="s">
        <v>374</v>
      </c>
      <c r="E68" s="90" t="s">
        <v>68</v>
      </c>
      <c r="F68" s="90" t="s">
        <v>375</v>
      </c>
      <c r="G68" s="90" t="s">
        <v>376</v>
      </c>
      <c r="H68" s="90">
        <v>0.59</v>
      </c>
      <c r="I68" s="90">
        <v>0.64</v>
      </c>
      <c r="J68" s="90" t="s">
        <v>244</v>
      </c>
      <c r="K68" s="90">
        <v>6.7651708802819996E-2</v>
      </c>
      <c r="L68" s="90">
        <v>3734.4863767111001</v>
      </c>
      <c r="M68" s="90">
        <v>10.0242421852583</v>
      </c>
      <c r="N68" s="90">
        <v>1.4168833239360701</v>
      </c>
      <c r="O68" s="90">
        <v>0.67815711328612005</v>
      </c>
      <c r="P68" s="90">
        <v>9.5854578038500005E-2</v>
      </c>
      <c r="Q68" s="90">
        <v>252.64438488538701</v>
      </c>
      <c r="R68" s="90">
        <v>1200</v>
      </c>
      <c r="S68" s="90" t="s">
        <v>384</v>
      </c>
      <c r="T68" s="90">
        <v>1200</v>
      </c>
      <c r="U68" s="90" t="s">
        <v>378</v>
      </c>
      <c r="V68" s="90" t="s">
        <v>244</v>
      </c>
      <c r="Z68" s="90">
        <v>0</v>
      </c>
      <c r="AA68" s="90">
        <v>1</v>
      </c>
      <c r="AB68" s="90">
        <v>0.67815711328612005</v>
      </c>
      <c r="AC68" s="90">
        <v>9.5854578038500005E-2</v>
      </c>
      <c r="AD68" s="90">
        <v>252.64438488538599</v>
      </c>
      <c r="AF68" s="90">
        <v>-1</v>
      </c>
      <c r="AG68" s="90">
        <v>-1</v>
      </c>
      <c r="AH68" s="90">
        <v>-1</v>
      </c>
      <c r="AI68" s="90">
        <v>-1</v>
      </c>
      <c r="AJ68" s="90">
        <v>0</v>
      </c>
      <c r="AM68" s="90" t="s">
        <v>379</v>
      </c>
      <c r="AN68" s="90">
        <v>-1</v>
      </c>
      <c r="AQ68" s="90">
        <v>356</v>
      </c>
      <c r="AR68" s="90" t="s">
        <v>380</v>
      </c>
      <c r="AS68" s="90" t="s">
        <v>246</v>
      </c>
      <c r="AT68" s="90" t="s">
        <v>244</v>
      </c>
      <c r="AU68" s="90">
        <v>175.87190000000001</v>
      </c>
      <c r="AV68" s="90">
        <v>82.960519349063702</v>
      </c>
      <c r="AW68" s="90">
        <v>273.77675225505698</v>
      </c>
      <c r="AX68" s="90">
        <v>0.2049021775</v>
      </c>
    </row>
    <row r="69" spans="1:50" x14ac:dyDescent="0.25">
      <c r="A69" s="102">
        <v>830000</v>
      </c>
      <c r="B69" s="102">
        <v>2400000</v>
      </c>
      <c r="C69" s="102">
        <v>2400000</v>
      </c>
      <c r="D69" s="90" t="s">
        <v>374</v>
      </c>
      <c r="E69" s="90" t="s">
        <v>68</v>
      </c>
      <c r="F69" s="90" t="s">
        <v>375</v>
      </c>
      <c r="G69" s="90" t="s">
        <v>376</v>
      </c>
      <c r="H69" s="90">
        <v>0.59</v>
      </c>
      <c r="I69" s="90">
        <v>0.64</v>
      </c>
      <c r="J69" s="90" t="s">
        <v>244</v>
      </c>
      <c r="K69" s="90">
        <v>3.0324127365789998E-2</v>
      </c>
      <c r="L69" s="90">
        <v>3734.4863767111001</v>
      </c>
      <c r="M69" s="90">
        <v>10.0242421852583</v>
      </c>
      <c r="N69" s="90">
        <v>1.4168833239360701</v>
      </c>
      <c r="O69" s="90">
        <v>0.30397639677136001</v>
      </c>
      <c r="P69" s="90">
        <v>4.2965750377509999E-2</v>
      </c>
      <c r="Q69" s="90">
        <v>113.245040533221</v>
      </c>
      <c r="R69" s="90">
        <v>1400</v>
      </c>
      <c r="S69" s="90" t="s">
        <v>324</v>
      </c>
      <c r="T69" s="90">
        <v>1400</v>
      </c>
      <c r="U69" s="90" t="s">
        <v>378</v>
      </c>
      <c r="V69" s="90" t="s">
        <v>244</v>
      </c>
      <c r="Z69" s="90">
        <v>0</v>
      </c>
      <c r="AA69" s="90">
        <v>1</v>
      </c>
      <c r="AB69" s="90">
        <v>0.30397639677136001</v>
      </c>
      <c r="AC69" s="90">
        <v>4.2965750377509999E-2</v>
      </c>
      <c r="AD69" s="90">
        <v>113.245040533219</v>
      </c>
      <c r="AF69" s="90">
        <v>-1</v>
      </c>
      <c r="AG69" s="90">
        <v>-1</v>
      </c>
      <c r="AH69" s="90">
        <v>-1</v>
      </c>
      <c r="AI69" s="90">
        <v>-1</v>
      </c>
      <c r="AJ69" s="90">
        <v>0</v>
      </c>
      <c r="AM69" s="90" t="s">
        <v>379</v>
      </c>
      <c r="AN69" s="90">
        <v>-1</v>
      </c>
      <c r="AQ69" s="90">
        <v>356</v>
      </c>
      <c r="AR69" s="90" t="s">
        <v>380</v>
      </c>
      <c r="AS69" s="90" t="s">
        <v>246</v>
      </c>
      <c r="AT69" s="90" t="s">
        <v>244</v>
      </c>
      <c r="AU69" s="90">
        <v>175.87190000000001</v>
      </c>
      <c r="AV69" s="90">
        <v>48.191332805562602</v>
      </c>
      <c r="AW69" s="90">
        <v>122.717389583949</v>
      </c>
      <c r="AX69" s="90">
        <v>9.1845126099999994E-2</v>
      </c>
    </row>
    <row r="70" spans="1:50" x14ac:dyDescent="0.25">
      <c r="A70" s="102">
        <v>830000</v>
      </c>
      <c r="B70" s="102">
        <v>2400000</v>
      </c>
      <c r="C70" s="102">
        <v>2400000</v>
      </c>
      <c r="D70" s="90" t="s">
        <v>374</v>
      </c>
      <c r="E70" s="90" t="s">
        <v>68</v>
      </c>
      <c r="F70" s="90" t="s">
        <v>375</v>
      </c>
      <c r="G70" s="90" t="s">
        <v>376</v>
      </c>
      <c r="H70" s="90">
        <v>0.59</v>
      </c>
      <c r="I70" s="90">
        <v>0.64</v>
      </c>
      <c r="J70" s="90" t="s">
        <v>244</v>
      </c>
      <c r="K70" s="90">
        <v>6.0200388230440001E-2</v>
      </c>
      <c r="L70" s="90">
        <v>3734.4863767111001</v>
      </c>
      <c r="M70" s="90">
        <v>10.0242421852583</v>
      </c>
      <c r="N70" s="90">
        <v>1.4168833239360701</v>
      </c>
      <c r="O70" s="90">
        <v>0.60346327126859001</v>
      </c>
      <c r="P70" s="90">
        <v>8.5296926178200005E-2</v>
      </c>
      <c r="Q70" s="90">
        <v>224.81752971933099</v>
      </c>
      <c r="R70" s="90">
        <v>1410</v>
      </c>
      <c r="S70" s="90" t="s">
        <v>325</v>
      </c>
      <c r="T70" s="90">
        <v>1410</v>
      </c>
      <c r="U70" s="90" t="s">
        <v>378</v>
      </c>
      <c r="V70" s="90" t="s">
        <v>244</v>
      </c>
      <c r="Z70" s="90">
        <v>0</v>
      </c>
      <c r="AA70" s="90">
        <v>1</v>
      </c>
      <c r="AB70" s="90">
        <v>0.60346327126859001</v>
      </c>
      <c r="AC70" s="90">
        <v>8.5296926178200005E-2</v>
      </c>
      <c r="AD70" s="90">
        <v>224.81752971933</v>
      </c>
      <c r="AF70" s="90">
        <v>-1</v>
      </c>
      <c r="AG70" s="90">
        <v>-1</v>
      </c>
      <c r="AH70" s="90">
        <v>-1</v>
      </c>
      <c r="AI70" s="90">
        <v>-1</v>
      </c>
      <c r="AJ70" s="90">
        <v>0</v>
      </c>
      <c r="AM70" s="90" t="s">
        <v>379</v>
      </c>
      <c r="AN70" s="90">
        <v>-1</v>
      </c>
      <c r="AQ70" s="90">
        <v>356</v>
      </c>
      <c r="AR70" s="90" t="s">
        <v>380</v>
      </c>
      <c r="AS70" s="90" t="s">
        <v>246</v>
      </c>
      <c r="AT70" s="90" t="s">
        <v>244</v>
      </c>
      <c r="AU70" s="90">
        <v>175.87190000000001</v>
      </c>
      <c r="AV70" s="90">
        <v>62.632399922495303</v>
      </c>
      <c r="AW70" s="90">
        <v>243.62232774136399</v>
      </c>
      <c r="AX70" s="90">
        <v>0.18233376300000001</v>
      </c>
    </row>
    <row r="71" spans="1:50" x14ac:dyDescent="0.25">
      <c r="A71" s="102">
        <v>830000</v>
      </c>
      <c r="B71" s="102">
        <v>2400000</v>
      </c>
      <c r="C71" s="102">
        <v>2400000</v>
      </c>
      <c r="D71" s="90" t="s">
        <v>374</v>
      </c>
      <c r="E71" s="90" t="s">
        <v>68</v>
      </c>
      <c r="F71" s="90" t="s">
        <v>375</v>
      </c>
      <c r="G71" s="90" t="s">
        <v>376</v>
      </c>
      <c r="H71" s="90">
        <v>0.59</v>
      </c>
      <c r="I71" s="90">
        <v>0.64</v>
      </c>
      <c r="J71" s="90" t="s">
        <v>244</v>
      </c>
      <c r="K71" s="90">
        <v>0.11924996519342999</v>
      </c>
      <c r="L71" s="90">
        <v>3734.4863767111001</v>
      </c>
      <c r="M71" s="90">
        <v>10.0242421852583</v>
      </c>
      <c r="N71" s="90">
        <v>1.4168833239360701</v>
      </c>
      <c r="O71" s="90">
        <v>1.1953905316825799</v>
      </c>
      <c r="P71" s="90">
        <v>0.16896328706253</v>
      </c>
      <c r="Q71" s="90">
        <v>445.33737043814398</v>
      </c>
      <c r="R71" s="90">
        <v>1210</v>
      </c>
      <c r="S71" s="90" t="s">
        <v>385</v>
      </c>
      <c r="T71" s="90">
        <v>1210</v>
      </c>
      <c r="U71" s="90" t="s">
        <v>378</v>
      </c>
      <c r="V71" s="90" t="s">
        <v>244</v>
      </c>
      <c r="Z71" s="90">
        <v>0</v>
      </c>
      <c r="AA71" s="90">
        <v>1</v>
      </c>
      <c r="AB71" s="90">
        <v>1.1953905316825799</v>
      </c>
      <c r="AC71" s="90">
        <v>0.16896328706253</v>
      </c>
      <c r="AD71" s="90">
        <v>445.33737043814398</v>
      </c>
      <c r="AF71" s="90">
        <v>-1</v>
      </c>
      <c r="AG71" s="90">
        <v>-1</v>
      </c>
      <c r="AH71" s="90">
        <v>-1</v>
      </c>
      <c r="AI71" s="90">
        <v>-1</v>
      </c>
      <c r="AJ71" s="90">
        <v>0</v>
      </c>
      <c r="AM71" s="90" t="s">
        <v>379</v>
      </c>
      <c r="AN71" s="90">
        <v>-1</v>
      </c>
      <c r="AQ71" s="90">
        <v>356</v>
      </c>
      <c r="AR71" s="90" t="s">
        <v>380</v>
      </c>
      <c r="AS71" s="90" t="s">
        <v>246</v>
      </c>
      <c r="AT71" s="90" t="s">
        <v>244</v>
      </c>
      <c r="AU71" s="90">
        <v>175.87190000000001</v>
      </c>
      <c r="AV71" s="90">
        <v>106.079035388492</v>
      </c>
      <c r="AW71" s="90">
        <v>482.587487514016</v>
      </c>
      <c r="AX71" s="90">
        <v>0.36118197120000001</v>
      </c>
    </row>
    <row r="72" spans="1:50" x14ac:dyDescent="0.25">
      <c r="A72" s="102">
        <v>830000</v>
      </c>
      <c r="B72" s="102">
        <v>2400000</v>
      </c>
      <c r="C72" s="102">
        <v>2400000</v>
      </c>
      <c r="D72" s="90" t="s">
        <v>374</v>
      </c>
      <c r="E72" s="90" t="s">
        <v>68</v>
      </c>
      <c r="F72" s="90" t="s">
        <v>375</v>
      </c>
      <c r="G72" s="90" t="s">
        <v>376</v>
      </c>
      <c r="H72" s="90">
        <v>0.59</v>
      </c>
      <c r="I72" s="90">
        <v>0.64</v>
      </c>
      <c r="J72" s="90" t="s">
        <v>244</v>
      </c>
      <c r="K72" s="90">
        <v>0.22842143868857001</v>
      </c>
      <c r="L72" s="90">
        <v>3734.4863767111001</v>
      </c>
      <c r="M72" s="90">
        <v>10.0242421852583</v>
      </c>
      <c r="N72" s="90">
        <v>1.4168833239360701</v>
      </c>
      <c r="O72" s="90">
        <v>2.2897518217194301</v>
      </c>
      <c r="P72" s="90">
        <v>0.32364652730733001</v>
      </c>
      <c r="Q72" s="90">
        <v>853.03675093124002</v>
      </c>
      <c r="R72" s="90">
        <v>1210</v>
      </c>
      <c r="S72" s="90" t="s">
        <v>385</v>
      </c>
      <c r="T72" s="90">
        <v>1210</v>
      </c>
      <c r="U72" s="90" t="s">
        <v>378</v>
      </c>
      <c r="V72" s="90" t="s">
        <v>244</v>
      </c>
      <c r="Z72" s="90">
        <v>0</v>
      </c>
      <c r="AA72" s="90">
        <v>1</v>
      </c>
      <c r="AB72" s="90">
        <v>2.2897518217194301</v>
      </c>
      <c r="AC72" s="90">
        <v>0.32364652730733001</v>
      </c>
      <c r="AD72" s="90">
        <v>853.03675093124002</v>
      </c>
      <c r="AF72" s="90">
        <v>-1</v>
      </c>
      <c r="AG72" s="90">
        <v>-1</v>
      </c>
      <c r="AH72" s="90">
        <v>-1</v>
      </c>
      <c r="AI72" s="90">
        <v>-1</v>
      </c>
      <c r="AJ72" s="90">
        <v>0</v>
      </c>
      <c r="AM72" s="90" t="s">
        <v>379</v>
      </c>
      <c r="AN72" s="90">
        <v>-1</v>
      </c>
      <c r="AQ72" s="90">
        <v>356</v>
      </c>
      <c r="AR72" s="90" t="s">
        <v>380</v>
      </c>
      <c r="AS72" s="90" t="s">
        <v>246</v>
      </c>
      <c r="AT72" s="90" t="s">
        <v>244</v>
      </c>
      <c r="AU72" s="90">
        <v>175.87190000000001</v>
      </c>
      <c r="AV72" s="90">
        <v>128.17865809763299</v>
      </c>
      <c r="AW72" s="90">
        <v>924.38876617071503</v>
      </c>
      <c r="AX72" s="90">
        <v>0.69183840299999999</v>
      </c>
    </row>
    <row r="73" spans="1:50" x14ac:dyDescent="0.25">
      <c r="A73" s="102">
        <v>830000</v>
      </c>
      <c r="B73" s="102">
        <v>2400000</v>
      </c>
      <c r="C73" s="102">
        <v>2400000</v>
      </c>
      <c r="D73" s="90" t="s">
        <v>374</v>
      </c>
      <c r="E73" s="90" t="s">
        <v>68</v>
      </c>
      <c r="F73" s="90" t="s">
        <v>375</v>
      </c>
      <c r="G73" s="90" t="s">
        <v>376</v>
      </c>
      <c r="H73" s="90">
        <v>0.59</v>
      </c>
      <c r="I73" s="90">
        <v>0.64</v>
      </c>
      <c r="J73" s="90" t="s">
        <v>244</v>
      </c>
      <c r="K73" s="90">
        <v>0.11191582545587</v>
      </c>
      <c r="L73" s="90">
        <v>3734.4863767111001</v>
      </c>
      <c r="M73" s="90">
        <v>10.0242421852583</v>
      </c>
      <c r="N73" s="90">
        <v>1.4168833239360701</v>
      </c>
      <c r="O73" s="90">
        <v>1.1218713387327499</v>
      </c>
      <c r="P73" s="90">
        <v>0.15857166677296</v>
      </c>
      <c r="Q73" s="90">
        <v>417.94812550333103</v>
      </c>
      <c r="R73" s="90">
        <v>1430</v>
      </c>
      <c r="S73" s="90" t="s">
        <v>326</v>
      </c>
      <c r="T73" s="90">
        <v>1430</v>
      </c>
      <c r="U73" s="90" t="s">
        <v>378</v>
      </c>
      <c r="V73" s="90" t="s">
        <v>244</v>
      </c>
      <c r="Z73" s="90">
        <v>0</v>
      </c>
      <c r="AA73" s="90">
        <v>1</v>
      </c>
      <c r="AB73" s="90">
        <v>1.1218713387327499</v>
      </c>
      <c r="AC73" s="90">
        <v>0.15857166677296</v>
      </c>
      <c r="AD73" s="90">
        <v>417.94812550333103</v>
      </c>
      <c r="AF73" s="90">
        <v>-1</v>
      </c>
      <c r="AG73" s="90">
        <v>-1</v>
      </c>
      <c r="AH73" s="90">
        <v>-1</v>
      </c>
      <c r="AI73" s="90">
        <v>-1</v>
      </c>
      <c r="AJ73" s="90">
        <v>0</v>
      </c>
      <c r="AM73" s="90" t="s">
        <v>379</v>
      </c>
      <c r="AN73" s="90">
        <v>-1</v>
      </c>
      <c r="AQ73" s="90">
        <v>356</v>
      </c>
      <c r="AR73" s="90" t="s">
        <v>380</v>
      </c>
      <c r="AS73" s="90" t="s">
        <v>246</v>
      </c>
      <c r="AT73" s="90" t="s">
        <v>244</v>
      </c>
      <c r="AU73" s="90">
        <v>175.87190000000001</v>
      </c>
      <c r="AV73" s="90">
        <v>88.612725207079293</v>
      </c>
      <c r="AW73" s="90">
        <v>452.90727701429302</v>
      </c>
      <c r="AX73" s="90">
        <v>0.33896847159999999</v>
      </c>
    </row>
    <row r="74" spans="1:50" x14ac:dyDescent="0.25">
      <c r="A74" s="102">
        <v>830000</v>
      </c>
      <c r="B74" s="102">
        <v>2400000</v>
      </c>
      <c r="C74" s="102">
        <v>2400000</v>
      </c>
      <c r="D74" s="90" t="s">
        <v>374</v>
      </c>
      <c r="E74" s="90" t="s">
        <v>68</v>
      </c>
      <c r="F74" s="90" t="s">
        <v>375</v>
      </c>
      <c r="G74" s="90" t="s">
        <v>376</v>
      </c>
      <c r="H74" s="90">
        <v>0.59</v>
      </c>
      <c r="I74" s="90">
        <v>0.64</v>
      </c>
      <c r="J74" s="90" t="s">
        <v>244</v>
      </c>
      <c r="K74" s="90">
        <v>2.0336744807500002E-3</v>
      </c>
      <c r="L74" s="90">
        <v>3767.9321566448998</v>
      </c>
      <c r="M74" s="90">
        <v>11.1018521449448</v>
      </c>
      <c r="N74" s="90">
        <v>1.59436458253212</v>
      </c>
      <c r="O74" s="90">
        <v>2.2577553396260001E-2</v>
      </c>
      <c r="P74" s="90">
        <v>3.2424185645099999E-3</v>
      </c>
      <c r="Q74" s="90">
        <v>7.6627474721773501</v>
      </c>
      <c r="R74" s="90">
        <v>1400</v>
      </c>
      <c r="S74" s="90" t="s">
        <v>324</v>
      </c>
      <c r="T74" s="90">
        <v>1400</v>
      </c>
      <c r="U74" s="90" t="s">
        <v>378</v>
      </c>
      <c r="V74" s="90" t="s">
        <v>244</v>
      </c>
      <c r="Z74" s="90">
        <v>0</v>
      </c>
      <c r="AA74" s="90">
        <v>1</v>
      </c>
      <c r="AB74" s="90">
        <v>2.2577553396260001E-2</v>
      </c>
      <c r="AC74" s="90">
        <v>3.2424185645099999E-3</v>
      </c>
      <c r="AD74" s="90">
        <v>7.6627474721783599</v>
      </c>
      <c r="AF74" s="90">
        <v>-1</v>
      </c>
      <c r="AG74" s="90">
        <v>-1</v>
      </c>
      <c r="AH74" s="90">
        <v>-1</v>
      </c>
      <c r="AI74" s="90">
        <v>-1</v>
      </c>
      <c r="AJ74" s="90">
        <v>0</v>
      </c>
      <c r="AM74" s="90" t="s">
        <v>379</v>
      </c>
      <c r="AN74" s="90">
        <v>-1</v>
      </c>
      <c r="AQ74" s="90">
        <v>356</v>
      </c>
      <c r="AR74" s="90" t="s">
        <v>380</v>
      </c>
      <c r="AS74" s="90" t="s">
        <v>246</v>
      </c>
      <c r="AT74" s="90" t="s">
        <v>244</v>
      </c>
      <c r="AU74" s="90">
        <v>175.87190000000001</v>
      </c>
      <c r="AV74" s="90">
        <v>100.41880269580901</v>
      </c>
      <c r="AW74" s="90">
        <v>8.2299886335073698</v>
      </c>
      <c r="AX74" s="90">
        <v>6.2147180999999998E-3</v>
      </c>
    </row>
    <row r="75" spans="1:50" x14ac:dyDescent="0.25">
      <c r="A75" s="102">
        <v>830000</v>
      </c>
      <c r="B75" s="102">
        <v>2400000</v>
      </c>
      <c r="C75" s="102">
        <v>2400000</v>
      </c>
      <c r="D75" s="90" t="s">
        <v>374</v>
      </c>
      <c r="E75" s="90" t="s">
        <v>68</v>
      </c>
      <c r="F75" s="90" t="s">
        <v>375</v>
      </c>
      <c r="G75" s="90" t="s">
        <v>376</v>
      </c>
      <c r="H75" s="90">
        <v>0.59</v>
      </c>
      <c r="I75" s="90">
        <v>0.64</v>
      </c>
      <c r="J75" s="90" t="s">
        <v>381</v>
      </c>
      <c r="K75" s="90">
        <v>0.17790524961800999</v>
      </c>
      <c r="L75" s="90">
        <v>3767.9321566448998</v>
      </c>
      <c r="M75" s="90">
        <v>11.1018521449448</v>
      </c>
      <c r="N75" s="90">
        <v>1.59436458253212</v>
      </c>
      <c r="O75" s="90">
        <v>1.97507777706867</v>
      </c>
      <c r="P75" s="90">
        <v>0.28364582903749003</v>
      </c>
      <c r="Q75" s="90">
        <v>670.33491087164498</v>
      </c>
      <c r="R75" s="90">
        <v>1400</v>
      </c>
      <c r="S75" s="90" t="s">
        <v>324</v>
      </c>
      <c r="T75" s="90">
        <v>1400</v>
      </c>
      <c r="U75" s="90" t="s">
        <v>382</v>
      </c>
      <c r="V75" s="90" t="s">
        <v>381</v>
      </c>
      <c r="Z75" s="90">
        <v>0</v>
      </c>
      <c r="AA75" s="90">
        <v>1</v>
      </c>
      <c r="AB75" s="90">
        <v>1.97507777706867</v>
      </c>
      <c r="AC75" s="90">
        <v>0.28364582903749003</v>
      </c>
      <c r="AD75" s="90">
        <v>670.33491087164498</v>
      </c>
      <c r="AF75" s="90">
        <v>-1</v>
      </c>
      <c r="AG75" s="90">
        <v>-1</v>
      </c>
      <c r="AH75" s="90">
        <v>-1</v>
      </c>
      <c r="AI75" s="90">
        <v>-1</v>
      </c>
      <c r="AJ75" s="90">
        <v>0</v>
      </c>
      <c r="AM75" s="90" t="s">
        <v>379</v>
      </c>
      <c r="AN75" s="90">
        <v>-1</v>
      </c>
      <c r="AQ75" s="90">
        <v>356</v>
      </c>
      <c r="AR75" s="90" t="s">
        <v>380</v>
      </c>
      <c r="AS75" s="90" t="s">
        <v>246</v>
      </c>
      <c r="AT75" s="90" t="s">
        <v>244</v>
      </c>
      <c r="AU75" s="90">
        <v>175.87190000000001</v>
      </c>
      <c r="AV75" s="90">
        <v>137.75963436325301</v>
      </c>
      <c r="AW75" s="90">
        <v>719.957001995327</v>
      </c>
      <c r="AX75" s="90">
        <v>0.54366172820000003</v>
      </c>
    </row>
    <row r="76" spans="1:50" x14ac:dyDescent="0.25">
      <c r="A76" s="102">
        <v>830000</v>
      </c>
      <c r="B76" s="102">
        <v>2400000</v>
      </c>
      <c r="C76" s="102">
        <v>2400000</v>
      </c>
      <c r="D76" s="90" t="s">
        <v>374</v>
      </c>
      <c r="E76" s="90" t="s">
        <v>68</v>
      </c>
      <c r="F76" s="90" t="s">
        <v>375</v>
      </c>
      <c r="G76" s="90" t="s">
        <v>376</v>
      </c>
      <c r="H76" s="90">
        <v>0.59</v>
      </c>
      <c r="I76" s="90">
        <v>0.64</v>
      </c>
      <c r="J76" s="90" t="s">
        <v>381</v>
      </c>
      <c r="K76" s="90">
        <v>7.1643463717280004E-2</v>
      </c>
      <c r="L76" s="90">
        <v>3767.9321566448998</v>
      </c>
      <c r="M76" s="90">
        <v>11.1018521449448</v>
      </c>
      <c r="N76" s="90">
        <v>1.59436458253212</v>
      </c>
      <c r="O76" s="90">
        <v>0.79537514134098997</v>
      </c>
      <c r="P76" s="90">
        <v>0.11422580112076</v>
      </c>
      <c r="Q76" s="90">
        <v>269.94771075377201</v>
      </c>
      <c r="R76" s="90">
        <v>8140</v>
      </c>
      <c r="S76" s="90" t="s">
        <v>386</v>
      </c>
      <c r="T76" s="90">
        <v>8140</v>
      </c>
      <c r="U76" s="90" t="s">
        <v>382</v>
      </c>
      <c r="V76" s="90" t="s">
        <v>381</v>
      </c>
      <c r="Z76" s="90">
        <v>0</v>
      </c>
      <c r="AA76" s="90">
        <v>1</v>
      </c>
      <c r="AB76" s="90">
        <v>0.79537514134098997</v>
      </c>
      <c r="AC76" s="90">
        <v>0.11422580112076</v>
      </c>
      <c r="AD76" s="90">
        <v>269.947710753774</v>
      </c>
      <c r="AF76" s="90">
        <v>-1</v>
      </c>
      <c r="AG76" s="90">
        <v>-1</v>
      </c>
      <c r="AH76" s="90">
        <v>-1</v>
      </c>
      <c r="AI76" s="90">
        <v>-1</v>
      </c>
      <c r="AJ76" s="90">
        <v>0</v>
      </c>
      <c r="AM76" s="90" t="s">
        <v>379</v>
      </c>
      <c r="AN76" s="90">
        <v>-1</v>
      </c>
      <c r="AQ76" s="90">
        <v>356</v>
      </c>
      <c r="AR76" s="90" t="s">
        <v>380</v>
      </c>
      <c r="AS76" s="90" t="s">
        <v>246</v>
      </c>
      <c r="AT76" s="90" t="s">
        <v>244</v>
      </c>
      <c r="AU76" s="90">
        <v>175.87190000000001</v>
      </c>
      <c r="AV76" s="90">
        <v>70.661822467557897</v>
      </c>
      <c r="AW76" s="90">
        <v>289.93081126726901</v>
      </c>
      <c r="AX76" s="90">
        <v>0.21893569399999999</v>
      </c>
    </row>
    <row r="77" spans="1:50" x14ac:dyDescent="0.25">
      <c r="A77" s="102">
        <v>830000</v>
      </c>
      <c r="B77" s="102">
        <v>2400000</v>
      </c>
      <c r="C77" s="102">
        <v>2400000</v>
      </c>
      <c r="D77" s="90" t="s">
        <v>374</v>
      </c>
      <c r="E77" s="90" t="s">
        <v>68</v>
      </c>
      <c r="F77" s="90" t="s">
        <v>375</v>
      </c>
      <c r="G77" s="90" t="s">
        <v>376</v>
      </c>
      <c r="H77" s="90">
        <v>0.59</v>
      </c>
      <c r="I77" s="90">
        <v>0.64</v>
      </c>
      <c r="J77" s="90" t="s">
        <v>244</v>
      </c>
      <c r="K77" s="90">
        <v>0.24329075554266999</v>
      </c>
      <c r="L77" s="90">
        <v>3767.9321566448998</v>
      </c>
      <c r="M77" s="90">
        <v>11.1018521449448</v>
      </c>
      <c r="N77" s="90">
        <v>1.59436458253212</v>
      </c>
      <c r="O77" s="90">
        <v>2.70097799626667</v>
      </c>
      <c r="P77" s="90">
        <v>0.38789416389471998</v>
      </c>
      <c r="Q77" s="90">
        <v>916.70306122367106</v>
      </c>
      <c r="R77" s="90">
        <v>1410</v>
      </c>
      <c r="S77" s="90" t="s">
        <v>325</v>
      </c>
      <c r="T77" s="90">
        <v>1410</v>
      </c>
      <c r="U77" s="90" t="s">
        <v>378</v>
      </c>
      <c r="V77" s="90" t="s">
        <v>244</v>
      </c>
      <c r="Z77" s="90">
        <v>0</v>
      </c>
      <c r="AA77" s="90">
        <v>1</v>
      </c>
      <c r="AB77" s="90">
        <v>2.70097799626667</v>
      </c>
      <c r="AC77" s="90">
        <v>0.38789416389471998</v>
      </c>
      <c r="AD77" s="90">
        <v>916.70306122367106</v>
      </c>
      <c r="AF77" s="90">
        <v>-1</v>
      </c>
      <c r="AG77" s="90">
        <v>-1</v>
      </c>
      <c r="AH77" s="90">
        <v>-1</v>
      </c>
      <c r="AI77" s="90">
        <v>-1</v>
      </c>
      <c r="AJ77" s="90">
        <v>0</v>
      </c>
      <c r="AM77" s="90" t="s">
        <v>379</v>
      </c>
      <c r="AN77" s="90">
        <v>-1</v>
      </c>
      <c r="AQ77" s="90">
        <v>356</v>
      </c>
      <c r="AR77" s="90" t="s">
        <v>380</v>
      </c>
      <c r="AS77" s="90" t="s">
        <v>246</v>
      </c>
      <c r="AT77" s="90" t="s">
        <v>244</v>
      </c>
      <c r="AU77" s="90">
        <v>175.87190000000001</v>
      </c>
      <c r="AV77" s="90">
        <v>125.299274248327</v>
      </c>
      <c r="AW77" s="90">
        <v>984.56275657841604</v>
      </c>
      <c r="AX77" s="90">
        <v>0.74347369119999995</v>
      </c>
    </row>
    <row r="78" spans="1:50" x14ac:dyDescent="0.25">
      <c r="A78" s="102">
        <v>830000</v>
      </c>
      <c r="B78" s="102">
        <v>2400000</v>
      </c>
      <c r="C78" s="102">
        <v>2400000</v>
      </c>
      <c r="D78" s="90" t="s">
        <v>374</v>
      </c>
      <c r="E78" s="90" t="s">
        <v>68</v>
      </c>
      <c r="F78" s="90" t="s">
        <v>375</v>
      </c>
      <c r="G78" s="90" t="s">
        <v>376</v>
      </c>
      <c r="H78" s="90">
        <v>0.59</v>
      </c>
      <c r="I78" s="90">
        <v>0.64</v>
      </c>
      <c r="J78" s="90" t="s">
        <v>244</v>
      </c>
      <c r="K78" s="90">
        <v>0.12289031005603999</v>
      </c>
      <c r="L78" s="90">
        <v>3767.9321566448998</v>
      </c>
      <c r="M78" s="90">
        <v>11.1018521449448</v>
      </c>
      <c r="N78" s="90">
        <v>1.59436458253212</v>
      </c>
      <c r="O78" s="90">
        <v>1.36431005228861</v>
      </c>
      <c r="P78" s="90">
        <v>0.19593195788973999</v>
      </c>
      <c r="Q78" s="90">
        <v>463.04235100022601</v>
      </c>
      <c r="R78" s="90">
        <v>1300</v>
      </c>
      <c r="S78" s="90" t="s">
        <v>387</v>
      </c>
      <c r="T78" s="90">
        <v>1300</v>
      </c>
      <c r="U78" s="90" t="s">
        <v>378</v>
      </c>
      <c r="V78" s="90" t="s">
        <v>244</v>
      </c>
      <c r="Z78" s="90">
        <v>0</v>
      </c>
      <c r="AA78" s="90">
        <v>1</v>
      </c>
      <c r="AB78" s="90">
        <v>1.36431005228861</v>
      </c>
      <c r="AC78" s="90">
        <v>0.19593195788973999</v>
      </c>
      <c r="AD78" s="90">
        <v>463.04235100022601</v>
      </c>
      <c r="AF78" s="90">
        <v>-1</v>
      </c>
      <c r="AG78" s="90">
        <v>-1</v>
      </c>
      <c r="AH78" s="90">
        <v>-1</v>
      </c>
      <c r="AI78" s="90">
        <v>-1</v>
      </c>
      <c r="AJ78" s="90">
        <v>0</v>
      </c>
      <c r="AM78" s="90" t="s">
        <v>379</v>
      </c>
      <c r="AN78" s="90">
        <v>-1</v>
      </c>
      <c r="AQ78" s="90">
        <v>356</v>
      </c>
      <c r="AR78" s="90" t="s">
        <v>380</v>
      </c>
      <c r="AS78" s="90" t="s">
        <v>246</v>
      </c>
      <c r="AT78" s="90" t="s">
        <v>244</v>
      </c>
      <c r="AU78" s="90">
        <v>175.87190000000001</v>
      </c>
      <c r="AV78" s="90">
        <v>92.758035124795597</v>
      </c>
      <c r="AW78" s="90">
        <v>497.31944050102402</v>
      </c>
      <c r="AX78" s="90">
        <v>0.37554124169999997</v>
      </c>
    </row>
    <row r="79" spans="1:50" x14ac:dyDescent="0.25">
      <c r="A79" s="102">
        <v>830000</v>
      </c>
      <c r="B79" s="102">
        <v>2400000</v>
      </c>
      <c r="C79" s="102">
        <v>2400000</v>
      </c>
      <c r="D79" s="90" t="s">
        <v>374</v>
      </c>
      <c r="E79" s="90" t="s">
        <v>68</v>
      </c>
      <c r="F79" s="90" t="s">
        <v>375</v>
      </c>
      <c r="G79" s="90" t="s">
        <v>376</v>
      </c>
      <c r="H79" s="90">
        <v>0.59</v>
      </c>
      <c r="I79" s="90">
        <v>0.64</v>
      </c>
      <c r="J79" s="90" t="s">
        <v>244</v>
      </c>
      <c r="K79" s="90">
        <v>0.61776345387502996</v>
      </c>
      <c r="L79" s="90">
        <v>3753.5576125747298</v>
      </c>
      <c r="M79" s="90">
        <v>10.8011824946455</v>
      </c>
      <c r="N79" s="90">
        <v>2.0813838636703199</v>
      </c>
      <c r="O79" s="90">
        <v>6.6725758038268097</v>
      </c>
      <c r="P79" s="90">
        <v>1.2858028844607401</v>
      </c>
      <c r="Q79" s="90">
        <v>2318.8107150630899</v>
      </c>
      <c r="R79" s="90">
        <v>1300</v>
      </c>
      <c r="S79" s="90" t="s">
        <v>387</v>
      </c>
      <c r="T79" s="90">
        <v>1300</v>
      </c>
      <c r="U79" s="90" t="s">
        <v>378</v>
      </c>
      <c r="V79" s="90" t="s">
        <v>244</v>
      </c>
      <c r="Z79" s="90">
        <v>0</v>
      </c>
      <c r="AA79" s="90">
        <v>1</v>
      </c>
      <c r="AB79" s="90">
        <v>6.6725758038268097</v>
      </c>
      <c r="AC79" s="90">
        <v>1.2858028844607401</v>
      </c>
      <c r="AD79" s="90">
        <v>2318.8107150630899</v>
      </c>
      <c r="AF79" s="90">
        <v>-1</v>
      </c>
      <c r="AG79" s="90">
        <v>-1</v>
      </c>
      <c r="AH79" s="90">
        <v>-1</v>
      </c>
      <c r="AI79" s="90">
        <v>-1</v>
      </c>
      <c r="AJ79" s="90">
        <v>0</v>
      </c>
      <c r="AM79" s="90" t="s">
        <v>379</v>
      </c>
      <c r="AN79" s="90">
        <v>-1</v>
      </c>
      <c r="AQ79" s="90">
        <v>356</v>
      </c>
      <c r="AR79" s="90" t="s">
        <v>380</v>
      </c>
      <c r="AS79" s="90" t="s">
        <v>246</v>
      </c>
      <c r="AT79" s="90" t="s">
        <v>244</v>
      </c>
      <c r="AU79" s="90">
        <v>175.87190000000001</v>
      </c>
      <c r="AV79" s="90">
        <v>200.00000003352699</v>
      </c>
      <c r="AW79" s="90">
        <v>2500.0000008381899</v>
      </c>
      <c r="AX79" s="90">
        <v>1.880625073</v>
      </c>
    </row>
    <row r="80" spans="1:50" x14ac:dyDescent="0.25">
      <c r="A80" s="102">
        <v>830000</v>
      </c>
      <c r="B80" s="102">
        <v>2400000</v>
      </c>
      <c r="C80" s="102">
        <v>2400000</v>
      </c>
      <c r="D80" s="90" t="s">
        <v>374</v>
      </c>
      <c r="E80" s="90" t="s">
        <v>68</v>
      </c>
      <c r="F80" s="90" t="s">
        <v>375</v>
      </c>
      <c r="G80" s="90" t="s">
        <v>376</v>
      </c>
      <c r="H80" s="90">
        <v>0.59</v>
      </c>
      <c r="I80" s="90">
        <v>0.64</v>
      </c>
      <c r="J80" s="90" t="s">
        <v>244</v>
      </c>
      <c r="K80" s="90">
        <v>8.6687420935400005E-3</v>
      </c>
      <c r="L80" s="90">
        <v>3702.42025456687</v>
      </c>
      <c r="M80" s="90">
        <v>9.2289276639386593</v>
      </c>
      <c r="N80" s="90">
        <v>1.3573238322038701</v>
      </c>
      <c r="O80" s="90">
        <v>8.0003193718669999E-2</v>
      </c>
      <c r="P80" s="90">
        <v>1.176629023879E-2</v>
      </c>
      <c r="Q80" s="90">
        <v>32.095326308761102</v>
      </c>
      <c r="R80" s="90">
        <v>1200</v>
      </c>
      <c r="S80" s="90" t="s">
        <v>384</v>
      </c>
      <c r="T80" s="90">
        <v>1200</v>
      </c>
      <c r="U80" s="90" t="s">
        <v>378</v>
      </c>
      <c r="V80" s="90" t="s">
        <v>244</v>
      </c>
      <c r="Z80" s="90">
        <v>0</v>
      </c>
      <c r="AA80" s="90">
        <v>1</v>
      </c>
      <c r="AB80" s="90">
        <v>8.0003193718669999E-2</v>
      </c>
      <c r="AC80" s="90">
        <v>1.176629023879E-2</v>
      </c>
      <c r="AD80" s="90">
        <v>263.37656309544599</v>
      </c>
      <c r="AF80" s="90">
        <v>-1</v>
      </c>
      <c r="AG80" s="90">
        <v>-1</v>
      </c>
      <c r="AH80" s="90">
        <v>-1</v>
      </c>
      <c r="AI80" s="90">
        <v>-1</v>
      </c>
      <c r="AJ80" s="90">
        <v>0</v>
      </c>
      <c r="AM80" s="90" t="s">
        <v>379</v>
      </c>
      <c r="AN80" s="90">
        <v>-1</v>
      </c>
      <c r="AQ80" s="90">
        <v>356</v>
      </c>
      <c r="AR80" s="90" t="s">
        <v>380</v>
      </c>
      <c r="AS80" s="90" t="s">
        <v>246</v>
      </c>
      <c r="AT80" s="90" t="s">
        <v>244</v>
      </c>
      <c r="AU80" s="90">
        <v>175.87190000000001</v>
      </c>
      <c r="AV80" s="90">
        <v>23.8385260892722</v>
      </c>
      <c r="AW80" s="90">
        <v>35.081154615396898</v>
      </c>
      <c r="AX80" s="90">
        <v>0.21360629610000001</v>
      </c>
    </row>
    <row r="81" spans="1:50" x14ac:dyDescent="0.25">
      <c r="A81" s="102">
        <v>830000</v>
      </c>
      <c r="B81" s="102">
        <v>2400000</v>
      </c>
      <c r="C81" s="102">
        <v>2400000</v>
      </c>
      <c r="D81" s="90" t="s">
        <v>374</v>
      </c>
      <c r="E81" s="90" t="s">
        <v>68</v>
      </c>
      <c r="F81" s="90" t="s">
        <v>375</v>
      </c>
      <c r="G81" s="90" t="s">
        <v>376</v>
      </c>
      <c r="H81" s="90">
        <v>0.59</v>
      </c>
      <c r="I81" s="90">
        <v>0.64</v>
      </c>
      <c r="J81" s="90" t="s">
        <v>244</v>
      </c>
      <c r="K81" s="90">
        <v>6.232088166725E-2</v>
      </c>
      <c r="L81" s="90">
        <v>3702.42025456687</v>
      </c>
      <c r="M81" s="90">
        <v>9.2289276639386593</v>
      </c>
      <c r="N81" s="90">
        <v>1.3573238322038701</v>
      </c>
      <c r="O81" s="90">
        <v>0.57515490885996001</v>
      </c>
      <c r="P81" s="90">
        <v>8.458961793092E-2</v>
      </c>
      <c r="Q81" s="90">
        <v>230.73809456730601</v>
      </c>
      <c r="R81" s="90">
        <v>1210</v>
      </c>
      <c r="S81" s="90" t="s">
        <v>385</v>
      </c>
      <c r="T81" s="90">
        <v>1210</v>
      </c>
      <c r="U81" s="90" t="s">
        <v>378</v>
      </c>
      <c r="V81" s="90" t="s">
        <v>244</v>
      </c>
      <c r="Z81" s="90">
        <v>0</v>
      </c>
      <c r="AA81" s="90">
        <v>1</v>
      </c>
      <c r="AB81" s="90">
        <v>0.57515490885996001</v>
      </c>
      <c r="AC81" s="90">
        <v>8.458961793092E-2</v>
      </c>
      <c r="AD81" s="90">
        <v>390.63946098679497</v>
      </c>
      <c r="AF81" s="90">
        <v>-1</v>
      </c>
      <c r="AG81" s="90">
        <v>-1</v>
      </c>
      <c r="AH81" s="90">
        <v>-1</v>
      </c>
      <c r="AI81" s="90">
        <v>-1</v>
      </c>
      <c r="AJ81" s="90">
        <v>0</v>
      </c>
      <c r="AM81" s="90" t="s">
        <v>379</v>
      </c>
      <c r="AN81" s="90">
        <v>-1</v>
      </c>
      <c r="AQ81" s="90">
        <v>356</v>
      </c>
      <c r="AR81" s="90" t="s">
        <v>380</v>
      </c>
      <c r="AS81" s="90" t="s">
        <v>246</v>
      </c>
      <c r="AT81" s="90" t="s">
        <v>244</v>
      </c>
      <c r="AU81" s="90">
        <v>175.87190000000001</v>
      </c>
      <c r="AV81" s="90">
        <v>97.249489462970402</v>
      </c>
      <c r="AW81" s="90">
        <v>252.20366022475801</v>
      </c>
      <c r="AX81" s="90">
        <v>0.31682032519999997</v>
      </c>
    </row>
    <row r="82" spans="1:50" x14ac:dyDescent="0.25">
      <c r="A82" s="102">
        <v>830000</v>
      </c>
      <c r="B82" s="102">
        <v>2400000</v>
      </c>
      <c r="C82" s="102">
        <v>2400000</v>
      </c>
      <c r="D82" s="90" t="s">
        <v>374</v>
      </c>
      <c r="E82" s="90" t="s">
        <v>68</v>
      </c>
      <c r="F82" s="90" t="s">
        <v>375</v>
      </c>
      <c r="G82" s="90" t="s">
        <v>376</v>
      </c>
      <c r="H82" s="90">
        <v>0.59</v>
      </c>
      <c r="I82" s="90">
        <v>0.64</v>
      </c>
      <c r="J82" s="90" t="s">
        <v>244</v>
      </c>
      <c r="K82" s="90">
        <v>1.0748762871200001E-3</v>
      </c>
      <c r="L82" s="90">
        <v>3702.42025456687</v>
      </c>
      <c r="M82" s="90">
        <v>9.2289276639386593</v>
      </c>
      <c r="N82" s="90">
        <v>1.3573238322038701</v>
      </c>
      <c r="O82" s="90">
        <v>9.9199555015599995E-3</v>
      </c>
      <c r="P82" s="90">
        <v>1.45895520118E-3</v>
      </c>
      <c r="Q82" s="90">
        <v>3.9796437366052402</v>
      </c>
      <c r="R82" s="90">
        <v>1210</v>
      </c>
      <c r="S82" s="90" t="s">
        <v>385</v>
      </c>
      <c r="T82" s="90">
        <v>1210</v>
      </c>
      <c r="U82" s="90" t="s">
        <v>378</v>
      </c>
      <c r="V82" s="90" t="s">
        <v>244</v>
      </c>
      <c r="Z82" s="90">
        <v>0</v>
      </c>
      <c r="AA82" s="90">
        <v>1</v>
      </c>
      <c r="AB82" s="90">
        <v>9.9199555015599995E-3</v>
      </c>
      <c r="AC82" s="90">
        <v>1.45895520118E-3</v>
      </c>
      <c r="AD82" s="90">
        <v>4.1979541060688499</v>
      </c>
      <c r="AF82" s="90">
        <v>-1</v>
      </c>
      <c r="AG82" s="90">
        <v>-1</v>
      </c>
      <c r="AH82" s="90">
        <v>-1</v>
      </c>
      <c r="AI82" s="90">
        <v>-1</v>
      </c>
      <c r="AJ82" s="90">
        <v>0</v>
      </c>
      <c r="AM82" s="90" t="s">
        <v>379</v>
      </c>
      <c r="AN82" s="90">
        <v>-1</v>
      </c>
      <c r="AQ82" s="90">
        <v>356</v>
      </c>
      <c r="AR82" s="90" t="s">
        <v>380</v>
      </c>
      <c r="AS82" s="90" t="s">
        <v>246</v>
      </c>
      <c r="AT82" s="90" t="s">
        <v>244</v>
      </c>
      <c r="AU82" s="90">
        <v>175.87190000000001</v>
      </c>
      <c r="AV82" s="90">
        <v>14.217721302115701</v>
      </c>
      <c r="AW82" s="90">
        <v>4.34987000583798</v>
      </c>
      <c r="AX82" s="90">
        <v>3.4046668E-3</v>
      </c>
    </row>
    <row r="83" spans="1:50" x14ac:dyDescent="0.25">
      <c r="A83" s="102">
        <v>830000</v>
      </c>
      <c r="B83" s="102">
        <v>2400000</v>
      </c>
      <c r="C83" s="102">
        <v>2400000</v>
      </c>
      <c r="D83" s="90" t="s">
        <v>374</v>
      </c>
      <c r="E83" s="90" t="s">
        <v>68</v>
      </c>
      <c r="F83" s="90" t="s">
        <v>375</v>
      </c>
      <c r="G83" s="90" t="s">
        <v>376</v>
      </c>
      <c r="H83" s="90">
        <v>0.59</v>
      </c>
      <c r="I83" s="90">
        <v>0.64</v>
      </c>
      <c r="J83" s="90" t="s">
        <v>244</v>
      </c>
      <c r="K83" s="90">
        <v>0.27988189701583999</v>
      </c>
      <c r="L83" s="90">
        <v>3752.2321463424501</v>
      </c>
      <c r="M83" s="90">
        <v>10.794972646430899</v>
      </c>
      <c r="N83" s="90">
        <v>2.0799086134073899</v>
      </c>
      <c r="O83" s="90">
        <v>3.0213174225172201</v>
      </c>
      <c r="P83" s="90">
        <v>0.58212876834005001</v>
      </c>
      <c r="Q83" s="90">
        <v>1050.18185116215</v>
      </c>
      <c r="R83" s="90">
        <v>1300</v>
      </c>
      <c r="S83" s="90" t="s">
        <v>387</v>
      </c>
      <c r="T83" s="90">
        <v>1300</v>
      </c>
      <c r="U83" s="90" t="s">
        <v>378</v>
      </c>
      <c r="V83" s="90" t="s">
        <v>244</v>
      </c>
      <c r="Z83" s="90">
        <v>0</v>
      </c>
      <c r="AA83" s="90">
        <v>1</v>
      </c>
      <c r="AB83" s="90">
        <v>3.0213174225172201</v>
      </c>
      <c r="AC83" s="90">
        <v>0.58212876834005001</v>
      </c>
      <c r="AD83" s="90">
        <v>1050.18185116215</v>
      </c>
      <c r="AF83" s="90">
        <v>-1</v>
      </c>
      <c r="AG83" s="90">
        <v>-1</v>
      </c>
      <c r="AH83" s="90">
        <v>-1</v>
      </c>
      <c r="AI83" s="90">
        <v>-1</v>
      </c>
      <c r="AJ83" s="90">
        <v>0</v>
      </c>
      <c r="AM83" s="90" t="s">
        <v>379</v>
      </c>
      <c r="AN83" s="90">
        <v>-1</v>
      </c>
      <c r="AQ83" s="90">
        <v>356</v>
      </c>
      <c r="AR83" s="90" t="s">
        <v>380</v>
      </c>
      <c r="AS83" s="90" t="s">
        <v>246</v>
      </c>
      <c r="AT83" s="90" t="s">
        <v>244</v>
      </c>
      <c r="AU83" s="90">
        <v>175.87190000000001</v>
      </c>
      <c r="AV83" s="90">
        <v>145.328038766112</v>
      </c>
      <c r="AW83" s="90">
        <v>1132.64185245205</v>
      </c>
      <c r="AX83" s="90">
        <v>0.85172899530000001</v>
      </c>
    </row>
    <row r="84" spans="1:50" x14ac:dyDescent="0.25">
      <c r="A84" s="102">
        <v>830000</v>
      </c>
      <c r="B84" s="102">
        <v>2400000</v>
      </c>
      <c r="C84" s="102">
        <v>2400000</v>
      </c>
      <c r="D84" s="90" t="s">
        <v>374</v>
      </c>
      <c r="E84" s="90" t="s">
        <v>68</v>
      </c>
      <c r="F84" s="90" t="s">
        <v>375</v>
      </c>
      <c r="G84" s="90" t="s">
        <v>376</v>
      </c>
      <c r="H84" s="90">
        <v>0.59</v>
      </c>
      <c r="I84" s="90">
        <v>0.64</v>
      </c>
      <c r="J84" s="90" t="s">
        <v>244</v>
      </c>
      <c r="K84" s="90">
        <v>5.10099178896E-2</v>
      </c>
      <c r="L84" s="90">
        <v>3752.2321463424501</v>
      </c>
      <c r="M84" s="90">
        <v>10.794972646430899</v>
      </c>
      <c r="N84" s="90">
        <v>2.0799086134073899</v>
      </c>
      <c r="O84" s="90">
        <v>0.55065066831492004</v>
      </c>
      <c r="P84" s="90">
        <v>0.10609596758778</v>
      </c>
      <c r="Q84" s="90">
        <v>191.401053687646</v>
      </c>
      <c r="R84" s="90">
        <v>1300</v>
      </c>
      <c r="S84" s="90" t="s">
        <v>387</v>
      </c>
      <c r="T84" s="90">
        <v>1300</v>
      </c>
      <c r="U84" s="90" t="s">
        <v>378</v>
      </c>
      <c r="V84" s="90" t="s">
        <v>244</v>
      </c>
      <c r="Z84" s="90">
        <v>0</v>
      </c>
      <c r="AA84" s="90">
        <v>1</v>
      </c>
      <c r="AB84" s="90">
        <v>0.55065066831492004</v>
      </c>
      <c r="AC84" s="90">
        <v>0.10609596758778</v>
      </c>
      <c r="AD84" s="90">
        <v>191.40105368764401</v>
      </c>
      <c r="AF84" s="90">
        <v>-1</v>
      </c>
      <c r="AG84" s="90">
        <v>-1</v>
      </c>
      <c r="AH84" s="90">
        <v>-1</v>
      </c>
      <c r="AI84" s="90">
        <v>-1</v>
      </c>
      <c r="AJ84" s="90">
        <v>0</v>
      </c>
      <c r="AM84" s="90" t="s">
        <v>379</v>
      </c>
      <c r="AN84" s="90">
        <v>-1</v>
      </c>
      <c r="AQ84" s="90">
        <v>356</v>
      </c>
      <c r="AR84" s="90" t="s">
        <v>380</v>
      </c>
      <c r="AS84" s="90" t="s">
        <v>246</v>
      </c>
      <c r="AT84" s="90" t="s">
        <v>244</v>
      </c>
      <c r="AU84" s="90">
        <v>175.87190000000001</v>
      </c>
      <c r="AV84" s="90">
        <v>108.265842329637</v>
      </c>
      <c r="AW84" s="90">
        <v>206.429813817622</v>
      </c>
      <c r="AX84" s="90">
        <v>0.15523199809999999</v>
      </c>
    </row>
    <row r="85" spans="1:50" x14ac:dyDescent="0.25">
      <c r="A85" s="102">
        <v>830000</v>
      </c>
      <c r="B85" s="102">
        <v>2400000</v>
      </c>
      <c r="C85" s="102">
        <v>2400000</v>
      </c>
      <c r="D85" s="90" t="s">
        <v>374</v>
      </c>
      <c r="E85" s="90" t="s">
        <v>68</v>
      </c>
      <c r="F85" s="90" t="s">
        <v>375</v>
      </c>
      <c r="G85" s="90" t="s">
        <v>376</v>
      </c>
      <c r="H85" s="90">
        <v>0.59</v>
      </c>
      <c r="I85" s="90">
        <v>0.64</v>
      </c>
      <c r="J85" s="90" t="s">
        <v>244</v>
      </c>
      <c r="K85" s="90">
        <v>0.28687163887752998</v>
      </c>
      <c r="L85" s="90">
        <v>3752.2321463424501</v>
      </c>
      <c r="M85" s="90">
        <v>10.794972646430899</v>
      </c>
      <c r="N85" s="90">
        <v>2.0799086134073899</v>
      </c>
      <c r="O85" s="90">
        <v>3.0967714947198499</v>
      </c>
      <c r="P85" s="90">
        <v>0.59666679264368006</v>
      </c>
      <c r="Q85" s="90">
        <v>1076.40898527024</v>
      </c>
      <c r="R85" s="90">
        <v>1300</v>
      </c>
      <c r="S85" s="90" t="s">
        <v>387</v>
      </c>
      <c r="T85" s="90">
        <v>1300</v>
      </c>
      <c r="U85" s="90" t="s">
        <v>378</v>
      </c>
      <c r="V85" s="90" t="s">
        <v>244</v>
      </c>
      <c r="Z85" s="90">
        <v>0</v>
      </c>
      <c r="AA85" s="90">
        <v>1</v>
      </c>
      <c r="AB85" s="90">
        <v>3.0967714947198499</v>
      </c>
      <c r="AC85" s="90">
        <v>0.59666679264368006</v>
      </c>
      <c r="AD85" s="90">
        <v>1076.40898527024</v>
      </c>
      <c r="AF85" s="90">
        <v>-1</v>
      </c>
      <c r="AG85" s="90">
        <v>-1</v>
      </c>
      <c r="AH85" s="90">
        <v>-1</v>
      </c>
      <c r="AI85" s="90">
        <v>-1</v>
      </c>
      <c r="AJ85" s="90">
        <v>0</v>
      </c>
      <c r="AM85" s="90" t="s">
        <v>379</v>
      </c>
      <c r="AN85" s="90">
        <v>-1</v>
      </c>
      <c r="AQ85" s="90">
        <v>356</v>
      </c>
      <c r="AR85" s="90" t="s">
        <v>380</v>
      </c>
      <c r="AS85" s="90" t="s">
        <v>246</v>
      </c>
      <c r="AT85" s="90" t="s">
        <v>244</v>
      </c>
      <c r="AU85" s="90">
        <v>175.87190000000001</v>
      </c>
      <c r="AV85" s="90">
        <v>146.46814780588099</v>
      </c>
      <c r="AW85" s="90">
        <v>1160.9283341959799</v>
      </c>
      <c r="AX85" s="90">
        <v>0.87299998810000001</v>
      </c>
    </row>
    <row r="86" spans="1:50" x14ac:dyDescent="0.25">
      <c r="A86" s="102">
        <v>830000</v>
      </c>
      <c r="B86" s="102">
        <v>2400000</v>
      </c>
      <c r="C86" s="102">
        <v>2400000</v>
      </c>
      <c r="D86" s="90" t="s">
        <v>374</v>
      </c>
      <c r="E86" s="90" t="s">
        <v>68</v>
      </c>
      <c r="F86" s="90" t="s">
        <v>375</v>
      </c>
      <c r="G86" s="90" t="s">
        <v>376</v>
      </c>
      <c r="H86" s="90">
        <v>0.59</v>
      </c>
      <c r="I86" s="90">
        <v>0.64</v>
      </c>
      <c r="J86" s="90" t="s">
        <v>244</v>
      </c>
      <c r="K86" s="90">
        <v>0.12749138678458</v>
      </c>
      <c r="L86" s="90">
        <v>3752.2321463424501</v>
      </c>
      <c r="M86" s="90">
        <v>10.794972646430899</v>
      </c>
      <c r="N86" s="90">
        <v>2.0799086134073899</v>
      </c>
      <c r="O86" s="90">
        <v>1.37626603299511</v>
      </c>
      <c r="P86" s="90">
        <v>0.2651704335085</v>
      </c>
      <c r="Q86" s="90">
        <v>478.37727987488802</v>
      </c>
      <c r="R86" s="90">
        <v>1300</v>
      </c>
      <c r="S86" s="90" t="s">
        <v>387</v>
      </c>
      <c r="T86" s="90">
        <v>1300</v>
      </c>
      <c r="U86" s="90" t="s">
        <v>378</v>
      </c>
      <c r="V86" s="90" t="s">
        <v>244</v>
      </c>
      <c r="Z86" s="90">
        <v>0</v>
      </c>
      <c r="AA86" s="90">
        <v>1</v>
      </c>
      <c r="AB86" s="90">
        <v>1.37626603299511</v>
      </c>
      <c r="AC86" s="90">
        <v>0.2651704335085</v>
      </c>
      <c r="AD86" s="90">
        <v>2317.9918904654501</v>
      </c>
      <c r="AF86" s="90">
        <v>-1</v>
      </c>
      <c r="AG86" s="90">
        <v>-1</v>
      </c>
      <c r="AH86" s="90">
        <v>-1</v>
      </c>
      <c r="AI86" s="90">
        <v>-1</v>
      </c>
      <c r="AJ86" s="90">
        <v>0</v>
      </c>
      <c r="AM86" s="90" t="s">
        <v>379</v>
      </c>
      <c r="AN86" s="90">
        <v>-1</v>
      </c>
      <c r="AQ86" s="90">
        <v>356</v>
      </c>
      <c r="AR86" s="90" t="s">
        <v>380</v>
      </c>
      <c r="AS86" s="90" t="s">
        <v>246</v>
      </c>
      <c r="AT86" s="90" t="s">
        <v>244</v>
      </c>
      <c r="AU86" s="90">
        <v>175.87190000000001</v>
      </c>
      <c r="AV86" s="90">
        <v>120.66664124275199</v>
      </c>
      <c r="AW86" s="90">
        <v>515.93933740986995</v>
      </c>
      <c r="AX86" s="90">
        <v>1.8799609817</v>
      </c>
    </row>
    <row r="87" spans="1:50" x14ac:dyDescent="0.25">
      <c r="A87" s="102">
        <v>830000</v>
      </c>
      <c r="B87" s="102">
        <v>2400000</v>
      </c>
      <c r="C87" s="102">
        <v>2400000</v>
      </c>
      <c r="D87" s="90" t="s">
        <v>374</v>
      </c>
      <c r="E87" s="90" t="s">
        <v>68</v>
      </c>
      <c r="F87" s="90" t="s">
        <v>375</v>
      </c>
      <c r="G87" s="90" t="s">
        <v>376</v>
      </c>
      <c r="H87" s="90">
        <v>0.59</v>
      </c>
      <c r="I87" s="90">
        <v>0.64</v>
      </c>
      <c r="J87" s="90" t="s">
        <v>244</v>
      </c>
      <c r="K87" s="90">
        <v>3.9760628420879997E-2</v>
      </c>
      <c r="L87" s="90">
        <v>3719.5410018429802</v>
      </c>
      <c r="M87" s="90">
        <v>9.7289058528002492</v>
      </c>
      <c r="N87" s="90">
        <v>1.57656043769444</v>
      </c>
      <c r="O87" s="90">
        <v>0.38682741055499997</v>
      </c>
      <c r="P87" s="90">
        <v>6.2685033746240001E-2</v>
      </c>
      <c r="Q87" s="90">
        <v>147.89128767054001</v>
      </c>
      <c r="R87" s="90">
        <v>1200</v>
      </c>
      <c r="S87" s="90" t="s">
        <v>384</v>
      </c>
      <c r="T87" s="90">
        <v>1200</v>
      </c>
      <c r="U87" s="90" t="s">
        <v>378</v>
      </c>
      <c r="V87" s="90" t="s">
        <v>244</v>
      </c>
      <c r="Z87" s="90">
        <v>0</v>
      </c>
      <c r="AA87" s="90">
        <v>1</v>
      </c>
      <c r="AB87" s="90">
        <v>0.38682741055499997</v>
      </c>
      <c r="AC87" s="90">
        <v>6.2685033746240001E-2</v>
      </c>
      <c r="AD87" s="90">
        <v>147.89128767053799</v>
      </c>
      <c r="AF87" s="90">
        <v>-1</v>
      </c>
      <c r="AG87" s="90">
        <v>-1</v>
      </c>
      <c r="AH87" s="90">
        <v>-1</v>
      </c>
      <c r="AI87" s="90">
        <v>-1</v>
      </c>
      <c r="AJ87" s="90">
        <v>0</v>
      </c>
      <c r="AM87" s="90" t="s">
        <v>379</v>
      </c>
      <c r="AN87" s="90">
        <v>-1</v>
      </c>
      <c r="AQ87" s="90">
        <v>356</v>
      </c>
      <c r="AR87" s="90" t="s">
        <v>380</v>
      </c>
      <c r="AS87" s="90" t="s">
        <v>246</v>
      </c>
      <c r="AT87" s="90" t="s">
        <v>244</v>
      </c>
      <c r="AU87" s="90">
        <v>175.87190000000001</v>
      </c>
      <c r="AV87" s="90">
        <v>62.0963300764083</v>
      </c>
      <c r="AW87" s="90">
        <v>160.905554483732</v>
      </c>
      <c r="AX87" s="90">
        <v>0.11994427219999999</v>
      </c>
    </row>
    <row r="88" spans="1:50" x14ac:dyDescent="0.25">
      <c r="A88" s="102">
        <v>830000</v>
      </c>
      <c r="B88" s="102">
        <v>2400000</v>
      </c>
      <c r="C88" s="102">
        <v>2400000</v>
      </c>
      <c r="D88" s="90" t="s">
        <v>374</v>
      </c>
      <c r="E88" s="90" t="s">
        <v>68</v>
      </c>
      <c r="F88" s="90" t="s">
        <v>375</v>
      </c>
      <c r="G88" s="90" t="s">
        <v>376</v>
      </c>
      <c r="H88" s="90">
        <v>0.59</v>
      </c>
      <c r="I88" s="90">
        <v>0.64</v>
      </c>
      <c r="J88" s="90" t="s">
        <v>244</v>
      </c>
      <c r="K88" s="90">
        <v>7.0364236505500001E-3</v>
      </c>
      <c r="L88" s="90">
        <v>3719.5410018429802</v>
      </c>
      <c r="M88" s="90">
        <v>9.7289058528002492</v>
      </c>
      <c r="N88" s="90">
        <v>1.57656043769444</v>
      </c>
      <c r="O88" s="90">
        <v>6.8456703236610003E-2</v>
      </c>
      <c r="P88" s="90">
        <v>1.109334715031E-2</v>
      </c>
      <c r="Q88" s="90">
        <v>26.1722662745583</v>
      </c>
      <c r="R88" s="90">
        <v>1430</v>
      </c>
      <c r="S88" s="90" t="s">
        <v>326</v>
      </c>
      <c r="T88" s="90">
        <v>1430</v>
      </c>
      <c r="U88" s="90" t="s">
        <v>378</v>
      </c>
      <c r="V88" s="90" t="s">
        <v>244</v>
      </c>
      <c r="Z88" s="90">
        <v>0</v>
      </c>
      <c r="AA88" s="90">
        <v>1</v>
      </c>
      <c r="AB88" s="90">
        <v>6.8456703236610003E-2</v>
      </c>
      <c r="AC88" s="90">
        <v>1.109334715031E-2</v>
      </c>
      <c r="AD88" s="90">
        <v>26.172266274557298</v>
      </c>
      <c r="AF88" s="90">
        <v>-1</v>
      </c>
      <c r="AG88" s="90">
        <v>-1</v>
      </c>
      <c r="AH88" s="90">
        <v>-1</v>
      </c>
      <c r="AI88" s="90">
        <v>-1</v>
      </c>
      <c r="AJ88" s="90">
        <v>0</v>
      </c>
      <c r="AM88" s="90" t="s">
        <v>379</v>
      </c>
      <c r="AN88" s="90">
        <v>-1</v>
      </c>
      <c r="AQ88" s="90">
        <v>356</v>
      </c>
      <c r="AR88" s="90" t="s">
        <v>380</v>
      </c>
      <c r="AS88" s="90" t="s">
        <v>246</v>
      </c>
      <c r="AT88" s="90" t="s">
        <v>244</v>
      </c>
      <c r="AU88" s="90">
        <v>175.87190000000001</v>
      </c>
      <c r="AV88" s="90">
        <v>35.576502904388803</v>
      </c>
      <c r="AW88" s="90">
        <v>28.4753962409543</v>
      </c>
      <c r="AX88" s="90">
        <v>2.12264933E-2</v>
      </c>
    </row>
    <row r="89" spans="1:50" x14ac:dyDescent="0.25">
      <c r="A89" s="102">
        <v>830000</v>
      </c>
      <c r="B89" s="102">
        <v>2400000</v>
      </c>
      <c r="C89" s="102">
        <v>2400000</v>
      </c>
      <c r="D89" s="90" t="s">
        <v>374</v>
      </c>
      <c r="E89" s="90" t="s">
        <v>68</v>
      </c>
      <c r="F89" s="90" t="s">
        <v>375</v>
      </c>
      <c r="G89" s="90" t="s">
        <v>376</v>
      </c>
      <c r="H89" s="90">
        <v>0.59</v>
      </c>
      <c r="I89" s="90">
        <v>0.64</v>
      </c>
      <c r="J89" s="90" t="s">
        <v>244</v>
      </c>
      <c r="K89" s="90">
        <v>0.11486797286338001</v>
      </c>
      <c r="L89" s="90">
        <v>3719.5410018429802</v>
      </c>
      <c r="M89" s="90">
        <v>9.7289058528002492</v>
      </c>
      <c r="N89" s="90">
        <v>1.57656043769444</v>
      </c>
      <c r="O89" s="90">
        <v>1.11753969348986</v>
      </c>
      <c r="P89" s="90">
        <v>0.18109630157456</v>
      </c>
      <c r="Q89" s="90">
        <v>427.25613486394002</v>
      </c>
      <c r="R89" s="90">
        <v>1210</v>
      </c>
      <c r="S89" s="90" t="s">
        <v>385</v>
      </c>
      <c r="T89" s="90">
        <v>1210</v>
      </c>
      <c r="U89" s="90" t="s">
        <v>378</v>
      </c>
      <c r="V89" s="90" t="s">
        <v>244</v>
      </c>
      <c r="Z89" s="90">
        <v>0</v>
      </c>
      <c r="AA89" s="90">
        <v>1</v>
      </c>
      <c r="AB89" s="90">
        <v>1.11753969348986</v>
      </c>
      <c r="AC89" s="90">
        <v>0.18109630157456</v>
      </c>
      <c r="AD89" s="90">
        <v>427.25613486394002</v>
      </c>
      <c r="AF89" s="90">
        <v>-1</v>
      </c>
      <c r="AG89" s="90">
        <v>-1</v>
      </c>
      <c r="AH89" s="90">
        <v>-1</v>
      </c>
      <c r="AI89" s="90">
        <v>-1</v>
      </c>
      <c r="AJ89" s="90">
        <v>0</v>
      </c>
      <c r="AM89" s="90" t="s">
        <v>379</v>
      </c>
      <c r="AN89" s="90">
        <v>-1</v>
      </c>
      <c r="AQ89" s="90">
        <v>356</v>
      </c>
      <c r="AR89" s="90" t="s">
        <v>380</v>
      </c>
      <c r="AS89" s="90" t="s">
        <v>246</v>
      </c>
      <c r="AT89" s="90" t="s">
        <v>244</v>
      </c>
      <c r="AU89" s="90">
        <v>175.87190000000001</v>
      </c>
      <c r="AV89" s="90">
        <v>106.626097965292</v>
      </c>
      <c r="AW89" s="90">
        <v>464.85419371025</v>
      </c>
      <c r="AX89" s="90">
        <v>0.3465175465</v>
      </c>
    </row>
    <row r="90" spans="1:50" x14ac:dyDescent="0.25">
      <c r="A90" s="102">
        <v>830000</v>
      </c>
      <c r="B90" s="102">
        <v>2400000</v>
      </c>
      <c r="C90" s="102">
        <v>2400000</v>
      </c>
      <c r="D90" s="90" t="s">
        <v>374</v>
      </c>
      <c r="E90" s="90" t="s">
        <v>68</v>
      </c>
      <c r="F90" s="90" t="s">
        <v>375</v>
      </c>
      <c r="G90" s="90" t="s">
        <v>376</v>
      </c>
      <c r="H90" s="90">
        <v>0.59</v>
      </c>
      <c r="I90" s="90">
        <v>0.64</v>
      </c>
      <c r="J90" s="90" t="s">
        <v>244</v>
      </c>
      <c r="K90" s="90">
        <v>0.27085572259537999</v>
      </c>
      <c r="L90" s="90">
        <v>3719.5410018429802</v>
      </c>
      <c r="M90" s="90">
        <v>9.7289058528002492</v>
      </c>
      <c r="N90" s="90">
        <v>1.57656043769444</v>
      </c>
      <c r="O90" s="90">
        <v>2.6351298248226498</v>
      </c>
      <c r="P90" s="90">
        <v>0.42702041656702</v>
      </c>
      <c r="Q90" s="90">
        <v>1007.45896577733</v>
      </c>
      <c r="R90" s="90">
        <v>1210</v>
      </c>
      <c r="S90" s="90" t="s">
        <v>385</v>
      </c>
      <c r="T90" s="90">
        <v>1210</v>
      </c>
      <c r="U90" s="90" t="s">
        <v>378</v>
      </c>
      <c r="V90" s="90" t="s">
        <v>244</v>
      </c>
      <c r="Z90" s="90">
        <v>0</v>
      </c>
      <c r="AA90" s="90">
        <v>1</v>
      </c>
      <c r="AB90" s="90">
        <v>2.6351298248226498</v>
      </c>
      <c r="AC90" s="90">
        <v>0.42702041656702</v>
      </c>
      <c r="AD90" s="90">
        <v>1007.45896577733</v>
      </c>
      <c r="AF90" s="90">
        <v>-1</v>
      </c>
      <c r="AG90" s="90">
        <v>-1</v>
      </c>
      <c r="AH90" s="90">
        <v>-1</v>
      </c>
      <c r="AI90" s="90">
        <v>-1</v>
      </c>
      <c r="AJ90" s="90">
        <v>0</v>
      </c>
      <c r="AM90" s="90" t="s">
        <v>379</v>
      </c>
      <c r="AN90" s="90">
        <v>-1</v>
      </c>
      <c r="AQ90" s="90">
        <v>356</v>
      </c>
      <c r="AR90" s="90" t="s">
        <v>380</v>
      </c>
      <c r="AS90" s="90" t="s">
        <v>246</v>
      </c>
      <c r="AT90" s="90" t="s">
        <v>244</v>
      </c>
      <c r="AU90" s="90">
        <v>175.87190000000001</v>
      </c>
      <c r="AV90" s="90">
        <v>141.23549498661299</v>
      </c>
      <c r="AW90" s="90">
        <v>1096.11422052891</v>
      </c>
      <c r="AX90" s="90">
        <v>0.81707945319999997</v>
      </c>
    </row>
    <row r="91" spans="1:50" x14ac:dyDescent="0.25">
      <c r="A91" s="102">
        <v>830000</v>
      </c>
      <c r="B91" s="102">
        <v>2400000</v>
      </c>
      <c r="C91" s="102">
        <v>2400000</v>
      </c>
      <c r="D91" s="90" t="s">
        <v>374</v>
      </c>
      <c r="E91" s="90" t="s">
        <v>68</v>
      </c>
      <c r="F91" s="90" t="s">
        <v>375</v>
      </c>
      <c r="G91" s="90" t="s">
        <v>376</v>
      </c>
      <c r="H91" s="90">
        <v>0.59</v>
      </c>
      <c r="I91" s="90">
        <v>0.64</v>
      </c>
      <c r="J91" s="90" t="s">
        <v>244</v>
      </c>
      <c r="K91" s="90">
        <v>0.18524270620675001</v>
      </c>
      <c r="L91" s="90">
        <v>3719.5410018429802</v>
      </c>
      <c r="M91" s="90">
        <v>9.7289058528002492</v>
      </c>
      <c r="N91" s="90">
        <v>1.57656043769444</v>
      </c>
      <c r="O91" s="90">
        <v>1.8022088486034</v>
      </c>
      <c r="P91" s="90">
        <v>0.29204632197701003</v>
      </c>
      <c r="Q91" s="90">
        <v>689.01784102835904</v>
      </c>
      <c r="R91" s="90">
        <v>1300</v>
      </c>
      <c r="S91" s="90" t="s">
        <v>387</v>
      </c>
      <c r="T91" s="90">
        <v>1300</v>
      </c>
      <c r="U91" s="90" t="s">
        <v>378</v>
      </c>
      <c r="V91" s="90" t="s">
        <v>244</v>
      </c>
      <c r="Z91" s="90">
        <v>0</v>
      </c>
      <c r="AA91" s="90">
        <v>1</v>
      </c>
      <c r="AB91" s="90">
        <v>1.8022088486034</v>
      </c>
      <c r="AC91" s="90">
        <v>0.29204632197701003</v>
      </c>
      <c r="AD91" s="90">
        <v>689.01784102835904</v>
      </c>
      <c r="AF91" s="90">
        <v>-1</v>
      </c>
      <c r="AG91" s="90">
        <v>-1</v>
      </c>
      <c r="AH91" s="90">
        <v>-1</v>
      </c>
      <c r="AI91" s="90">
        <v>-1</v>
      </c>
      <c r="AJ91" s="90">
        <v>0</v>
      </c>
      <c r="AM91" s="90" t="s">
        <v>379</v>
      </c>
      <c r="AN91" s="90">
        <v>-1</v>
      </c>
      <c r="AQ91" s="90">
        <v>356</v>
      </c>
      <c r="AR91" s="90" t="s">
        <v>380</v>
      </c>
      <c r="AS91" s="90" t="s">
        <v>246</v>
      </c>
      <c r="AT91" s="90" t="s">
        <v>244</v>
      </c>
      <c r="AU91" s="90">
        <v>175.87190000000001</v>
      </c>
      <c r="AV91" s="90">
        <v>127.556344584201</v>
      </c>
      <c r="AW91" s="90">
        <v>749.65063531554301</v>
      </c>
      <c r="AX91" s="90">
        <v>0.55881414519999995</v>
      </c>
    </row>
    <row r="92" spans="1:50" x14ac:dyDescent="0.25">
      <c r="A92" s="102">
        <v>830000</v>
      </c>
      <c r="B92" s="102">
        <v>2400000</v>
      </c>
      <c r="C92" s="102">
        <v>2400000</v>
      </c>
      <c r="D92" s="90" t="s">
        <v>374</v>
      </c>
      <c r="E92" s="90" t="s">
        <v>68</v>
      </c>
      <c r="F92" s="90" t="s">
        <v>375</v>
      </c>
      <c r="G92" s="90" t="s">
        <v>376</v>
      </c>
      <c r="H92" s="90">
        <v>0.59</v>
      </c>
      <c r="I92" s="90">
        <v>0.64</v>
      </c>
      <c r="J92" s="90" t="s">
        <v>244</v>
      </c>
      <c r="K92" s="90">
        <v>0.16080224285992001</v>
      </c>
      <c r="L92" s="90">
        <v>3686.6346152906299</v>
      </c>
      <c r="M92" s="90">
        <v>7.50461456070542</v>
      </c>
      <c r="N92" s="90">
        <v>1.01882291433314</v>
      </c>
      <c r="O92" s="90">
        <v>1.2067588531606701</v>
      </c>
      <c r="P92" s="90">
        <v>0.16382900970184999</v>
      </c>
      <c r="Q92" s="90">
        <v>592.81911474376705</v>
      </c>
      <c r="R92" s="90">
        <v>1850</v>
      </c>
      <c r="S92" s="90" t="s">
        <v>388</v>
      </c>
      <c r="T92" s="90">
        <v>1850</v>
      </c>
      <c r="U92" s="90" t="s">
        <v>378</v>
      </c>
      <c r="V92" s="90" t="s">
        <v>244</v>
      </c>
      <c r="Z92" s="90">
        <v>0</v>
      </c>
      <c r="AA92" s="90">
        <v>1</v>
      </c>
      <c r="AB92" s="90">
        <v>1.2067588531606701</v>
      </c>
      <c r="AC92" s="90">
        <v>0.16382900970184999</v>
      </c>
      <c r="AD92" s="90">
        <v>592.81911474376705</v>
      </c>
      <c r="AF92" s="90">
        <v>-1</v>
      </c>
      <c r="AG92" s="90">
        <v>-1</v>
      </c>
      <c r="AH92" s="90">
        <v>-1</v>
      </c>
      <c r="AI92" s="90">
        <v>-1</v>
      </c>
      <c r="AJ92" s="90">
        <v>0</v>
      </c>
      <c r="AM92" s="90" t="s">
        <v>379</v>
      </c>
      <c r="AN92" s="90">
        <v>-1</v>
      </c>
      <c r="AQ92" s="90">
        <v>356</v>
      </c>
      <c r="AR92" s="90" t="s">
        <v>380</v>
      </c>
      <c r="AS92" s="90" t="s">
        <v>246</v>
      </c>
      <c r="AT92" s="90" t="s">
        <v>244</v>
      </c>
      <c r="AU92" s="90">
        <v>175.87190000000001</v>
      </c>
      <c r="AV92" s="90">
        <v>125.948914172676</v>
      </c>
      <c r="AW92" s="90">
        <v>650.74358925400895</v>
      </c>
      <c r="AX92" s="90">
        <v>0.48079409140000001</v>
      </c>
    </row>
    <row r="93" spans="1:50" x14ac:dyDescent="0.25">
      <c r="A93" s="102">
        <v>830000</v>
      </c>
      <c r="B93" s="102">
        <v>2400000</v>
      </c>
      <c r="C93" s="102">
        <v>2400000</v>
      </c>
      <c r="D93" s="90" t="s">
        <v>374</v>
      </c>
      <c r="E93" s="90" t="s">
        <v>68</v>
      </c>
      <c r="F93" s="90" t="s">
        <v>375</v>
      </c>
      <c r="G93" s="90" t="s">
        <v>376</v>
      </c>
      <c r="H93" s="90">
        <v>0.59</v>
      </c>
      <c r="I93" s="90">
        <v>0.64</v>
      </c>
      <c r="J93" s="90" t="s">
        <v>389</v>
      </c>
      <c r="K93" s="90">
        <v>5.8996546740000003E-5</v>
      </c>
      <c r="L93" s="90">
        <v>3686.6346152906299</v>
      </c>
      <c r="M93" s="90">
        <v>7.50461456070542</v>
      </c>
      <c r="N93" s="90">
        <v>1.01882291433314</v>
      </c>
      <c r="O93" s="90">
        <v>4.4274634371000002E-4</v>
      </c>
      <c r="P93" s="90">
        <v>6.0107033679999997E-5</v>
      </c>
      <c r="Q93" s="90">
        <v>0.21749871140165999</v>
      </c>
      <c r="R93" s="90">
        <v>4200</v>
      </c>
      <c r="S93" s="90" t="s">
        <v>390</v>
      </c>
      <c r="T93" s="90">
        <v>4200</v>
      </c>
      <c r="U93" s="90" t="s">
        <v>378</v>
      </c>
      <c r="V93" s="90" t="s">
        <v>244</v>
      </c>
      <c r="Y93" s="90" t="s">
        <v>389</v>
      </c>
      <c r="Z93" s="90">
        <v>0</v>
      </c>
      <c r="AA93" s="90">
        <v>1</v>
      </c>
      <c r="AB93" s="90">
        <v>4.4274634371000002E-4</v>
      </c>
      <c r="AC93" s="90">
        <v>6.0107033679999997E-5</v>
      </c>
      <c r="AD93" s="90">
        <v>0.21749871140234001</v>
      </c>
      <c r="AF93" s="90">
        <v>-1</v>
      </c>
      <c r="AG93" s="90">
        <v>-1</v>
      </c>
      <c r="AH93" s="90">
        <v>-1</v>
      </c>
      <c r="AI93" s="90">
        <v>-1</v>
      </c>
      <c r="AJ93" s="90">
        <v>0</v>
      </c>
      <c r="AM93" s="90" t="s">
        <v>379</v>
      </c>
      <c r="AN93" s="90">
        <v>-1</v>
      </c>
      <c r="AQ93" s="90">
        <v>356</v>
      </c>
      <c r="AR93" s="90" t="s">
        <v>380</v>
      </c>
      <c r="AS93" s="90" t="s">
        <v>246</v>
      </c>
      <c r="AT93" s="90" t="s">
        <v>244</v>
      </c>
      <c r="AU93" s="90">
        <v>175.87190000000001</v>
      </c>
      <c r="AV93" s="90">
        <v>8.9836238025932502</v>
      </c>
      <c r="AW93" s="90">
        <v>0.23875055408302001</v>
      </c>
      <c r="AX93" s="90">
        <v>1.76398E-4</v>
      </c>
    </row>
    <row r="94" spans="1:50" x14ac:dyDescent="0.25">
      <c r="A94" s="102">
        <v>830000</v>
      </c>
      <c r="B94" s="102">
        <v>2400000</v>
      </c>
      <c r="C94" s="102">
        <v>2400000</v>
      </c>
      <c r="D94" s="90" t="s">
        <v>374</v>
      </c>
      <c r="E94" s="90" t="s">
        <v>68</v>
      </c>
      <c r="F94" s="90" t="s">
        <v>375</v>
      </c>
      <c r="G94" s="90" t="s">
        <v>376</v>
      </c>
      <c r="H94" s="90">
        <v>0.59</v>
      </c>
      <c r="I94" s="90">
        <v>0.64</v>
      </c>
      <c r="J94" s="90" t="s">
        <v>244</v>
      </c>
      <c r="K94" s="90">
        <v>5.3883143082649999E-2</v>
      </c>
      <c r="L94" s="90">
        <v>3733.4838596110799</v>
      </c>
      <c r="M94" s="90">
        <v>11.7942611998131</v>
      </c>
      <c r="N94" s="90">
        <v>2.39496022151762</v>
      </c>
      <c r="O94" s="90">
        <v>0.63551186378378</v>
      </c>
      <c r="P94" s="90">
        <v>0.12904798429330999</v>
      </c>
      <c r="Q94" s="90">
        <v>201.17184500422201</v>
      </c>
      <c r="R94" s="90">
        <v>1300</v>
      </c>
      <c r="S94" s="90" t="s">
        <v>387</v>
      </c>
      <c r="T94" s="90">
        <v>1300</v>
      </c>
      <c r="U94" s="90" t="s">
        <v>378</v>
      </c>
      <c r="V94" s="90" t="s">
        <v>244</v>
      </c>
      <c r="Z94" s="90">
        <v>0</v>
      </c>
      <c r="AA94" s="90">
        <v>1</v>
      </c>
      <c r="AB94" s="90">
        <v>0.63551186378378</v>
      </c>
      <c r="AC94" s="90">
        <v>0.12904798429330999</v>
      </c>
      <c r="AD94" s="90">
        <v>201.171845004223</v>
      </c>
      <c r="AF94" s="90">
        <v>-1</v>
      </c>
      <c r="AG94" s="90">
        <v>-1</v>
      </c>
      <c r="AH94" s="90">
        <v>-1</v>
      </c>
      <c r="AI94" s="90">
        <v>-1</v>
      </c>
      <c r="AJ94" s="90">
        <v>0</v>
      </c>
      <c r="AM94" s="90" t="s">
        <v>379</v>
      </c>
      <c r="AN94" s="90">
        <v>-1</v>
      </c>
      <c r="AQ94" s="90">
        <v>356</v>
      </c>
      <c r="AR94" s="90" t="s">
        <v>380</v>
      </c>
      <c r="AS94" s="90" t="s">
        <v>246</v>
      </c>
      <c r="AT94" s="90" t="s">
        <v>244</v>
      </c>
      <c r="AU94" s="90">
        <v>175.87190000000001</v>
      </c>
      <c r="AV94" s="90">
        <v>108.745323820961</v>
      </c>
      <c r="AW94" s="90">
        <v>218.05734364315799</v>
      </c>
      <c r="AX94" s="90">
        <v>0.16315640310000001</v>
      </c>
    </row>
    <row r="95" spans="1:50" x14ac:dyDescent="0.25">
      <c r="A95" s="102">
        <v>830000</v>
      </c>
      <c r="B95" s="102">
        <v>2400000</v>
      </c>
      <c r="C95" s="102">
        <v>2400000</v>
      </c>
      <c r="D95" s="90" t="s">
        <v>374</v>
      </c>
      <c r="E95" s="90" t="s">
        <v>68</v>
      </c>
      <c r="F95" s="90" t="s">
        <v>375</v>
      </c>
      <c r="G95" s="90" t="s">
        <v>376</v>
      </c>
      <c r="H95" s="90">
        <v>0.59</v>
      </c>
      <c r="I95" s="90">
        <v>0.64</v>
      </c>
      <c r="J95" s="90" t="s">
        <v>244</v>
      </c>
      <c r="K95" s="90">
        <v>0.56388031047017995</v>
      </c>
      <c r="L95" s="90">
        <v>3733.4838596110799</v>
      </c>
      <c r="M95" s="90">
        <v>11.7942611998131</v>
      </c>
      <c r="N95" s="90">
        <v>2.39496022151762</v>
      </c>
      <c r="O95" s="90">
        <v>6.6505516671171199</v>
      </c>
      <c r="P95" s="90">
        <v>1.3504709132731001</v>
      </c>
      <c r="Q95" s="90">
        <v>2105.2380378929201</v>
      </c>
      <c r="R95" s="90">
        <v>1300</v>
      </c>
      <c r="S95" s="90" t="s">
        <v>387</v>
      </c>
      <c r="T95" s="90">
        <v>1300</v>
      </c>
      <c r="U95" s="90" t="s">
        <v>378</v>
      </c>
      <c r="V95" s="90" t="s">
        <v>244</v>
      </c>
      <c r="Z95" s="90">
        <v>0</v>
      </c>
      <c r="AA95" s="90">
        <v>1</v>
      </c>
      <c r="AB95" s="90">
        <v>6.6505516671171199</v>
      </c>
      <c r="AC95" s="90">
        <v>1.3504709132731001</v>
      </c>
      <c r="AD95" s="90">
        <v>2105.2380378929201</v>
      </c>
      <c r="AF95" s="90">
        <v>-1</v>
      </c>
      <c r="AG95" s="90">
        <v>-1</v>
      </c>
      <c r="AH95" s="90">
        <v>-1</v>
      </c>
      <c r="AI95" s="90">
        <v>-1</v>
      </c>
      <c r="AJ95" s="90">
        <v>0</v>
      </c>
      <c r="AM95" s="90" t="s">
        <v>379</v>
      </c>
      <c r="AN95" s="90">
        <v>-1</v>
      </c>
      <c r="AQ95" s="90">
        <v>356</v>
      </c>
      <c r="AR95" s="90" t="s">
        <v>380</v>
      </c>
      <c r="AS95" s="90" t="s">
        <v>246</v>
      </c>
      <c r="AT95" s="90" t="s">
        <v>244</v>
      </c>
      <c r="AU95" s="90">
        <v>175.87190000000001</v>
      </c>
      <c r="AV95" s="90">
        <v>191.300736310882</v>
      </c>
      <c r="AW95" s="90">
        <v>2281.94265589118</v>
      </c>
      <c r="AX95" s="90">
        <v>1.7074112229</v>
      </c>
    </row>
    <row r="96" spans="1:50" x14ac:dyDescent="0.25">
      <c r="A96" s="102">
        <v>830000</v>
      </c>
      <c r="B96" s="102">
        <v>2400000</v>
      </c>
      <c r="C96" s="102">
        <v>2400000</v>
      </c>
      <c r="D96" s="90" t="s">
        <v>374</v>
      </c>
      <c r="E96" s="90" t="s">
        <v>68</v>
      </c>
      <c r="F96" s="90" t="s">
        <v>375</v>
      </c>
      <c r="G96" s="90" t="s">
        <v>376</v>
      </c>
      <c r="H96" s="90">
        <v>0.59</v>
      </c>
      <c r="I96" s="90">
        <v>0.64</v>
      </c>
      <c r="J96" s="90" t="s">
        <v>244</v>
      </c>
      <c r="K96" s="90">
        <v>1.003947459849E-2</v>
      </c>
      <c r="L96" s="90">
        <v>3752.13418563392</v>
      </c>
      <c r="M96" s="90">
        <v>10.840717994191399</v>
      </c>
      <c r="N96" s="90">
        <v>2.0940765815014601</v>
      </c>
      <c r="O96" s="90">
        <v>0.10883511293213</v>
      </c>
      <c r="P96" s="90">
        <v>2.1023428647280001E-2</v>
      </c>
      <c r="Q96" s="90">
        <v>37.669455846816497</v>
      </c>
      <c r="R96" s="90">
        <v>1300</v>
      </c>
      <c r="S96" s="90" t="s">
        <v>387</v>
      </c>
      <c r="T96" s="90">
        <v>1300</v>
      </c>
      <c r="U96" s="90" t="s">
        <v>378</v>
      </c>
      <c r="V96" s="90" t="s">
        <v>244</v>
      </c>
      <c r="Z96" s="90">
        <v>0</v>
      </c>
      <c r="AA96" s="90">
        <v>1</v>
      </c>
      <c r="AB96" s="90">
        <v>0.10883511293213</v>
      </c>
      <c r="AC96" s="90">
        <v>2.1023428647280001E-2</v>
      </c>
      <c r="AD96" s="90">
        <v>37.669455846816497</v>
      </c>
      <c r="AF96" s="90">
        <v>-1</v>
      </c>
      <c r="AG96" s="90">
        <v>-1</v>
      </c>
      <c r="AH96" s="90">
        <v>-1</v>
      </c>
      <c r="AI96" s="90">
        <v>-1</v>
      </c>
      <c r="AJ96" s="90">
        <v>0</v>
      </c>
      <c r="AM96" s="90" t="s">
        <v>379</v>
      </c>
      <c r="AN96" s="90">
        <v>-1</v>
      </c>
      <c r="AQ96" s="90">
        <v>356</v>
      </c>
      <c r="AR96" s="90" t="s">
        <v>380</v>
      </c>
      <c r="AS96" s="90" t="s">
        <v>246</v>
      </c>
      <c r="AT96" s="90" t="s">
        <v>244</v>
      </c>
      <c r="AU96" s="90">
        <v>175.87190000000001</v>
      </c>
      <c r="AV96" s="90">
        <v>95.142150045673105</v>
      </c>
      <c r="AW96" s="90">
        <v>40.628312256441099</v>
      </c>
      <c r="AX96" s="90">
        <v>3.05510591E-2</v>
      </c>
    </row>
    <row r="97" spans="1:50" x14ac:dyDescent="0.25">
      <c r="A97" s="102">
        <v>830000</v>
      </c>
      <c r="B97" s="102">
        <v>2400000</v>
      </c>
      <c r="C97" s="102">
        <v>2400000</v>
      </c>
      <c r="D97" s="90" t="s">
        <v>374</v>
      </c>
      <c r="E97" s="90" t="s">
        <v>68</v>
      </c>
      <c r="F97" s="90" t="s">
        <v>375</v>
      </c>
      <c r="G97" s="90" t="s">
        <v>376</v>
      </c>
      <c r="H97" s="90">
        <v>0.59</v>
      </c>
      <c r="I97" s="90">
        <v>0.64</v>
      </c>
      <c r="J97" s="90" t="s">
        <v>244</v>
      </c>
      <c r="K97" s="90">
        <v>0.60772397925351995</v>
      </c>
      <c r="L97" s="90">
        <v>3752.13418563392</v>
      </c>
      <c r="M97" s="90">
        <v>10.840717994191399</v>
      </c>
      <c r="N97" s="90">
        <v>2.0940765815014601</v>
      </c>
      <c r="O97" s="90">
        <v>6.5881642773953404</v>
      </c>
      <c r="P97" s="90">
        <v>1.2726205529716801</v>
      </c>
      <c r="Q97" s="90">
        <v>2280.2619179866301</v>
      </c>
      <c r="R97" s="90">
        <v>1300</v>
      </c>
      <c r="S97" s="90" t="s">
        <v>387</v>
      </c>
      <c r="T97" s="90">
        <v>1300</v>
      </c>
      <c r="U97" s="90" t="s">
        <v>378</v>
      </c>
      <c r="V97" s="90" t="s">
        <v>244</v>
      </c>
      <c r="Z97" s="90">
        <v>0</v>
      </c>
      <c r="AA97" s="90">
        <v>1</v>
      </c>
      <c r="AB97" s="90">
        <v>6.5881642773953404</v>
      </c>
      <c r="AC97" s="90">
        <v>1.2726205529716801</v>
      </c>
      <c r="AD97" s="90">
        <v>2280.2619179866301</v>
      </c>
      <c r="AF97" s="90">
        <v>-1</v>
      </c>
      <c r="AG97" s="90">
        <v>-1</v>
      </c>
      <c r="AH97" s="90">
        <v>-1</v>
      </c>
      <c r="AI97" s="90">
        <v>-1</v>
      </c>
      <c r="AJ97" s="90">
        <v>0</v>
      </c>
      <c r="AM97" s="90" t="s">
        <v>379</v>
      </c>
      <c r="AN97" s="90">
        <v>-1</v>
      </c>
      <c r="AQ97" s="90">
        <v>356</v>
      </c>
      <c r="AR97" s="90" t="s">
        <v>380</v>
      </c>
      <c r="AS97" s="90" t="s">
        <v>246</v>
      </c>
      <c r="AT97" s="90" t="s">
        <v>244</v>
      </c>
      <c r="AU97" s="90">
        <v>175.87190000000001</v>
      </c>
      <c r="AV97" s="90">
        <v>198.291890123228</v>
      </c>
      <c r="AW97" s="90">
        <v>2459.3716884886098</v>
      </c>
      <c r="AX97" s="90">
        <v>1.8493608418</v>
      </c>
    </row>
    <row r="98" spans="1:50" x14ac:dyDescent="0.25">
      <c r="A98" s="102">
        <v>830000</v>
      </c>
      <c r="B98" s="102">
        <v>2400000</v>
      </c>
      <c r="C98" s="102">
        <v>2400000</v>
      </c>
      <c r="D98" s="90" t="s">
        <v>374</v>
      </c>
      <c r="E98" s="90" t="s">
        <v>68</v>
      </c>
      <c r="F98" s="90" t="s">
        <v>375</v>
      </c>
      <c r="G98" s="90" t="s">
        <v>376</v>
      </c>
      <c r="H98" s="90">
        <v>0.59</v>
      </c>
      <c r="I98" s="90">
        <v>0.64</v>
      </c>
      <c r="J98" s="90" t="s">
        <v>244</v>
      </c>
      <c r="K98" s="90">
        <v>6.7510010854E-4</v>
      </c>
      <c r="L98" s="90">
        <v>3785.96384902712</v>
      </c>
      <c r="M98" s="90">
        <v>10.032454134162</v>
      </c>
      <c r="N98" s="90">
        <v>1.3338343066206799</v>
      </c>
      <c r="O98" s="90">
        <v>6.7729108749200002E-3</v>
      </c>
      <c r="P98" s="90">
        <v>9.0047168516999997E-4</v>
      </c>
      <c r="Q98" s="90">
        <v>2.5559046054180801</v>
      </c>
      <c r="R98" s="90">
        <v>1400</v>
      </c>
      <c r="S98" s="90" t="s">
        <v>324</v>
      </c>
      <c r="T98" s="90">
        <v>1400</v>
      </c>
      <c r="U98" s="90" t="s">
        <v>378</v>
      </c>
      <c r="V98" s="90" t="s">
        <v>244</v>
      </c>
      <c r="Z98" s="90">
        <v>0</v>
      </c>
      <c r="AA98" s="90">
        <v>1</v>
      </c>
      <c r="AB98" s="90">
        <v>6.7729108749200002E-3</v>
      </c>
      <c r="AC98" s="90">
        <v>9.0047168516999997E-4</v>
      </c>
      <c r="AD98" s="90">
        <v>2.55590460541787</v>
      </c>
      <c r="AF98" s="90">
        <v>-1</v>
      </c>
      <c r="AG98" s="90">
        <v>-1</v>
      </c>
      <c r="AH98" s="90">
        <v>-1</v>
      </c>
      <c r="AI98" s="90">
        <v>-1</v>
      </c>
      <c r="AJ98" s="90">
        <v>0</v>
      </c>
      <c r="AM98" s="90" t="s">
        <v>379</v>
      </c>
      <c r="AN98" s="90">
        <v>-1</v>
      </c>
      <c r="AQ98" s="90">
        <v>356</v>
      </c>
      <c r="AR98" s="90" t="s">
        <v>380</v>
      </c>
      <c r="AS98" s="90" t="s">
        <v>246</v>
      </c>
      <c r="AT98" s="90" t="s">
        <v>244</v>
      </c>
      <c r="AU98" s="90">
        <v>175.87190000000001</v>
      </c>
      <c r="AV98" s="90">
        <v>103.423338745412</v>
      </c>
      <c r="AW98" s="90">
        <v>2.7320332100199498</v>
      </c>
      <c r="AX98" s="90">
        <v>2.0729152999999999E-3</v>
      </c>
    </row>
    <row r="99" spans="1:50" x14ac:dyDescent="0.25">
      <c r="A99" s="102">
        <v>830000</v>
      </c>
      <c r="B99" s="102">
        <v>2400000</v>
      </c>
      <c r="C99" s="102">
        <v>2400000</v>
      </c>
      <c r="D99" s="90" t="s">
        <v>374</v>
      </c>
      <c r="E99" s="90" t="s">
        <v>68</v>
      </c>
      <c r="F99" s="90" t="s">
        <v>375</v>
      </c>
      <c r="G99" s="90" t="s">
        <v>376</v>
      </c>
      <c r="H99" s="90">
        <v>0.59</v>
      </c>
      <c r="I99" s="90">
        <v>0.64</v>
      </c>
      <c r="J99" s="90" t="s">
        <v>381</v>
      </c>
      <c r="K99" s="90">
        <v>0.11948817509128</v>
      </c>
      <c r="L99" s="90">
        <v>3785.96384902712</v>
      </c>
      <c r="M99" s="90">
        <v>10.032454134162</v>
      </c>
      <c r="N99" s="90">
        <v>1.3338343066206799</v>
      </c>
      <c r="O99" s="90">
        <v>1.1987596361780199</v>
      </c>
      <c r="P99" s="90">
        <v>0.15937742717225001</v>
      </c>
      <c r="Q99" s="90">
        <v>452.37791128181999</v>
      </c>
      <c r="R99" s="90">
        <v>1400</v>
      </c>
      <c r="S99" s="90" t="s">
        <v>324</v>
      </c>
      <c r="T99" s="90">
        <v>1400</v>
      </c>
      <c r="U99" s="90" t="s">
        <v>382</v>
      </c>
      <c r="V99" s="90" t="s">
        <v>381</v>
      </c>
      <c r="Z99" s="90">
        <v>0</v>
      </c>
      <c r="AA99" s="90">
        <v>1</v>
      </c>
      <c r="AB99" s="90">
        <v>1.1987596361780199</v>
      </c>
      <c r="AC99" s="90">
        <v>0.15937742717225001</v>
      </c>
      <c r="AD99" s="90">
        <v>452.37791128181999</v>
      </c>
      <c r="AF99" s="90">
        <v>-1</v>
      </c>
      <c r="AG99" s="90">
        <v>-1</v>
      </c>
      <c r="AH99" s="90">
        <v>-1</v>
      </c>
      <c r="AI99" s="90">
        <v>-1</v>
      </c>
      <c r="AJ99" s="90">
        <v>0</v>
      </c>
      <c r="AM99" s="90" t="s">
        <v>379</v>
      </c>
      <c r="AN99" s="90">
        <v>-1</v>
      </c>
      <c r="AQ99" s="90">
        <v>356</v>
      </c>
      <c r="AR99" s="90" t="s">
        <v>380</v>
      </c>
      <c r="AS99" s="90" t="s">
        <v>246</v>
      </c>
      <c r="AT99" s="90" t="s">
        <v>244</v>
      </c>
      <c r="AU99" s="90">
        <v>175.87190000000001</v>
      </c>
      <c r="AV99" s="90">
        <v>121.43564253311401</v>
      </c>
      <c r="AW99" s="90">
        <v>483.55148876901399</v>
      </c>
      <c r="AX99" s="90">
        <v>0.3668920611</v>
      </c>
    </row>
    <row r="100" spans="1:50" x14ac:dyDescent="0.25">
      <c r="A100" s="102">
        <v>830000</v>
      </c>
      <c r="B100" s="102">
        <v>2400000</v>
      </c>
      <c r="C100" s="102">
        <v>2400000</v>
      </c>
      <c r="D100" s="90" t="s">
        <v>374</v>
      </c>
      <c r="E100" s="90" t="s">
        <v>68</v>
      </c>
      <c r="F100" s="90" t="s">
        <v>375</v>
      </c>
      <c r="G100" s="90" t="s">
        <v>376</v>
      </c>
      <c r="H100" s="90">
        <v>0.59</v>
      </c>
      <c r="I100" s="90">
        <v>0.64</v>
      </c>
      <c r="J100" s="90" t="s">
        <v>381</v>
      </c>
      <c r="K100" s="90">
        <v>0.24797508028932</v>
      </c>
      <c r="L100" s="90">
        <v>3785.96384902712</v>
      </c>
      <c r="M100" s="90">
        <v>10.032454134162</v>
      </c>
      <c r="N100" s="90">
        <v>1.3338343066206799</v>
      </c>
      <c r="O100" s="90">
        <v>2.4877986194177799</v>
      </c>
      <c r="P100" s="90">
        <v>0.33075766927691003</v>
      </c>
      <c r="Q100" s="90">
        <v>938.82468943497099</v>
      </c>
      <c r="R100" s="90">
        <v>8140</v>
      </c>
      <c r="S100" s="90" t="s">
        <v>386</v>
      </c>
      <c r="T100" s="90">
        <v>8140</v>
      </c>
      <c r="U100" s="90" t="s">
        <v>382</v>
      </c>
      <c r="V100" s="90" t="s">
        <v>381</v>
      </c>
      <c r="Z100" s="90">
        <v>0</v>
      </c>
      <c r="AA100" s="90">
        <v>1</v>
      </c>
      <c r="AB100" s="90">
        <v>2.4877986194177799</v>
      </c>
      <c r="AC100" s="90">
        <v>0.33075766927691003</v>
      </c>
      <c r="AD100" s="90">
        <v>938.82468943497099</v>
      </c>
      <c r="AF100" s="90">
        <v>-1</v>
      </c>
      <c r="AG100" s="90">
        <v>-1</v>
      </c>
      <c r="AH100" s="90">
        <v>-1</v>
      </c>
      <c r="AI100" s="90">
        <v>-1</v>
      </c>
      <c r="AJ100" s="90">
        <v>0</v>
      </c>
      <c r="AM100" s="90" t="s">
        <v>379</v>
      </c>
      <c r="AN100" s="90">
        <v>-1</v>
      </c>
      <c r="AQ100" s="90">
        <v>356</v>
      </c>
      <c r="AR100" s="90" t="s">
        <v>380</v>
      </c>
      <c r="AS100" s="90" t="s">
        <v>246</v>
      </c>
      <c r="AT100" s="90" t="s">
        <v>244</v>
      </c>
      <c r="AU100" s="90">
        <v>175.87190000000001</v>
      </c>
      <c r="AV100" s="90">
        <v>139.467842213653</v>
      </c>
      <c r="AW100" s="90">
        <v>1003.51954626399</v>
      </c>
      <c r="AX100" s="90">
        <v>0.76141499550000002</v>
      </c>
    </row>
    <row r="101" spans="1:50" x14ac:dyDescent="0.25">
      <c r="A101" s="102">
        <v>830000</v>
      </c>
      <c r="B101" s="102">
        <v>2400000</v>
      </c>
      <c r="C101" s="102">
        <v>2400000</v>
      </c>
      <c r="D101" s="90" t="s">
        <v>374</v>
      </c>
      <c r="E101" s="90" t="s">
        <v>68</v>
      </c>
      <c r="F101" s="90" t="s">
        <v>375</v>
      </c>
      <c r="G101" s="90" t="s">
        <v>376</v>
      </c>
      <c r="H101" s="90">
        <v>0.59</v>
      </c>
      <c r="I101" s="90">
        <v>0.64</v>
      </c>
      <c r="J101" s="90" t="s">
        <v>244</v>
      </c>
      <c r="K101" s="90">
        <v>8.8415757156000002E-3</v>
      </c>
      <c r="L101" s="90">
        <v>3785.96384902712</v>
      </c>
      <c r="M101" s="90">
        <v>10.032454134162</v>
      </c>
      <c r="N101" s="90">
        <v>1.3338343066206799</v>
      </c>
      <c r="O101" s="90">
        <v>8.8702702840560005E-2</v>
      </c>
      <c r="P101" s="90">
        <v>1.179319701406E-2</v>
      </c>
      <c r="Q101" s="90">
        <v>33.473886027731702</v>
      </c>
      <c r="R101" s="90">
        <v>1300</v>
      </c>
      <c r="S101" s="90" t="s">
        <v>387</v>
      </c>
      <c r="T101" s="90">
        <v>1300</v>
      </c>
      <c r="U101" s="90" t="s">
        <v>378</v>
      </c>
      <c r="V101" s="90" t="s">
        <v>244</v>
      </c>
      <c r="Z101" s="90">
        <v>0</v>
      </c>
      <c r="AA101" s="90">
        <v>1</v>
      </c>
      <c r="AB101" s="90">
        <v>8.8702702840560005E-2</v>
      </c>
      <c r="AC101" s="90">
        <v>1.179319701406E-2</v>
      </c>
      <c r="AD101" s="90">
        <v>33.473886027733101</v>
      </c>
      <c r="AF101" s="90">
        <v>-1</v>
      </c>
      <c r="AG101" s="90">
        <v>-1</v>
      </c>
      <c r="AH101" s="90">
        <v>-1</v>
      </c>
      <c r="AI101" s="90">
        <v>-1</v>
      </c>
      <c r="AJ101" s="90">
        <v>0</v>
      </c>
      <c r="AM101" s="90" t="s">
        <v>379</v>
      </c>
      <c r="AN101" s="90">
        <v>-1</v>
      </c>
      <c r="AQ101" s="90">
        <v>356</v>
      </c>
      <c r="AR101" s="90" t="s">
        <v>380</v>
      </c>
      <c r="AS101" s="90" t="s">
        <v>246</v>
      </c>
      <c r="AT101" s="90" t="s">
        <v>244</v>
      </c>
      <c r="AU101" s="90">
        <v>175.87190000000001</v>
      </c>
      <c r="AV101" s="90">
        <v>38.532960047125201</v>
      </c>
      <c r="AW101" s="90">
        <v>35.780587468849603</v>
      </c>
      <c r="AX101" s="90">
        <v>2.7148326099999998E-2</v>
      </c>
    </row>
    <row r="102" spans="1:50" x14ac:dyDescent="0.25">
      <c r="A102" s="102">
        <v>830000</v>
      </c>
      <c r="B102" s="102">
        <v>2400000</v>
      </c>
      <c r="C102" s="102">
        <v>2400000</v>
      </c>
      <c r="D102" s="90" t="s">
        <v>374</v>
      </c>
      <c r="E102" s="90" t="s">
        <v>68</v>
      </c>
      <c r="F102" s="90" t="s">
        <v>375</v>
      </c>
      <c r="G102" s="90" t="s">
        <v>376</v>
      </c>
      <c r="H102" s="90">
        <v>0.59</v>
      </c>
      <c r="I102" s="90">
        <v>0.64</v>
      </c>
      <c r="J102" s="90" t="s">
        <v>381</v>
      </c>
      <c r="K102" s="90">
        <v>3.6198531712000002E-4</v>
      </c>
      <c r="L102" s="90">
        <v>3785.96384902712</v>
      </c>
      <c r="M102" s="90">
        <v>10.032454134162</v>
      </c>
      <c r="N102" s="90">
        <v>1.3338343066206799</v>
      </c>
      <c r="O102" s="90">
        <v>3.6316010912500001E-3</v>
      </c>
      <c r="P102" s="90">
        <v>4.8282843446000002E-4</v>
      </c>
      <c r="Q102" s="90">
        <v>1.3704633244987201</v>
      </c>
      <c r="R102" s="90">
        <v>1300</v>
      </c>
      <c r="S102" s="90" t="s">
        <v>387</v>
      </c>
      <c r="T102" s="90">
        <v>1300</v>
      </c>
      <c r="U102" s="90" t="s">
        <v>382</v>
      </c>
      <c r="V102" s="90" t="s">
        <v>381</v>
      </c>
      <c r="Z102" s="90">
        <v>0</v>
      </c>
      <c r="AA102" s="90">
        <v>1</v>
      </c>
      <c r="AB102" s="90">
        <v>3.6316010912500001E-3</v>
      </c>
      <c r="AC102" s="90">
        <v>4.8282843446000002E-4</v>
      </c>
      <c r="AD102" s="90">
        <v>1.37046332449688</v>
      </c>
      <c r="AF102" s="90">
        <v>-1</v>
      </c>
      <c r="AG102" s="90">
        <v>-1</v>
      </c>
      <c r="AH102" s="90">
        <v>-1</v>
      </c>
      <c r="AI102" s="90">
        <v>-1</v>
      </c>
      <c r="AJ102" s="90">
        <v>0</v>
      </c>
      <c r="AM102" s="90" t="s">
        <v>379</v>
      </c>
      <c r="AN102" s="90">
        <v>-1</v>
      </c>
      <c r="AQ102" s="90">
        <v>356</v>
      </c>
      <c r="AR102" s="90" t="s">
        <v>380</v>
      </c>
      <c r="AS102" s="90" t="s">
        <v>246</v>
      </c>
      <c r="AT102" s="90" t="s">
        <v>244</v>
      </c>
      <c r="AU102" s="90">
        <v>175.87190000000001</v>
      </c>
      <c r="AV102" s="90">
        <v>35.677374855429598</v>
      </c>
      <c r="AW102" s="90">
        <v>1.46490260540364</v>
      </c>
      <c r="AX102" s="90">
        <v>1.1114868999999999E-3</v>
      </c>
    </row>
    <row r="103" spans="1:50" x14ac:dyDescent="0.25">
      <c r="A103" s="102">
        <v>830000</v>
      </c>
      <c r="B103" s="102">
        <v>2400000</v>
      </c>
      <c r="C103" s="102">
        <v>2400000</v>
      </c>
      <c r="D103" s="90" t="s">
        <v>374</v>
      </c>
      <c r="E103" s="90" t="s">
        <v>68</v>
      </c>
      <c r="F103" s="90" t="s">
        <v>375</v>
      </c>
      <c r="G103" s="90" t="s">
        <v>376</v>
      </c>
      <c r="H103" s="90">
        <v>0.59</v>
      </c>
      <c r="I103" s="90">
        <v>0.64</v>
      </c>
      <c r="J103" s="90" t="s">
        <v>244</v>
      </c>
      <c r="K103" s="90">
        <v>0.15586918229082</v>
      </c>
      <c r="L103" s="90">
        <v>3785.96384902712</v>
      </c>
      <c r="M103" s="90">
        <v>10.032454134162</v>
      </c>
      <c r="N103" s="90">
        <v>1.3338343066206799</v>
      </c>
      <c r="O103" s="90">
        <v>1.56375042226206</v>
      </c>
      <c r="P103" s="90">
        <v>0.20790366268440999</v>
      </c>
      <c r="Q103" s="90">
        <v>590.11508933048503</v>
      </c>
      <c r="R103" s="90">
        <v>1410</v>
      </c>
      <c r="S103" s="90" t="s">
        <v>325</v>
      </c>
      <c r="T103" s="90">
        <v>1410</v>
      </c>
      <c r="U103" s="90" t="s">
        <v>378</v>
      </c>
      <c r="V103" s="90" t="s">
        <v>244</v>
      </c>
      <c r="Z103" s="90">
        <v>0</v>
      </c>
      <c r="AA103" s="90">
        <v>1</v>
      </c>
      <c r="AB103" s="90">
        <v>1.56375042226206</v>
      </c>
      <c r="AC103" s="90">
        <v>0.20790366268440999</v>
      </c>
      <c r="AD103" s="90">
        <v>590.11508933048503</v>
      </c>
      <c r="AF103" s="90">
        <v>-1</v>
      </c>
      <c r="AG103" s="90">
        <v>-1</v>
      </c>
      <c r="AH103" s="90">
        <v>-1</v>
      </c>
      <c r="AI103" s="90">
        <v>-1</v>
      </c>
      <c r="AJ103" s="90">
        <v>0</v>
      </c>
      <c r="AM103" s="90" t="s">
        <v>379</v>
      </c>
      <c r="AN103" s="90">
        <v>-1</v>
      </c>
      <c r="AQ103" s="90">
        <v>356</v>
      </c>
      <c r="AR103" s="90" t="s">
        <v>380</v>
      </c>
      <c r="AS103" s="90" t="s">
        <v>246</v>
      </c>
      <c r="AT103" s="90" t="s">
        <v>244</v>
      </c>
      <c r="AU103" s="90">
        <v>175.87190000000001</v>
      </c>
      <c r="AV103" s="90">
        <v>102.466467268204</v>
      </c>
      <c r="AW103" s="90">
        <v>630.780201407866</v>
      </c>
      <c r="AX103" s="90">
        <v>0.47860104570000001</v>
      </c>
    </row>
    <row r="104" spans="1:50" x14ac:dyDescent="0.25">
      <c r="A104" s="102">
        <v>830000</v>
      </c>
      <c r="B104" s="102">
        <v>2400000</v>
      </c>
      <c r="C104" s="102">
        <v>2400000</v>
      </c>
      <c r="D104" s="90" t="s">
        <v>374</v>
      </c>
      <c r="E104" s="90" t="s">
        <v>68</v>
      </c>
      <c r="F104" s="90" t="s">
        <v>375</v>
      </c>
      <c r="G104" s="90" t="s">
        <v>376</v>
      </c>
      <c r="H104" s="90">
        <v>0.59</v>
      </c>
      <c r="I104" s="90">
        <v>0.64</v>
      </c>
      <c r="J104" s="90" t="s">
        <v>244</v>
      </c>
      <c r="K104" s="90">
        <v>8.4552354740140001E-2</v>
      </c>
      <c r="L104" s="90">
        <v>3785.96384902712</v>
      </c>
      <c r="M104" s="90">
        <v>10.032454134162</v>
      </c>
      <c r="N104" s="90">
        <v>1.3338343066206799</v>
      </c>
      <c r="O104" s="90">
        <v>0.84826762086587004</v>
      </c>
      <c r="P104" s="90">
        <v>0.11277883145796</v>
      </c>
      <c r="Q104" s="90">
        <v>320.11215839629398</v>
      </c>
      <c r="R104" s="90">
        <v>1410</v>
      </c>
      <c r="S104" s="90" t="s">
        <v>325</v>
      </c>
      <c r="T104" s="90">
        <v>1410</v>
      </c>
      <c r="U104" s="90" t="s">
        <v>378</v>
      </c>
      <c r="V104" s="90" t="s">
        <v>244</v>
      </c>
      <c r="Z104" s="90">
        <v>0</v>
      </c>
      <c r="AA104" s="90">
        <v>1</v>
      </c>
      <c r="AB104" s="90">
        <v>0.84826762086587004</v>
      </c>
      <c r="AC104" s="90">
        <v>0.11277883145796</v>
      </c>
      <c r="AD104" s="90">
        <v>320.11215839629301</v>
      </c>
      <c r="AF104" s="90">
        <v>-1</v>
      </c>
      <c r="AG104" s="90">
        <v>-1</v>
      </c>
      <c r="AH104" s="90">
        <v>-1</v>
      </c>
      <c r="AI104" s="90">
        <v>-1</v>
      </c>
      <c r="AJ104" s="90">
        <v>0</v>
      </c>
      <c r="AM104" s="90" t="s">
        <v>379</v>
      </c>
      <c r="AN104" s="90">
        <v>-1</v>
      </c>
      <c r="AQ104" s="90">
        <v>356</v>
      </c>
      <c r="AR104" s="90" t="s">
        <v>380</v>
      </c>
      <c r="AS104" s="90" t="s">
        <v>246</v>
      </c>
      <c r="AT104" s="90" t="s">
        <v>244</v>
      </c>
      <c r="AU104" s="90">
        <v>175.87190000000001</v>
      </c>
      <c r="AV104" s="90">
        <v>75.550265991867207</v>
      </c>
      <c r="AW104" s="90">
        <v>342.17123980918501</v>
      </c>
      <c r="AX104" s="90">
        <v>0.25962056639999997</v>
      </c>
    </row>
    <row r="105" spans="1:50" x14ac:dyDescent="0.25">
      <c r="A105" s="102">
        <v>830000</v>
      </c>
      <c r="B105" s="102">
        <v>2400000</v>
      </c>
      <c r="C105" s="102">
        <v>2400000</v>
      </c>
      <c r="D105" s="90" t="s">
        <v>374</v>
      </c>
      <c r="E105" s="90" t="s">
        <v>68</v>
      </c>
      <c r="F105" s="90" t="s">
        <v>375</v>
      </c>
      <c r="G105" s="90" t="s">
        <v>376</v>
      </c>
      <c r="H105" s="90">
        <v>0.59</v>
      </c>
      <c r="I105" s="90">
        <v>0.64</v>
      </c>
      <c r="J105" s="90" t="s">
        <v>381</v>
      </c>
      <c r="K105" s="90">
        <v>5.4793255276050001E-2</v>
      </c>
      <c r="L105" s="90">
        <v>3695.55204772562</v>
      </c>
      <c r="M105" s="90">
        <v>8.2785820824438403</v>
      </c>
      <c r="N105" s="90">
        <v>1.10264367101645</v>
      </c>
      <c r="O105" s="90">
        <v>0.45361046136712002</v>
      </c>
      <c r="P105" s="90">
        <v>6.0417436144529997E-2</v>
      </c>
      <c r="Q105" s="90">
        <v>202.49132673698099</v>
      </c>
      <c r="R105" s="90">
        <v>1400</v>
      </c>
      <c r="S105" s="90" t="s">
        <v>324</v>
      </c>
      <c r="T105" s="90">
        <v>1400</v>
      </c>
      <c r="U105" s="90" t="s">
        <v>382</v>
      </c>
      <c r="V105" s="90" t="s">
        <v>381</v>
      </c>
      <c r="Z105" s="90">
        <v>0</v>
      </c>
      <c r="AA105" s="90">
        <v>1</v>
      </c>
      <c r="AB105" s="90">
        <v>0.45361046136712002</v>
      </c>
      <c r="AC105" s="90">
        <v>6.0417436144529997E-2</v>
      </c>
      <c r="AD105" s="90">
        <v>202.491326736979</v>
      </c>
      <c r="AF105" s="90">
        <v>-1</v>
      </c>
      <c r="AG105" s="90">
        <v>-1</v>
      </c>
      <c r="AH105" s="90">
        <v>-1</v>
      </c>
      <c r="AI105" s="90">
        <v>-1</v>
      </c>
      <c r="AJ105" s="90">
        <v>0</v>
      </c>
      <c r="AM105" s="90" t="s">
        <v>379</v>
      </c>
      <c r="AN105" s="90">
        <v>-1</v>
      </c>
      <c r="AQ105" s="90">
        <v>356</v>
      </c>
      <c r="AR105" s="90" t="s">
        <v>380</v>
      </c>
      <c r="AS105" s="90" t="s">
        <v>246</v>
      </c>
      <c r="AT105" s="90" t="s">
        <v>244</v>
      </c>
      <c r="AU105" s="90">
        <v>175.87190000000001</v>
      </c>
      <c r="AV105" s="90">
        <v>108.955895551019</v>
      </c>
      <c r="AW105" s="90">
        <v>221.740437018108</v>
      </c>
      <c r="AX105" s="90">
        <v>0.16422654240000001</v>
      </c>
    </row>
    <row r="106" spans="1:50" x14ac:dyDescent="0.25">
      <c r="A106" s="102">
        <v>830000</v>
      </c>
      <c r="B106" s="102">
        <v>2400000</v>
      </c>
      <c r="C106" s="102">
        <v>2400000</v>
      </c>
      <c r="D106" s="90" t="s">
        <v>374</v>
      </c>
      <c r="E106" s="90" t="s">
        <v>68</v>
      </c>
      <c r="F106" s="90" t="s">
        <v>375</v>
      </c>
      <c r="G106" s="90" t="s">
        <v>376</v>
      </c>
      <c r="H106" s="90">
        <v>0.59</v>
      </c>
      <c r="I106" s="90">
        <v>0.64</v>
      </c>
      <c r="J106" s="90" t="s">
        <v>244</v>
      </c>
      <c r="K106" s="90">
        <v>6.8139207974399997E-3</v>
      </c>
      <c r="L106" s="90">
        <v>3695.55204772562</v>
      </c>
      <c r="M106" s="90">
        <v>8.2785820824438403</v>
      </c>
      <c r="N106" s="90">
        <v>1.10264367101645</v>
      </c>
      <c r="O106" s="90">
        <v>5.6409602624889997E-2</v>
      </c>
      <c r="P106" s="90">
        <v>7.5133266420999998E-3</v>
      </c>
      <c r="Q106" s="90">
        <v>25.181198956027</v>
      </c>
      <c r="R106" s="90">
        <v>1850</v>
      </c>
      <c r="S106" s="90" t="s">
        <v>388</v>
      </c>
      <c r="T106" s="90">
        <v>1850</v>
      </c>
      <c r="U106" s="90" t="s">
        <v>378</v>
      </c>
      <c r="V106" s="90" t="s">
        <v>244</v>
      </c>
      <c r="Z106" s="90">
        <v>0</v>
      </c>
      <c r="AA106" s="90">
        <v>1</v>
      </c>
      <c r="AB106" s="90">
        <v>5.6409602624889997E-2</v>
      </c>
      <c r="AC106" s="90">
        <v>7.5133266420999998E-3</v>
      </c>
      <c r="AD106" s="90">
        <v>25.181198956026002</v>
      </c>
      <c r="AF106" s="90">
        <v>-1</v>
      </c>
      <c r="AG106" s="90">
        <v>-1</v>
      </c>
      <c r="AH106" s="90">
        <v>-1</v>
      </c>
      <c r="AI106" s="90">
        <v>-1</v>
      </c>
      <c r="AJ106" s="90">
        <v>0</v>
      </c>
      <c r="AM106" s="90" t="s">
        <v>379</v>
      </c>
      <c r="AN106" s="90">
        <v>-1</v>
      </c>
      <c r="AQ106" s="90">
        <v>356</v>
      </c>
      <c r="AR106" s="90" t="s">
        <v>380</v>
      </c>
      <c r="AS106" s="90" t="s">
        <v>246</v>
      </c>
      <c r="AT106" s="90" t="s">
        <v>244</v>
      </c>
      <c r="AU106" s="90">
        <v>175.87190000000001</v>
      </c>
      <c r="AV106" s="90">
        <v>43.496135419984803</v>
      </c>
      <c r="AW106" s="90">
        <v>27.574959140851998</v>
      </c>
      <c r="AX106" s="90">
        <v>2.0422708000000001E-2</v>
      </c>
    </row>
    <row r="107" spans="1:50" x14ac:dyDescent="0.25">
      <c r="A107" s="102">
        <v>830000</v>
      </c>
      <c r="B107" s="102">
        <v>2400000</v>
      </c>
      <c r="C107" s="102">
        <v>2400000</v>
      </c>
      <c r="D107" s="90" t="s">
        <v>374</v>
      </c>
      <c r="E107" s="90" t="s">
        <v>68</v>
      </c>
      <c r="F107" s="90" t="s">
        <v>375</v>
      </c>
      <c r="G107" s="90" t="s">
        <v>376</v>
      </c>
      <c r="H107" s="90">
        <v>0.59</v>
      </c>
      <c r="I107" s="90">
        <v>0.64</v>
      </c>
      <c r="J107" s="90" t="s">
        <v>381</v>
      </c>
      <c r="K107" s="90">
        <v>8.7483686509E-4</v>
      </c>
      <c r="L107" s="90">
        <v>3695.55204772562</v>
      </c>
      <c r="M107" s="90">
        <v>8.2785820824438403</v>
      </c>
      <c r="N107" s="90">
        <v>1.10264367101645</v>
      </c>
      <c r="O107" s="90">
        <v>7.2424087963899996E-3</v>
      </c>
      <c r="P107" s="90">
        <v>9.6463333245999996E-4</v>
      </c>
      <c r="Q107" s="90">
        <v>3.23300516820921</v>
      </c>
      <c r="R107" s="90">
        <v>1850</v>
      </c>
      <c r="S107" s="90" t="s">
        <v>388</v>
      </c>
      <c r="T107" s="90">
        <v>1850</v>
      </c>
      <c r="U107" s="90" t="s">
        <v>382</v>
      </c>
      <c r="V107" s="90" t="s">
        <v>381</v>
      </c>
      <c r="Z107" s="90">
        <v>0</v>
      </c>
      <c r="AA107" s="90">
        <v>1</v>
      </c>
      <c r="AB107" s="90">
        <v>7.2424087963899996E-3</v>
      </c>
      <c r="AC107" s="90">
        <v>9.6463333245999996E-4</v>
      </c>
      <c r="AD107" s="90">
        <v>3.23300516820952</v>
      </c>
      <c r="AF107" s="90">
        <v>-1</v>
      </c>
      <c r="AG107" s="90">
        <v>-1</v>
      </c>
      <c r="AH107" s="90">
        <v>-1</v>
      </c>
      <c r="AI107" s="90">
        <v>-1</v>
      </c>
      <c r="AJ107" s="90">
        <v>0</v>
      </c>
      <c r="AM107" s="90" t="s">
        <v>379</v>
      </c>
      <c r="AN107" s="90">
        <v>-1</v>
      </c>
      <c r="AQ107" s="90">
        <v>356</v>
      </c>
      <c r="AR107" s="90" t="s">
        <v>380</v>
      </c>
      <c r="AS107" s="90" t="s">
        <v>246</v>
      </c>
      <c r="AT107" s="90" t="s">
        <v>244</v>
      </c>
      <c r="AU107" s="90">
        <v>175.87190000000001</v>
      </c>
      <c r="AV107" s="90">
        <v>7.6084566154215496</v>
      </c>
      <c r="AW107" s="90">
        <v>3.5403391860420799</v>
      </c>
      <c r="AX107" s="90">
        <v>2.6220642E-3</v>
      </c>
    </row>
    <row r="108" spans="1:50" x14ac:dyDescent="0.25">
      <c r="A108" s="102">
        <v>830000</v>
      </c>
      <c r="B108" s="102">
        <v>2400000</v>
      </c>
      <c r="C108" s="102">
        <v>2400000</v>
      </c>
      <c r="D108" s="90" t="s">
        <v>374</v>
      </c>
      <c r="E108" s="90" t="s">
        <v>68</v>
      </c>
      <c r="F108" s="90" t="s">
        <v>375</v>
      </c>
      <c r="G108" s="90" t="s">
        <v>376</v>
      </c>
      <c r="H108" s="90">
        <v>0.59</v>
      </c>
      <c r="I108" s="90">
        <v>0.64</v>
      </c>
      <c r="J108" s="90" t="s">
        <v>389</v>
      </c>
      <c r="K108" s="90">
        <v>1.346530917826E-2</v>
      </c>
      <c r="L108" s="90">
        <v>3695.55204772562</v>
      </c>
      <c r="M108" s="90">
        <v>8.2785820824438403</v>
      </c>
      <c r="N108" s="90">
        <v>1.10264367101645</v>
      </c>
      <c r="O108" s="90">
        <v>0.11147366729777</v>
      </c>
      <c r="P108" s="90">
        <v>1.4847437943689999E-2</v>
      </c>
      <c r="Q108" s="90">
        <v>49.761750907006899</v>
      </c>
      <c r="R108" s="90">
        <v>4200</v>
      </c>
      <c r="S108" s="90" t="s">
        <v>390</v>
      </c>
      <c r="T108" s="90">
        <v>4200</v>
      </c>
      <c r="U108" s="90" t="s">
        <v>378</v>
      </c>
      <c r="V108" s="90" t="s">
        <v>244</v>
      </c>
      <c r="Y108" s="90" t="s">
        <v>389</v>
      </c>
      <c r="Z108" s="90">
        <v>0</v>
      </c>
      <c r="AA108" s="90">
        <v>1</v>
      </c>
      <c r="AB108" s="90">
        <v>0.11147366729777</v>
      </c>
      <c r="AC108" s="90">
        <v>1.4847437943689999E-2</v>
      </c>
      <c r="AD108" s="90">
        <v>49.761750907006203</v>
      </c>
      <c r="AF108" s="90">
        <v>-1</v>
      </c>
      <c r="AG108" s="90">
        <v>-1</v>
      </c>
      <c r="AH108" s="90">
        <v>-1</v>
      </c>
      <c r="AI108" s="90">
        <v>-1</v>
      </c>
      <c r="AJ108" s="90">
        <v>0</v>
      </c>
      <c r="AM108" s="90" t="s">
        <v>379</v>
      </c>
      <c r="AN108" s="90">
        <v>-1</v>
      </c>
      <c r="AQ108" s="90">
        <v>356</v>
      </c>
      <c r="AR108" s="90" t="s">
        <v>380</v>
      </c>
      <c r="AS108" s="90" t="s">
        <v>246</v>
      </c>
      <c r="AT108" s="90" t="s">
        <v>244</v>
      </c>
      <c r="AU108" s="90">
        <v>175.87190000000001</v>
      </c>
      <c r="AV108" s="90">
        <v>46.195542338906598</v>
      </c>
      <c r="AW108" s="90">
        <v>54.492172927674602</v>
      </c>
      <c r="AX108" s="90">
        <v>4.0358273200000003E-2</v>
      </c>
    </row>
    <row r="109" spans="1:50" x14ac:dyDescent="0.25">
      <c r="A109" s="102">
        <v>830000</v>
      </c>
      <c r="B109" s="102">
        <v>2400000</v>
      </c>
      <c r="C109" s="102">
        <v>2400000</v>
      </c>
      <c r="D109" s="90" t="s">
        <v>374</v>
      </c>
      <c r="E109" s="90" t="s">
        <v>68</v>
      </c>
      <c r="F109" s="90" t="s">
        <v>375</v>
      </c>
      <c r="G109" s="90" t="s">
        <v>376</v>
      </c>
      <c r="H109" s="90">
        <v>0.59</v>
      </c>
      <c r="I109" s="90">
        <v>0.64</v>
      </c>
      <c r="J109" s="90" t="s">
        <v>381</v>
      </c>
      <c r="K109" s="90">
        <v>2.6997457959290001E-2</v>
      </c>
      <c r="L109" s="90">
        <v>3695.55204772562</v>
      </c>
      <c r="M109" s="90">
        <v>8.2785820824438403</v>
      </c>
      <c r="N109" s="90">
        <v>1.10264367101645</v>
      </c>
      <c r="O109" s="90">
        <v>0.22350067173335</v>
      </c>
      <c r="P109" s="90">
        <v>2.9768576152349999E-2</v>
      </c>
      <c r="Q109" s="90">
        <v>99.770511044862801</v>
      </c>
      <c r="R109" s="90">
        <v>4200</v>
      </c>
      <c r="S109" s="90" t="s">
        <v>390</v>
      </c>
      <c r="T109" s="90">
        <v>4200</v>
      </c>
      <c r="U109" s="90" t="s">
        <v>382</v>
      </c>
      <c r="V109" s="90" t="s">
        <v>381</v>
      </c>
      <c r="Y109" s="90" t="s">
        <v>389</v>
      </c>
      <c r="Z109" s="90">
        <v>0</v>
      </c>
      <c r="AA109" s="90">
        <v>1</v>
      </c>
      <c r="AB109" s="90">
        <v>0.22350067173335</v>
      </c>
      <c r="AC109" s="90">
        <v>2.9768576152349999E-2</v>
      </c>
      <c r="AD109" s="90">
        <v>99.770511044862104</v>
      </c>
      <c r="AF109" s="90">
        <v>-1</v>
      </c>
      <c r="AG109" s="90">
        <v>-1</v>
      </c>
      <c r="AH109" s="90">
        <v>-1</v>
      </c>
      <c r="AI109" s="90">
        <v>-1</v>
      </c>
      <c r="AJ109" s="90">
        <v>0</v>
      </c>
      <c r="AM109" s="90" t="s">
        <v>379</v>
      </c>
      <c r="AN109" s="90">
        <v>-1</v>
      </c>
      <c r="AQ109" s="90">
        <v>356</v>
      </c>
      <c r="AR109" s="90" t="s">
        <v>380</v>
      </c>
      <c r="AS109" s="90" t="s">
        <v>246</v>
      </c>
      <c r="AT109" s="90" t="s">
        <v>244</v>
      </c>
      <c r="AU109" s="90">
        <v>175.87190000000001</v>
      </c>
      <c r="AV109" s="90">
        <v>101.607189477189</v>
      </c>
      <c r="AW109" s="90">
        <v>109.25483613105</v>
      </c>
      <c r="AX109" s="90">
        <v>8.0916878400000003E-2</v>
      </c>
    </row>
    <row r="110" spans="1:50" x14ac:dyDescent="0.25">
      <c r="A110" s="102">
        <v>830000</v>
      </c>
      <c r="B110" s="102">
        <v>2400000</v>
      </c>
      <c r="C110" s="102">
        <v>2400000</v>
      </c>
      <c r="D110" s="90" t="s">
        <v>374</v>
      </c>
      <c r="E110" s="90" t="s">
        <v>68</v>
      </c>
      <c r="F110" s="90" t="s">
        <v>375</v>
      </c>
      <c r="G110" s="90" t="s">
        <v>376</v>
      </c>
      <c r="H110" s="90">
        <v>0.59</v>
      </c>
      <c r="I110" s="90">
        <v>0.64</v>
      </c>
      <c r="J110" s="90" t="s">
        <v>381</v>
      </c>
      <c r="K110" s="90">
        <v>0.27236113182246002</v>
      </c>
      <c r="L110" s="90">
        <v>3695.55204772562</v>
      </c>
      <c r="M110" s="90">
        <v>8.2785820824438403</v>
      </c>
      <c r="N110" s="90">
        <v>1.10264367101645</v>
      </c>
      <c r="O110" s="90">
        <v>2.2547639858595501</v>
      </c>
      <c r="P110" s="90">
        <v>0.30031727823491</v>
      </c>
      <c r="Q110" s="90">
        <v>1006.52473842736</v>
      </c>
      <c r="R110" s="90">
        <v>8140</v>
      </c>
      <c r="S110" s="90" t="s">
        <v>386</v>
      </c>
      <c r="T110" s="90">
        <v>8140</v>
      </c>
      <c r="U110" s="90" t="s">
        <v>382</v>
      </c>
      <c r="V110" s="90" t="s">
        <v>381</v>
      </c>
      <c r="Z110" s="90">
        <v>0</v>
      </c>
      <c r="AA110" s="90">
        <v>1</v>
      </c>
      <c r="AB110" s="90">
        <v>2.2547639858595501</v>
      </c>
      <c r="AC110" s="90">
        <v>0.30031727823491</v>
      </c>
      <c r="AD110" s="90">
        <v>1006.52473842736</v>
      </c>
      <c r="AF110" s="90">
        <v>-1</v>
      </c>
      <c r="AG110" s="90">
        <v>-1</v>
      </c>
      <c r="AH110" s="90">
        <v>-1</v>
      </c>
      <c r="AI110" s="90">
        <v>-1</v>
      </c>
      <c r="AJ110" s="90">
        <v>0</v>
      </c>
      <c r="AM110" s="90" t="s">
        <v>379</v>
      </c>
      <c r="AN110" s="90">
        <v>-1</v>
      </c>
      <c r="AQ110" s="90">
        <v>356</v>
      </c>
      <c r="AR110" s="90" t="s">
        <v>380</v>
      </c>
      <c r="AS110" s="90" t="s">
        <v>246</v>
      </c>
      <c r="AT110" s="90" t="s">
        <v>244</v>
      </c>
      <c r="AU110" s="90">
        <v>175.87190000000001</v>
      </c>
      <c r="AV110" s="90">
        <v>144.01674462561101</v>
      </c>
      <c r="AW110" s="90">
        <v>1102.20639552786</v>
      </c>
      <c r="AX110" s="90">
        <v>0.81632176680000001</v>
      </c>
    </row>
    <row r="111" spans="1:50" x14ac:dyDescent="0.25">
      <c r="A111" s="102">
        <v>830000</v>
      </c>
      <c r="B111" s="102">
        <v>2400000</v>
      </c>
      <c r="C111" s="102">
        <v>2400000</v>
      </c>
      <c r="D111" s="90" t="s">
        <v>374</v>
      </c>
      <c r="E111" s="90" t="s">
        <v>68</v>
      </c>
      <c r="F111" s="90" t="s">
        <v>375</v>
      </c>
      <c r="G111" s="90" t="s">
        <v>376</v>
      </c>
      <c r="H111" s="90">
        <v>0.59</v>
      </c>
      <c r="I111" s="90">
        <v>0.64</v>
      </c>
      <c r="J111" s="90" t="s">
        <v>244</v>
      </c>
      <c r="K111" s="90">
        <v>0.25153924670395</v>
      </c>
      <c r="L111" s="90">
        <v>3750.1091972255799</v>
      </c>
      <c r="M111" s="90">
        <v>10.7893514266111</v>
      </c>
      <c r="N111" s="90">
        <v>2.0788821302882599</v>
      </c>
      <c r="O111" s="90">
        <v>2.7139453302739902</v>
      </c>
      <c r="P111" s="90">
        <v>0.52292044503902002</v>
      </c>
      <c r="Q111" s="90">
        <v>943.29964252769196</v>
      </c>
      <c r="R111" s="90">
        <v>1300</v>
      </c>
      <c r="S111" s="90" t="s">
        <v>387</v>
      </c>
      <c r="T111" s="90">
        <v>1300</v>
      </c>
      <c r="U111" s="90" t="s">
        <v>378</v>
      </c>
      <c r="V111" s="90" t="s">
        <v>244</v>
      </c>
      <c r="Z111" s="90">
        <v>0</v>
      </c>
      <c r="AA111" s="90">
        <v>1</v>
      </c>
      <c r="AB111" s="90">
        <v>2.7139453302739902</v>
      </c>
      <c r="AC111" s="90">
        <v>0.52292044503902002</v>
      </c>
      <c r="AD111" s="90">
        <v>943.29964252769196</v>
      </c>
      <c r="AF111" s="90">
        <v>-1</v>
      </c>
      <c r="AG111" s="90">
        <v>-1</v>
      </c>
      <c r="AH111" s="90">
        <v>-1</v>
      </c>
      <c r="AI111" s="90">
        <v>-1</v>
      </c>
      <c r="AJ111" s="90">
        <v>0</v>
      </c>
      <c r="AM111" s="90" t="s">
        <v>379</v>
      </c>
      <c r="AN111" s="90">
        <v>-1</v>
      </c>
      <c r="AQ111" s="90">
        <v>356</v>
      </c>
      <c r="AR111" s="90" t="s">
        <v>380</v>
      </c>
      <c r="AS111" s="90" t="s">
        <v>246</v>
      </c>
      <c r="AT111" s="90" t="s">
        <v>244</v>
      </c>
      <c r="AU111" s="90">
        <v>175.87190000000001</v>
      </c>
      <c r="AV111" s="90">
        <v>141.121142388648</v>
      </c>
      <c r="AW111" s="90">
        <v>1017.94321600955</v>
      </c>
      <c r="AX111" s="90">
        <v>0.76504431669999995</v>
      </c>
    </row>
    <row r="112" spans="1:50" x14ac:dyDescent="0.25">
      <c r="A112" s="102">
        <v>830000</v>
      </c>
      <c r="B112" s="102">
        <v>2400000</v>
      </c>
      <c r="C112" s="102">
        <v>2400000</v>
      </c>
      <c r="D112" s="90" t="s">
        <v>374</v>
      </c>
      <c r="E112" s="90" t="s">
        <v>68</v>
      </c>
      <c r="F112" s="90" t="s">
        <v>375</v>
      </c>
      <c r="G112" s="90" t="s">
        <v>376</v>
      </c>
      <c r="H112" s="90">
        <v>0.59</v>
      </c>
      <c r="I112" s="90">
        <v>0.64</v>
      </c>
      <c r="J112" s="90" t="s">
        <v>244</v>
      </c>
      <c r="K112" s="90">
        <v>0.61776345366790997</v>
      </c>
      <c r="L112" s="90">
        <v>3882.5384877016299</v>
      </c>
      <c r="M112" s="90">
        <v>8.6413750175454407</v>
      </c>
      <c r="N112" s="90">
        <v>1.1734419274530901</v>
      </c>
      <c r="O112" s="90">
        <v>5.3383256752784902</v>
      </c>
      <c r="P112" s="90">
        <v>0.72490953778214995</v>
      </c>
      <c r="Q112" s="90">
        <v>2398.4903851611498</v>
      </c>
      <c r="R112" s="90">
        <v>1450</v>
      </c>
      <c r="S112" s="90" t="s">
        <v>391</v>
      </c>
      <c r="T112" s="90">
        <v>1450</v>
      </c>
      <c r="U112" s="90" t="s">
        <v>378</v>
      </c>
      <c r="V112" s="90" t="s">
        <v>244</v>
      </c>
      <c r="Z112" s="90">
        <v>0</v>
      </c>
      <c r="AA112" s="90">
        <v>1</v>
      </c>
      <c r="AB112" s="90">
        <v>5.3383256752784902</v>
      </c>
      <c r="AC112" s="90">
        <v>0.72490953778214995</v>
      </c>
      <c r="AD112" s="90">
        <v>2398.4903851611498</v>
      </c>
      <c r="AF112" s="90">
        <v>-1</v>
      </c>
      <c r="AG112" s="90">
        <v>-1</v>
      </c>
      <c r="AH112" s="90">
        <v>-1</v>
      </c>
      <c r="AI112" s="90">
        <v>-1</v>
      </c>
      <c r="AJ112" s="90">
        <v>0</v>
      </c>
      <c r="AM112" s="90" t="s">
        <v>379</v>
      </c>
      <c r="AN112" s="90">
        <v>-1</v>
      </c>
      <c r="AQ112" s="90">
        <v>356</v>
      </c>
      <c r="AR112" s="90" t="s">
        <v>380</v>
      </c>
      <c r="AS112" s="90" t="s">
        <v>246</v>
      </c>
      <c r="AT112" s="90" t="s">
        <v>244</v>
      </c>
      <c r="AU112" s="90">
        <v>175.87190000000001</v>
      </c>
      <c r="AV112" s="90">
        <v>200</v>
      </c>
      <c r="AW112" s="90">
        <v>2500</v>
      </c>
      <c r="AX112" s="90">
        <v>1.9452476765</v>
      </c>
    </row>
    <row r="113" spans="1:50" x14ac:dyDescent="0.25">
      <c r="A113" s="102">
        <v>830000</v>
      </c>
      <c r="B113" s="102">
        <v>2400000</v>
      </c>
      <c r="C113" s="102">
        <v>2400000</v>
      </c>
      <c r="D113" s="90" t="s">
        <v>374</v>
      </c>
      <c r="E113" s="90" t="s">
        <v>68</v>
      </c>
      <c r="F113" s="90" t="s">
        <v>375</v>
      </c>
      <c r="G113" s="90" t="s">
        <v>376</v>
      </c>
      <c r="H113" s="90">
        <v>0.59</v>
      </c>
      <c r="I113" s="90">
        <v>0.64</v>
      </c>
      <c r="J113" s="90" t="s">
        <v>244</v>
      </c>
      <c r="K113" s="90">
        <v>0.60890183773235995</v>
      </c>
      <c r="L113" s="90">
        <v>3746.2716030384199</v>
      </c>
      <c r="M113" s="90">
        <v>10.778632388793801</v>
      </c>
      <c r="N113" s="90">
        <v>2.0768542522636202</v>
      </c>
      <c r="O113" s="90">
        <v>6.5631290697781397</v>
      </c>
      <c r="P113" s="90">
        <v>1.26460037090559</v>
      </c>
      <c r="Q113" s="90">
        <v>2281.1116637346599</v>
      </c>
      <c r="R113" s="90">
        <v>1300</v>
      </c>
      <c r="S113" s="90" t="s">
        <v>387</v>
      </c>
      <c r="T113" s="90">
        <v>1300</v>
      </c>
      <c r="U113" s="90" t="s">
        <v>378</v>
      </c>
      <c r="V113" s="90" t="s">
        <v>244</v>
      </c>
      <c r="Z113" s="90">
        <v>0</v>
      </c>
      <c r="AA113" s="90">
        <v>1</v>
      </c>
      <c r="AB113" s="90">
        <v>6.5631290697781397</v>
      </c>
      <c r="AC113" s="90">
        <v>1.26460037090559</v>
      </c>
      <c r="AD113" s="90">
        <v>2281.1116637346599</v>
      </c>
      <c r="AF113" s="90">
        <v>-1</v>
      </c>
      <c r="AG113" s="90">
        <v>-1</v>
      </c>
      <c r="AH113" s="90">
        <v>-1</v>
      </c>
      <c r="AI113" s="90">
        <v>-1</v>
      </c>
      <c r="AJ113" s="90">
        <v>0</v>
      </c>
      <c r="AM113" s="90" t="s">
        <v>379</v>
      </c>
      <c r="AN113" s="90">
        <v>-1</v>
      </c>
      <c r="AQ113" s="90">
        <v>356</v>
      </c>
      <c r="AR113" s="90" t="s">
        <v>380</v>
      </c>
      <c r="AS113" s="90" t="s">
        <v>246</v>
      </c>
      <c r="AT113" s="90" t="s">
        <v>244</v>
      </c>
      <c r="AU113" s="90">
        <v>175.87190000000001</v>
      </c>
      <c r="AV113" s="90">
        <v>200.216398157805</v>
      </c>
      <c r="AW113" s="90">
        <v>2464.1383126383698</v>
      </c>
      <c r="AX113" s="90">
        <v>1.8500500111</v>
      </c>
    </row>
    <row r="114" spans="1:50" x14ac:dyDescent="0.25">
      <c r="A114" s="102">
        <v>830000</v>
      </c>
      <c r="B114" s="102">
        <v>2400000</v>
      </c>
      <c r="C114" s="102">
        <v>2400000</v>
      </c>
      <c r="D114" s="90" t="s">
        <v>374</v>
      </c>
      <c r="E114" s="90" t="s">
        <v>68</v>
      </c>
      <c r="F114" s="90" t="s">
        <v>375</v>
      </c>
      <c r="G114" s="90" t="s">
        <v>376</v>
      </c>
      <c r="H114" s="90">
        <v>0.59</v>
      </c>
      <c r="I114" s="90">
        <v>0.64</v>
      </c>
      <c r="J114" s="90" t="s">
        <v>244</v>
      </c>
      <c r="K114" s="90">
        <v>8.8616158895200008E-3</v>
      </c>
      <c r="L114" s="90">
        <v>3746.2716030384199</v>
      </c>
      <c r="M114" s="90">
        <v>10.778632388793801</v>
      </c>
      <c r="N114" s="90">
        <v>2.0768542522636202</v>
      </c>
      <c r="O114" s="90">
        <v>9.5516100043880003E-2</v>
      </c>
      <c r="P114" s="90">
        <v>1.840428464208E-2</v>
      </c>
      <c r="Q114" s="90">
        <v>33.198019963961599</v>
      </c>
      <c r="R114" s="90">
        <v>1300</v>
      </c>
      <c r="S114" s="90" t="s">
        <v>387</v>
      </c>
      <c r="T114" s="90">
        <v>1300</v>
      </c>
      <c r="U114" s="90" t="s">
        <v>378</v>
      </c>
      <c r="V114" s="90" t="s">
        <v>244</v>
      </c>
      <c r="Z114" s="90">
        <v>0</v>
      </c>
      <c r="AA114" s="90">
        <v>1</v>
      </c>
      <c r="AB114" s="90">
        <v>9.5516100043880003E-2</v>
      </c>
      <c r="AC114" s="90">
        <v>1.840428464208E-2</v>
      </c>
      <c r="AD114" s="90">
        <v>33.198019963960697</v>
      </c>
      <c r="AF114" s="90">
        <v>-1</v>
      </c>
      <c r="AG114" s="90">
        <v>-1</v>
      </c>
      <c r="AH114" s="90">
        <v>-1</v>
      </c>
      <c r="AI114" s="90">
        <v>-1</v>
      </c>
      <c r="AJ114" s="90">
        <v>0</v>
      </c>
      <c r="AM114" s="90" t="s">
        <v>379</v>
      </c>
      <c r="AN114" s="90">
        <v>-1</v>
      </c>
      <c r="AQ114" s="90">
        <v>356</v>
      </c>
      <c r="AR114" s="90" t="s">
        <v>380</v>
      </c>
      <c r="AS114" s="90" t="s">
        <v>246</v>
      </c>
      <c r="AT114" s="90" t="s">
        <v>244</v>
      </c>
      <c r="AU114" s="90">
        <v>175.87190000000001</v>
      </c>
      <c r="AV114" s="90">
        <v>25.245630358040099</v>
      </c>
      <c r="AW114" s="90">
        <v>35.861687175365098</v>
      </c>
      <c r="AX114" s="90">
        <v>2.69245904E-2</v>
      </c>
    </row>
    <row r="115" spans="1:50" x14ac:dyDescent="0.25">
      <c r="A115" s="102">
        <v>830000</v>
      </c>
      <c r="B115" s="102">
        <v>2400000</v>
      </c>
      <c r="C115" s="102">
        <v>2400000</v>
      </c>
      <c r="D115" s="90" t="s">
        <v>374</v>
      </c>
      <c r="E115" s="90" t="s">
        <v>68</v>
      </c>
      <c r="F115" s="90" t="s">
        <v>375</v>
      </c>
      <c r="G115" s="90" t="s">
        <v>376</v>
      </c>
      <c r="H115" s="90">
        <v>0.59</v>
      </c>
      <c r="I115" s="90">
        <v>0.64</v>
      </c>
      <c r="J115" s="90" t="s">
        <v>244</v>
      </c>
      <c r="K115" s="90">
        <v>0.16330284336484999</v>
      </c>
      <c r="L115" s="90">
        <v>3752.2226586187398</v>
      </c>
      <c r="M115" s="90">
        <v>10.7949453507503</v>
      </c>
      <c r="N115" s="90">
        <v>2.0799033542439598</v>
      </c>
      <c r="O115" s="90">
        <v>1.7628452697457799</v>
      </c>
      <c r="P115" s="90">
        <v>0.33965413167213998</v>
      </c>
      <c r="Q115" s="90">
        <v>612.74862909048795</v>
      </c>
      <c r="R115" s="90">
        <v>1300</v>
      </c>
      <c r="S115" s="90" t="s">
        <v>387</v>
      </c>
      <c r="T115" s="90">
        <v>1300</v>
      </c>
      <c r="U115" s="90" t="s">
        <v>378</v>
      </c>
      <c r="V115" s="90" t="s">
        <v>244</v>
      </c>
      <c r="Z115" s="90">
        <v>0</v>
      </c>
      <c r="AA115" s="90">
        <v>1</v>
      </c>
      <c r="AB115" s="90">
        <v>1.7628452697457799</v>
      </c>
      <c r="AC115" s="90">
        <v>0.33965413167213998</v>
      </c>
      <c r="AD115" s="90">
        <v>612.74862909048795</v>
      </c>
      <c r="AF115" s="90">
        <v>-1</v>
      </c>
      <c r="AG115" s="90">
        <v>-1</v>
      </c>
      <c r="AH115" s="90">
        <v>-1</v>
      </c>
      <c r="AI115" s="90">
        <v>-1</v>
      </c>
      <c r="AJ115" s="90">
        <v>0</v>
      </c>
      <c r="AM115" s="90" t="s">
        <v>379</v>
      </c>
      <c r="AN115" s="90">
        <v>-1</v>
      </c>
      <c r="AQ115" s="90">
        <v>356</v>
      </c>
      <c r="AR115" s="90" t="s">
        <v>380</v>
      </c>
      <c r="AS115" s="90" t="s">
        <v>246</v>
      </c>
      <c r="AT115" s="90" t="s">
        <v>244</v>
      </c>
      <c r="AU115" s="90">
        <v>175.87190000000001</v>
      </c>
      <c r="AV115" s="90">
        <v>102.675343545315</v>
      </c>
      <c r="AW115" s="90">
        <v>660.86316046725597</v>
      </c>
      <c r="AX115" s="90">
        <v>0.49695752560000001</v>
      </c>
    </row>
    <row r="116" spans="1:50" x14ac:dyDescent="0.25">
      <c r="A116" s="102">
        <v>830000</v>
      </c>
      <c r="B116" s="102">
        <v>2400000</v>
      </c>
      <c r="C116" s="102">
        <v>2400000</v>
      </c>
      <c r="D116" s="90" t="s">
        <v>374</v>
      </c>
      <c r="E116" s="90" t="s">
        <v>68</v>
      </c>
      <c r="F116" s="90" t="s">
        <v>375</v>
      </c>
      <c r="G116" s="90" t="s">
        <v>376</v>
      </c>
      <c r="H116" s="90">
        <v>0.59</v>
      </c>
      <c r="I116" s="90">
        <v>0.64</v>
      </c>
      <c r="J116" s="90" t="s">
        <v>244</v>
      </c>
      <c r="K116" s="90">
        <v>0.14727351791623</v>
      </c>
      <c r="L116" s="90">
        <v>3752.2226586187398</v>
      </c>
      <c r="M116" s="90">
        <v>10.7949453507503</v>
      </c>
      <c r="N116" s="90">
        <v>2.0799033542439598</v>
      </c>
      <c r="O116" s="90">
        <v>1.5898095775185099</v>
      </c>
      <c r="P116" s="90">
        <v>0.30631468390527999</v>
      </c>
      <c r="Q116" s="90">
        <v>552.60303093979405</v>
      </c>
      <c r="R116" s="90">
        <v>1300</v>
      </c>
      <c r="S116" s="90" t="s">
        <v>387</v>
      </c>
      <c r="T116" s="90">
        <v>1300</v>
      </c>
      <c r="U116" s="90" t="s">
        <v>378</v>
      </c>
      <c r="V116" s="90" t="s">
        <v>244</v>
      </c>
      <c r="Z116" s="90">
        <v>0</v>
      </c>
      <c r="AA116" s="90">
        <v>1</v>
      </c>
      <c r="AB116" s="90">
        <v>1.5898095775185099</v>
      </c>
      <c r="AC116" s="90">
        <v>0.30631468390527999</v>
      </c>
      <c r="AD116" s="90">
        <v>556.33761893333701</v>
      </c>
      <c r="AF116" s="90">
        <v>-1</v>
      </c>
      <c r="AG116" s="90">
        <v>-1</v>
      </c>
      <c r="AH116" s="90">
        <v>-1</v>
      </c>
      <c r="AI116" s="90">
        <v>-1</v>
      </c>
      <c r="AJ116" s="90">
        <v>0</v>
      </c>
      <c r="AM116" s="90" t="s">
        <v>379</v>
      </c>
      <c r="AN116" s="90">
        <v>-1</v>
      </c>
      <c r="AQ116" s="90">
        <v>356</v>
      </c>
      <c r="AR116" s="90" t="s">
        <v>380</v>
      </c>
      <c r="AS116" s="90" t="s">
        <v>246</v>
      </c>
      <c r="AT116" s="90" t="s">
        <v>244</v>
      </c>
      <c r="AU116" s="90">
        <v>175.87190000000001</v>
      </c>
      <c r="AV116" s="90">
        <v>97.6345534234719</v>
      </c>
      <c r="AW116" s="90">
        <v>595.99478182875896</v>
      </c>
      <c r="AX116" s="90">
        <v>0.45120650359999998</v>
      </c>
    </row>
    <row r="117" spans="1:50" x14ac:dyDescent="0.25">
      <c r="A117" s="102">
        <v>830000</v>
      </c>
      <c r="B117" s="102">
        <v>2400000</v>
      </c>
      <c r="C117" s="102">
        <v>2400000</v>
      </c>
      <c r="D117" s="90" t="s">
        <v>374</v>
      </c>
      <c r="E117" s="90" t="s">
        <v>68</v>
      </c>
      <c r="F117" s="90" t="s">
        <v>375</v>
      </c>
      <c r="G117" s="90" t="s">
        <v>376</v>
      </c>
      <c r="H117" s="90">
        <v>0.59</v>
      </c>
      <c r="I117" s="90">
        <v>0.64</v>
      </c>
      <c r="J117" s="90" t="s">
        <v>244</v>
      </c>
      <c r="K117" s="90">
        <v>0.11292096292330001</v>
      </c>
      <c r="L117" s="90">
        <v>3757.09892815377</v>
      </c>
      <c r="M117" s="90">
        <v>11.9644391830403</v>
      </c>
      <c r="N117" s="90">
        <v>1.72917163102393</v>
      </c>
      <c r="O117" s="90">
        <v>1.3510359933862699</v>
      </c>
      <c r="P117" s="90">
        <v>0.19525972563488</v>
      </c>
      <c r="Q117" s="90">
        <v>424.25522876525298</v>
      </c>
      <c r="R117" s="90">
        <v>1300</v>
      </c>
      <c r="S117" s="90" t="s">
        <v>387</v>
      </c>
      <c r="T117" s="90">
        <v>1300</v>
      </c>
      <c r="U117" s="90" t="s">
        <v>378</v>
      </c>
      <c r="V117" s="90" t="s">
        <v>244</v>
      </c>
      <c r="Z117" s="90">
        <v>0</v>
      </c>
      <c r="AA117" s="90">
        <v>1</v>
      </c>
      <c r="AB117" s="90">
        <v>1.3510359933862699</v>
      </c>
      <c r="AC117" s="90">
        <v>0.19525972563488</v>
      </c>
      <c r="AD117" s="90">
        <v>424.25522876525298</v>
      </c>
      <c r="AF117" s="90">
        <v>-1</v>
      </c>
      <c r="AG117" s="90">
        <v>-1</v>
      </c>
      <c r="AH117" s="90">
        <v>-1</v>
      </c>
      <c r="AI117" s="90">
        <v>-1</v>
      </c>
      <c r="AJ117" s="90">
        <v>0</v>
      </c>
      <c r="AM117" s="90" t="s">
        <v>379</v>
      </c>
      <c r="AN117" s="90">
        <v>-1</v>
      </c>
      <c r="AQ117" s="90">
        <v>356</v>
      </c>
      <c r="AR117" s="90" t="s">
        <v>380</v>
      </c>
      <c r="AS117" s="90" t="s">
        <v>246</v>
      </c>
      <c r="AT117" s="90" t="s">
        <v>244</v>
      </c>
      <c r="AU117" s="90">
        <v>175.87190000000001</v>
      </c>
      <c r="AV117" s="90">
        <v>118.28741044951001</v>
      </c>
      <c r="AW117" s="90">
        <v>456.97492402978202</v>
      </c>
      <c r="AX117" s="90">
        <v>0.3440837216</v>
      </c>
    </row>
    <row r="118" spans="1:50" x14ac:dyDescent="0.25">
      <c r="A118" s="102">
        <v>830000</v>
      </c>
      <c r="B118" s="102">
        <v>2400000</v>
      </c>
      <c r="C118" s="102">
        <v>2400000</v>
      </c>
      <c r="D118" s="90" t="s">
        <v>374</v>
      </c>
      <c r="E118" s="90" t="s">
        <v>68</v>
      </c>
      <c r="F118" s="90" t="s">
        <v>375</v>
      </c>
      <c r="G118" s="90" t="s">
        <v>376</v>
      </c>
      <c r="H118" s="90">
        <v>0.59</v>
      </c>
      <c r="I118" s="90">
        <v>0.64</v>
      </c>
      <c r="J118" s="90" t="s">
        <v>244</v>
      </c>
      <c r="K118" s="90">
        <v>4.0398292593690002E-2</v>
      </c>
      <c r="L118" s="90">
        <v>3757.09892815377</v>
      </c>
      <c r="M118" s="90">
        <v>11.9644391830403</v>
      </c>
      <c r="N118" s="90">
        <v>1.72917163102393</v>
      </c>
      <c r="O118" s="90">
        <v>0.48334291483598002</v>
      </c>
      <c r="P118" s="90">
        <v>6.9855581494820004E-2</v>
      </c>
      <c r="Q118" s="90">
        <v>151.780381803029</v>
      </c>
      <c r="R118" s="90">
        <v>1400</v>
      </c>
      <c r="S118" s="90" t="s">
        <v>324</v>
      </c>
      <c r="T118" s="90">
        <v>1400</v>
      </c>
      <c r="U118" s="90" t="s">
        <v>378</v>
      </c>
      <c r="V118" s="90" t="s">
        <v>244</v>
      </c>
      <c r="Z118" s="90">
        <v>0</v>
      </c>
      <c r="AA118" s="90">
        <v>1</v>
      </c>
      <c r="AB118" s="90">
        <v>0.48334291483598002</v>
      </c>
      <c r="AC118" s="90">
        <v>6.9855581494820004E-2</v>
      </c>
      <c r="AD118" s="90">
        <v>151.780381803029</v>
      </c>
      <c r="AF118" s="90">
        <v>-1</v>
      </c>
      <c r="AG118" s="90">
        <v>-1</v>
      </c>
      <c r="AH118" s="90">
        <v>-1</v>
      </c>
      <c r="AI118" s="90">
        <v>-1</v>
      </c>
      <c r="AJ118" s="90">
        <v>0</v>
      </c>
      <c r="AM118" s="90" t="s">
        <v>379</v>
      </c>
      <c r="AN118" s="90">
        <v>-1</v>
      </c>
      <c r="AQ118" s="90">
        <v>356</v>
      </c>
      <c r="AR118" s="90" t="s">
        <v>380</v>
      </c>
      <c r="AS118" s="90" t="s">
        <v>246</v>
      </c>
      <c r="AT118" s="90" t="s">
        <v>244</v>
      </c>
      <c r="AU118" s="90">
        <v>175.87190000000001</v>
      </c>
      <c r="AV118" s="90">
        <v>106.570589489216</v>
      </c>
      <c r="AW118" s="90">
        <v>163.486089836806</v>
      </c>
      <c r="AX118" s="90">
        <v>0.1230984443</v>
      </c>
    </row>
    <row r="119" spans="1:50" x14ac:dyDescent="0.25">
      <c r="A119" s="102">
        <v>830000</v>
      </c>
      <c r="B119" s="102">
        <v>2400000</v>
      </c>
      <c r="C119" s="102">
        <v>2400000</v>
      </c>
      <c r="D119" s="90" t="s">
        <v>374</v>
      </c>
      <c r="E119" s="90" t="s">
        <v>68</v>
      </c>
      <c r="F119" s="90" t="s">
        <v>375</v>
      </c>
      <c r="G119" s="90" t="s">
        <v>376</v>
      </c>
      <c r="H119" s="90">
        <v>0.59</v>
      </c>
      <c r="I119" s="90">
        <v>0.64</v>
      </c>
      <c r="J119" s="90" t="s">
        <v>244</v>
      </c>
      <c r="K119" s="90">
        <v>0.46444419821993999</v>
      </c>
      <c r="L119" s="90">
        <v>3757.09892815377</v>
      </c>
      <c r="M119" s="90">
        <v>11.9644391830403</v>
      </c>
      <c r="N119" s="90">
        <v>1.72917163102393</v>
      </c>
      <c r="O119" s="90">
        <v>5.5568143635184901</v>
      </c>
      <c r="P119" s="90">
        <v>0.80310373175558003</v>
      </c>
      <c r="Q119" s="90">
        <v>1744.9627993193899</v>
      </c>
      <c r="R119" s="90">
        <v>1450</v>
      </c>
      <c r="S119" s="90" t="s">
        <v>391</v>
      </c>
      <c r="T119" s="90">
        <v>1450</v>
      </c>
      <c r="U119" s="90" t="s">
        <v>378</v>
      </c>
      <c r="V119" s="90" t="s">
        <v>244</v>
      </c>
      <c r="Z119" s="90">
        <v>0</v>
      </c>
      <c r="AA119" s="90">
        <v>1</v>
      </c>
      <c r="AB119" s="90">
        <v>5.5568143635184901</v>
      </c>
      <c r="AC119" s="90">
        <v>0.80310373175558003</v>
      </c>
      <c r="AD119" s="90">
        <v>1744.9627993193899</v>
      </c>
      <c r="AF119" s="90">
        <v>-1</v>
      </c>
      <c r="AG119" s="90">
        <v>-1</v>
      </c>
      <c r="AH119" s="90">
        <v>-1</v>
      </c>
      <c r="AI119" s="90">
        <v>-1</v>
      </c>
      <c r="AJ119" s="90">
        <v>0</v>
      </c>
      <c r="AM119" s="90" t="s">
        <v>379</v>
      </c>
      <c r="AN119" s="90">
        <v>-1</v>
      </c>
      <c r="AQ119" s="90">
        <v>356</v>
      </c>
      <c r="AR119" s="90" t="s">
        <v>380</v>
      </c>
      <c r="AS119" s="90" t="s">
        <v>246</v>
      </c>
      <c r="AT119" s="90" t="s">
        <v>244</v>
      </c>
      <c r="AU119" s="90">
        <v>175.87190000000001</v>
      </c>
      <c r="AV119" s="90">
        <v>175.20429186393699</v>
      </c>
      <c r="AW119" s="90">
        <v>1879.5389864128001</v>
      </c>
      <c r="AX119" s="90">
        <v>1.4152171933</v>
      </c>
    </row>
    <row r="120" spans="1:50" x14ac:dyDescent="0.25">
      <c r="A120" s="102">
        <v>830000</v>
      </c>
      <c r="B120" s="102">
        <v>2400000</v>
      </c>
      <c r="C120" s="102">
        <v>2400000</v>
      </c>
      <c r="D120" s="90" t="s">
        <v>374</v>
      </c>
      <c r="E120" s="90" t="s">
        <v>68</v>
      </c>
      <c r="F120" s="90" t="s">
        <v>375</v>
      </c>
      <c r="G120" s="90" t="s">
        <v>376</v>
      </c>
      <c r="H120" s="90">
        <v>0.59</v>
      </c>
      <c r="I120" s="90">
        <v>0.64</v>
      </c>
      <c r="J120" s="90" t="s">
        <v>244</v>
      </c>
      <c r="K120" s="90">
        <v>0.11788310688884999</v>
      </c>
      <c r="L120" s="90">
        <v>3707.9840069332099</v>
      </c>
      <c r="M120" s="90">
        <v>9.3659291684707799</v>
      </c>
      <c r="N120" s="90">
        <v>1.3763109089113601</v>
      </c>
      <c r="O120" s="90">
        <v>1.1040848292802601</v>
      </c>
      <c r="P120" s="90">
        <v>0.16224380598749</v>
      </c>
      <c r="Q120" s="90">
        <v>437.108675031465</v>
      </c>
      <c r="R120" s="90">
        <v>1200</v>
      </c>
      <c r="S120" s="90" t="s">
        <v>384</v>
      </c>
      <c r="T120" s="90">
        <v>1200</v>
      </c>
      <c r="U120" s="90" t="s">
        <v>378</v>
      </c>
      <c r="V120" s="90" t="s">
        <v>244</v>
      </c>
      <c r="Z120" s="90">
        <v>0</v>
      </c>
      <c r="AA120" s="90">
        <v>1</v>
      </c>
      <c r="AB120" s="90">
        <v>1.1040848292802601</v>
      </c>
      <c r="AC120" s="90">
        <v>0.16224380598749</v>
      </c>
      <c r="AD120" s="90">
        <v>437.108675031465</v>
      </c>
      <c r="AF120" s="90">
        <v>-1</v>
      </c>
      <c r="AG120" s="90">
        <v>-1</v>
      </c>
      <c r="AH120" s="90">
        <v>-1</v>
      </c>
      <c r="AI120" s="90">
        <v>-1</v>
      </c>
      <c r="AJ120" s="90">
        <v>0</v>
      </c>
      <c r="AM120" s="90" t="s">
        <v>379</v>
      </c>
      <c r="AN120" s="90">
        <v>-1</v>
      </c>
      <c r="AQ120" s="90">
        <v>356</v>
      </c>
      <c r="AR120" s="90" t="s">
        <v>380</v>
      </c>
      <c r="AS120" s="90" t="s">
        <v>246</v>
      </c>
      <c r="AT120" s="90" t="s">
        <v>244</v>
      </c>
      <c r="AU120" s="90">
        <v>175.87190000000001</v>
      </c>
      <c r="AV120" s="90">
        <v>145.29643596452499</v>
      </c>
      <c r="AW120" s="90">
        <v>477.05600820562</v>
      </c>
      <c r="AX120" s="90">
        <v>0.35450825229999999</v>
      </c>
    </row>
    <row r="121" spans="1:50" x14ac:dyDescent="0.25">
      <c r="A121" s="102">
        <v>830000</v>
      </c>
      <c r="B121" s="102">
        <v>2400000</v>
      </c>
      <c r="C121" s="102">
        <v>2400000</v>
      </c>
      <c r="D121" s="90" t="s">
        <v>374</v>
      </c>
      <c r="E121" s="90" t="s">
        <v>68</v>
      </c>
      <c r="F121" s="90" t="s">
        <v>375</v>
      </c>
      <c r="G121" s="90" t="s">
        <v>376</v>
      </c>
      <c r="H121" s="90">
        <v>0.59</v>
      </c>
      <c r="I121" s="90">
        <v>0.64</v>
      </c>
      <c r="J121" s="90" t="s">
        <v>381</v>
      </c>
      <c r="K121" s="90">
        <v>1.1443946105E-4</v>
      </c>
      <c r="L121" s="90">
        <v>3707.9840069332099</v>
      </c>
      <c r="M121" s="90">
        <v>9.3659291684707799</v>
      </c>
      <c r="N121" s="90">
        <v>1.3763109089113601</v>
      </c>
      <c r="O121" s="90">
        <v>1.0718318863000001E-3</v>
      </c>
      <c r="P121" s="90">
        <v>1.5750427865000001E-4</v>
      </c>
      <c r="Q121" s="90">
        <v>0.42433969134658001</v>
      </c>
      <c r="R121" s="90">
        <v>1200</v>
      </c>
      <c r="S121" s="90" t="s">
        <v>384</v>
      </c>
      <c r="T121" s="90">
        <v>1200</v>
      </c>
      <c r="U121" s="90" t="s">
        <v>382</v>
      </c>
      <c r="V121" s="90" t="s">
        <v>381</v>
      </c>
      <c r="Z121" s="90">
        <v>0</v>
      </c>
      <c r="AA121" s="90">
        <v>1</v>
      </c>
      <c r="AB121" s="90">
        <v>1.0718318863000001E-3</v>
      </c>
      <c r="AC121" s="90">
        <v>1.5750427865000001E-4</v>
      </c>
      <c r="AD121" s="90">
        <v>0.42433969134652</v>
      </c>
      <c r="AF121" s="90">
        <v>-1</v>
      </c>
      <c r="AG121" s="90">
        <v>-1</v>
      </c>
      <c r="AH121" s="90">
        <v>-1</v>
      </c>
      <c r="AI121" s="90">
        <v>-1</v>
      </c>
      <c r="AJ121" s="90">
        <v>0</v>
      </c>
      <c r="AM121" s="90" t="s">
        <v>379</v>
      </c>
      <c r="AN121" s="90">
        <v>-1</v>
      </c>
      <c r="AQ121" s="90">
        <v>356</v>
      </c>
      <c r="AR121" s="90" t="s">
        <v>380</v>
      </c>
      <c r="AS121" s="90" t="s">
        <v>246</v>
      </c>
      <c r="AT121" s="90" t="s">
        <v>244</v>
      </c>
      <c r="AU121" s="90">
        <v>175.87190000000001</v>
      </c>
      <c r="AV121" s="90">
        <v>12.309873618054899</v>
      </c>
      <c r="AW121" s="90">
        <v>0.46312006793825999</v>
      </c>
      <c r="AX121" s="90">
        <v>3.4415219999999998E-4</v>
      </c>
    </row>
    <row r="122" spans="1:50" x14ac:dyDescent="0.25">
      <c r="A122" s="102">
        <v>830000</v>
      </c>
      <c r="B122" s="102">
        <v>2400000</v>
      </c>
      <c r="C122" s="102">
        <v>2400000</v>
      </c>
      <c r="D122" s="90" t="s">
        <v>374</v>
      </c>
      <c r="E122" s="90" t="s">
        <v>68</v>
      </c>
      <c r="F122" s="90" t="s">
        <v>375</v>
      </c>
      <c r="G122" s="90" t="s">
        <v>376</v>
      </c>
      <c r="H122" s="90">
        <v>0.59</v>
      </c>
      <c r="I122" s="90">
        <v>0.64</v>
      </c>
      <c r="J122" s="90" t="s">
        <v>244</v>
      </c>
      <c r="K122" s="90">
        <v>1.8107480136000001E-4</v>
      </c>
      <c r="L122" s="90">
        <v>3707.9840069332099</v>
      </c>
      <c r="M122" s="90">
        <v>9.3659291684707799</v>
      </c>
      <c r="N122" s="90">
        <v>1.3763109089113601</v>
      </c>
      <c r="O122" s="90">
        <v>1.6959337637700001E-3</v>
      </c>
      <c r="P122" s="90">
        <v>2.4921522444000001E-4</v>
      </c>
      <c r="Q122" s="90">
        <v>0.67142246751630996</v>
      </c>
      <c r="R122" s="90">
        <v>1400</v>
      </c>
      <c r="S122" s="90" t="s">
        <v>324</v>
      </c>
      <c r="T122" s="90">
        <v>1400</v>
      </c>
      <c r="U122" s="90" t="s">
        <v>378</v>
      </c>
      <c r="V122" s="90" t="s">
        <v>244</v>
      </c>
      <c r="Z122" s="90">
        <v>0</v>
      </c>
      <c r="AA122" s="90">
        <v>1</v>
      </c>
      <c r="AB122" s="90">
        <v>1.6959337637700001E-3</v>
      </c>
      <c r="AC122" s="90">
        <v>2.4921522444000001E-4</v>
      </c>
      <c r="AD122" s="90">
        <v>0.67142246751609003</v>
      </c>
      <c r="AF122" s="90">
        <v>-1</v>
      </c>
      <c r="AG122" s="90">
        <v>-1</v>
      </c>
      <c r="AH122" s="90">
        <v>-1</v>
      </c>
      <c r="AI122" s="90">
        <v>-1</v>
      </c>
      <c r="AJ122" s="90">
        <v>0</v>
      </c>
      <c r="AM122" s="90" t="s">
        <v>379</v>
      </c>
      <c r="AN122" s="90">
        <v>-1</v>
      </c>
      <c r="AQ122" s="90">
        <v>356</v>
      </c>
      <c r="AR122" s="90" t="s">
        <v>380</v>
      </c>
      <c r="AS122" s="90" t="s">
        <v>246</v>
      </c>
      <c r="AT122" s="90" t="s">
        <v>244</v>
      </c>
      <c r="AU122" s="90">
        <v>175.87190000000001</v>
      </c>
      <c r="AV122" s="90">
        <v>8.7610366144221903</v>
      </c>
      <c r="AW122" s="90">
        <v>0.73278372283446003</v>
      </c>
      <c r="AX122" s="90">
        <v>5.4454380000000004E-4</v>
      </c>
    </row>
    <row r="123" spans="1:50" x14ac:dyDescent="0.25">
      <c r="A123" s="102">
        <v>830000</v>
      </c>
      <c r="B123" s="102">
        <v>2400000</v>
      </c>
      <c r="C123" s="102">
        <v>2400000</v>
      </c>
      <c r="D123" s="90" t="s">
        <v>374</v>
      </c>
      <c r="E123" s="90" t="s">
        <v>68</v>
      </c>
      <c r="F123" s="90" t="s">
        <v>375</v>
      </c>
      <c r="G123" s="90" t="s">
        <v>376</v>
      </c>
      <c r="H123" s="90">
        <v>0.59</v>
      </c>
      <c r="I123" s="90">
        <v>0.64</v>
      </c>
      <c r="J123" s="90" t="s">
        <v>381</v>
      </c>
      <c r="K123" s="90">
        <v>2.1254839185E-4</v>
      </c>
      <c r="L123" s="90">
        <v>3707.9840069332099</v>
      </c>
      <c r="M123" s="90">
        <v>9.3659291684707799</v>
      </c>
      <c r="N123" s="90">
        <v>1.3763109089113601</v>
      </c>
      <c r="O123" s="90">
        <v>1.9907131829599999E-3</v>
      </c>
      <c r="P123" s="90">
        <v>2.9253267036999999E-4</v>
      </c>
      <c r="Q123" s="90">
        <v>0.78812603769028999</v>
      </c>
      <c r="R123" s="90">
        <v>1400</v>
      </c>
      <c r="S123" s="90" t="s">
        <v>324</v>
      </c>
      <c r="T123" s="90">
        <v>1400</v>
      </c>
      <c r="U123" s="90" t="s">
        <v>382</v>
      </c>
      <c r="V123" s="90" t="s">
        <v>381</v>
      </c>
      <c r="Z123" s="90">
        <v>0</v>
      </c>
      <c r="AA123" s="90">
        <v>1</v>
      </c>
      <c r="AB123" s="90">
        <v>1.9907131829599999E-3</v>
      </c>
      <c r="AC123" s="90">
        <v>2.9253267036999999E-4</v>
      </c>
      <c r="AD123" s="90">
        <v>0.78812603768984002</v>
      </c>
      <c r="AF123" s="90">
        <v>-1</v>
      </c>
      <c r="AG123" s="90">
        <v>-1</v>
      </c>
      <c r="AH123" s="90">
        <v>-1</v>
      </c>
      <c r="AI123" s="90">
        <v>-1</v>
      </c>
      <c r="AJ123" s="90">
        <v>0</v>
      </c>
      <c r="AM123" s="90" t="s">
        <v>379</v>
      </c>
      <c r="AN123" s="90">
        <v>-1</v>
      </c>
      <c r="AQ123" s="90">
        <v>356</v>
      </c>
      <c r="AR123" s="90" t="s">
        <v>380</v>
      </c>
      <c r="AS123" s="90" t="s">
        <v>246</v>
      </c>
      <c r="AT123" s="90" t="s">
        <v>244</v>
      </c>
      <c r="AU123" s="90">
        <v>175.87190000000001</v>
      </c>
      <c r="AV123" s="90">
        <v>8.8299071218365501</v>
      </c>
      <c r="AW123" s="90">
        <v>0.86015282464061005</v>
      </c>
      <c r="AX123" s="90">
        <v>6.3919390000000001E-4</v>
      </c>
    </row>
    <row r="124" spans="1:50" x14ac:dyDescent="0.25">
      <c r="A124" s="102">
        <v>830000</v>
      </c>
      <c r="B124" s="102">
        <v>2400000</v>
      </c>
      <c r="C124" s="102">
        <v>2400000</v>
      </c>
      <c r="D124" s="90" t="s">
        <v>374</v>
      </c>
      <c r="E124" s="90" t="s">
        <v>68</v>
      </c>
      <c r="F124" s="90" t="s">
        <v>375</v>
      </c>
      <c r="G124" s="90" t="s">
        <v>376</v>
      </c>
      <c r="H124" s="90">
        <v>0.59</v>
      </c>
      <c r="I124" s="90">
        <v>0.64</v>
      </c>
      <c r="J124" s="90" t="s">
        <v>244</v>
      </c>
      <c r="K124" s="90">
        <v>8.8713482272700008E-3</v>
      </c>
      <c r="L124" s="90">
        <v>3707.9840069332099</v>
      </c>
      <c r="M124" s="90">
        <v>9.3659291684707799</v>
      </c>
      <c r="N124" s="90">
        <v>1.3763109089113601</v>
      </c>
      <c r="O124" s="90">
        <v>8.308841912553E-2</v>
      </c>
      <c r="P124" s="90">
        <v>1.220973334195E-2</v>
      </c>
      <c r="Q124" s="90">
        <v>32.894817346685798</v>
      </c>
      <c r="R124" s="90">
        <v>1300</v>
      </c>
      <c r="S124" s="90" t="s">
        <v>387</v>
      </c>
      <c r="T124" s="90">
        <v>1300</v>
      </c>
      <c r="U124" s="90" t="s">
        <v>378</v>
      </c>
      <c r="V124" s="90" t="s">
        <v>244</v>
      </c>
      <c r="Z124" s="90">
        <v>0</v>
      </c>
      <c r="AA124" s="90">
        <v>1</v>
      </c>
      <c r="AB124" s="90">
        <v>8.308841912553E-2</v>
      </c>
      <c r="AC124" s="90">
        <v>1.220973334195E-2</v>
      </c>
      <c r="AD124" s="90">
        <v>32.8948173466855</v>
      </c>
      <c r="AF124" s="90">
        <v>-1</v>
      </c>
      <c r="AG124" s="90">
        <v>-1</v>
      </c>
      <c r="AH124" s="90">
        <v>-1</v>
      </c>
      <c r="AI124" s="90">
        <v>-1</v>
      </c>
      <c r="AJ124" s="90">
        <v>0</v>
      </c>
      <c r="AM124" s="90" t="s">
        <v>379</v>
      </c>
      <c r="AN124" s="90">
        <v>-1</v>
      </c>
      <c r="AQ124" s="90">
        <v>356</v>
      </c>
      <c r="AR124" s="90" t="s">
        <v>380</v>
      </c>
      <c r="AS124" s="90" t="s">
        <v>246</v>
      </c>
      <c r="AT124" s="90" t="s">
        <v>244</v>
      </c>
      <c r="AU124" s="90">
        <v>175.87190000000001</v>
      </c>
      <c r="AV124" s="90">
        <v>35.263360026238601</v>
      </c>
      <c r="AW124" s="90">
        <v>35.901072548910498</v>
      </c>
      <c r="AX124" s="90">
        <v>2.6678684000000001E-2</v>
      </c>
    </row>
    <row r="125" spans="1:50" x14ac:dyDescent="0.25">
      <c r="A125" s="102">
        <v>830000</v>
      </c>
      <c r="B125" s="102">
        <v>2400000</v>
      </c>
      <c r="C125" s="102">
        <v>2400000</v>
      </c>
      <c r="D125" s="90" t="s">
        <v>374</v>
      </c>
      <c r="E125" s="90" t="s">
        <v>68</v>
      </c>
      <c r="F125" s="90" t="s">
        <v>375</v>
      </c>
      <c r="G125" s="90" t="s">
        <v>376</v>
      </c>
      <c r="H125" s="90">
        <v>0.59</v>
      </c>
      <c r="I125" s="90">
        <v>0.64</v>
      </c>
      <c r="J125" s="90" t="s">
        <v>244</v>
      </c>
      <c r="K125" s="90">
        <v>2.8630702169499998E-2</v>
      </c>
      <c r="L125" s="90">
        <v>3707.9840069332099</v>
      </c>
      <c r="M125" s="90">
        <v>9.3659291684707799</v>
      </c>
      <c r="N125" s="90">
        <v>1.3763109089113601</v>
      </c>
      <c r="O125" s="90">
        <v>0.26815312856313001</v>
      </c>
      <c r="P125" s="90">
        <v>3.940474772567E-2</v>
      </c>
      <c r="Q125" s="90">
        <v>106.162185751781</v>
      </c>
      <c r="R125" s="90">
        <v>1430</v>
      </c>
      <c r="S125" s="90" t="s">
        <v>326</v>
      </c>
      <c r="T125" s="90">
        <v>1430</v>
      </c>
      <c r="U125" s="90" t="s">
        <v>378</v>
      </c>
      <c r="V125" s="90" t="s">
        <v>244</v>
      </c>
      <c r="Z125" s="90">
        <v>0</v>
      </c>
      <c r="AA125" s="90">
        <v>1</v>
      </c>
      <c r="AB125" s="90">
        <v>0.26815312856313001</v>
      </c>
      <c r="AC125" s="90">
        <v>3.940474772567E-2</v>
      </c>
      <c r="AD125" s="90">
        <v>106.16218575177901</v>
      </c>
      <c r="AF125" s="90">
        <v>-1</v>
      </c>
      <c r="AG125" s="90">
        <v>-1</v>
      </c>
      <c r="AH125" s="90">
        <v>-1</v>
      </c>
      <c r="AI125" s="90">
        <v>-1</v>
      </c>
      <c r="AJ125" s="90">
        <v>0</v>
      </c>
      <c r="AM125" s="90" t="s">
        <v>379</v>
      </c>
      <c r="AN125" s="90">
        <v>-1</v>
      </c>
      <c r="AQ125" s="90">
        <v>356</v>
      </c>
      <c r="AR125" s="90" t="s">
        <v>380</v>
      </c>
      <c r="AS125" s="90" t="s">
        <v>246</v>
      </c>
      <c r="AT125" s="90" t="s">
        <v>244</v>
      </c>
      <c r="AU125" s="90">
        <v>175.87190000000001</v>
      </c>
      <c r="AV125" s="90">
        <v>75.550673632498203</v>
      </c>
      <c r="AW125" s="90">
        <v>115.86434095246901</v>
      </c>
      <c r="AX125" s="90">
        <v>8.6100718399999998E-2</v>
      </c>
    </row>
    <row r="126" spans="1:50" x14ac:dyDescent="0.25">
      <c r="A126" s="102">
        <v>830000</v>
      </c>
      <c r="B126" s="102">
        <v>2400000</v>
      </c>
      <c r="C126" s="102">
        <v>2400000</v>
      </c>
      <c r="D126" s="90" t="s">
        <v>374</v>
      </c>
      <c r="E126" s="90" t="s">
        <v>68</v>
      </c>
      <c r="F126" s="90" t="s">
        <v>375</v>
      </c>
      <c r="G126" s="90" t="s">
        <v>376</v>
      </c>
      <c r="H126" s="90">
        <v>0.59</v>
      </c>
      <c r="I126" s="90">
        <v>0.64</v>
      </c>
      <c r="J126" s="90" t="s">
        <v>244</v>
      </c>
      <c r="K126" s="90">
        <v>0.27804591637615</v>
      </c>
      <c r="L126" s="90">
        <v>3707.9840069332099</v>
      </c>
      <c r="M126" s="90">
        <v>9.3659291684707799</v>
      </c>
      <c r="N126" s="90">
        <v>1.3763109089113601</v>
      </c>
      <c r="O126" s="90">
        <v>2.6041583583616399</v>
      </c>
      <c r="P126" s="90">
        <v>0.38267762788676002</v>
      </c>
      <c r="Q126" s="90">
        <v>1030.98981111588</v>
      </c>
      <c r="R126" s="90">
        <v>1210</v>
      </c>
      <c r="S126" s="90" t="s">
        <v>385</v>
      </c>
      <c r="T126" s="90">
        <v>1210</v>
      </c>
      <c r="U126" s="90" t="s">
        <v>378</v>
      </c>
      <c r="V126" s="90" t="s">
        <v>244</v>
      </c>
      <c r="Z126" s="90">
        <v>0</v>
      </c>
      <c r="AA126" s="90">
        <v>1</v>
      </c>
      <c r="AB126" s="90">
        <v>2.6041583583616399</v>
      </c>
      <c r="AC126" s="90">
        <v>0.38267762788676002</v>
      </c>
      <c r="AD126" s="90">
        <v>1030.98981111588</v>
      </c>
      <c r="AF126" s="90">
        <v>-1</v>
      </c>
      <c r="AG126" s="90">
        <v>-1</v>
      </c>
      <c r="AH126" s="90">
        <v>-1</v>
      </c>
      <c r="AI126" s="90">
        <v>-1</v>
      </c>
      <c r="AJ126" s="90">
        <v>0</v>
      </c>
      <c r="AM126" s="90" t="s">
        <v>379</v>
      </c>
      <c r="AN126" s="90">
        <v>-1</v>
      </c>
      <c r="AQ126" s="90">
        <v>356</v>
      </c>
      <c r="AR126" s="90" t="s">
        <v>380</v>
      </c>
      <c r="AS126" s="90" t="s">
        <v>246</v>
      </c>
      <c r="AT126" s="90" t="s">
        <v>244</v>
      </c>
      <c r="AU126" s="90">
        <v>175.87190000000001</v>
      </c>
      <c r="AV126" s="90">
        <v>134.764706687494</v>
      </c>
      <c r="AW126" s="90">
        <v>1125.21190240895</v>
      </c>
      <c r="AX126" s="90">
        <v>0.83616367489999999</v>
      </c>
    </row>
    <row r="127" spans="1:50" x14ac:dyDescent="0.25">
      <c r="A127" s="102">
        <v>830000</v>
      </c>
      <c r="B127" s="102">
        <v>2400000</v>
      </c>
      <c r="C127" s="102">
        <v>2400000</v>
      </c>
      <c r="D127" s="90" t="s">
        <v>374</v>
      </c>
      <c r="E127" s="90" t="s">
        <v>68</v>
      </c>
      <c r="F127" s="90" t="s">
        <v>375</v>
      </c>
      <c r="G127" s="90" t="s">
        <v>376</v>
      </c>
      <c r="H127" s="90">
        <v>0.59</v>
      </c>
      <c r="I127" s="90">
        <v>0.64</v>
      </c>
      <c r="J127" s="90" t="s">
        <v>244</v>
      </c>
      <c r="K127" s="90">
        <v>0.18382431744389999</v>
      </c>
      <c r="L127" s="90">
        <v>3707.9840069332099</v>
      </c>
      <c r="M127" s="90">
        <v>9.3659291684707799</v>
      </c>
      <c r="N127" s="90">
        <v>1.3763109089113601</v>
      </c>
      <c r="O127" s="90">
        <v>1.7216855366221</v>
      </c>
      <c r="P127" s="90">
        <v>0.25299941342123</v>
      </c>
      <c r="Q127" s="90">
        <v>681.61762916741304</v>
      </c>
      <c r="R127" s="90">
        <v>1210</v>
      </c>
      <c r="S127" s="90" t="s">
        <v>385</v>
      </c>
      <c r="T127" s="90">
        <v>1210</v>
      </c>
      <c r="U127" s="90" t="s">
        <v>378</v>
      </c>
      <c r="V127" s="90" t="s">
        <v>244</v>
      </c>
      <c r="Z127" s="90">
        <v>0</v>
      </c>
      <c r="AA127" s="90">
        <v>1</v>
      </c>
      <c r="AB127" s="90">
        <v>1.7216855366221</v>
      </c>
      <c r="AC127" s="90">
        <v>0.25299941342123</v>
      </c>
      <c r="AD127" s="90">
        <v>681.61762916741304</v>
      </c>
      <c r="AF127" s="90">
        <v>-1</v>
      </c>
      <c r="AG127" s="90">
        <v>-1</v>
      </c>
      <c r="AH127" s="90">
        <v>-1</v>
      </c>
      <c r="AI127" s="90">
        <v>-1</v>
      </c>
      <c r="AJ127" s="90">
        <v>0</v>
      </c>
      <c r="AM127" s="90" t="s">
        <v>379</v>
      </c>
      <c r="AN127" s="90">
        <v>-1</v>
      </c>
      <c r="AQ127" s="90">
        <v>356</v>
      </c>
      <c r="AR127" s="90" t="s">
        <v>380</v>
      </c>
      <c r="AS127" s="90" t="s">
        <v>246</v>
      </c>
      <c r="AT127" s="90" t="s">
        <v>244</v>
      </c>
      <c r="AU127" s="90">
        <v>175.87190000000001</v>
      </c>
      <c r="AV127" s="90">
        <v>114.89936851975899</v>
      </c>
      <c r="AW127" s="90">
        <v>743.910619641165</v>
      </c>
      <c r="AX127" s="90">
        <v>0.55281235129999995</v>
      </c>
    </row>
    <row r="128" spans="1:50" x14ac:dyDescent="0.25">
      <c r="A128" s="102">
        <v>830000</v>
      </c>
      <c r="B128" s="102">
        <v>2400000</v>
      </c>
      <c r="C128" s="102">
        <v>2400000</v>
      </c>
      <c r="D128" s="90" t="s">
        <v>374</v>
      </c>
      <c r="E128" s="90" t="s">
        <v>68</v>
      </c>
      <c r="F128" s="90" t="s">
        <v>375</v>
      </c>
      <c r="G128" s="90" t="s">
        <v>376</v>
      </c>
      <c r="H128" s="90">
        <v>0.59</v>
      </c>
      <c r="I128" s="90">
        <v>0.64</v>
      </c>
      <c r="J128" s="90" t="s">
        <v>244</v>
      </c>
      <c r="K128" s="90">
        <v>2.1396649986149999E-2</v>
      </c>
      <c r="L128" s="90">
        <v>3771.6925830486998</v>
      </c>
      <c r="M128" s="90">
        <v>9.5130834723604405</v>
      </c>
      <c r="N128" s="90">
        <v>1.37851351649525</v>
      </c>
      <c r="O128" s="90">
        <v>0.20354811734712</v>
      </c>
      <c r="P128" s="90">
        <v>2.9495571213619998E-2</v>
      </c>
      <c r="Q128" s="90">
        <v>80.701586054851106</v>
      </c>
      <c r="R128" s="90">
        <v>1300</v>
      </c>
      <c r="S128" s="90" t="s">
        <v>387</v>
      </c>
      <c r="T128" s="90">
        <v>1300</v>
      </c>
      <c r="U128" s="90" t="s">
        <v>378</v>
      </c>
      <c r="V128" s="90" t="s">
        <v>244</v>
      </c>
      <c r="Z128" s="90">
        <v>0</v>
      </c>
      <c r="AA128" s="90">
        <v>1</v>
      </c>
      <c r="AB128" s="90">
        <v>0.20354811734712</v>
      </c>
      <c r="AC128" s="90">
        <v>2.9495571213619998E-2</v>
      </c>
      <c r="AD128" s="90">
        <v>80.701586054851504</v>
      </c>
      <c r="AF128" s="90">
        <v>-1</v>
      </c>
      <c r="AG128" s="90">
        <v>-1</v>
      </c>
      <c r="AH128" s="90">
        <v>-1</v>
      </c>
      <c r="AI128" s="90">
        <v>-1</v>
      </c>
      <c r="AJ128" s="90">
        <v>0</v>
      </c>
      <c r="AM128" s="90" t="s">
        <v>379</v>
      </c>
      <c r="AN128" s="90">
        <v>-1</v>
      </c>
      <c r="AQ128" s="90">
        <v>356</v>
      </c>
      <c r="AR128" s="90" t="s">
        <v>380</v>
      </c>
      <c r="AS128" s="90" t="s">
        <v>246</v>
      </c>
      <c r="AT128" s="90" t="s">
        <v>244</v>
      </c>
      <c r="AU128" s="90">
        <v>175.87190000000001</v>
      </c>
      <c r="AV128" s="90">
        <v>42.5932402902096</v>
      </c>
      <c r="AW128" s="90">
        <v>86.589170414296603</v>
      </c>
      <c r="AX128" s="90">
        <v>6.5451408000000003E-2</v>
      </c>
    </row>
    <row r="129" spans="1:50" x14ac:dyDescent="0.25">
      <c r="A129" s="102">
        <v>830000</v>
      </c>
      <c r="B129" s="102">
        <v>2400000</v>
      </c>
      <c r="C129" s="102">
        <v>2400000</v>
      </c>
      <c r="D129" s="90" t="s">
        <v>374</v>
      </c>
      <c r="E129" s="90" t="s">
        <v>68</v>
      </c>
      <c r="F129" s="90" t="s">
        <v>375</v>
      </c>
      <c r="G129" s="90" t="s">
        <v>376</v>
      </c>
      <c r="H129" s="90">
        <v>0.59</v>
      </c>
      <c r="I129" s="90">
        <v>0.64</v>
      </c>
      <c r="J129" s="90" t="s">
        <v>381</v>
      </c>
      <c r="K129" s="90">
        <v>1.8769727280329999E-2</v>
      </c>
      <c r="L129" s="90">
        <v>3771.6925830486998</v>
      </c>
      <c r="M129" s="90">
        <v>9.5130834723604405</v>
      </c>
      <c r="N129" s="90">
        <v>1.37851351649525</v>
      </c>
      <c r="O129" s="90">
        <v>0.17855798237123</v>
      </c>
      <c r="P129" s="90">
        <v>2.587432275686E-2</v>
      </c>
      <c r="Q129" s="90">
        <v>70.793641169075102</v>
      </c>
      <c r="R129" s="90">
        <v>1300</v>
      </c>
      <c r="S129" s="90" t="s">
        <v>387</v>
      </c>
      <c r="T129" s="90">
        <v>1300</v>
      </c>
      <c r="U129" s="90" t="s">
        <v>382</v>
      </c>
      <c r="V129" s="90" t="s">
        <v>381</v>
      </c>
      <c r="Z129" s="90">
        <v>0</v>
      </c>
      <c r="AA129" s="90">
        <v>1</v>
      </c>
      <c r="AB129" s="90">
        <v>0.17855798237123</v>
      </c>
      <c r="AC129" s="90">
        <v>2.587432275686E-2</v>
      </c>
      <c r="AD129" s="90">
        <v>70.793641169074704</v>
      </c>
      <c r="AF129" s="90">
        <v>-1</v>
      </c>
      <c r="AG129" s="90">
        <v>-1</v>
      </c>
      <c r="AH129" s="90">
        <v>-1</v>
      </c>
      <c r="AI129" s="90">
        <v>-1</v>
      </c>
      <c r="AJ129" s="90">
        <v>0</v>
      </c>
      <c r="AM129" s="90" t="s">
        <v>379</v>
      </c>
      <c r="AN129" s="90">
        <v>-1</v>
      </c>
      <c r="AQ129" s="90">
        <v>356</v>
      </c>
      <c r="AR129" s="90" t="s">
        <v>380</v>
      </c>
      <c r="AS129" s="90" t="s">
        <v>246</v>
      </c>
      <c r="AT129" s="90" t="s">
        <v>244</v>
      </c>
      <c r="AU129" s="90">
        <v>175.87190000000001</v>
      </c>
      <c r="AV129" s="90">
        <v>38.049346685992397</v>
      </c>
      <c r="AW129" s="90">
        <v>75.958391391107497</v>
      </c>
      <c r="AX129" s="90">
        <v>5.7415767399999998E-2</v>
      </c>
    </row>
    <row r="130" spans="1:50" x14ac:dyDescent="0.25">
      <c r="A130" s="102">
        <v>830000</v>
      </c>
      <c r="B130" s="102">
        <v>2400000</v>
      </c>
      <c r="C130" s="102">
        <v>2400000</v>
      </c>
      <c r="D130" s="90" t="s">
        <v>374</v>
      </c>
      <c r="E130" s="90" t="s">
        <v>68</v>
      </c>
      <c r="F130" s="90" t="s">
        <v>375</v>
      </c>
      <c r="G130" s="90" t="s">
        <v>376</v>
      </c>
      <c r="H130" s="90">
        <v>0.59</v>
      </c>
      <c r="I130" s="90">
        <v>0.64</v>
      </c>
      <c r="J130" s="90" t="s">
        <v>381</v>
      </c>
      <c r="K130" s="90">
        <v>3.5942377488329999E-2</v>
      </c>
      <c r="L130" s="90">
        <v>3771.6925830486998</v>
      </c>
      <c r="M130" s="90">
        <v>9.5130834723604405</v>
      </c>
      <c r="N130" s="90">
        <v>1.37851351649525</v>
      </c>
      <c r="O130" s="90">
        <v>0.34192283724159001</v>
      </c>
      <c r="P130" s="90">
        <v>4.9547053182640001E-2</v>
      </c>
      <c r="Q130" s="90">
        <v>135.56359858987801</v>
      </c>
      <c r="R130" s="90">
        <v>1300</v>
      </c>
      <c r="S130" s="90" t="s">
        <v>387</v>
      </c>
      <c r="T130" s="90">
        <v>1300</v>
      </c>
      <c r="U130" s="90" t="s">
        <v>382</v>
      </c>
      <c r="V130" s="90" t="s">
        <v>381</v>
      </c>
      <c r="Z130" s="90">
        <v>0</v>
      </c>
      <c r="AA130" s="90">
        <v>1</v>
      </c>
      <c r="AB130" s="90">
        <v>0.34192283724159001</v>
      </c>
      <c r="AC130" s="90">
        <v>4.9547053182640001E-2</v>
      </c>
      <c r="AD130" s="90">
        <v>135.56359858987901</v>
      </c>
      <c r="AF130" s="90">
        <v>-1</v>
      </c>
      <c r="AG130" s="90">
        <v>-1</v>
      </c>
      <c r="AH130" s="90">
        <v>-1</v>
      </c>
      <c r="AI130" s="90">
        <v>-1</v>
      </c>
      <c r="AJ130" s="90">
        <v>0</v>
      </c>
      <c r="AM130" s="90" t="s">
        <v>379</v>
      </c>
      <c r="AN130" s="90">
        <v>-1</v>
      </c>
      <c r="AQ130" s="90">
        <v>356</v>
      </c>
      <c r="AR130" s="90" t="s">
        <v>380</v>
      </c>
      <c r="AS130" s="90" t="s">
        <v>246</v>
      </c>
      <c r="AT130" s="90" t="s">
        <v>244</v>
      </c>
      <c r="AU130" s="90">
        <v>175.87190000000001</v>
      </c>
      <c r="AV130" s="90">
        <v>105.934737075041</v>
      </c>
      <c r="AW130" s="90">
        <v>145.45364117498201</v>
      </c>
      <c r="AX130" s="90">
        <v>0.10994614649999999</v>
      </c>
    </row>
    <row r="131" spans="1:50" x14ac:dyDescent="0.25">
      <c r="A131" s="102">
        <v>830000</v>
      </c>
      <c r="B131" s="102">
        <v>2400000</v>
      </c>
      <c r="C131" s="102">
        <v>2400000</v>
      </c>
      <c r="D131" s="90" t="s">
        <v>374</v>
      </c>
      <c r="E131" s="90" t="s">
        <v>68</v>
      </c>
      <c r="F131" s="90" t="s">
        <v>375</v>
      </c>
      <c r="G131" s="90" t="s">
        <v>376</v>
      </c>
      <c r="H131" s="90">
        <v>0.59</v>
      </c>
      <c r="I131" s="90">
        <v>0.64</v>
      </c>
      <c r="J131" s="90" t="s">
        <v>244</v>
      </c>
      <c r="K131" s="90">
        <v>1.1798778274760001E-2</v>
      </c>
      <c r="L131" s="90">
        <v>3771.6925830486998</v>
      </c>
      <c r="M131" s="90">
        <v>9.5130834723604405</v>
      </c>
      <c r="N131" s="90">
        <v>1.37851351649525</v>
      </c>
      <c r="O131" s="90">
        <v>0.11224276259974</v>
      </c>
      <c r="P131" s="90">
        <v>1.6264775329889999E-2</v>
      </c>
      <c r="Q131" s="90">
        <v>44.5013645079786</v>
      </c>
      <c r="R131" s="90">
        <v>1400</v>
      </c>
      <c r="S131" s="90" t="s">
        <v>324</v>
      </c>
      <c r="T131" s="90">
        <v>1400</v>
      </c>
      <c r="U131" s="90" t="s">
        <v>378</v>
      </c>
      <c r="V131" s="90" t="s">
        <v>244</v>
      </c>
      <c r="Z131" s="90">
        <v>0</v>
      </c>
      <c r="AA131" s="90">
        <v>1</v>
      </c>
      <c r="AB131" s="90">
        <v>0.11224276259974</v>
      </c>
      <c r="AC131" s="90">
        <v>1.6264775329889999E-2</v>
      </c>
      <c r="AD131" s="90">
        <v>44.501364507979403</v>
      </c>
      <c r="AF131" s="90">
        <v>-1</v>
      </c>
      <c r="AG131" s="90">
        <v>-1</v>
      </c>
      <c r="AH131" s="90">
        <v>-1</v>
      </c>
      <c r="AI131" s="90">
        <v>-1</v>
      </c>
      <c r="AJ131" s="90">
        <v>0</v>
      </c>
      <c r="AM131" s="90" t="s">
        <v>379</v>
      </c>
      <c r="AN131" s="90">
        <v>-1</v>
      </c>
      <c r="AQ131" s="90">
        <v>356</v>
      </c>
      <c r="AR131" s="90" t="s">
        <v>380</v>
      </c>
      <c r="AS131" s="90" t="s">
        <v>246</v>
      </c>
      <c r="AT131" s="90" t="s">
        <v>244</v>
      </c>
      <c r="AU131" s="90">
        <v>175.87190000000001</v>
      </c>
      <c r="AV131" s="90">
        <v>89.921716045614801</v>
      </c>
      <c r="AW131" s="90">
        <v>47.747961637719101</v>
      </c>
      <c r="AX131" s="90">
        <v>3.6091942000000002E-2</v>
      </c>
    </row>
    <row r="132" spans="1:50" x14ac:dyDescent="0.25">
      <c r="A132" s="102">
        <v>830000</v>
      </c>
      <c r="B132" s="102">
        <v>2400000</v>
      </c>
      <c r="C132" s="102">
        <v>2400000</v>
      </c>
      <c r="D132" s="90" t="s">
        <v>374</v>
      </c>
      <c r="E132" s="90" t="s">
        <v>68</v>
      </c>
      <c r="F132" s="90" t="s">
        <v>375</v>
      </c>
      <c r="G132" s="90" t="s">
        <v>376</v>
      </c>
      <c r="H132" s="90">
        <v>0.59</v>
      </c>
      <c r="I132" s="90">
        <v>0.64</v>
      </c>
      <c r="J132" s="90" t="s">
        <v>381</v>
      </c>
      <c r="K132" s="90">
        <v>5.1991010103920002E-2</v>
      </c>
      <c r="L132" s="90">
        <v>3771.6925830486998</v>
      </c>
      <c r="M132" s="90">
        <v>9.5130834723604405</v>
      </c>
      <c r="N132" s="90">
        <v>1.37851351649525</v>
      </c>
      <c r="O132" s="90">
        <v>0.49459481893092999</v>
      </c>
      <c r="P132" s="90">
        <v>7.1670310164490006E-2</v>
      </c>
      <c r="Q132" s="90">
        <v>196.094107194169</v>
      </c>
      <c r="R132" s="90">
        <v>1400</v>
      </c>
      <c r="S132" s="90" t="s">
        <v>324</v>
      </c>
      <c r="T132" s="90">
        <v>1400</v>
      </c>
      <c r="U132" s="90" t="s">
        <v>382</v>
      </c>
      <c r="V132" s="90" t="s">
        <v>381</v>
      </c>
      <c r="Z132" s="90">
        <v>0</v>
      </c>
      <c r="AA132" s="90">
        <v>1</v>
      </c>
      <c r="AB132" s="90">
        <v>0.49459481893092999</v>
      </c>
      <c r="AC132" s="90">
        <v>7.1670310164490006E-2</v>
      </c>
      <c r="AD132" s="90">
        <v>196.094107194168</v>
      </c>
      <c r="AF132" s="90">
        <v>-1</v>
      </c>
      <c r="AG132" s="90">
        <v>-1</v>
      </c>
      <c r="AH132" s="90">
        <v>-1</v>
      </c>
      <c r="AI132" s="90">
        <v>-1</v>
      </c>
      <c r="AJ132" s="90">
        <v>0</v>
      </c>
      <c r="AM132" s="90" t="s">
        <v>379</v>
      </c>
      <c r="AN132" s="90">
        <v>-1</v>
      </c>
      <c r="AQ132" s="90">
        <v>356</v>
      </c>
      <c r="AR132" s="90" t="s">
        <v>380</v>
      </c>
      <c r="AS132" s="90" t="s">
        <v>246</v>
      </c>
      <c r="AT132" s="90" t="s">
        <v>244</v>
      </c>
      <c r="AU132" s="90">
        <v>175.87190000000001</v>
      </c>
      <c r="AV132" s="90">
        <v>84.815140976897595</v>
      </c>
      <c r="AW132" s="90">
        <v>210.40015314611401</v>
      </c>
      <c r="AX132" s="90">
        <v>0.15903820530000001</v>
      </c>
    </row>
    <row r="133" spans="1:50" x14ac:dyDescent="0.25">
      <c r="A133" s="102">
        <v>830000</v>
      </c>
      <c r="B133" s="102">
        <v>2400000</v>
      </c>
      <c r="C133" s="102">
        <v>2400000</v>
      </c>
      <c r="D133" s="90" t="s">
        <v>374</v>
      </c>
      <c r="E133" s="90" t="s">
        <v>68</v>
      </c>
      <c r="F133" s="90" t="s">
        <v>375</v>
      </c>
      <c r="G133" s="90" t="s">
        <v>376</v>
      </c>
      <c r="H133" s="90">
        <v>0.59</v>
      </c>
      <c r="I133" s="90">
        <v>0.64</v>
      </c>
      <c r="J133" s="90" t="s">
        <v>381</v>
      </c>
      <c r="K133" s="90">
        <v>0.27167309784672</v>
      </c>
      <c r="L133" s="90">
        <v>3771.6925830486998</v>
      </c>
      <c r="M133" s="90">
        <v>9.5130834723604405</v>
      </c>
      <c r="N133" s="90">
        <v>1.37851351649525</v>
      </c>
      <c r="O133" s="90">
        <v>2.5844488570106101</v>
      </c>
      <c r="P133" s="90">
        <v>0.37450503744983998</v>
      </c>
      <c r="Q133" s="90">
        <v>1024.6674081623401</v>
      </c>
      <c r="R133" s="90">
        <v>8140</v>
      </c>
      <c r="S133" s="90" t="s">
        <v>386</v>
      </c>
      <c r="T133" s="90">
        <v>8140</v>
      </c>
      <c r="U133" s="90" t="s">
        <v>382</v>
      </c>
      <c r="V133" s="90" t="s">
        <v>381</v>
      </c>
      <c r="Z133" s="90">
        <v>0</v>
      </c>
      <c r="AA133" s="90">
        <v>1</v>
      </c>
      <c r="AB133" s="90">
        <v>2.5844488570106101</v>
      </c>
      <c r="AC133" s="90">
        <v>0.37450503744983998</v>
      </c>
      <c r="AD133" s="90">
        <v>1024.6674081623401</v>
      </c>
      <c r="AF133" s="90">
        <v>-1</v>
      </c>
      <c r="AG133" s="90">
        <v>-1</v>
      </c>
      <c r="AH133" s="90">
        <v>-1</v>
      </c>
      <c r="AI133" s="90">
        <v>-1</v>
      </c>
      <c r="AJ133" s="90">
        <v>0</v>
      </c>
      <c r="AM133" s="90" t="s">
        <v>379</v>
      </c>
      <c r="AN133" s="90">
        <v>-1</v>
      </c>
      <c r="AQ133" s="90">
        <v>356</v>
      </c>
      <c r="AR133" s="90" t="s">
        <v>380</v>
      </c>
      <c r="AS133" s="90" t="s">
        <v>246</v>
      </c>
      <c r="AT133" s="90" t="s">
        <v>244</v>
      </c>
      <c r="AU133" s="90">
        <v>175.87190000000001</v>
      </c>
      <c r="AV133" s="90">
        <v>143.76971421640999</v>
      </c>
      <c r="AW133" s="90">
        <v>1099.4220208143099</v>
      </c>
      <c r="AX133" s="90">
        <v>0.83103601640000002</v>
      </c>
    </row>
    <row r="134" spans="1:50" x14ac:dyDescent="0.25">
      <c r="A134" s="102">
        <v>830000</v>
      </c>
      <c r="B134" s="102">
        <v>2400000</v>
      </c>
      <c r="C134" s="102">
        <v>2400000</v>
      </c>
      <c r="D134" s="90" t="s">
        <v>374</v>
      </c>
      <c r="E134" s="90" t="s">
        <v>68</v>
      </c>
      <c r="F134" s="90" t="s">
        <v>375</v>
      </c>
      <c r="G134" s="90" t="s">
        <v>376</v>
      </c>
      <c r="H134" s="90">
        <v>0.59</v>
      </c>
      <c r="I134" s="90">
        <v>0.64</v>
      </c>
      <c r="J134" s="90" t="s">
        <v>244</v>
      </c>
      <c r="K134" s="90">
        <v>6.7541803803340003E-2</v>
      </c>
      <c r="L134" s="90">
        <v>3771.6925830486998</v>
      </c>
      <c r="M134" s="90">
        <v>9.5130834723604405</v>
      </c>
      <c r="N134" s="90">
        <v>1.37851351649525</v>
      </c>
      <c r="O134" s="90">
        <v>0.64253081745500995</v>
      </c>
      <c r="P134" s="90">
        <v>9.310728947138E-2</v>
      </c>
      <c r="Q134" s="90">
        <v>254.74692045080701</v>
      </c>
      <c r="R134" s="90">
        <v>1410</v>
      </c>
      <c r="S134" s="90" t="s">
        <v>325</v>
      </c>
      <c r="T134" s="90">
        <v>1410</v>
      </c>
      <c r="U134" s="90" t="s">
        <v>378</v>
      </c>
      <c r="V134" s="90" t="s">
        <v>244</v>
      </c>
      <c r="Z134" s="90">
        <v>0</v>
      </c>
      <c r="AA134" s="90">
        <v>1</v>
      </c>
      <c r="AB134" s="90">
        <v>0.64253081745500995</v>
      </c>
      <c r="AC134" s="90">
        <v>9.310728947138E-2</v>
      </c>
      <c r="AD134" s="90">
        <v>254.74692045080801</v>
      </c>
      <c r="AF134" s="90">
        <v>-1</v>
      </c>
      <c r="AG134" s="90">
        <v>-1</v>
      </c>
      <c r="AH134" s="90">
        <v>-1</v>
      </c>
      <c r="AI134" s="90">
        <v>-1</v>
      </c>
      <c r="AJ134" s="90">
        <v>0</v>
      </c>
      <c r="AM134" s="90" t="s">
        <v>379</v>
      </c>
      <c r="AN134" s="90">
        <v>-1</v>
      </c>
      <c r="AQ134" s="90">
        <v>356</v>
      </c>
      <c r="AR134" s="90" t="s">
        <v>380</v>
      </c>
      <c r="AS134" s="90" t="s">
        <v>246</v>
      </c>
      <c r="AT134" s="90" t="s">
        <v>244</v>
      </c>
      <c r="AU134" s="90">
        <v>175.87190000000001</v>
      </c>
      <c r="AV134" s="90">
        <v>80.572748085469698</v>
      </c>
      <c r="AW134" s="90">
        <v>273.33198250204902</v>
      </c>
      <c r="AX134" s="90">
        <v>0.206607397</v>
      </c>
    </row>
    <row r="135" spans="1:50" x14ac:dyDescent="0.25">
      <c r="A135" s="102">
        <v>830000</v>
      </c>
      <c r="B135" s="102">
        <v>2400000</v>
      </c>
      <c r="C135" s="102">
        <v>2400000</v>
      </c>
      <c r="D135" s="90" t="s">
        <v>374</v>
      </c>
      <c r="E135" s="90" t="s">
        <v>68</v>
      </c>
      <c r="F135" s="90" t="s">
        <v>375</v>
      </c>
      <c r="G135" s="90" t="s">
        <v>376</v>
      </c>
      <c r="H135" s="90">
        <v>0.59</v>
      </c>
      <c r="I135" s="90">
        <v>0.64</v>
      </c>
      <c r="J135" s="90" t="s">
        <v>244</v>
      </c>
      <c r="K135" s="90">
        <v>4.6525504399500001E-3</v>
      </c>
      <c r="L135" s="90">
        <v>3771.6925830486998</v>
      </c>
      <c r="M135" s="90">
        <v>9.5130834723604405</v>
      </c>
      <c r="N135" s="90">
        <v>1.37851351649525</v>
      </c>
      <c r="O135" s="90">
        <v>4.4260100694619997E-2</v>
      </c>
      <c r="P135" s="90">
        <v>6.4136036676400001E-3</v>
      </c>
      <c r="Q135" s="90">
        <v>17.547989986623101</v>
      </c>
      <c r="R135" s="90">
        <v>1300</v>
      </c>
      <c r="S135" s="90" t="s">
        <v>387</v>
      </c>
      <c r="T135" s="90">
        <v>1300</v>
      </c>
      <c r="U135" s="90" t="s">
        <v>378</v>
      </c>
      <c r="V135" s="90" t="s">
        <v>244</v>
      </c>
      <c r="Z135" s="90">
        <v>0</v>
      </c>
      <c r="AA135" s="90">
        <v>1</v>
      </c>
      <c r="AB135" s="90">
        <v>4.4260100694619997E-2</v>
      </c>
      <c r="AC135" s="90">
        <v>6.4136036676400001E-3</v>
      </c>
      <c r="AD135" s="90">
        <v>17.5479899866225</v>
      </c>
      <c r="AF135" s="90">
        <v>-1</v>
      </c>
      <c r="AG135" s="90">
        <v>-1</v>
      </c>
      <c r="AH135" s="90">
        <v>-1</v>
      </c>
      <c r="AI135" s="90">
        <v>-1</v>
      </c>
      <c r="AJ135" s="90">
        <v>0</v>
      </c>
      <c r="AM135" s="90" t="s">
        <v>379</v>
      </c>
      <c r="AN135" s="90">
        <v>-1</v>
      </c>
      <c r="AQ135" s="90">
        <v>356</v>
      </c>
      <c r="AR135" s="90" t="s">
        <v>380</v>
      </c>
      <c r="AS135" s="90" t="s">
        <v>246</v>
      </c>
      <c r="AT135" s="90" t="s">
        <v>244</v>
      </c>
      <c r="AU135" s="90">
        <v>175.87190000000001</v>
      </c>
      <c r="AV135" s="90">
        <v>20.163426770341701</v>
      </c>
      <c r="AW135" s="90">
        <v>18.828203628454901</v>
      </c>
      <c r="AX135" s="90">
        <v>1.42319465E-2</v>
      </c>
    </row>
    <row r="136" spans="1:50" x14ac:dyDescent="0.25">
      <c r="A136" s="102">
        <v>830000</v>
      </c>
      <c r="B136" s="102">
        <v>2400000</v>
      </c>
      <c r="C136" s="102">
        <v>2400000</v>
      </c>
      <c r="D136" s="90" t="s">
        <v>374</v>
      </c>
      <c r="E136" s="90" t="s">
        <v>68</v>
      </c>
      <c r="F136" s="90" t="s">
        <v>375</v>
      </c>
      <c r="G136" s="90" t="s">
        <v>376</v>
      </c>
      <c r="H136" s="90">
        <v>0.59</v>
      </c>
      <c r="I136" s="90">
        <v>0.64</v>
      </c>
      <c r="J136" s="90" t="s">
        <v>244</v>
      </c>
      <c r="K136" s="90">
        <v>0.13181216272297999</v>
      </c>
      <c r="L136" s="90">
        <v>3771.6925830486998</v>
      </c>
      <c r="M136" s="90">
        <v>9.5130834723604405</v>
      </c>
      <c r="N136" s="90">
        <v>1.37851351649525</v>
      </c>
      <c r="O136" s="90">
        <v>1.25394010665606</v>
      </c>
      <c r="P136" s="90">
        <v>0.18170484795210001</v>
      </c>
      <c r="Q136" s="90">
        <v>497.15495649787198</v>
      </c>
      <c r="R136" s="90">
        <v>1300</v>
      </c>
      <c r="S136" s="90" t="s">
        <v>387</v>
      </c>
      <c r="T136" s="90">
        <v>1300</v>
      </c>
      <c r="U136" s="90" t="s">
        <v>378</v>
      </c>
      <c r="V136" s="90" t="s">
        <v>244</v>
      </c>
      <c r="Z136" s="90">
        <v>0</v>
      </c>
      <c r="AA136" s="90">
        <v>1</v>
      </c>
      <c r="AB136" s="90">
        <v>1.25394010665606</v>
      </c>
      <c r="AC136" s="90">
        <v>0.18170484795210001</v>
      </c>
      <c r="AD136" s="90">
        <v>497.15495649787198</v>
      </c>
      <c r="AF136" s="90">
        <v>-1</v>
      </c>
      <c r="AG136" s="90">
        <v>-1</v>
      </c>
      <c r="AH136" s="90">
        <v>-1</v>
      </c>
      <c r="AI136" s="90">
        <v>-1</v>
      </c>
      <c r="AJ136" s="90">
        <v>0</v>
      </c>
      <c r="AM136" s="90" t="s">
        <v>379</v>
      </c>
      <c r="AN136" s="90">
        <v>-1</v>
      </c>
      <c r="AQ136" s="90">
        <v>356</v>
      </c>
      <c r="AR136" s="90" t="s">
        <v>380</v>
      </c>
      <c r="AS136" s="90" t="s">
        <v>246</v>
      </c>
      <c r="AT136" s="90" t="s">
        <v>244</v>
      </c>
      <c r="AU136" s="90">
        <v>175.87190000000001</v>
      </c>
      <c r="AV136" s="90">
        <v>121.36276281296099</v>
      </c>
      <c r="AW136" s="90">
        <v>533.42489726592396</v>
      </c>
      <c r="AX136" s="90">
        <v>0.40320758839999998</v>
      </c>
    </row>
    <row r="137" spans="1:50" x14ac:dyDescent="0.25">
      <c r="A137" s="102">
        <v>830000</v>
      </c>
      <c r="B137" s="102">
        <v>2400000</v>
      </c>
      <c r="C137" s="102">
        <v>2400000</v>
      </c>
      <c r="D137" s="90" t="s">
        <v>374</v>
      </c>
      <c r="E137" s="90" t="s">
        <v>68</v>
      </c>
      <c r="F137" s="90" t="s">
        <v>375</v>
      </c>
      <c r="G137" s="90" t="s">
        <v>376</v>
      </c>
      <c r="H137" s="90">
        <v>0.59</v>
      </c>
      <c r="I137" s="90">
        <v>0.64</v>
      </c>
      <c r="J137" s="90" t="s">
        <v>381</v>
      </c>
      <c r="K137" s="90">
        <v>2.18529567538E-3</v>
      </c>
      <c r="L137" s="90">
        <v>3771.6925830486998</v>
      </c>
      <c r="M137" s="90">
        <v>9.5130834723604405</v>
      </c>
      <c r="N137" s="90">
        <v>1.37851351649525</v>
      </c>
      <c r="O137" s="90">
        <v>2.0788900171719998E-2</v>
      </c>
      <c r="P137" s="90">
        <v>3.0124596260499999E-3</v>
      </c>
      <c r="Q137" s="90">
        <v>8.2422634906180097</v>
      </c>
      <c r="R137" s="90">
        <v>1300</v>
      </c>
      <c r="S137" s="90" t="s">
        <v>387</v>
      </c>
      <c r="T137" s="90">
        <v>1300</v>
      </c>
      <c r="U137" s="90" t="s">
        <v>382</v>
      </c>
      <c r="V137" s="90" t="s">
        <v>381</v>
      </c>
      <c r="Z137" s="90">
        <v>0</v>
      </c>
      <c r="AA137" s="90">
        <v>1</v>
      </c>
      <c r="AB137" s="90">
        <v>2.0788900171719998E-2</v>
      </c>
      <c r="AC137" s="90">
        <v>3.0124596260499999E-3</v>
      </c>
      <c r="AD137" s="90">
        <v>8.2422634906184999</v>
      </c>
      <c r="AF137" s="90">
        <v>-1</v>
      </c>
      <c r="AG137" s="90">
        <v>-1</v>
      </c>
      <c r="AH137" s="90">
        <v>-1</v>
      </c>
      <c r="AI137" s="90">
        <v>-1</v>
      </c>
      <c r="AJ137" s="90">
        <v>0</v>
      </c>
      <c r="AM137" s="90" t="s">
        <v>379</v>
      </c>
      <c r="AN137" s="90">
        <v>-1</v>
      </c>
      <c r="AQ137" s="90">
        <v>356</v>
      </c>
      <c r="AR137" s="90" t="s">
        <v>380</v>
      </c>
      <c r="AS137" s="90" t="s">
        <v>246</v>
      </c>
      <c r="AT137" s="90" t="s">
        <v>244</v>
      </c>
      <c r="AU137" s="90">
        <v>175.87190000000001</v>
      </c>
      <c r="AV137" s="90">
        <v>100.405278595591</v>
      </c>
      <c r="AW137" s="90">
        <v>8.8435778387752499</v>
      </c>
      <c r="AX137" s="90">
        <v>6.6847230000000001E-3</v>
      </c>
    </row>
    <row r="138" spans="1:50" x14ac:dyDescent="0.25">
      <c r="A138" s="102">
        <v>830000</v>
      </c>
      <c r="B138" s="102">
        <v>2400000</v>
      </c>
      <c r="C138" s="102">
        <v>2400000</v>
      </c>
      <c r="D138" s="90" t="s">
        <v>374</v>
      </c>
      <c r="E138" s="90" t="s">
        <v>68</v>
      </c>
      <c r="F138" s="90" t="s">
        <v>375</v>
      </c>
      <c r="G138" s="90" t="s">
        <v>376</v>
      </c>
      <c r="H138" s="90">
        <v>0.59</v>
      </c>
      <c r="I138" s="90">
        <v>0.64</v>
      </c>
      <c r="J138" s="90" t="s">
        <v>244</v>
      </c>
      <c r="K138" s="90">
        <v>3.3020964779719997E-2</v>
      </c>
      <c r="L138" s="90">
        <v>3734.3712156681399</v>
      </c>
      <c r="M138" s="90">
        <v>11.752019720011299</v>
      </c>
      <c r="N138" s="90">
        <v>2.3816107627885499</v>
      </c>
      <c r="O138" s="90">
        <v>0.38806302926517</v>
      </c>
      <c r="P138" s="90">
        <v>7.8643085117060002E-2</v>
      </c>
      <c r="Q138" s="90">
        <v>123.312540387011</v>
      </c>
      <c r="R138" s="90">
        <v>1300</v>
      </c>
      <c r="S138" s="90" t="s">
        <v>387</v>
      </c>
      <c r="T138" s="90">
        <v>1300</v>
      </c>
      <c r="U138" s="90" t="s">
        <v>378</v>
      </c>
      <c r="V138" s="90" t="s">
        <v>244</v>
      </c>
      <c r="Z138" s="90">
        <v>0</v>
      </c>
      <c r="AA138" s="90">
        <v>1</v>
      </c>
      <c r="AB138" s="90">
        <v>0.38806302926517</v>
      </c>
      <c r="AC138" s="90">
        <v>7.8643085117060002E-2</v>
      </c>
      <c r="AD138" s="90">
        <v>123.312540387011</v>
      </c>
      <c r="AF138" s="90">
        <v>-1</v>
      </c>
      <c r="AG138" s="90">
        <v>-1</v>
      </c>
      <c r="AH138" s="90">
        <v>-1</v>
      </c>
      <c r="AI138" s="90">
        <v>-1</v>
      </c>
      <c r="AJ138" s="90">
        <v>0</v>
      </c>
      <c r="AM138" s="90" t="s">
        <v>379</v>
      </c>
      <c r="AN138" s="90">
        <v>-1</v>
      </c>
      <c r="AQ138" s="90">
        <v>356</v>
      </c>
      <c r="AR138" s="90" t="s">
        <v>380</v>
      </c>
      <c r="AS138" s="90" t="s">
        <v>246</v>
      </c>
      <c r="AT138" s="90" t="s">
        <v>244</v>
      </c>
      <c r="AU138" s="90">
        <v>175.87190000000001</v>
      </c>
      <c r="AV138" s="90">
        <v>105.379982768499</v>
      </c>
      <c r="AW138" s="90">
        <v>133.63110339268999</v>
      </c>
      <c r="AX138" s="90">
        <v>0.1000101706</v>
      </c>
    </row>
    <row r="139" spans="1:50" x14ac:dyDescent="0.25">
      <c r="A139" s="102">
        <v>830000</v>
      </c>
      <c r="B139" s="102">
        <v>2400000</v>
      </c>
      <c r="C139" s="102">
        <v>2400000</v>
      </c>
      <c r="D139" s="90" t="s">
        <v>374</v>
      </c>
      <c r="E139" s="90" t="s">
        <v>68</v>
      </c>
      <c r="F139" s="90" t="s">
        <v>375</v>
      </c>
      <c r="G139" s="90" t="s">
        <v>376</v>
      </c>
      <c r="H139" s="90">
        <v>0.59</v>
      </c>
      <c r="I139" s="90">
        <v>0.64</v>
      </c>
      <c r="J139" s="90" t="s">
        <v>244</v>
      </c>
      <c r="K139" s="90">
        <v>0.58474248902626003</v>
      </c>
      <c r="L139" s="90">
        <v>3734.3712156681399</v>
      </c>
      <c r="M139" s="90">
        <v>11.752019720011299</v>
      </c>
      <c r="N139" s="90">
        <v>2.3816107627885499</v>
      </c>
      <c r="O139" s="90">
        <v>6.8719052621651597</v>
      </c>
      <c r="P139" s="90">
        <v>1.3926290053247099</v>
      </c>
      <c r="Q139" s="90">
        <v>2183.6455195978201</v>
      </c>
      <c r="R139" s="90">
        <v>1300</v>
      </c>
      <c r="S139" s="90" t="s">
        <v>387</v>
      </c>
      <c r="T139" s="90">
        <v>1300</v>
      </c>
      <c r="U139" s="90" t="s">
        <v>378</v>
      </c>
      <c r="V139" s="90" t="s">
        <v>244</v>
      </c>
      <c r="Z139" s="90">
        <v>0</v>
      </c>
      <c r="AA139" s="90">
        <v>1</v>
      </c>
      <c r="AB139" s="90">
        <v>6.8719052621651597</v>
      </c>
      <c r="AC139" s="90">
        <v>1.3926290053247099</v>
      </c>
      <c r="AD139" s="90">
        <v>2183.6455195978201</v>
      </c>
      <c r="AF139" s="90">
        <v>-1</v>
      </c>
      <c r="AG139" s="90">
        <v>-1</v>
      </c>
      <c r="AH139" s="90">
        <v>-1</v>
      </c>
      <c r="AI139" s="90">
        <v>-1</v>
      </c>
      <c r="AJ139" s="90">
        <v>0</v>
      </c>
      <c r="AM139" s="90" t="s">
        <v>379</v>
      </c>
      <c r="AN139" s="90">
        <v>-1</v>
      </c>
      <c r="AQ139" s="90">
        <v>356</v>
      </c>
      <c r="AR139" s="90" t="s">
        <v>380</v>
      </c>
      <c r="AS139" s="90" t="s">
        <v>246</v>
      </c>
      <c r="AT139" s="90" t="s">
        <v>244</v>
      </c>
      <c r="AU139" s="90">
        <v>175.87190000000001</v>
      </c>
      <c r="AV139" s="90">
        <v>194.68949451943499</v>
      </c>
      <c r="AW139" s="90">
        <v>2366.3688971660999</v>
      </c>
      <c r="AX139" s="90">
        <v>1.7710020435</v>
      </c>
    </row>
    <row r="140" spans="1:50" x14ac:dyDescent="0.25">
      <c r="A140" s="102">
        <v>830000</v>
      </c>
      <c r="B140" s="102">
        <v>2400000</v>
      </c>
      <c r="C140" s="102">
        <v>2400000</v>
      </c>
      <c r="D140" s="90" t="s">
        <v>374</v>
      </c>
      <c r="E140" s="90" t="s">
        <v>68</v>
      </c>
      <c r="F140" s="90" t="s">
        <v>375</v>
      </c>
      <c r="G140" s="90" t="s">
        <v>376</v>
      </c>
      <c r="H140" s="90">
        <v>0.59</v>
      </c>
      <c r="I140" s="90">
        <v>0.64</v>
      </c>
      <c r="J140" s="90" t="s">
        <v>244</v>
      </c>
      <c r="K140" s="90">
        <v>0.61776345362188001</v>
      </c>
      <c r="L140" s="90">
        <v>3749.9103356529599</v>
      </c>
      <c r="M140" s="90">
        <v>10.788827957176601</v>
      </c>
      <c r="N140" s="90">
        <v>2.0787869299552399</v>
      </c>
      <c r="O140" s="90">
        <v>6.6649436193577802</v>
      </c>
      <c r="P140" s="90">
        <v>1.2841985931931801</v>
      </c>
      <c r="Q140" s="90">
        <v>2316.5575597253801</v>
      </c>
      <c r="R140" s="90">
        <v>1300</v>
      </c>
      <c r="S140" s="90" t="s">
        <v>387</v>
      </c>
      <c r="T140" s="90">
        <v>1300</v>
      </c>
      <c r="U140" s="90" t="s">
        <v>378</v>
      </c>
      <c r="V140" s="90" t="s">
        <v>244</v>
      </c>
      <c r="Z140" s="90">
        <v>0</v>
      </c>
      <c r="AA140" s="90">
        <v>1</v>
      </c>
      <c r="AB140" s="90">
        <v>6.6649436193577802</v>
      </c>
      <c r="AC140" s="90">
        <v>1.2841985931931801</v>
      </c>
      <c r="AD140" s="90">
        <v>2316.5575597253801</v>
      </c>
      <c r="AF140" s="90">
        <v>-1</v>
      </c>
      <c r="AG140" s="90">
        <v>-1</v>
      </c>
      <c r="AH140" s="90">
        <v>-1</v>
      </c>
      <c r="AI140" s="90">
        <v>-1</v>
      </c>
      <c r="AJ140" s="90">
        <v>0</v>
      </c>
      <c r="AM140" s="90" t="s">
        <v>379</v>
      </c>
      <c r="AN140" s="90">
        <v>-1</v>
      </c>
      <c r="AQ140" s="90">
        <v>356</v>
      </c>
      <c r="AR140" s="90" t="s">
        <v>380</v>
      </c>
      <c r="AS140" s="90" t="s">
        <v>246</v>
      </c>
      <c r="AT140" s="90" t="s">
        <v>244</v>
      </c>
      <c r="AU140" s="90">
        <v>175.87190000000001</v>
      </c>
      <c r="AV140" s="90">
        <v>199.99999999254899</v>
      </c>
      <c r="AW140" s="90">
        <v>2499.99999981373</v>
      </c>
      <c r="AX140" s="90">
        <v>1.8787976964999999</v>
      </c>
    </row>
    <row r="141" spans="1:50" x14ac:dyDescent="0.25">
      <c r="A141" s="102">
        <v>830000</v>
      </c>
      <c r="B141" s="102">
        <v>2400000</v>
      </c>
      <c r="C141" s="102">
        <v>2400000</v>
      </c>
      <c r="D141" s="90" t="s">
        <v>374</v>
      </c>
      <c r="E141" s="90" t="s">
        <v>68</v>
      </c>
      <c r="F141" s="90" t="s">
        <v>375</v>
      </c>
      <c r="G141" s="90" t="s">
        <v>376</v>
      </c>
      <c r="H141" s="90">
        <v>0.59</v>
      </c>
      <c r="I141" s="90">
        <v>0.64</v>
      </c>
      <c r="J141" s="90" t="s">
        <v>244</v>
      </c>
      <c r="K141" s="90">
        <v>0.44817233073042001</v>
      </c>
      <c r="L141" s="90">
        <v>3856.2644449315899</v>
      </c>
      <c r="M141" s="90">
        <v>8.5376451829908699</v>
      </c>
      <c r="N141" s="90">
        <v>1.2043741867395501</v>
      </c>
      <c r="O141" s="90">
        <v>3.82633634061043</v>
      </c>
      <c r="P141" s="90">
        <v>0.53976718634262</v>
      </c>
      <c r="Q141" s="90">
        <v>1728.27102419787</v>
      </c>
      <c r="R141" s="90">
        <v>1450</v>
      </c>
      <c r="S141" s="90" t="s">
        <v>391</v>
      </c>
      <c r="T141" s="90">
        <v>1450</v>
      </c>
      <c r="U141" s="90" t="s">
        <v>378</v>
      </c>
      <c r="V141" s="90" t="s">
        <v>244</v>
      </c>
      <c r="Z141" s="90">
        <v>0</v>
      </c>
      <c r="AA141" s="90">
        <v>1</v>
      </c>
      <c r="AB141" s="90">
        <v>3.82633634061043</v>
      </c>
      <c r="AC141" s="90">
        <v>0.53976718634262</v>
      </c>
      <c r="AD141" s="90">
        <v>1728.27102419787</v>
      </c>
      <c r="AF141" s="90">
        <v>-1</v>
      </c>
      <c r="AG141" s="90">
        <v>-1</v>
      </c>
      <c r="AH141" s="90">
        <v>-1</v>
      </c>
      <c r="AI141" s="90">
        <v>-1</v>
      </c>
      <c r="AJ141" s="90">
        <v>0</v>
      </c>
      <c r="AM141" s="90" t="s">
        <v>379</v>
      </c>
      <c r="AN141" s="90">
        <v>-1</v>
      </c>
      <c r="AQ141" s="90">
        <v>356</v>
      </c>
      <c r="AR141" s="90" t="s">
        <v>380</v>
      </c>
      <c r="AS141" s="90" t="s">
        <v>246</v>
      </c>
      <c r="AT141" s="90" t="s">
        <v>244</v>
      </c>
      <c r="AU141" s="90">
        <v>175.87190000000001</v>
      </c>
      <c r="AV141" s="90">
        <v>172.56745442562701</v>
      </c>
      <c r="AW141" s="90">
        <v>1813.6890749583999</v>
      </c>
      <c r="AX141" s="90">
        <v>1.4016796627999999</v>
      </c>
    </row>
    <row r="142" spans="1:50" x14ac:dyDescent="0.25">
      <c r="A142" s="102">
        <v>830000</v>
      </c>
      <c r="B142" s="102">
        <v>2400000</v>
      </c>
      <c r="C142" s="102">
        <v>2400000</v>
      </c>
      <c r="D142" s="90" t="s">
        <v>374</v>
      </c>
      <c r="E142" s="90" t="s">
        <v>68</v>
      </c>
      <c r="F142" s="90" t="s">
        <v>375</v>
      </c>
      <c r="G142" s="90" t="s">
        <v>376</v>
      </c>
      <c r="H142" s="90">
        <v>0.59</v>
      </c>
      <c r="I142" s="90">
        <v>0.64</v>
      </c>
      <c r="J142" s="90" t="s">
        <v>244</v>
      </c>
      <c r="K142" s="90">
        <v>0.16959112286844</v>
      </c>
      <c r="L142" s="90">
        <v>3856.2644449315899</v>
      </c>
      <c r="M142" s="90">
        <v>8.5376451829908699</v>
      </c>
      <c r="N142" s="90">
        <v>1.2043741867395501</v>
      </c>
      <c r="O142" s="90">
        <v>1.4479088332357899</v>
      </c>
      <c r="P142" s="90">
        <v>0.20425117068293</v>
      </c>
      <c r="Q142" s="90">
        <v>653.98821729360895</v>
      </c>
      <c r="R142" s="90">
        <v>1300</v>
      </c>
      <c r="S142" s="90" t="s">
        <v>387</v>
      </c>
      <c r="T142" s="90">
        <v>1300</v>
      </c>
      <c r="U142" s="90" t="s">
        <v>378</v>
      </c>
      <c r="V142" s="90" t="s">
        <v>244</v>
      </c>
      <c r="Z142" s="90">
        <v>0</v>
      </c>
      <c r="AA142" s="90">
        <v>1</v>
      </c>
      <c r="AB142" s="90">
        <v>1.4479088332357899</v>
      </c>
      <c r="AC142" s="90">
        <v>0.20425117068293</v>
      </c>
      <c r="AD142" s="90">
        <v>653.98821729360895</v>
      </c>
      <c r="AF142" s="90">
        <v>-1</v>
      </c>
      <c r="AG142" s="90">
        <v>-1</v>
      </c>
      <c r="AH142" s="90">
        <v>-1</v>
      </c>
      <c r="AI142" s="90">
        <v>-1</v>
      </c>
      <c r="AJ142" s="90">
        <v>0</v>
      </c>
      <c r="AM142" s="90" t="s">
        <v>379</v>
      </c>
      <c r="AN142" s="90">
        <v>-1</v>
      </c>
      <c r="AQ142" s="90">
        <v>356</v>
      </c>
      <c r="AR142" s="90" t="s">
        <v>380</v>
      </c>
      <c r="AS142" s="90" t="s">
        <v>246</v>
      </c>
      <c r="AT142" s="90" t="s">
        <v>244</v>
      </c>
      <c r="AU142" s="90">
        <v>175.87190000000001</v>
      </c>
      <c r="AV142" s="90">
        <v>127.472328407699</v>
      </c>
      <c r="AW142" s="90">
        <v>686.31092476219396</v>
      </c>
      <c r="AX142" s="90">
        <v>0.53040406920000005</v>
      </c>
    </row>
    <row r="143" spans="1:50" x14ac:dyDescent="0.25">
      <c r="A143" s="102">
        <v>830000</v>
      </c>
      <c r="B143" s="102">
        <v>2400000</v>
      </c>
      <c r="C143" s="102">
        <v>2400000</v>
      </c>
      <c r="D143" s="90" t="s">
        <v>374</v>
      </c>
      <c r="E143" s="90" t="s">
        <v>68</v>
      </c>
      <c r="F143" s="90" t="s">
        <v>375</v>
      </c>
      <c r="G143" s="90" t="s">
        <v>376</v>
      </c>
      <c r="H143" s="90">
        <v>0.59</v>
      </c>
      <c r="I143" s="90">
        <v>0.64</v>
      </c>
      <c r="J143" s="90" t="s">
        <v>244</v>
      </c>
      <c r="K143" s="90">
        <v>0.22364564012665999</v>
      </c>
      <c r="L143" s="90">
        <v>3857.2714873790701</v>
      </c>
      <c r="M143" s="90">
        <v>9.7402266885729194</v>
      </c>
      <c r="N143" s="90">
        <v>1.3068659071261499</v>
      </c>
      <c r="O143" s="90">
        <v>2.1783592327446901</v>
      </c>
      <c r="P143" s="90">
        <v>0.29227486235894001</v>
      </c>
      <c r="Q143" s="90">
        <v>862.66195093721797</v>
      </c>
      <c r="R143" s="90">
        <v>1410</v>
      </c>
      <c r="S143" s="90" t="s">
        <v>325</v>
      </c>
      <c r="T143" s="90">
        <v>1410</v>
      </c>
      <c r="U143" s="90" t="s">
        <v>378</v>
      </c>
      <c r="V143" s="90" t="s">
        <v>244</v>
      </c>
      <c r="Z143" s="90">
        <v>0</v>
      </c>
      <c r="AA143" s="90">
        <v>1</v>
      </c>
      <c r="AB143" s="90">
        <v>2.1783592327446901</v>
      </c>
      <c r="AC143" s="90">
        <v>0.29227486235894001</v>
      </c>
      <c r="AD143" s="90">
        <v>862.66195093721797</v>
      </c>
      <c r="AF143" s="90">
        <v>-1</v>
      </c>
      <c r="AG143" s="90">
        <v>-1</v>
      </c>
      <c r="AH143" s="90">
        <v>-1</v>
      </c>
      <c r="AI143" s="90">
        <v>-1</v>
      </c>
      <c r="AJ143" s="90">
        <v>0</v>
      </c>
      <c r="AM143" s="90" t="s">
        <v>379</v>
      </c>
      <c r="AN143" s="90">
        <v>-1</v>
      </c>
      <c r="AQ143" s="90">
        <v>356</v>
      </c>
      <c r="AR143" s="90" t="s">
        <v>380</v>
      </c>
      <c r="AS143" s="90" t="s">
        <v>246</v>
      </c>
      <c r="AT143" s="90" t="s">
        <v>244</v>
      </c>
      <c r="AU143" s="90">
        <v>175.87190000000001</v>
      </c>
      <c r="AV143" s="90">
        <v>120.347779582445</v>
      </c>
      <c r="AW143" s="90">
        <v>905.06179508834703</v>
      </c>
      <c r="AX143" s="90">
        <v>0.69964472909999997</v>
      </c>
    </row>
    <row r="144" spans="1:50" x14ac:dyDescent="0.25">
      <c r="A144" s="102">
        <v>830000</v>
      </c>
      <c r="B144" s="102">
        <v>2400000</v>
      </c>
      <c r="C144" s="102">
        <v>2400000</v>
      </c>
      <c r="D144" s="90" t="s">
        <v>374</v>
      </c>
      <c r="E144" s="90" t="s">
        <v>68</v>
      </c>
      <c r="F144" s="90" t="s">
        <v>375</v>
      </c>
      <c r="G144" s="90" t="s">
        <v>376</v>
      </c>
      <c r="H144" s="90">
        <v>0.59</v>
      </c>
      <c r="I144" s="90">
        <v>0.64</v>
      </c>
      <c r="J144" s="90" t="s">
        <v>244</v>
      </c>
      <c r="K144" s="90">
        <v>0.24120529010639</v>
      </c>
      <c r="L144" s="90">
        <v>3857.2714873790701</v>
      </c>
      <c r="M144" s="90">
        <v>9.7402266885729194</v>
      </c>
      <c r="N144" s="90">
        <v>1.3068659071261499</v>
      </c>
      <c r="O144" s="90">
        <v>2.3493942041192799</v>
      </c>
      <c r="P144" s="90">
        <v>0.31522297025851997</v>
      </c>
      <c r="Q144" s="90">
        <v>930.39428813239499</v>
      </c>
      <c r="R144" s="90">
        <v>1410</v>
      </c>
      <c r="S144" s="90" t="s">
        <v>325</v>
      </c>
      <c r="T144" s="90">
        <v>1410</v>
      </c>
      <c r="U144" s="90" t="s">
        <v>378</v>
      </c>
      <c r="V144" s="90" t="s">
        <v>244</v>
      </c>
      <c r="Z144" s="90">
        <v>0</v>
      </c>
      <c r="AA144" s="90">
        <v>1</v>
      </c>
      <c r="AB144" s="90">
        <v>2.3493942041192799</v>
      </c>
      <c r="AC144" s="90">
        <v>0.31522297025851997</v>
      </c>
      <c r="AD144" s="90">
        <v>1520.2194043969901</v>
      </c>
      <c r="AF144" s="90">
        <v>-1</v>
      </c>
      <c r="AG144" s="90">
        <v>-1</v>
      </c>
      <c r="AH144" s="90">
        <v>-1</v>
      </c>
      <c r="AI144" s="90">
        <v>-1</v>
      </c>
      <c r="AJ144" s="90">
        <v>0</v>
      </c>
      <c r="AM144" s="90" t="s">
        <v>379</v>
      </c>
      <c r="AN144" s="90">
        <v>-1</v>
      </c>
      <c r="AQ144" s="90">
        <v>356</v>
      </c>
      <c r="AR144" s="90" t="s">
        <v>380</v>
      </c>
      <c r="AS144" s="90" t="s">
        <v>246</v>
      </c>
      <c r="AT144" s="90" t="s">
        <v>244</v>
      </c>
      <c r="AU144" s="90">
        <v>175.87190000000001</v>
      </c>
      <c r="AV144" s="90">
        <v>171.373892067225</v>
      </c>
      <c r="AW144" s="90">
        <v>976.12317738392096</v>
      </c>
      <c r="AX144" s="90">
        <v>1.2329435558999999</v>
      </c>
    </row>
    <row r="145" spans="1:50" x14ac:dyDescent="0.25">
      <c r="A145" s="102">
        <v>830000</v>
      </c>
      <c r="B145" s="102">
        <v>2400000</v>
      </c>
      <c r="C145" s="102">
        <v>2400000</v>
      </c>
      <c r="D145" s="90" t="s">
        <v>374</v>
      </c>
      <c r="E145" s="90" t="s">
        <v>68</v>
      </c>
      <c r="F145" s="90" t="s">
        <v>375</v>
      </c>
      <c r="G145" s="90" t="s">
        <v>376</v>
      </c>
      <c r="H145" s="90">
        <v>0.59</v>
      </c>
      <c r="I145" s="90">
        <v>0.64</v>
      </c>
      <c r="J145" s="90" t="s">
        <v>244</v>
      </c>
      <c r="K145" s="90">
        <v>4.4840568825870002E-2</v>
      </c>
      <c r="L145" s="90">
        <v>3736.0362290200201</v>
      </c>
      <c r="M145" s="90">
        <v>10.128101302741401</v>
      </c>
      <c r="N145" s="90">
        <v>1.48523579384198</v>
      </c>
      <c r="O145" s="90">
        <v>0.45414982354102001</v>
      </c>
      <c r="P145" s="90">
        <v>6.6598817836419993E-2</v>
      </c>
      <c r="Q145" s="90">
        <v>167.52598966333801</v>
      </c>
      <c r="R145" s="90">
        <v>1300</v>
      </c>
      <c r="S145" s="90" t="s">
        <v>387</v>
      </c>
      <c r="T145" s="90">
        <v>1300</v>
      </c>
      <c r="U145" s="90" t="s">
        <v>378</v>
      </c>
      <c r="V145" s="90" t="s">
        <v>244</v>
      </c>
      <c r="Z145" s="90">
        <v>0</v>
      </c>
      <c r="AA145" s="90">
        <v>1</v>
      </c>
      <c r="AB145" s="90">
        <v>0.45414982354102001</v>
      </c>
      <c r="AC145" s="90">
        <v>6.6598817836419993E-2</v>
      </c>
      <c r="AD145" s="90">
        <v>217.284757799895</v>
      </c>
      <c r="AF145" s="90">
        <v>-1</v>
      </c>
      <c r="AG145" s="90">
        <v>-1</v>
      </c>
      <c r="AH145" s="90">
        <v>-1</v>
      </c>
      <c r="AI145" s="90">
        <v>-1</v>
      </c>
      <c r="AJ145" s="90">
        <v>0</v>
      </c>
      <c r="AM145" s="90" t="s">
        <v>379</v>
      </c>
      <c r="AN145" s="90">
        <v>-1</v>
      </c>
      <c r="AQ145" s="90">
        <v>356</v>
      </c>
      <c r="AR145" s="90" t="s">
        <v>380</v>
      </c>
      <c r="AS145" s="90" t="s">
        <v>246</v>
      </c>
      <c r="AT145" s="90" t="s">
        <v>244</v>
      </c>
      <c r="AU145" s="90">
        <v>175.87190000000001</v>
      </c>
      <c r="AV145" s="90">
        <v>56.642651956622203</v>
      </c>
      <c r="AW145" s="90">
        <v>181.46334393706601</v>
      </c>
      <c r="AX145" s="90">
        <v>0.17622445889999999</v>
      </c>
    </row>
    <row r="146" spans="1:50" x14ac:dyDescent="0.25">
      <c r="A146" s="102">
        <v>830000</v>
      </c>
      <c r="B146" s="102">
        <v>2400000</v>
      </c>
      <c r="C146" s="102">
        <v>2400000</v>
      </c>
      <c r="D146" s="90" t="s">
        <v>374</v>
      </c>
      <c r="E146" s="90" t="s">
        <v>68</v>
      </c>
      <c r="F146" s="90" t="s">
        <v>375</v>
      </c>
      <c r="G146" s="90" t="s">
        <v>376</v>
      </c>
      <c r="H146" s="90">
        <v>0.59</v>
      </c>
      <c r="I146" s="90">
        <v>0.64</v>
      </c>
      <c r="J146" s="90" t="s">
        <v>244</v>
      </c>
      <c r="K146" s="90">
        <v>1.8816413179310001E-2</v>
      </c>
      <c r="L146" s="90">
        <v>3736.0362290200201</v>
      </c>
      <c r="M146" s="90">
        <v>10.128101302741401</v>
      </c>
      <c r="N146" s="90">
        <v>1.48523579384198</v>
      </c>
      <c r="O146" s="90">
        <v>0.19057453883438</v>
      </c>
      <c r="P146" s="90">
        <v>2.794681036564E-2</v>
      </c>
      <c r="Q146" s="90">
        <v>70.298801338145594</v>
      </c>
      <c r="R146" s="90">
        <v>1400</v>
      </c>
      <c r="S146" s="90" t="s">
        <v>324</v>
      </c>
      <c r="T146" s="90">
        <v>1400</v>
      </c>
      <c r="U146" s="90" t="s">
        <v>378</v>
      </c>
      <c r="V146" s="90" t="s">
        <v>244</v>
      </c>
      <c r="Z146" s="90">
        <v>0</v>
      </c>
      <c r="AA146" s="90">
        <v>1</v>
      </c>
      <c r="AB146" s="90">
        <v>0.19057453883438</v>
      </c>
      <c r="AC146" s="90">
        <v>2.794681036564E-2</v>
      </c>
      <c r="AD146" s="90">
        <v>89.939371486410494</v>
      </c>
      <c r="AF146" s="90">
        <v>-1</v>
      </c>
      <c r="AG146" s="90">
        <v>-1</v>
      </c>
      <c r="AH146" s="90">
        <v>-1</v>
      </c>
      <c r="AI146" s="90">
        <v>-1</v>
      </c>
      <c r="AJ146" s="90">
        <v>0</v>
      </c>
      <c r="AM146" s="90" t="s">
        <v>379</v>
      </c>
      <c r="AN146" s="90">
        <v>-1</v>
      </c>
      <c r="AQ146" s="90">
        <v>356</v>
      </c>
      <c r="AR146" s="90" t="s">
        <v>380</v>
      </c>
      <c r="AS146" s="90" t="s">
        <v>246</v>
      </c>
      <c r="AT146" s="90" t="s">
        <v>244</v>
      </c>
      <c r="AU146" s="90">
        <v>175.87190000000001</v>
      </c>
      <c r="AV146" s="90">
        <v>42.230105137767303</v>
      </c>
      <c r="AW146" s="90">
        <v>76.147322521258403</v>
      </c>
      <c r="AX146" s="90">
        <v>7.2943529199999996E-2</v>
      </c>
    </row>
    <row r="147" spans="1:50" x14ac:dyDescent="0.25">
      <c r="A147" s="102">
        <v>830000</v>
      </c>
      <c r="B147" s="102">
        <v>2400000</v>
      </c>
      <c r="C147" s="102">
        <v>2400000</v>
      </c>
      <c r="D147" s="90" t="s">
        <v>374</v>
      </c>
      <c r="E147" s="90" t="s">
        <v>68</v>
      </c>
      <c r="F147" s="90" t="s">
        <v>375</v>
      </c>
      <c r="G147" s="90" t="s">
        <v>376</v>
      </c>
      <c r="H147" s="90">
        <v>0.59</v>
      </c>
      <c r="I147" s="90">
        <v>0.64</v>
      </c>
      <c r="J147" s="90" t="s">
        <v>244</v>
      </c>
      <c r="K147" s="90">
        <v>0.13951520431325001</v>
      </c>
      <c r="L147" s="90">
        <v>3736.0362290200201</v>
      </c>
      <c r="M147" s="90">
        <v>10.128101302741401</v>
      </c>
      <c r="N147" s="90">
        <v>1.48523579384198</v>
      </c>
      <c r="O147" s="90">
        <v>1.4130241225573299</v>
      </c>
      <c r="P147" s="90">
        <v>0.20721297523122001</v>
      </c>
      <c r="Q147" s="90">
        <v>521.23385781345905</v>
      </c>
      <c r="R147" s="90">
        <v>1410</v>
      </c>
      <c r="S147" s="90" t="s">
        <v>325</v>
      </c>
      <c r="T147" s="90">
        <v>1410</v>
      </c>
      <c r="U147" s="90" t="s">
        <v>378</v>
      </c>
      <c r="V147" s="90" t="s">
        <v>244</v>
      </c>
      <c r="Z147" s="90">
        <v>0</v>
      </c>
      <c r="AA147" s="90">
        <v>1</v>
      </c>
      <c r="AB147" s="90">
        <v>1.4130241225573299</v>
      </c>
      <c r="AC147" s="90">
        <v>0.20721297523122001</v>
      </c>
      <c r="AD147" s="90">
        <v>618.96368327722905</v>
      </c>
      <c r="AF147" s="90">
        <v>-1</v>
      </c>
      <c r="AG147" s="90">
        <v>-1</v>
      </c>
      <c r="AH147" s="90">
        <v>-1</v>
      </c>
      <c r="AI147" s="90">
        <v>-1</v>
      </c>
      <c r="AJ147" s="90">
        <v>0</v>
      </c>
      <c r="AM147" s="90" t="s">
        <v>379</v>
      </c>
      <c r="AN147" s="90">
        <v>-1</v>
      </c>
      <c r="AQ147" s="90">
        <v>356</v>
      </c>
      <c r="AR147" s="90" t="s">
        <v>380</v>
      </c>
      <c r="AS147" s="90" t="s">
        <v>246</v>
      </c>
      <c r="AT147" s="90" t="s">
        <v>244</v>
      </c>
      <c r="AU147" s="90">
        <v>175.87190000000001</v>
      </c>
      <c r="AV147" s="90">
        <v>100.50689867538399</v>
      </c>
      <c r="AW147" s="90">
        <v>564.59800059755105</v>
      </c>
      <c r="AX147" s="90">
        <v>0.50199812109999997</v>
      </c>
    </row>
    <row r="148" spans="1:50" x14ac:dyDescent="0.25">
      <c r="A148" s="102">
        <v>830000</v>
      </c>
      <c r="B148" s="102">
        <v>2400000</v>
      </c>
      <c r="C148" s="102">
        <v>2400000</v>
      </c>
      <c r="D148" s="90" t="s">
        <v>374</v>
      </c>
      <c r="E148" s="90" t="s">
        <v>68</v>
      </c>
      <c r="F148" s="90" t="s">
        <v>375</v>
      </c>
      <c r="G148" s="90" t="s">
        <v>376</v>
      </c>
      <c r="H148" s="90">
        <v>0.59</v>
      </c>
      <c r="I148" s="90">
        <v>0.64</v>
      </c>
      <c r="J148" s="90" t="s">
        <v>244</v>
      </c>
      <c r="K148" s="90">
        <v>3.8776668145799999E-3</v>
      </c>
      <c r="L148" s="90">
        <v>3736.0362290200201</v>
      </c>
      <c r="M148" s="90">
        <v>10.128101302741401</v>
      </c>
      <c r="N148" s="90">
        <v>1.48523579384198</v>
      </c>
      <c r="O148" s="90">
        <v>3.9273402316379998E-2</v>
      </c>
      <c r="P148" s="90">
        <v>5.75924954961E-3</v>
      </c>
      <c r="Q148" s="90">
        <v>14.487103703354499</v>
      </c>
      <c r="R148" s="90">
        <v>1300</v>
      </c>
      <c r="S148" s="90" t="s">
        <v>387</v>
      </c>
      <c r="T148" s="90">
        <v>1300</v>
      </c>
      <c r="U148" s="90" t="s">
        <v>378</v>
      </c>
      <c r="V148" s="90" t="s">
        <v>244</v>
      </c>
      <c r="Z148" s="90">
        <v>0</v>
      </c>
      <c r="AA148" s="90">
        <v>1</v>
      </c>
      <c r="AB148" s="90">
        <v>3.9273402316379998E-2</v>
      </c>
      <c r="AC148" s="90">
        <v>5.75924954961E-3</v>
      </c>
      <c r="AD148" s="90">
        <v>14.487103703355499</v>
      </c>
      <c r="AF148" s="90">
        <v>-1</v>
      </c>
      <c r="AG148" s="90">
        <v>-1</v>
      </c>
      <c r="AH148" s="90">
        <v>-1</v>
      </c>
      <c r="AI148" s="90">
        <v>-1</v>
      </c>
      <c r="AJ148" s="90">
        <v>0</v>
      </c>
      <c r="AM148" s="90" t="s">
        <v>379</v>
      </c>
      <c r="AN148" s="90">
        <v>-1</v>
      </c>
      <c r="AQ148" s="90">
        <v>356</v>
      </c>
      <c r="AR148" s="90" t="s">
        <v>380</v>
      </c>
      <c r="AS148" s="90" t="s">
        <v>246</v>
      </c>
      <c r="AT148" s="90" t="s">
        <v>244</v>
      </c>
      <c r="AU148" s="90">
        <v>175.87190000000001</v>
      </c>
      <c r="AV148" s="90">
        <v>28.631919871692901</v>
      </c>
      <c r="AW148" s="90">
        <v>15.692360852527701</v>
      </c>
      <c r="AX148" s="90">
        <v>1.1749475800000001E-2</v>
      </c>
    </row>
    <row r="149" spans="1:50" x14ac:dyDescent="0.25">
      <c r="A149" s="102">
        <v>830000</v>
      </c>
      <c r="B149" s="102">
        <v>2400000</v>
      </c>
      <c r="C149" s="102">
        <v>2400000</v>
      </c>
      <c r="D149" s="90" t="s">
        <v>374</v>
      </c>
      <c r="E149" s="90" t="s">
        <v>68</v>
      </c>
      <c r="F149" s="90" t="s">
        <v>375</v>
      </c>
      <c r="G149" s="90" t="s">
        <v>376</v>
      </c>
      <c r="H149" s="90">
        <v>0.59</v>
      </c>
      <c r="I149" s="90">
        <v>0.64</v>
      </c>
      <c r="J149" s="90" t="s">
        <v>244</v>
      </c>
      <c r="K149" s="90">
        <v>0.25552343546433998</v>
      </c>
      <c r="L149" s="90">
        <v>3780.00023508298</v>
      </c>
      <c r="M149" s="90">
        <v>10.964294763689299</v>
      </c>
      <c r="N149" s="90">
        <v>1.44475102368618</v>
      </c>
      <c r="O149" s="90">
        <v>2.80163426546157</v>
      </c>
      <c r="P149" s="90">
        <v>0.36916774496290999</v>
      </c>
      <c r="Q149" s="90">
        <v>965.87864612441695</v>
      </c>
      <c r="R149" s="90">
        <v>1400</v>
      </c>
      <c r="S149" s="90" t="s">
        <v>324</v>
      </c>
      <c r="T149" s="90">
        <v>1400</v>
      </c>
      <c r="U149" s="90" t="s">
        <v>378</v>
      </c>
      <c r="V149" s="90" t="s">
        <v>244</v>
      </c>
      <c r="Z149" s="90">
        <v>0</v>
      </c>
      <c r="AA149" s="90">
        <v>1</v>
      </c>
      <c r="AB149" s="90">
        <v>2.80163426546157</v>
      </c>
      <c r="AC149" s="90">
        <v>0.36916774496290999</v>
      </c>
      <c r="AD149" s="90">
        <v>965.87864612441695</v>
      </c>
      <c r="AF149" s="90">
        <v>-1</v>
      </c>
      <c r="AG149" s="90">
        <v>-1</v>
      </c>
      <c r="AH149" s="90">
        <v>-1</v>
      </c>
      <c r="AI149" s="90">
        <v>-1</v>
      </c>
      <c r="AJ149" s="90">
        <v>0</v>
      </c>
      <c r="AM149" s="90" t="s">
        <v>379</v>
      </c>
      <c r="AN149" s="90">
        <v>-1</v>
      </c>
      <c r="AQ149" s="90">
        <v>356</v>
      </c>
      <c r="AR149" s="90" t="s">
        <v>380</v>
      </c>
      <c r="AS149" s="90" t="s">
        <v>246</v>
      </c>
      <c r="AT149" s="90" t="s">
        <v>244</v>
      </c>
      <c r="AU149" s="90">
        <v>175.87190000000001</v>
      </c>
      <c r="AV149" s="90">
        <v>167.93842725873</v>
      </c>
      <c r="AW149" s="90">
        <v>1034.0666558825701</v>
      </c>
      <c r="AX149" s="90">
        <v>0.78335656620000005</v>
      </c>
    </row>
    <row r="150" spans="1:50" x14ac:dyDescent="0.25">
      <c r="A150" s="102">
        <v>830000</v>
      </c>
      <c r="B150" s="102">
        <v>2400000</v>
      </c>
      <c r="C150" s="102">
        <v>2400000</v>
      </c>
      <c r="D150" s="90" t="s">
        <v>374</v>
      </c>
      <c r="E150" s="90" t="s">
        <v>68</v>
      </c>
      <c r="F150" s="90" t="s">
        <v>375</v>
      </c>
      <c r="G150" s="90" t="s">
        <v>376</v>
      </c>
      <c r="H150" s="90">
        <v>0.59</v>
      </c>
      <c r="I150" s="90">
        <v>0.64</v>
      </c>
      <c r="J150" s="90" t="s">
        <v>381</v>
      </c>
      <c r="K150" s="90">
        <v>6.2153150803439999E-2</v>
      </c>
      <c r="L150" s="90">
        <v>3780.00023508298</v>
      </c>
      <c r="M150" s="90">
        <v>10.964294763689299</v>
      </c>
      <c r="N150" s="90">
        <v>1.44475102368618</v>
      </c>
      <c r="O150" s="90">
        <v>0.68146546590103996</v>
      </c>
      <c r="P150" s="90">
        <v>8.9795828248599996E-2</v>
      </c>
      <c r="Q150" s="90">
        <v>234.93892464818501</v>
      </c>
      <c r="R150" s="90">
        <v>1400</v>
      </c>
      <c r="S150" s="90" t="s">
        <v>324</v>
      </c>
      <c r="T150" s="90">
        <v>1400</v>
      </c>
      <c r="U150" s="90" t="s">
        <v>382</v>
      </c>
      <c r="V150" s="90" t="s">
        <v>381</v>
      </c>
      <c r="Z150" s="90">
        <v>0</v>
      </c>
      <c r="AA150" s="90">
        <v>1</v>
      </c>
      <c r="AB150" s="90">
        <v>0.68146546590103996</v>
      </c>
      <c r="AC150" s="90">
        <v>8.9795828248599996E-2</v>
      </c>
      <c r="AD150" s="90">
        <v>234.93892464818401</v>
      </c>
      <c r="AF150" s="90">
        <v>-1</v>
      </c>
      <c r="AG150" s="90">
        <v>-1</v>
      </c>
      <c r="AH150" s="90">
        <v>-1</v>
      </c>
      <c r="AI150" s="90">
        <v>-1</v>
      </c>
      <c r="AJ150" s="90">
        <v>0</v>
      </c>
      <c r="AM150" s="90" t="s">
        <v>379</v>
      </c>
      <c r="AN150" s="90">
        <v>-1</v>
      </c>
      <c r="AQ150" s="90">
        <v>356</v>
      </c>
      <c r="AR150" s="90" t="s">
        <v>380</v>
      </c>
      <c r="AS150" s="90" t="s">
        <v>246</v>
      </c>
      <c r="AT150" s="90" t="s">
        <v>244</v>
      </c>
      <c r="AU150" s="90">
        <v>175.87190000000001</v>
      </c>
      <c r="AV150" s="90">
        <v>110.32942365060499</v>
      </c>
      <c r="AW150" s="90">
        <v>251.52487750133201</v>
      </c>
      <c r="AX150" s="90">
        <v>0.19054251799999999</v>
      </c>
    </row>
    <row r="151" spans="1:50" x14ac:dyDescent="0.25">
      <c r="A151" s="102">
        <v>830000</v>
      </c>
      <c r="B151" s="102">
        <v>2400000</v>
      </c>
      <c r="C151" s="102">
        <v>2400000</v>
      </c>
      <c r="D151" s="90" t="s">
        <v>374</v>
      </c>
      <c r="E151" s="90" t="s">
        <v>68</v>
      </c>
      <c r="F151" s="90" t="s">
        <v>375</v>
      </c>
      <c r="G151" s="90" t="s">
        <v>376</v>
      </c>
      <c r="H151" s="90">
        <v>0.59</v>
      </c>
      <c r="I151" s="90">
        <v>0.64</v>
      </c>
      <c r="J151" s="90" t="s">
        <v>381</v>
      </c>
      <c r="K151" s="90">
        <v>0.14140492864852</v>
      </c>
      <c r="L151" s="90">
        <v>3780.00023508298</v>
      </c>
      <c r="M151" s="90">
        <v>10.964294763689299</v>
      </c>
      <c r="N151" s="90">
        <v>1.44475102368618</v>
      </c>
      <c r="O151" s="90">
        <v>1.55040531874083</v>
      </c>
      <c r="P151" s="90">
        <v>0.20429491541922001</v>
      </c>
      <c r="Q151" s="90">
        <v>534.51066353329804</v>
      </c>
      <c r="R151" s="90">
        <v>8140</v>
      </c>
      <c r="S151" s="90" t="s">
        <v>386</v>
      </c>
      <c r="T151" s="90">
        <v>8140</v>
      </c>
      <c r="U151" s="90" t="s">
        <v>382</v>
      </c>
      <c r="V151" s="90" t="s">
        <v>381</v>
      </c>
      <c r="Z151" s="90">
        <v>0</v>
      </c>
      <c r="AA151" s="90">
        <v>1</v>
      </c>
      <c r="AB151" s="90">
        <v>1.55040531874083</v>
      </c>
      <c r="AC151" s="90">
        <v>0.20429491541922001</v>
      </c>
      <c r="AD151" s="90">
        <v>534.51066353329804</v>
      </c>
      <c r="AF151" s="90">
        <v>-1</v>
      </c>
      <c r="AG151" s="90">
        <v>-1</v>
      </c>
      <c r="AH151" s="90">
        <v>-1</v>
      </c>
      <c r="AI151" s="90">
        <v>-1</v>
      </c>
      <c r="AJ151" s="90">
        <v>0</v>
      </c>
      <c r="AM151" s="90" t="s">
        <v>379</v>
      </c>
      <c r="AN151" s="90">
        <v>-1</v>
      </c>
      <c r="AQ151" s="90">
        <v>356</v>
      </c>
      <c r="AR151" s="90" t="s">
        <v>380</v>
      </c>
      <c r="AS151" s="90" t="s">
        <v>246</v>
      </c>
      <c r="AT151" s="90" t="s">
        <v>244</v>
      </c>
      <c r="AU151" s="90">
        <v>175.87190000000001</v>
      </c>
      <c r="AV151" s="90">
        <v>122.596342668364</v>
      </c>
      <c r="AW151" s="90">
        <v>572.24544366027703</v>
      </c>
      <c r="AX151" s="90">
        <v>0.4335041878</v>
      </c>
    </row>
    <row r="152" spans="1:50" x14ac:dyDescent="0.25">
      <c r="A152" s="102">
        <v>830000</v>
      </c>
      <c r="B152" s="102">
        <v>2400000</v>
      </c>
      <c r="C152" s="102">
        <v>2400000</v>
      </c>
      <c r="D152" s="90" t="s">
        <v>374</v>
      </c>
      <c r="E152" s="90" t="s">
        <v>68</v>
      </c>
      <c r="F152" s="90" t="s">
        <v>375</v>
      </c>
      <c r="G152" s="90" t="s">
        <v>376</v>
      </c>
      <c r="H152" s="90">
        <v>0.59</v>
      </c>
      <c r="I152" s="90">
        <v>0.64</v>
      </c>
      <c r="J152" s="90" t="s">
        <v>244</v>
      </c>
      <c r="K152" s="90">
        <v>0.15560503803319001</v>
      </c>
      <c r="L152" s="90">
        <v>3780.00023508298</v>
      </c>
      <c r="M152" s="90">
        <v>10.964294763689299</v>
      </c>
      <c r="N152" s="90">
        <v>1.44475102368618</v>
      </c>
      <c r="O152" s="90">
        <v>1.70609950371107</v>
      </c>
      <c r="P152" s="90">
        <v>0.22481053798919001</v>
      </c>
      <c r="Q152" s="90">
        <v>588.18708034558495</v>
      </c>
      <c r="R152" s="90">
        <v>1410</v>
      </c>
      <c r="S152" s="90" t="s">
        <v>325</v>
      </c>
      <c r="T152" s="90">
        <v>1410</v>
      </c>
      <c r="U152" s="90" t="s">
        <v>378</v>
      </c>
      <c r="V152" s="90" t="s">
        <v>244</v>
      </c>
      <c r="Z152" s="90">
        <v>0</v>
      </c>
      <c r="AA152" s="90">
        <v>1</v>
      </c>
      <c r="AB152" s="90">
        <v>1.70609950371107</v>
      </c>
      <c r="AC152" s="90">
        <v>0.22481053798919001</v>
      </c>
      <c r="AD152" s="90">
        <v>588.18708034558495</v>
      </c>
      <c r="AF152" s="90">
        <v>-1</v>
      </c>
      <c r="AG152" s="90">
        <v>-1</v>
      </c>
      <c r="AH152" s="90">
        <v>-1</v>
      </c>
      <c r="AI152" s="90">
        <v>-1</v>
      </c>
      <c r="AJ152" s="90">
        <v>0</v>
      </c>
      <c r="AM152" s="90" t="s">
        <v>379</v>
      </c>
      <c r="AN152" s="90">
        <v>-1</v>
      </c>
      <c r="AQ152" s="90">
        <v>356</v>
      </c>
      <c r="AR152" s="90" t="s">
        <v>380</v>
      </c>
      <c r="AS152" s="90" t="s">
        <v>246</v>
      </c>
      <c r="AT152" s="90" t="s">
        <v>244</v>
      </c>
      <c r="AU152" s="90">
        <v>175.87190000000001</v>
      </c>
      <c r="AV152" s="90">
        <v>104.078734685949</v>
      </c>
      <c r="AW152" s="90">
        <v>629.71124752244305</v>
      </c>
      <c r="AX152" s="90">
        <v>0.4770373725</v>
      </c>
    </row>
    <row r="153" spans="1:50" x14ac:dyDescent="0.25">
      <c r="A153" s="102">
        <v>830000</v>
      </c>
      <c r="B153" s="102">
        <v>2400000</v>
      </c>
      <c r="C153" s="102">
        <v>2400000</v>
      </c>
      <c r="D153" s="90" t="s">
        <v>374</v>
      </c>
      <c r="E153" s="90" t="s">
        <v>68</v>
      </c>
      <c r="F153" s="90" t="s">
        <v>375</v>
      </c>
      <c r="G153" s="90" t="s">
        <v>376</v>
      </c>
      <c r="H153" s="90">
        <v>0.59</v>
      </c>
      <c r="I153" s="90">
        <v>0.64</v>
      </c>
      <c r="J153" s="90" t="s">
        <v>244</v>
      </c>
      <c r="K153" s="90">
        <v>3.0769009945599999E-3</v>
      </c>
      <c r="L153" s="90">
        <v>3780.00023508298</v>
      </c>
      <c r="M153" s="90">
        <v>10.964294763689299</v>
      </c>
      <c r="N153" s="90">
        <v>1.44475102368618</v>
      </c>
      <c r="O153" s="90">
        <v>3.3736049463129997E-2</v>
      </c>
      <c r="P153" s="90">
        <v>4.4453558616799997E-3</v>
      </c>
      <c r="Q153" s="90">
        <v>11.630686482794101</v>
      </c>
      <c r="R153" s="90">
        <v>1450</v>
      </c>
      <c r="S153" s="90" t="s">
        <v>391</v>
      </c>
      <c r="T153" s="90">
        <v>1450</v>
      </c>
      <c r="U153" s="90" t="s">
        <v>378</v>
      </c>
      <c r="V153" s="90" t="s">
        <v>244</v>
      </c>
      <c r="Z153" s="90">
        <v>0</v>
      </c>
      <c r="AA153" s="90">
        <v>1</v>
      </c>
      <c r="AB153" s="90">
        <v>3.3736049463129997E-2</v>
      </c>
      <c r="AC153" s="90">
        <v>4.4453558616799997E-3</v>
      </c>
      <c r="AD153" s="90">
        <v>11.6306864827953</v>
      </c>
      <c r="AF153" s="90">
        <v>-1</v>
      </c>
      <c r="AG153" s="90">
        <v>-1</v>
      </c>
      <c r="AH153" s="90">
        <v>-1</v>
      </c>
      <c r="AI153" s="90">
        <v>-1</v>
      </c>
      <c r="AJ153" s="90">
        <v>0</v>
      </c>
      <c r="AM153" s="90" t="s">
        <v>379</v>
      </c>
      <c r="AN153" s="90">
        <v>-1</v>
      </c>
      <c r="AQ153" s="90">
        <v>356</v>
      </c>
      <c r="AR153" s="90" t="s">
        <v>380</v>
      </c>
      <c r="AS153" s="90" t="s">
        <v>246</v>
      </c>
      <c r="AT153" s="90" t="s">
        <v>244</v>
      </c>
      <c r="AU153" s="90">
        <v>175.87190000000001</v>
      </c>
      <c r="AV153" s="90">
        <v>52.302811272597303</v>
      </c>
      <c r="AW153" s="90">
        <v>12.4517765509577</v>
      </c>
      <c r="AX153" s="90">
        <v>9.4328358000000008E-3</v>
      </c>
    </row>
    <row r="154" spans="1:50" x14ac:dyDescent="0.25">
      <c r="A154" s="102">
        <v>830000</v>
      </c>
      <c r="B154" s="102">
        <v>2400000</v>
      </c>
      <c r="C154" s="102">
        <v>2400000</v>
      </c>
      <c r="D154" s="90" t="s">
        <v>374</v>
      </c>
      <c r="E154" s="90" t="s">
        <v>68</v>
      </c>
      <c r="F154" s="90" t="s">
        <v>375</v>
      </c>
      <c r="G154" s="90" t="s">
        <v>376</v>
      </c>
      <c r="H154" s="90">
        <v>0.59</v>
      </c>
      <c r="I154" s="90">
        <v>0.64</v>
      </c>
      <c r="J154" s="90" t="s">
        <v>244</v>
      </c>
      <c r="K154" s="90">
        <v>0.61776345378298003</v>
      </c>
      <c r="L154" s="90">
        <v>3747.7351291761902</v>
      </c>
      <c r="M154" s="90">
        <v>10.7827144152253</v>
      </c>
      <c r="N154" s="90">
        <v>2.0776258089206801</v>
      </c>
      <c r="O154" s="90">
        <v>6.6611668983051402</v>
      </c>
      <c r="P154" s="90">
        <v>1.2834812953875001</v>
      </c>
      <c r="Q154" s="90">
        <v>2315.2137972636901</v>
      </c>
      <c r="R154" s="90">
        <v>1300</v>
      </c>
      <c r="S154" s="90" t="s">
        <v>387</v>
      </c>
      <c r="T154" s="90">
        <v>1300</v>
      </c>
      <c r="U154" s="90" t="s">
        <v>378</v>
      </c>
      <c r="V154" s="90" t="s">
        <v>244</v>
      </c>
      <c r="Z154" s="90">
        <v>0</v>
      </c>
      <c r="AA154" s="90">
        <v>1</v>
      </c>
      <c r="AB154" s="90">
        <v>6.6611668983051402</v>
      </c>
      <c r="AC154" s="90">
        <v>1.2834812953875001</v>
      </c>
      <c r="AD154" s="90">
        <v>2315.2137972636901</v>
      </c>
      <c r="AF154" s="90">
        <v>-1</v>
      </c>
      <c r="AG154" s="90">
        <v>-1</v>
      </c>
      <c r="AH154" s="90">
        <v>-1</v>
      </c>
      <c r="AI154" s="90">
        <v>-1</v>
      </c>
      <c r="AJ154" s="90">
        <v>0</v>
      </c>
      <c r="AM154" s="90" t="s">
        <v>379</v>
      </c>
      <c r="AN154" s="90">
        <v>-1</v>
      </c>
      <c r="AQ154" s="90">
        <v>356</v>
      </c>
      <c r="AR154" s="90" t="s">
        <v>380</v>
      </c>
      <c r="AS154" s="90" t="s">
        <v>246</v>
      </c>
      <c r="AT154" s="90" t="s">
        <v>244</v>
      </c>
      <c r="AU154" s="90">
        <v>175.87190000000001</v>
      </c>
      <c r="AV154" s="90">
        <v>200.000000018626</v>
      </c>
      <c r="AW154" s="90">
        <v>2500.0000004656599</v>
      </c>
      <c r="AX154" s="90">
        <v>1.8777078648000001</v>
      </c>
    </row>
    <row r="155" spans="1:50" x14ac:dyDescent="0.25">
      <c r="A155" s="102">
        <v>830000</v>
      </c>
      <c r="B155" s="102">
        <v>2400000</v>
      </c>
      <c r="C155" s="102">
        <v>2400000</v>
      </c>
      <c r="D155" s="90" t="s">
        <v>374</v>
      </c>
      <c r="E155" s="90" t="s">
        <v>68</v>
      </c>
      <c r="F155" s="90" t="s">
        <v>375</v>
      </c>
      <c r="G155" s="90" t="s">
        <v>376</v>
      </c>
      <c r="H155" s="90">
        <v>0.59</v>
      </c>
      <c r="I155" s="90">
        <v>0.64</v>
      </c>
      <c r="J155" s="90" t="s">
        <v>244</v>
      </c>
      <c r="K155" s="90">
        <v>0.61776345371394004</v>
      </c>
      <c r="L155" s="90">
        <v>3777.9106737731699</v>
      </c>
      <c r="M155" s="90">
        <v>11.6080743098172</v>
      </c>
      <c r="N155" s="90">
        <v>1.5325543323947699</v>
      </c>
      <c r="O155" s="90">
        <v>7.1710440766007704</v>
      </c>
      <c r="P155" s="90">
        <v>0.94675605738446</v>
      </c>
      <c r="Q155" s="90">
        <v>2333.8551456528699</v>
      </c>
      <c r="R155" s="90">
        <v>1450</v>
      </c>
      <c r="S155" s="90" t="s">
        <v>391</v>
      </c>
      <c r="T155" s="90">
        <v>1450</v>
      </c>
      <c r="U155" s="90" t="s">
        <v>378</v>
      </c>
      <c r="V155" s="90" t="s">
        <v>244</v>
      </c>
      <c r="Z155" s="90">
        <v>0</v>
      </c>
      <c r="AA155" s="90">
        <v>1</v>
      </c>
      <c r="AB155" s="90">
        <v>7.1710440766007704</v>
      </c>
      <c r="AC155" s="90">
        <v>0.94675605738446</v>
      </c>
      <c r="AD155" s="90">
        <v>2333.8551456528699</v>
      </c>
      <c r="AF155" s="90">
        <v>-1</v>
      </c>
      <c r="AG155" s="90">
        <v>-1</v>
      </c>
      <c r="AH155" s="90">
        <v>-1</v>
      </c>
      <c r="AI155" s="90">
        <v>-1</v>
      </c>
      <c r="AJ155" s="90">
        <v>0</v>
      </c>
      <c r="AM155" s="90" t="s">
        <v>379</v>
      </c>
      <c r="AN155" s="90">
        <v>-1</v>
      </c>
      <c r="AQ155" s="90">
        <v>356</v>
      </c>
      <c r="AR155" s="90" t="s">
        <v>380</v>
      </c>
      <c r="AS155" s="90" t="s">
        <v>246</v>
      </c>
      <c r="AT155" s="90" t="s">
        <v>244</v>
      </c>
      <c r="AU155" s="90">
        <v>175.87190000000001</v>
      </c>
      <c r="AV155" s="90">
        <v>200.00000000745001</v>
      </c>
      <c r="AW155" s="90">
        <v>2500.00000018626</v>
      </c>
      <c r="AX155" s="90">
        <v>1.8928265577000001</v>
      </c>
    </row>
    <row r="156" spans="1:50" x14ac:dyDescent="0.25">
      <c r="A156" s="102">
        <v>830000</v>
      </c>
      <c r="B156" s="102">
        <v>2400000</v>
      </c>
      <c r="C156" s="102">
        <v>2400000</v>
      </c>
      <c r="D156" s="90" t="s">
        <v>374</v>
      </c>
      <c r="E156" s="90" t="s">
        <v>68</v>
      </c>
      <c r="F156" s="90" t="s">
        <v>375</v>
      </c>
      <c r="G156" s="90" t="s">
        <v>376</v>
      </c>
      <c r="H156" s="90">
        <v>0.59</v>
      </c>
      <c r="I156" s="90">
        <v>0.64</v>
      </c>
      <c r="J156" s="90" t="s">
        <v>244</v>
      </c>
      <c r="K156" s="90">
        <v>0.10602508095521999</v>
      </c>
      <c r="L156" s="90">
        <v>3782.1091691373299</v>
      </c>
      <c r="M156" s="90">
        <v>11.6204057133546</v>
      </c>
      <c r="N156" s="90">
        <v>1.53418801912293</v>
      </c>
      <c r="O156" s="90">
        <v>1.2320544564909801</v>
      </c>
      <c r="P156" s="90">
        <v>0.16266240892803999</v>
      </c>
      <c r="Q156" s="90">
        <v>400.99843083928403</v>
      </c>
      <c r="R156" s="90">
        <v>1400</v>
      </c>
      <c r="S156" s="90" t="s">
        <v>324</v>
      </c>
      <c r="T156" s="90">
        <v>1400</v>
      </c>
      <c r="U156" s="90" t="s">
        <v>378</v>
      </c>
      <c r="V156" s="90" t="s">
        <v>244</v>
      </c>
      <c r="Z156" s="90">
        <v>0</v>
      </c>
      <c r="AA156" s="90">
        <v>1</v>
      </c>
      <c r="AB156" s="90">
        <v>1.2320544564909801</v>
      </c>
      <c r="AC156" s="90">
        <v>0.16266240892803999</v>
      </c>
      <c r="AD156" s="90">
        <v>401.131261116269</v>
      </c>
      <c r="AF156" s="90">
        <v>-1</v>
      </c>
      <c r="AG156" s="90">
        <v>-1</v>
      </c>
      <c r="AH156" s="90">
        <v>-1</v>
      </c>
      <c r="AI156" s="90">
        <v>-1</v>
      </c>
      <c r="AJ156" s="90">
        <v>0</v>
      </c>
      <c r="AM156" s="90" t="s">
        <v>379</v>
      </c>
      <c r="AN156" s="90">
        <v>-1</v>
      </c>
      <c r="AQ156" s="90">
        <v>356</v>
      </c>
      <c r="AR156" s="90" t="s">
        <v>380</v>
      </c>
      <c r="AS156" s="90" t="s">
        <v>246</v>
      </c>
      <c r="AT156" s="90" t="s">
        <v>244</v>
      </c>
      <c r="AU156" s="90">
        <v>175.87190000000001</v>
      </c>
      <c r="AV156" s="90">
        <v>190.84135140122399</v>
      </c>
      <c r="AW156" s="90">
        <v>429.06827979913101</v>
      </c>
      <c r="AX156" s="90">
        <v>0.32532949</v>
      </c>
    </row>
    <row r="157" spans="1:50" x14ac:dyDescent="0.25">
      <c r="A157" s="102">
        <v>830000</v>
      </c>
      <c r="B157" s="102">
        <v>2400000</v>
      </c>
      <c r="C157" s="102">
        <v>2400000</v>
      </c>
      <c r="D157" s="90" t="s">
        <v>374</v>
      </c>
      <c r="E157" s="90" t="s">
        <v>68</v>
      </c>
      <c r="F157" s="90" t="s">
        <v>375</v>
      </c>
      <c r="G157" s="90" t="s">
        <v>376</v>
      </c>
      <c r="H157" s="90">
        <v>0.59</v>
      </c>
      <c r="I157" s="90">
        <v>0.64</v>
      </c>
      <c r="J157" s="90" t="s">
        <v>381</v>
      </c>
      <c r="K157" s="90">
        <v>3.9664010864860003E-2</v>
      </c>
      <c r="L157" s="90">
        <v>3782.1091691373299</v>
      </c>
      <c r="M157" s="90">
        <v>11.6204057133546</v>
      </c>
      <c r="N157" s="90">
        <v>1.53418801912293</v>
      </c>
      <c r="O157" s="90">
        <v>0.46091189846866998</v>
      </c>
      <c r="P157" s="90">
        <v>6.0852050259240002E-2</v>
      </c>
      <c r="Q157" s="90">
        <v>150.01361917678</v>
      </c>
      <c r="R157" s="90">
        <v>1400</v>
      </c>
      <c r="S157" s="90" t="s">
        <v>324</v>
      </c>
      <c r="T157" s="90">
        <v>1400</v>
      </c>
      <c r="U157" s="90" t="s">
        <v>382</v>
      </c>
      <c r="V157" s="90" t="s">
        <v>381</v>
      </c>
      <c r="Z157" s="90">
        <v>0</v>
      </c>
      <c r="AA157" s="90">
        <v>1</v>
      </c>
      <c r="AB157" s="90">
        <v>0.46091189846866998</v>
      </c>
      <c r="AC157" s="90">
        <v>6.0852050259240002E-2</v>
      </c>
      <c r="AD157" s="90">
        <v>169.967796311618</v>
      </c>
      <c r="AF157" s="90">
        <v>-1</v>
      </c>
      <c r="AG157" s="90">
        <v>-1</v>
      </c>
      <c r="AH157" s="90">
        <v>-1</v>
      </c>
      <c r="AI157" s="90">
        <v>-1</v>
      </c>
      <c r="AJ157" s="90">
        <v>0</v>
      </c>
      <c r="AM157" s="90" t="s">
        <v>379</v>
      </c>
      <c r="AN157" s="90">
        <v>-1</v>
      </c>
      <c r="AQ157" s="90">
        <v>356</v>
      </c>
      <c r="AR157" s="90" t="s">
        <v>380</v>
      </c>
      <c r="AS157" s="90" t="s">
        <v>246</v>
      </c>
      <c r="AT157" s="90" t="s">
        <v>244</v>
      </c>
      <c r="AU157" s="90">
        <v>175.87190000000001</v>
      </c>
      <c r="AV157" s="90">
        <v>105.223850612653</v>
      </c>
      <c r="AW157" s="90">
        <v>160.51455710663399</v>
      </c>
      <c r="AX157" s="90">
        <v>0.1378489832</v>
      </c>
    </row>
    <row r="158" spans="1:50" x14ac:dyDescent="0.25">
      <c r="A158" s="102">
        <v>830000</v>
      </c>
      <c r="B158" s="102">
        <v>2400000</v>
      </c>
      <c r="C158" s="102">
        <v>2400000</v>
      </c>
      <c r="D158" s="90" t="s">
        <v>374</v>
      </c>
      <c r="E158" s="90" t="s">
        <v>68</v>
      </c>
      <c r="F158" s="90" t="s">
        <v>375</v>
      </c>
      <c r="G158" s="90" t="s">
        <v>376</v>
      </c>
      <c r="H158" s="90">
        <v>0.59</v>
      </c>
      <c r="I158" s="90">
        <v>0.64</v>
      </c>
      <c r="J158" s="90" t="s">
        <v>244</v>
      </c>
      <c r="K158" s="90">
        <v>0.27753773635015999</v>
      </c>
      <c r="L158" s="90">
        <v>3782.1091691373299</v>
      </c>
      <c r="M158" s="90">
        <v>11.6204057133546</v>
      </c>
      <c r="N158" s="90">
        <v>1.53418801912293</v>
      </c>
      <c r="O158" s="90">
        <v>3.2251010971549898</v>
      </c>
      <c r="P158" s="90">
        <v>0.42579506996291999</v>
      </c>
      <c r="Q158" s="90">
        <v>1049.67801743158</v>
      </c>
      <c r="R158" s="90">
        <v>1410</v>
      </c>
      <c r="S158" s="90" t="s">
        <v>325</v>
      </c>
      <c r="T158" s="90">
        <v>1410</v>
      </c>
      <c r="U158" s="90" t="s">
        <v>378</v>
      </c>
      <c r="V158" s="90" t="s">
        <v>244</v>
      </c>
      <c r="Z158" s="90">
        <v>0</v>
      </c>
      <c r="AA158" s="90">
        <v>1</v>
      </c>
      <c r="AB158" s="90">
        <v>3.2251010971549898</v>
      </c>
      <c r="AC158" s="90">
        <v>0.42579506996291999</v>
      </c>
      <c r="AD158" s="90">
        <v>1049.67801743158</v>
      </c>
      <c r="AF158" s="90">
        <v>-1</v>
      </c>
      <c r="AG158" s="90">
        <v>-1</v>
      </c>
      <c r="AH158" s="90">
        <v>-1</v>
      </c>
      <c r="AI158" s="90">
        <v>-1</v>
      </c>
      <c r="AJ158" s="90">
        <v>0</v>
      </c>
      <c r="AM158" s="90" t="s">
        <v>379</v>
      </c>
      <c r="AN158" s="90">
        <v>-1</v>
      </c>
      <c r="AQ158" s="90">
        <v>356</v>
      </c>
      <c r="AR158" s="90" t="s">
        <v>380</v>
      </c>
      <c r="AS158" s="90" t="s">
        <v>246</v>
      </c>
      <c r="AT158" s="90" t="s">
        <v>244</v>
      </c>
      <c r="AU158" s="90">
        <v>175.87190000000001</v>
      </c>
      <c r="AV158" s="90">
        <v>141.05101670046199</v>
      </c>
      <c r="AW158" s="90">
        <v>1123.1553708070301</v>
      </c>
      <c r="AX158" s="90">
        <v>0.85132037100000002</v>
      </c>
    </row>
    <row r="159" spans="1:50" x14ac:dyDescent="0.25">
      <c r="A159" s="102">
        <v>830000</v>
      </c>
      <c r="B159" s="102">
        <v>2400000</v>
      </c>
      <c r="C159" s="102">
        <v>2400000</v>
      </c>
      <c r="D159" s="90" t="s">
        <v>374</v>
      </c>
      <c r="E159" s="90" t="s">
        <v>68</v>
      </c>
      <c r="F159" s="90" t="s">
        <v>375</v>
      </c>
      <c r="G159" s="90" t="s">
        <v>376</v>
      </c>
      <c r="H159" s="90">
        <v>0.59</v>
      </c>
      <c r="I159" s="90">
        <v>0.64</v>
      </c>
      <c r="J159" s="90" t="s">
        <v>244</v>
      </c>
      <c r="K159" s="90">
        <v>0.1892255659366</v>
      </c>
      <c r="L159" s="90">
        <v>3782.1091691373299</v>
      </c>
      <c r="M159" s="90">
        <v>11.6204057133546</v>
      </c>
      <c r="N159" s="90">
        <v>1.53418801912293</v>
      </c>
      <c r="O159" s="90">
        <v>2.1988778475225099</v>
      </c>
      <c r="P159" s="90">
        <v>0.29030759617169</v>
      </c>
      <c r="Q159" s="90">
        <v>715.67174796404197</v>
      </c>
      <c r="R159" s="90">
        <v>1430</v>
      </c>
      <c r="S159" s="90" t="s">
        <v>326</v>
      </c>
      <c r="T159" s="90">
        <v>1430</v>
      </c>
      <c r="U159" s="90" t="s">
        <v>378</v>
      </c>
      <c r="V159" s="90" t="s">
        <v>244</v>
      </c>
      <c r="Z159" s="90">
        <v>0</v>
      </c>
      <c r="AA159" s="90">
        <v>1</v>
      </c>
      <c r="AB159" s="90">
        <v>2.1988778475225099</v>
      </c>
      <c r="AC159" s="90">
        <v>0.29030759617169</v>
      </c>
      <c r="AD159" s="90">
        <v>715.67174796404197</v>
      </c>
      <c r="AF159" s="90">
        <v>-1</v>
      </c>
      <c r="AG159" s="90">
        <v>-1</v>
      </c>
      <c r="AH159" s="90">
        <v>-1</v>
      </c>
      <c r="AI159" s="90">
        <v>-1</v>
      </c>
      <c r="AJ159" s="90">
        <v>0</v>
      </c>
      <c r="AM159" s="90" t="s">
        <v>379</v>
      </c>
      <c r="AN159" s="90">
        <v>-1</v>
      </c>
      <c r="AQ159" s="90">
        <v>356</v>
      </c>
      <c r="AR159" s="90" t="s">
        <v>380</v>
      </c>
      <c r="AS159" s="90" t="s">
        <v>246</v>
      </c>
      <c r="AT159" s="90" t="s">
        <v>244</v>
      </c>
      <c r="AU159" s="90">
        <v>175.87190000000001</v>
      </c>
      <c r="AV159" s="90">
        <v>126.21998854943</v>
      </c>
      <c r="AW159" s="90">
        <v>765.76869679283402</v>
      </c>
      <c r="AX159" s="90">
        <v>0.58043126359999997</v>
      </c>
    </row>
    <row r="160" spans="1:50" x14ac:dyDescent="0.25">
      <c r="A160" s="102">
        <v>830000</v>
      </c>
      <c r="B160" s="102">
        <v>2400000</v>
      </c>
      <c r="C160" s="102">
        <v>2400000</v>
      </c>
      <c r="D160" s="90" t="s">
        <v>374</v>
      </c>
      <c r="E160" s="90" t="s">
        <v>68</v>
      </c>
      <c r="F160" s="90" t="s">
        <v>375</v>
      </c>
      <c r="G160" s="90" t="s">
        <v>376</v>
      </c>
      <c r="H160" s="90">
        <v>0.59</v>
      </c>
      <c r="I160" s="90">
        <v>0.64</v>
      </c>
      <c r="J160" s="90" t="s">
        <v>244</v>
      </c>
      <c r="K160" s="90">
        <v>0.61776345362188001</v>
      </c>
      <c r="L160" s="90">
        <v>3777.9106743361199</v>
      </c>
      <c r="M160" s="90">
        <v>11.608074311546901</v>
      </c>
      <c r="N160" s="90">
        <v>1.5325543326231399</v>
      </c>
      <c r="O160" s="90">
        <v>7.1710440766007704</v>
      </c>
      <c r="P160" s="90">
        <v>0.94675605738446</v>
      </c>
      <c r="Q160" s="90">
        <v>2333.8551456528699</v>
      </c>
      <c r="R160" s="90">
        <v>1450</v>
      </c>
      <c r="S160" s="90" t="s">
        <v>391</v>
      </c>
      <c r="T160" s="90">
        <v>1450</v>
      </c>
      <c r="U160" s="90" t="s">
        <v>378</v>
      </c>
      <c r="V160" s="90" t="s">
        <v>244</v>
      </c>
      <c r="Z160" s="90">
        <v>0</v>
      </c>
      <c r="AA160" s="90">
        <v>1</v>
      </c>
      <c r="AB160" s="90">
        <v>7.1710440766007704</v>
      </c>
      <c r="AC160" s="90">
        <v>0.94675605738446</v>
      </c>
      <c r="AD160" s="90">
        <v>2333.8551456528699</v>
      </c>
      <c r="AF160" s="90">
        <v>-1</v>
      </c>
      <c r="AG160" s="90">
        <v>-1</v>
      </c>
      <c r="AH160" s="90">
        <v>-1</v>
      </c>
      <c r="AI160" s="90">
        <v>-1</v>
      </c>
      <c r="AJ160" s="90">
        <v>0</v>
      </c>
      <c r="AM160" s="90" t="s">
        <v>379</v>
      </c>
      <c r="AN160" s="90">
        <v>-1</v>
      </c>
      <c r="AQ160" s="90">
        <v>356</v>
      </c>
      <c r="AR160" s="90" t="s">
        <v>380</v>
      </c>
      <c r="AS160" s="90" t="s">
        <v>246</v>
      </c>
      <c r="AT160" s="90" t="s">
        <v>244</v>
      </c>
      <c r="AU160" s="90">
        <v>175.87190000000001</v>
      </c>
      <c r="AV160" s="90">
        <v>199.99999999254899</v>
      </c>
      <c r="AW160" s="90">
        <v>2499.99999981373</v>
      </c>
      <c r="AX160" s="90">
        <v>1.8928265577000001</v>
      </c>
    </row>
    <row r="161" spans="1:50" x14ac:dyDescent="0.25">
      <c r="A161" s="102">
        <v>830000</v>
      </c>
      <c r="B161" s="102">
        <v>2400000</v>
      </c>
      <c r="C161" s="102">
        <v>2400000</v>
      </c>
      <c r="D161" s="90" t="s">
        <v>374</v>
      </c>
      <c r="E161" s="90" t="s">
        <v>68</v>
      </c>
      <c r="F161" s="90" t="s">
        <v>375</v>
      </c>
      <c r="G161" s="90" t="s">
        <v>376</v>
      </c>
      <c r="H161" s="90">
        <v>0.59</v>
      </c>
      <c r="I161" s="90">
        <v>0.64</v>
      </c>
      <c r="J161" s="90" t="s">
        <v>244</v>
      </c>
      <c r="K161" s="90">
        <v>0.61776345366790997</v>
      </c>
      <c r="L161" s="90">
        <v>3752.2321464822298</v>
      </c>
      <c r="M161" s="90">
        <v>10.794972646832999</v>
      </c>
      <c r="N161" s="90">
        <v>2.0799086134848701</v>
      </c>
      <c r="O161" s="90">
        <v>6.66873958455826</v>
      </c>
      <c r="P161" s="90">
        <v>1.2848915283800499</v>
      </c>
      <c r="Q161" s="90">
        <v>2317.9918897746302</v>
      </c>
      <c r="R161" s="90">
        <v>1300</v>
      </c>
      <c r="S161" s="90" t="s">
        <v>387</v>
      </c>
      <c r="T161" s="90">
        <v>1300</v>
      </c>
      <c r="U161" s="90" t="s">
        <v>378</v>
      </c>
      <c r="V161" s="90" t="s">
        <v>244</v>
      </c>
      <c r="Z161" s="90">
        <v>0</v>
      </c>
      <c r="AA161" s="90">
        <v>1</v>
      </c>
      <c r="AB161" s="90">
        <v>6.66873958455826</v>
      </c>
      <c r="AC161" s="90">
        <v>1.2848915283800499</v>
      </c>
      <c r="AD161" s="90">
        <v>2317.9918897746302</v>
      </c>
      <c r="AF161" s="90">
        <v>-1</v>
      </c>
      <c r="AG161" s="90">
        <v>-1</v>
      </c>
      <c r="AH161" s="90">
        <v>-1</v>
      </c>
      <c r="AI161" s="90">
        <v>-1</v>
      </c>
      <c r="AJ161" s="90">
        <v>0</v>
      </c>
      <c r="AM161" s="90" t="s">
        <v>379</v>
      </c>
      <c r="AN161" s="90">
        <v>-1</v>
      </c>
      <c r="AQ161" s="90">
        <v>356</v>
      </c>
      <c r="AR161" s="90" t="s">
        <v>380</v>
      </c>
      <c r="AS161" s="90" t="s">
        <v>246</v>
      </c>
      <c r="AT161" s="90" t="s">
        <v>244</v>
      </c>
      <c r="AU161" s="90">
        <v>175.87190000000001</v>
      </c>
      <c r="AV161" s="90">
        <v>200</v>
      </c>
      <c r="AW161" s="90">
        <v>2500</v>
      </c>
      <c r="AX161" s="90">
        <v>1.8799609812</v>
      </c>
    </row>
    <row r="162" spans="1:50" x14ac:dyDescent="0.25">
      <c r="A162" s="102">
        <v>830000</v>
      </c>
      <c r="B162" s="102">
        <v>2400000</v>
      </c>
      <c r="C162" s="102">
        <v>2400000</v>
      </c>
      <c r="D162" s="90" t="s">
        <v>374</v>
      </c>
      <c r="E162" s="90" t="s">
        <v>68</v>
      </c>
      <c r="F162" s="90" t="s">
        <v>375</v>
      </c>
      <c r="G162" s="90" t="s">
        <v>376</v>
      </c>
      <c r="H162" s="90">
        <v>0.59</v>
      </c>
      <c r="I162" s="90">
        <v>0.64</v>
      </c>
      <c r="J162" s="90" t="s">
        <v>244</v>
      </c>
      <c r="K162" s="90">
        <v>0.26750130258268001</v>
      </c>
      <c r="L162" s="90">
        <v>3772.7604150873699</v>
      </c>
      <c r="M162" s="90">
        <v>9.3602968513812499</v>
      </c>
      <c r="N162" s="90">
        <v>1.6297278792958001</v>
      </c>
      <c r="O162" s="90">
        <v>2.5038916003051002</v>
      </c>
      <c r="P162" s="90">
        <v>0.43595433056694</v>
      </c>
      <c r="Q162" s="90">
        <v>1009.21832536826</v>
      </c>
      <c r="R162" s="90">
        <v>1300</v>
      </c>
      <c r="S162" s="90" t="s">
        <v>387</v>
      </c>
      <c r="T162" s="90">
        <v>1300</v>
      </c>
      <c r="U162" s="90" t="s">
        <v>378</v>
      </c>
      <c r="V162" s="90" t="s">
        <v>244</v>
      </c>
      <c r="Z162" s="90">
        <v>0</v>
      </c>
      <c r="AA162" s="90">
        <v>1</v>
      </c>
      <c r="AB162" s="90">
        <v>2.5038916003051002</v>
      </c>
      <c r="AC162" s="90">
        <v>0.43595433056694</v>
      </c>
      <c r="AD162" s="90">
        <v>1009.21832536826</v>
      </c>
      <c r="AF162" s="90">
        <v>-1</v>
      </c>
      <c r="AG162" s="90">
        <v>-1</v>
      </c>
      <c r="AH162" s="90">
        <v>-1</v>
      </c>
      <c r="AI162" s="90">
        <v>-1</v>
      </c>
      <c r="AJ162" s="90">
        <v>0</v>
      </c>
      <c r="AM162" s="90" t="s">
        <v>379</v>
      </c>
      <c r="AN162" s="90">
        <v>-1</v>
      </c>
      <c r="AQ162" s="90">
        <v>356</v>
      </c>
      <c r="AR162" s="90" t="s">
        <v>380</v>
      </c>
      <c r="AS162" s="90" t="s">
        <v>246</v>
      </c>
      <c r="AT162" s="90" t="s">
        <v>244</v>
      </c>
      <c r="AU162" s="90">
        <v>175.87190000000001</v>
      </c>
      <c r="AV162" s="90">
        <v>143.30838275285899</v>
      </c>
      <c r="AW162" s="90">
        <v>1082.5393643571001</v>
      </c>
      <c r="AX162" s="90">
        <v>0.81850634659999999</v>
      </c>
    </row>
    <row r="163" spans="1:50" x14ac:dyDescent="0.25">
      <c r="A163" s="102">
        <v>830000</v>
      </c>
      <c r="B163" s="102">
        <v>2400000</v>
      </c>
      <c r="C163" s="102">
        <v>2400000</v>
      </c>
      <c r="D163" s="90" t="s">
        <v>374</v>
      </c>
      <c r="E163" s="90" t="s">
        <v>68</v>
      </c>
      <c r="F163" s="90" t="s">
        <v>375</v>
      </c>
      <c r="G163" s="90" t="s">
        <v>376</v>
      </c>
      <c r="H163" s="90">
        <v>0.59</v>
      </c>
      <c r="I163" s="90">
        <v>0.64</v>
      </c>
      <c r="J163" s="90" t="s">
        <v>244</v>
      </c>
      <c r="K163" s="90">
        <v>0.35026215113124998</v>
      </c>
      <c r="L163" s="90">
        <v>3772.7604150873699</v>
      </c>
      <c r="M163" s="90">
        <v>9.3602968513812499</v>
      </c>
      <c r="N163" s="90">
        <v>1.6297278792958001</v>
      </c>
      <c r="O163" s="90">
        <v>3.2785577103919001</v>
      </c>
      <c r="P163" s="90">
        <v>0.57083199276072005</v>
      </c>
      <c r="Q163" s="90">
        <v>1321.4551786913401</v>
      </c>
      <c r="R163" s="90">
        <v>1300</v>
      </c>
      <c r="S163" s="90" t="s">
        <v>387</v>
      </c>
      <c r="T163" s="90">
        <v>1300</v>
      </c>
      <c r="U163" s="90" t="s">
        <v>378</v>
      </c>
      <c r="V163" s="90" t="s">
        <v>244</v>
      </c>
      <c r="Z163" s="90">
        <v>0</v>
      </c>
      <c r="AA163" s="90">
        <v>1</v>
      </c>
      <c r="AB163" s="90">
        <v>3.2785577103919001</v>
      </c>
      <c r="AC163" s="90">
        <v>0.57083199276072005</v>
      </c>
      <c r="AD163" s="90">
        <v>1321.4551786913401</v>
      </c>
      <c r="AF163" s="90">
        <v>-1</v>
      </c>
      <c r="AG163" s="90">
        <v>-1</v>
      </c>
      <c r="AH163" s="90">
        <v>-1</v>
      </c>
      <c r="AI163" s="90">
        <v>-1</v>
      </c>
      <c r="AJ163" s="90">
        <v>0</v>
      </c>
      <c r="AM163" s="90" t="s">
        <v>379</v>
      </c>
      <c r="AN163" s="90">
        <v>-1</v>
      </c>
      <c r="AQ163" s="90">
        <v>356</v>
      </c>
      <c r="AR163" s="90" t="s">
        <v>380</v>
      </c>
      <c r="AS163" s="90" t="s">
        <v>246</v>
      </c>
      <c r="AT163" s="90" t="s">
        <v>244</v>
      </c>
      <c r="AU163" s="90">
        <v>175.87190000000001</v>
      </c>
      <c r="AV163" s="90">
        <v>156.705233610742</v>
      </c>
      <c r="AW163" s="90">
        <v>1417.4606358291501</v>
      </c>
      <c r="AX163" s="90">
        <v>1.0717398042999999</v>
      </c>
    </row>
    <row r="164" spans="1:50" x14ac:dyDescent="0.25">
      <c r="A164" s="102">
        <v>830000</v>
      </c>
      <c r="B164" s="102">
        <v>2400000</v>
      </c>
      <c r="C164" s="102">
        <v>2400000</v>
      </c>
      <c r="D164" s="90" t="s">
        <v>374</v>
      </c>
      <c r="E164" s="90" t="s">
        <v>68</v>
      </c>
      <c r="F164" s="90" t="s">
        <v>375</v>
      </c>
      <c r="G164" s="90" t="s">
        <v>376</v>
      </c>
      <c r="H164" s="90">
        <v>0.59</v>
      </c>
      <c r="I164" s="90">
        <v>0.64</v>
      </c>
      <c r="J164" s="90" t="s">
        <v>244</v>
      </c>
      <c r="K164" s="90">
        <v>8.2174776792670004E-2</v>
      </c>
      <c r="L164" s="90">
        <v>3752.9178030766998</v>
      </c>
      <c r="M164" s="90">
        <v>10.797052918359</v>
      </c>
      <c r="N164" s="90">
        <v>2.0803219523404501</v>
      </c>
      <c r="O164" s="90">
        <v>0.88724541358484998</v>
      </c>
      <c r="P164" s="90">
        <v>0.17094999209046999</v>
      </c>
      <c r="Q164" s="90">
        <v>308.395182789084</v>
      </c>
      <c r="R164" s="90">
        <v>1300</v>
      </c>
      <c r="S164" s="90" t="s">
        <v>387</v>
      </c>
      <c r="T164" s="90">
        <v>1300</v>
      </c>
      <c r="U164" s="90" t="s">
        <v>378</v>
      </c>
      <c r="V164" s="90" t="s">
        <v>244</v>
      </c>
      <c r="Z164" s="90">
        <v>0</v>
      </c>
      <c r="AA164" s="90">
        <v>1</v>
      </c>
      <c r="AB164" s="90">
        <v>0.88724541358484998</v>
      </c>
      <c r="AC164" s="90">
        <v>0.17094999209046999</v>
      </c>
      <c r="AD164" s="90">
        <v>308.39518278908298</v>
      </c>
      <c r="AF164" s="90">
        <v>-1</v>
      </c>
      <c r="AG164" s="90">
        <v>-1</v>
      </c>
      <c r="AH164" s="90">
        <v>-1</v>
      </c>
      <c r="AI164" s="90">
        <v>-1</v>
      </c>
      <c r="AJ164" s="90">
        <v>0</v>
      </c>
      <c r="AM164" s="90" t="s">
        <v>379</v>
      </c>
      <c r="AN164" s="90">
        <v>-1</v>
      </c>
      <c r="AQ164" s="90">
        <v>356</v>
      </c>
      <c r="AR164" s="90" t="s">
        <v>380</v>
      </c>
      <c r="AS164" s="90" t="s">
        <v>246</v>
      </c>
      <c r="AT164" s="90" t="s">
        <v>244</v>
      </c>
      <c r="AU164" s="90">
        <v>175.87190000000001</v>
      </c>
      <c r="AV164" s="90">
        <v>78.419162452903706</v>
      </c>
      <c r="AW164" s="90">
        <v>332.54952322272197</v>
      </c>
      <c r="AX164" s="90">
        <v>0.2501177476</v>
      </c>
    </row>
    <row r="165" spans="1:50" x14ac:dyDescent="0.25">
      <c r="A165" s="102">
        <v>830000</v>
      </c>
      <c r="B165" s="102">
        <v>2400000</v>
      </c>
      <c r="C165" s="102">
        <v>2400000</v>
      </c>
      <c r="D165" s="90" t="s">
        <v>374</v>
      </c>
      <c r="E165" s="90" t="s">
        <v>68</v>
      </c>
      <c r="F165" s="90" t="s">
        <v>375</v>
      </c>
      <c r="G165" s="90" t="s">
        <v>376</v>
      </c>
      <c r="H165" s="90">
        <v>0.59</v>
      </c>
      <c r="I165" s="90">
        <v>0.64</v>
      </c>
      <c r="J165" s="90" t="s">
        <v>244</v>
      </c>
      <c r="K165" s="90">
        <v>0.52254539388152998</v>
      </c>
      <c r="L165" s="90">
        <v>3752.9178030766998</v>
      </c>
      <c r="M165" s="90">
        <v>10.797052918359</v>
      </c>
      <c r="N165" s="90">
        <v>2.0803219523404501</v>
      </c>
      <c r="O165" s="90">
        <v>5.6419502699837496</v>
      </c>
      <c r="P165" s="90">
        <v>1.0870626539861501</v>
      </c>
      <c r="Q165" s="90">
        <v>1961.06991161375</v>
      </c>
      <c r="R165" s="90">
        <v>1300</v>
      </c>
      <c r="S165" s="90" t="s">
        <v>387</v>
      </c>
      <c r="T165" s="90">
        <v>1300</v>
      </c>
      <c r="U165" s="90" t="s">
        <v>378</v>
      </c>
      <c r="V165" s="90" t="s">
        <v>244</v>
      </c>
      <c r="Z165" s="90">
        <v>0</v>
      </c>
      <c r="AA165" s="90">
        <v>1</v>
      </c>
      <c r="AB165" s="90">
        <v>5.6419502699837496</v>
      </c>
      <c r="AC165" s="90">
        <v>1.0870626539861501</v>
      </c>
      <c r="AD165" s="90">
        <v>1961.06991161375</v>
      </c>
      <c r="AF165" s="90">
        <v>-1</v>
      </c>
      <c r="AG165" s="90">
        <v>-1</v>
      </c>
      <c r="AH165" s="90">
        <v>-1</v>
      </c>
      <c r="AI165" s="90">
        <v>-1</v>
      </c>
      <c r="AJ165" s="90">
        <v>0</v>
      </c>
      <c r="AM165" s="90" t="s">
        <v>379</v>
      </c>
      <c r="AN165" s="90">
        <v>-1</v>
      </c>
      <c r="AQ165" s="90">
        <v>356</v>
      </c>
      <c r="AR165" s="90" t="s">
        <v>380</v>
      </c>
      <c r="AS165" s="90" t="s">
        <v>246</v>
      </c>
      <c r="AT165" s="90" t="s">
        <v>244</v>
      </c>
      <c r="AU165" s="90">
        <v>175.87190000000001</v>
      </c>
      <c r="AV165" s="90">
        <v>198.37253301284201</v>
      </c>
      <c r="AW165" s="90">
        <v>2114.6661832250402</v>
      </c>
      <c r="AX165" s="90">
        <v>1.5904865463</v>
      </c>
    </row>
    <row r="166" spans="1:50" x14ac:dyDescent="0.25">
      <c r="A166" s="102">
        <v>830000</v>
      </c>
      <c r="B166" s="102">
        <v>2400000</v>
      </c>
      <c r="C166" s="102">
        <v>2400000</v>
      </c>
      <c r="D166" s="90" t="s">
        <v>374</v>
      </c>
      <c r="E166" s="90" t="s">
        <v>68</v>
      </c>
      <c r="F166" s="90" t="s">
        <v>375</v>
      </c>
      <c r="G166" s="90" t="s">
        <v>376</v>
      </c>
      <c r="H166" s="90">
        <v>0.59</v>
      </c>
      <c r="I166" s="90">
        <v>0.64</v>
      </c>
      <c r="J166" s="90" t="s">
        <v>244</v>
      </c>
      <c r="K166" s="90">
        <v>1.304328285562E-2</v>
      </c>
      <c r="L166" s="90">
        <v>3752.9178030766998</v>
      </c>
      <c r="M166" s="90">
        <v>10.797052918359</v>
      </c>
      <c r="N166" s="90">
        <v>2.0803219523404501</v>
      </c>
      <c r="O166" s="90">
        <v>0.14082901522124999</v>
      </c>
      <c r="P166" s="90">
        <v>2.7134227655129999E-2</v>
      </c>
      <c r="Q166" s="90">
        <v>48.950368439421403</v>
      </c>
      <c r="R166" s="90">
        <v>1300</v>
      </c>
      <c r="S166" s="90" t="s">
        <v>387</v>
      </c>
      <c r="T166" s="90">
        <v>1300</v>
      </c>
      <c r="U166" s="90" t="s">
        <v>378</v>
      </c>
      <c r="V166" s="90" t="s">
        <v>244</v>
      </c>
      <c r="Z166" s="90">
        <v>0</v>
      </c>
      <c r="AA166" s="90">
        <v>1</v>
      </c>
      <c r="AB166" s="90">
        <v>0.14082901522124999</v>
      </c>
      <c r="AC166" s="90">
        <v>2.7134227655129999E-2</v>
      </c>
      <c r="AD166" s="90">
        <v>48.9503684394207</v>
      </c>
      <c r="AF166" s="90">
        <v>-1</v>
      </c>
      <c r="AG166" s="90">
        <v>-1</v>
      </c>
      <c r="AH166" s="90">
        <v>-1</v>
      </c>
      <c r="AI166" s="90">
        <v>-1</v>
      </c>
      <c r="AJ166" s="90">
        <v>0</v>
      </c>
      <c r="AM166" s="90" t="s">
        <v>379</v>
      </c>
      <c r="AN166" s="90">
        <v>-1</v>
      </c>
      <c r="AQ166" s="90">
        <v>356</v>
      </c>
      <c r="AR166" s="90" t="s">
        <v>380</v>
      </c>
      <c r="AS166" s="90" t="s">
        <v>246</v>
      </c>
      <c r="AT166" s="90" t="s">
        <v>244</v>
      </c>
      <c r="AU166" s="90">
        <v>175.87190000000001</v>
      </c>
      <c r="AV166" s="90">
        <v>102.146110329755</v>
      </c>
      <c r="AW166" s="90">
        <v>52.784292993444701</v>
      </c>
      <c r="AX166" s="90">
        <v>3.9700217699999998E-2</v>
      </c>
    </row>
    <row r="167" spans="1:50" x14ac:dyDescent="0.25">
      <c r="A167" s="102">
        <v>830000</v>
      </c>
      <c r="B167" s="102">
        <v>2400000</v>
      </c>
      <c r="C167" s="102">
        <v>2400000</v>
      </c>
      <c r="D167" s="90" t="s">
        <v>374</v>
      </c>
      <c r="E167" s="90" t="s">
        <v>68</v>
      </c>
      <c r="F167" s="90" t="s">
        <v>375</v>
      </c>
      <c r="G167" s="90" t="s">
        <v>376</v>
      </c>
      <c r="H167" s="90">
        <v>0.59</v>
      </c>
      <c r="I167" s="90">
        <v>0.64</v>
      </c>
      <c r="J167" s="90" t="s">
        <v>244</v>
      </c>
      <c r="K167" s="90">
        <v>0.32440671718787001</v>
      </c>
      <c r="L167" s="90">
        <v>3747.7351300138698</v>
      </c>
      <c r="M167" s="90">
        <v>10.7827144176354</v>
      </c>
      <c r="N167" s="90">
        <v>2.0776258093850699</v>
      </c>
      <c r="O167" s="90">
        <v>3.4979849865994801</v>
      </c>
      <c r="P167" s="90">
        <v>0.67399576836741004</v>
      </c>
      <c r="Q167" s="90">
        <v>1215.7904504174701</v>
      </c>
      <c r="R167" s="90">
        <v>1300</v>
      </c>
      <c r="S167" s="90" t="s">
        <v>387</v>
      </c>
      <c r="T167" s="90">
        <v>1300</v>
      </c>
      <c r="U167" s="90" t="s">
        <v>378</v>
      </c>
      <c r="V167" s="90" t="s">
        <v>244</v>
      </c>
      <c r="Z167" s="90">
        <v>0</v>
      </c>
      <c r="AA167" s="90">
        <v>1</v>
      </c>
      <c r="AB167" s="90">
        <v>3.4979849865994801</v>
      </c>
      <c r="AC167" s="90">
        <v>0.67399576836741004</v>
      </c>
      <c r="AD167" s="90">
        <v>1215.7904504174701</v>
      </c>
      <c r="AF167" s="90">
        <v>-1</v>
      </c>
      <c r="AG167" s="90">
        <v>-1</v>
      </c>
      <c r="AH167" s="90">
        <v>-1</v>
      </c>
      <c r="AI167" s="90">
        <v>-1</v>
      </c>
      <c r="AJ167" s="90">
        <v>0</v>
      </c>
      <c r="AM167" s="90" t="s">
        <v>379</v>
      </c>
      <c r="AN167" s="90">
        <v>-1</v>
      </c>
      <c r="AQ167" s="90">
        <v>356</v>
      </c>
      <c r="AR167" s="90" t="s">
        <v>380</v>
      </c>
      <c r="AS167" s="90" t="s">
        <v>246</v>
      </c>
      <c r="AT167" s="90" t="s">
        <v>244</v>
      </c>
      <c r="AU167" s="90">
        <v>175.87190000000001</v>
      </c>
      <c r="AV167" s="90">
        <v>152.54973675708399</v>
      </c>
      <c r="AW167" s="90">
        <v>1312.8274069214399</v>
      </c>
      <c r="AX167" s="90">
        <v>0.98604253890000004</v>
      </c>
    </row>
    <row r="168" spans="1:50" x14ac:dyDescent="0.25">
      <c r="A168" s="102">
        <v>830000</v>
      </c>
      <c r="B168" s="102">
        <v>2400000</v>
      </c>
      <c r="C168" s="102">
        <v>2400000</v>
      </c>
      <c r="D168" s="90" t="s">
        <v>374</v>
      </c>
      <c r="E168" s="90" t="s">
        <v>68</v>
      </c>
      <c r="F168" s="90" t="s">
        <v>375</v>
      </c>
      <c r="G168" s="90" t="s">
        <v>376</v>
      </c>
      <c r="H168" s="90">
        <v>0.59</v>
      </c>
      <c r="I168" s="90">
        <v>0.64</v>
      </c>
      <c r="J168" s="90" t="s">
        <v>244</v>
      </c>
      <c r="K168" s="90">
        <v>0.29335673641099003</v>
      </c>
      <c r="L168" s="90">
        <v>3747.7351300138698</v>
      </c>
      <c r="M168" s="90">
        <v>10.7827144176354</v>
      </c>
      <c r="N168" s="90">
        <v>2.0776258093850699</v>
      </c>
      <c r="O168" s="90">
        <v>3.1631819112093602</v>
      </c>
      <c r="P168" s="90">
        <v>0.60948552692446001</v>
      </c>
      <c r="Q168" s="90">
        <v>1099.4233466737201</v>
      </c>
      <c r="R168" s="90">
        <v>1300</v>
      </c>
      <c r="S168" s="90" t="s">
        <v>387</v>
      </c>
      <c r="T168" s="90">
        <v>1300</v>
      </c>
      <c r="U168" s="90" t="s">
        <v>378</v>
      </c>
      <c r="V168" s="90" t="s">
        <v>244</v>
      </c>
      <c r="Z168" s="90">
        <v>0</v>
      </c>
      <c r="AA168" s="90">
        <v>1</v>
      </c>
      <c r="AB168" s="90">
        <v>3.1631819112093602</v>
      </c>
      <c r="AC168" s="90">
        <v>0.60948552692446001</v>
      </c>
      <c r="AD168" s="90">
        <v>1099.4233466737201</v>
      </c>
      <c r="AF168" s="90">
        <v>-1</v>
      </c>
      <c r="AG168" s="90">
        <v>-1</v>
      </c>
      <c r="AH168" s="90">
        <v>-1</v>
      </c>
      <c r="AI168" s="90">
        <v>-1</v>
      </c>
      <c r="AJ168" s="90">
        <v>0</v>
      </c>
      <c r="AM168" s="90" t="s">
        <v>379</v>
      </c>
      <c r="AN168" s="90">
        <v>-1</v>
      </c>
      <c r="AQ168" s="90">
        <v>356</v>
      </c>
      <c r="AR168" s="90" t="s">
        <v>380</v>
      </c>
      <c r="AS168" s="90" t="s">
        <v>246</v>
      </c>
      <c r="AT168" s="90" t="s">
        <v>244</v>
      </c>
      <c r="AU168" s="90">
        <v>175.87190000000001</v>
      </c>
      <c r="AV168" s="90">
        <v>147.52354419256599</v>
      </c>
      <c r="AW168" s="90">
        <v>1187.1725927991499</v>
      </c>
      <c r="AX168" s="90">
        <v>0.89166532580000002</v>
      </c>
    </row>
    <row r="169" spans="1:50" x14ac:dyDescent="0.25">
      <c r="A169" s="102">
        <v>830000</v>
      </c>
      <c r="B169" s="102">
        <v>2400000</v>
      </c>
      <c r="C169" s="102">
        <v>2400000</v>
      </c>
      <c r="D169" s="90" t="s">
        <v>374</v>
      </c>
      <c r="E169" s="90" t="s">
        <v>68</v>
      </c>
      <c r="F169" s="90" t="s">
        <v>375</v>
      </c>
      <c r="G169" s="90" t="s">
        <v>376</v>
      </c>
      <c r="H169" s="90">
        <v>0.59</v>
      </c>
      <c r="I169" s="90">
        <v>0.64</v>
      </c>
      <c r="J169" s="90" t="s">
        <v>244</v>
      </c>
      <c r="K169" s="90">
        <v>8.1483570707920006E-2</v>
      </c>
      <c r="L169" s="90">
        <v>3707.8260829399201</v>
      </c>
      <c r="M169" s="90">
        <v>7.9517851832758302</v>
      </c>
      <c r="N169" s="90">
        <v>1.0790172386046</v>
      </c>
      <c r="O169" s="90">
        <v>0.64793985023569001</v>
      </c>
      <c r="P169" s="90">
        <v>8.7922177456899994E-2</v>
      </c>
      <c r="Q169" s="90">
        <v>302.12690880192702</v>
      </c>
      <c r="R169" s="90">
        <v>1450</v>
      </c>
      <c r="S169" s="90" t="s">
        <v>391</v>
      </c>
      <c r="T169" s="90">
        <v>1450</v>
      </c>
      <c r="U169" s="90" t="s">
        <v>378</v>
      </c>
      <c r="V169" s="90" t="s">
        <v>244</v>
      </c>
      <c r="Z169" s="90">
        <v>0</v>
      </c>
      <c r="AA169" s="90">
        <v>1</v>
      </c>
      <c r="AB169" s="90">
        <v>0.64793985023569001</v>
      </c>
      <c r="AC169" s="90">
        <v>8.7922177456899994E-2</v>
      </c>
      <c r="AD169" s="90">
        <v>302.12690880192901</v>
      </c>
      <c r="AF169" s="90">
        <v>-1</v>
      </c>
      <c r="AG169" s="90">
        <v>-1</v>
      </c>
      <c r="AH169" s="90">
        <v>-1</v>
      </c>
      <c r="AI169" s="90">
        <v>-1</v>
      </c>
      <c r="AJ169" s="90">
        <v>0</v>
      </c>
      <c r="AM169" s="90" t="s">
        <v>379</v>
      </c>
      <c r="AN169" s="90">
        <v>-1</v>
      </c>
      <c r="AQ169" s="90">
        <v>356</v>
      </c>
      <c r="AR169" s="90" t="s">
        <v>380</v>
      </c>
      <c r="AS169" s="90" t="s">
        <v>246</v>
      </c>
      <c r="AT169" s="90" t="s">
        <v>244</v>
      </c>
      <c r="AU169" s="90">
        <v>175.87190000000001</v>
      </c>
      <c r="AV169" s="90">
        <v>113.21490420674</v>
      </c>
      <c r="AW169" s="90">
        <v>329.75231143945598</v>
      </c>
      <c r="AX169" s="90">
        <v>0.2450339893</v>
      </c>
    </row>
    <row r="170" spans="1:50" x14ac:dyDescent="0.25">
      <c r="A170" s="102">
        <v>830000</v>
      </c>
      <c r="B170" s="102">
        <v>2400000</v>
      </c>
      <c r="C170" s="102">
        <v>2400000</v>
      </c>
      <c r="D170" s="90" t="s">
        <v>374</v>
      </c>
      <c r="E170" s="90" t="s">
        <v>68</v>
      </c>
      <c r="F170" s="90" t="s">
        <v>375</v>
      </c>
      <c r="G170" s="90" t="s">
        <v>376</v>
      </c>
      <c r="H170" s="90">
        <v>0.59</v>
      </c>
      <c r="I170" s="90">
        <v>0.64</v>
      </c>
      <c r="J170" s="90" t="s">
        <v>244</v>
      </c>
      <c r="K170" s="90">
        <v>0.61776345362188001</v>
      </c>
      <c r="L170" s="90">
        <v>3882.5384879909002</v>
      </c>
      <c r="M170" s="90">
        <v>8.6413750181892706</v>
      </c>
      <c r="N170" s="90">
        <v>1.1734419275405199</v>
      </c>
      <c r="O170" s="90">
        <v>5.3383256752784902</v>
      </c>
      <c r="P170" s="90">
        <v>0.72490953778214995</v>
      </c>
      <c r="Q170" s="90">
        <v>2398.4903851611498</v>
      </c>
      <c r="R170" s="90">
        <v>1450</v>
      </c>
      <c r="S170" s="90" t="s">
        <v>391</v>
      </c>
      <c r="T170" s="90">
        <v>1450</v>
      </c>
      <c r="U170" s="90" t="s">
        <v>378</v>
      </c>
      <c r="V170" s="90" t="s">
        <v>244</v>
      </c>
      <c r="Z170" s="90">
        <v>0</v>
      </c>
      <c r="AA170" s="90">
        <v>1</v>
      </c>
      <c r="AB170" s="90">
        <v>5.3383256752784902</v>
      </c>
      <c r="AC170" s="90">
        <v>0.72490953778214995</v>
      </c>
      <c r="AD170" s="90">
        <v>2398.4903851611498</v>
      </c>
      <c r="AF170" s="90">
        <v>-1</v>
      </c>
      <c r="AG170" s="90">
        <v>-1</v>
      </c>
      <c r="AH170" s="90">
        <v>-1</v>
      </c>
      <c r="AI170" s="90">
        <v>-1</v>
      </c>
      <c r="AJ170" s="90">
        <v>0</v>
      </c>
      <c r="AM170" s="90" t="s">
        <v>379</v>
      </c>
      <c r="AN170" s="90">
        <v>-1</v>
      </c>
      <c r="AQ170" s="90">
        <v>356</v>
      </c>
      <c r="AR170" s="90" t="s">
        <v>380</v>
      </c>
      <c r="AS170" s="90" t="s">
        <v>246</v>
      </c>
      <c r="AT170" s="90" t="s">
        <v>244</v>
      </c>
      <c r="AU170" s="90">
        <v>175.87190000000001</v>
      </c>
      <c r="AV170" s="90">
        <v>199.99999999254899</v>
      </c>
      <c r="AW170" s="90">
        <v>2499.99999981373</v>
      </c>
      <c r="AX170" s="90">
        <v>1.9452476765</v>
      </c>
    </row>
    <row r="171" spans="1:50" x14ac:dyDescent="0.25">
      <c r="A171" s="102">
        <v>830000</v>
      </c>
      <c r="B171" s="102">
        <v>2400000</v>
      </c>
      <c r="C171" s="102">
        <v>2400000</v>
      </c>
      <c r="D171" s="90" t="s">
        <v>374</v>
      </c>
      <c r="E171" s="90" t="s">
        <v>68</v>
      </c>
      <c r="F171" s="90" t="s">
        <v>375</v>
      </c>
      <c r="G171" s="90" t="s">
        <v>376</v>
      </c>
      <c r="H171" s="90">
        <v>0.59</v>
      </c>
      <c r="I171" s="90">
        <v>0.64</v>
      </c>
      <c r="J171" s="90" t="s">
        <v>244</v>
      </c>
      <c r="K171" s="90">
        <v>2.1864220656590001E-2</v>
      </c>
      <c r="L171" s="90">
        <v>3749.9103356529599</v>
      </c>
      <c r="M171" s="90">
        <v>10.788827957176601</v>
      </c>
      <c r="N171" s="90">
        <v>2.0787869299552399</v>
      </c>
      <c r="O171" s="90">
        <v>0.23588931508170999</v>
      </c>
      <c r="P171" s="90">
        <v>4.5451056134579997E-2</v>
      </c>
      <c r="Q171" s="90">
        <v>81.988867021151293</v>
      </c>
      <c r="R171" s="90">
        <v>1300</v>
      </c>
      <c r="S171" s="90" t="s">
        <v>387</v>
      </c>
      <c r="T171" s="90">
        <v>1300</v>
      </c>
      <c r="U171" s="90" t="s">
        <v>378</v>
      </c>
      <c r="V171" s="90" t="s">
        <v>244</v>
      </c>
      <c r="Z171" s="90">
        <v>0</v>
      </c>
      <c r="AA171" s="90">
        <v>1</v>
      </c>
      <c r="AB171" s="90">
        <v>0.23588931508170999</v>
      </c>
      <c r="AC171" s="90">
        <v>4.5451056134579997E-2</v>
      </c>
      <c r="AD171" s="90">
        <v>81.988867021150597</v>
      </c>
      <c r="AF171" s="90">
        <v>-1</v>
      </c>
      <c r="AG171" s="90">
        <v>-1</v>
      </c>
      <c r="AH171" s="90">
        <v>-1</v>
      </c>
      <c r="AI171" s="90">
        <v>-1</v>
      </c>
      <c r="AJ171" s="90">
        <v>0</v>
      </c>
      <c r="AM171" s="90" t="s">
        <v>379</v>
      </c>
      <c r="AN171" s="90">
        <v>-1</v>
      </c>
      <c r="AQ171" s="90">
        <v>356</v>
      </c>
      <c r="AR171" s="90" t="s">
        <v>380</v>
      </c>
      <c r="AS171" s="90" t="s">
        <v>246</v>
      </c>
      <c r="AT171" s="90" t="s">
        <v>244</v>
      </c>
      <c r="AU171" s="90">
        <v>175.87190000000001</v>
      </c>
      <c r="AV171" s="90">
        <v>103.65516343657499</v>
      </c>
      <c r="AW171" s="90">
        <v>88.481361784899093</v>
      </c>
      <c r="AX171" s="90">
        <v>6.6495431499999993E-2</v>
      </c>
    </row>
    <row r="172" spans="1:50" x14ac:dyDescent="0.25">
      <c r="A172" s="102">
        <v>830000</v>
      </c>
      <c r="B172" s="102">
        <v>2400000</v>
      </c>
      <c r="C172" s="102">
        <v>2400000</v>
      </c>
      <c r="D172" s="90" t="s">
        <v>374</v>
      </c>
      <c r="E172" s="90" t="s">
        <v>68</v>
      </c>
      <c r="F172" s="90" t="s">
        <v>375</v>
      </c>
      <c r="G172" s="90" t="s">
        <v>376</v>
      </c>
      <c r="H172" s="90">
        <v>0.59</v>
      </c>
      <c r="I172" s="90">
        <v>0.64</v>
      </c>
      <c r="J172" s="90" t="s">
        <v>244</v>
      </c>
      <c r="K172" s="90">
        <v>0.59589923310337001</v>
      </c>
      <c r="L172" s="90">
        <v>3749.9103356529599</v>
      </c>
      <c r="M172" s="90">
        <v>10.788827957176601</v>
      </c>
      <c r="N172" s="90">
        <v>2.0787869299552399</v>
      </c>
      <c r="O172" s="90">
        <v>6.4290543057658001</v>
      </c>
      <c r="P172" s="90">
        <v>1.23874753734565</v>
      </c>
      <c r="Q172" s="90">
        <v>2234.5686932220201</v>
      </c>
      <c r="R172" s="90">
        <v>1300</v>
      </c>
      <c r="S172" s="90" t="s">
        <v>387</v>
      </c>
      <c r="T172" s="90">
        <v>1300</v>
      </c>
      <c r="U172" s="90" t="s">
        <v>378</v>
      </c>
      <c r="V172" s="90" t="s">
        <v>244</v>
      </c>
      <c r="Z172" s="90">
        <v>0</v>
      </c>
      <c r="AA172" s="90">
        <v>1</v>
      </c>
      <c r="AB172" s="90">
        <v>6.4290543057658001</v>
      </c>
      <c r="AC172" s="90">
        <v>1.23874753734565</v>
      </c>
      <c r="AD172" s="90">
        <v>2234.5686932220201</v>
      </c>
      <c r="AF172" s="90">
        <v>-1</v>
      </c>
      <c r="AG172" s="90">
        <v>-1</v>
      </c>
      <c r="AH172" s="90">
        <v>-1</v>
      </c>
      <c r="AI172" s="90">
        <v>-1</v>
      </c>
      <c r="AJ172" s="90">
        <v>0</v>
      </c>
      <c r="AM172" s="90" t="s">
        <v>379</v>
      </c>
      <c r="AN172" s="90">
        <v>-1</v>
      </c>
      <c r="AQ172" s="90">
        <v>356</v>
      </c>
      <c r="AR172" s="90" t="s">
        <v>380</v>
      </c>
      <c r="AS172" s="90" t="s">
        <v>246</v>
      </c>
      <c r="AT172" s="90" t="s">
        <v>244</v>
      </c>
      <c r="AU172" s="90">
        <v>175.87190000000001</v>
      </c>
      <c r="AV172" s="90">
        <v>196.576654515607</v>
      </c>
      <c r="AW172" s="90">
        <v>2411.51863858763</v>
      </c>
      <c r="AX172" s="90">
        <v>1.8123022654000001</v>
      </c>
    </row>
    <row r="173" spans="1:50" x14ac:dyDescent="0.25">
      <c r="A173" s="102">
        <v>830000</v>
      </c>
      <c r="B173" s="102">
        <v>2400000</v>
      </c>
      <c r="C173" s="102">
        <v>2400000</v>
      </c>
      <c r="D173" s="90" t="s">
        <v>374</v>
      </c>
      <c r="E173" s="90" t="s">
        <v>68</v>
      </c>
      <c r="F173" s="90" t="s">
        <v>375</v>
      </c>
      <c r="G173" s="90" t="s">
        <v>376</v>
      </c>
      <c r="H173" s="90">
        <v>0.59</v>
      </c>
      <c r="I173" s="90">
        <v>0.64</v>
      </c>
      <c r="J173" s="90" t="s">
        <v>389</v>
      </c>
      <c r="K173" s="90">
        <v>3.1467489580700001E-3</v>
      </c>
      <c r="L173" s="90">
        <v>1473.66753036821</v>
      </c>
      <c r="M173" s="90">
        <v>4.4055090446335301</v>
      </c>
      <c r="N173" s="90">
        <v>0.86811800259353</v>
      </c>
      <c r="O173" s="90">
        <v>1.386303099598E-2</v>
      </c>
      <c r="P173" s="90">
        <v>2.7317494201399999E-3</v>
      </c>
      <c r="Q173" s="90">
        <v>4.6372617657336699</v>
      </c>
      <c r="R173" s="90">
        <v>5400</v>
      </c>
      <c r="S173" s="90" t="s">
        <v>392</v>
      </c>
      <c r="T173" s="90">
        <v>5400</v>
      </c>
      <c r="U173" s="90" t="s">
        <v>378</v>
      </c>
      <c r="V173" s="90" t="s">
        <v>244</v>
      </c>
      <c r="Y173" s="90" t="s">
        <v>389</v>
      </c>
      <c r="Z173" s="90">
        <v>0</v>
      </c>
      <c r="AA173" s="90">
        <v>1</v>
      </c>
      <c r="AB173" s="90">
        <v>1.386303099598E-2</v>
      </c>
      <c r="AC173" s="90">
        <v>2.7317494201399999E-3</v>
      </c>
      <c r="AD173" s="90">
        <v>381.97959869213702</v>
      </c>
      <c r="AF173" s="90">
        <v>-1</v>
      </c>
      <c r="AG173" s="90">
        <v>-1</v>
      </c>
      <c r="AH173" s="90">
        <v>-1</v>
      </c>
      <c r="AI173" s="90">
        <v>-1</v>
      </c>
      <c r="AJ173" s="90">
        <v>0</v>
      </c>
      <c r="AM173" s="90" t="s">
        <v>379</v>
      </c>
      <c r="AN173" s="90">
        <v>-1</v>
      </c>
      <c r="AQ173" s="90">
        <v>356</v>
      </c>
      <c r="AR173" s="90" t="s">
        <v>380</v>
      </c>
      <c r="AS173" s="90" t="s">
        <v>246</v>
      </c>
      <c r="AT173" s="90" t="s">
        <v>244</v>
      </c>
      <c r="AU173" s="90">
        <v>175.87190000000001</v>
      </c>
      <c r="AV173" s="90">
        <v>52.495043089924998</v>
      </c>
      <c r="AW173" s="90">
        <v>12.734441230660201</v>
      </c>
      <c r="AX173" s="90">
        <v>0.309796917</v>
      </c>
    </row>
    <row r="174" spans="1:50" x14ac:dyDescent="0.25">
      <c r="A174" s="102">
        <v>830000</v>
      </c>
      <c r="B174" s="102">
        <v>2400000</v>
      </c>
      <c r="C174" s="102">
        <v>2400000</v>
      </c>
      <c r="D174" s="90" t="s">
        <v>374</v>
      </c>
      <c r="E174" s="90" t="s">
        <v>68</v>
      </c>
      <c r="F174" s="90" t="s">
        <v>375</v>
      </c>
      <c r="G174" s="90" t="s">
        <v>376</v>
      </c>
      <c r="H174" s="90">
        <v>0.59</v>
      </c>
      <c r="I174" s="90">
        <v>0.64</v>
      </c>
      <c r="J174" s="90" t="s">
        <v>244</v>
      </c>
      <c r="K174" s="90">
        <v>8.8666730526040002E-2</v>
      </c>
      <c r="L174" s="90">
        <v>1473.66753036821</v>
      </c>
      <c r="M174" s="90">
        <v>4.4055090446335301</v>
      </c>
      <c r="N174" s="90">
        <v>0.86811800259353</v>
      </c>
      <c r="O174" s="90">
        <v>0.39062208329057002</v>
      </c>
      <c r="P174" s="90">
        <v>7.6973185000760003E-2</v>
      </c>
      <c r="Q174" s="90">
        <v>130.66528180013901</v>
      </c>
      <c r="R174" s="90">
        <v>1300</v>
      </c>
      <c r="S174" s="90" t="s">
        <v>387</v>
      </c>
      <c r="T174" s="90">
        <v>1300</v>
      </c>
      <c r="U174" s="90" t="s">
        <v>378</v>
      </c>
      <c r="V174" s="90" t="s">
        <v>244</v>
      </c>
      <c r="Z174" s="90">
        <v>0</v>
      </c>
      <c r="AA174" s="90">
        <v>1</v>
      </c>
      <c r="AB174" s="90">
        <v>0.39062208329057002</v>
      </c>
      <c r="AC174" s="90">
        <v>7.6973185000760003E-2</v>
      </c>
      <c r="AD174" s="90">
        <v>130.66528180014001</v>
      </c>
      <c r="AF174" s="90">
        <v>-1</v>
      </c>
      <c r="AG174" s="90">
        <v>-1</v>
      </c>
      <c r="AH174" s="90">
        <v>-1</v>
      </c>
      <c r="AI174" s="90">
        <v>-1</v>
      </c>
      <c r="AJ174" s="90">
        <v>0</v>
      </c>
      <c r="AM174" s="90" t="s">
        <v>379</v>
      </c>
      <c r="AN174" s="90">
        <v>-1</v>
      </c>
      <c r="AQ174" s="90">
        <v>356</v>
      </c>
      <c r="AR174" s="90" t="s">
        <v>380</v>
      </c>
      <c r="AS174" s="90" t="s">
        <v>246</v>
      </c>
      <c r="AT174" s="90" t="s">
        <v>244</v>
      </c>
      <c r="AU174" s="90">
        <v>175.87190000000001</v>
      </c>
      <c r="AV174" s="90">
        <v>76.332871897232707</v>
      </c>
      <c r="AW174" s="90">
        <v>358.821527882532</v>
      </c>
      <c r="AX174" s="90">
        <v>0.1059734646</v>
      </c>
    </row>
    <row r="175" spans="1:50" x14ac:dyDescent="0.25">
      <c r="A175" s="102">
        <v>830000</v>
      </c>
      <c r="B175" s="102">
        <v>2400000</v>
      </c>
      <c r="C175" s="102">
        <v>2400000</v>
      </c>
      <c r="D175" s="90" t="s">
        <v>374</v>
      </c>
      <c r="E175" s="90" t="s">
        <v>68</v>
      </c>
      <c r="F175" s="90" t="s">
        <v>375</v>
      </c>
      <c r="G175" s="90" t="s">
        <v>376</v>
      </c>
      <c r="H175" s="90">
        <v>0.59</v>
      </c>
      <c r="I175" s="90">
        <v>0.64</v>
      </c>
      <c r="J175" s="90" t="s">
        <v>244</v>
      </c>
      <c r="K175" s="90">
        <v>0.17522986396236001</v>
      </c>
      <c r="L175" s="90">
        <v>1473.66753036821</v>
      </c>
      <c r="M175" s="90">
        <v>4.4055090446335301</v>
      </c>
      <c r="N175" s="90">
        <v>0.86811800259353</v>
      </c>
      <c r="O175" s="90">
        <v>0.77197675057611004</v>
      </c>
      <c r="P175" s="90">
        <v>0.15212019949774</v>
      </c>
      <c r="Q175" s="90">
        <v>258.230560872181</v>
      </c>
      <c r="R175" s="90">
        <v>1300</v>
      </c>
      <c r="S175" s="90" t="s">
        <v>387</v>
      </c>
      <c r="T175" s="90">
        <v>1300</v>
      </c>
      <c r="U175" s="90" t="s">
        <v>378</v>
      </c>
      <c r="V175" s="90" t="s">
        <v>244</v>
      </c>
      <c r="Z175" s="90">
        <v>0</v>
      </c>
      <c r="AA175" s="90">
        <v>1</v>
      </c>
      <c r="AB175" s="90">
        <v>0.77197675057611004</v>
      </c>
      <c r="AC175" s="90">
        <v>0.15212019949774</v>
      </c>
      <c r="AD175" s="90">
        <v>262.230962466297</v>
      </c>
      <c r="AF175" s="90">
        <v>-1</v>
      </c>
      <c r="AG175" s="90">
        <v>-1</v>
      </c>
      <c r="AH175" s="90">
        <v>-1</v>
      </c>
      <c r="AI175" s="90">
        <v>-1</v>
      </c>
      <c r="AJ175" s="90">
        <v>0</v>
      </c>
      <c r="AM175" s="90" t="s">
        <v>379</v>
      </c>
      <c r="AN175" s="90">
        <v>-1</v>
      </c>
      <c r="AQ175" s="90">
        <v>356</v>
      </c>
      <c r="AR175" s="90" t="s">
        <v>380</v>
      </c>
      <c r="AS175" s="90" t="s">
        <v>246</v>
      </c>
      <c r="AT175" s="90" t="s">
        <v>244</v>
      </c>
      <c r="AU175" s="90">
        <v>175.87190000000001</v>
      </c>
      <c r="AV175" s="90">
        <v>108.89422485847</v>
      </c>
      <c r="AW175" s="90">
        <v>709.13010037238803</v>
      </c>
      <c r="AX175" s="90">
        <v>0.21267717959999999</v>
      </c>
    </row>
    <row r="176" spans="1:50" x14ac:dyDescent="0.25">
      <c r="A176" s="102">
        <v>830000</v>
      </c>
      <c r="B176" s="102">
        <v>2400000</v>
      </c>
      <c r="C176" s="102">
        <v>2400000</v>
      </c>
      <c r="D176" s="90" t="s">
        <v>374</v>
      </c>
      <c r="E176" s="90" t="s">
        <v>68</v>
      </c>
      <c r="F176" s="90" t="s">
        <v>375</v>
      </c>
      <c r="G176" s="90" t="s">
        <v>376</v>
      </c>
      <c r="H176" s="90">
        <v>0.59</v>
      </c>
      <c r="I176" s="90">
        <v>0.64</v>
      </c>
      <c r="J176" s="90" t="s">
        <v>244</v>
      </c>
      <c r="K176" s="90">
        <v>8.0768496004299997E-3</v>
      </c>
      <c r="L176" s="90">
        <v>3643.2206340984098</v>
      </c>
      <c r="M176" s="90">
        <v>10.019319719120601</v>
      </c>
      <c r="N176" s="90">
        <v>1.87546419611564</v>
      </c>
      <c r="O176" s="90">
        <v>8.0924538470030005E-2</v>
      </c>
      <c r="P176" s="90">
        <v>1.5147842243030001E-2</v>
      </c>
      <c r="Q176" s="90">
        <v>29.425745122821599</v>
      </c>
      <c r="R176" s="90">
        <v>1300</v>
      </c>
      <c r="S176" s="90" t="s">
        <v>387</v>
      </c>
      <c r="T176" s="90">
        <v>1300</v>
      </c>
      <c r="U176" s="90" t="s">
        <v>378</v>
      </c>
      <c r="V176" s="90" t="s">
        <v>244</v>
      </c>
      <c r="Z176" s="90">
        <v>0</v>
      </c>
      <c r="AA176" s="90">
        <v>1</v>
      </c>
      <c r="AB176" s="90">
        <v>8.0924538470030005E-2</v>
      </c>
      <c r="AC176" s="90">
        <v>1.5147842243030001E-2</v>
      </c>
      <c r="AD176" s="90">
        <v>29.425745122819801</v>
      </c>
      <c r="AF176" s="90">
        <v>-1</v>
      </c>
      <c r="AG176" s="90">
        <v>-1</v>
      </c>
      <c r="AH176" s="90">
        <v>-1</v>
      </c>
      <c r="AI176" s="90">
        <v>-1</v>
      </c>
      <c r="AJ176" s="90">
        <v>0</v>
      </c>
      <c r="AM176" s="90" t="s">
        <v>379</v>
      </c>
      <c r="AN176" s="90">
        <v>-1</v>
      </c>
      <c r="AQ176" s="90">
        <v>356</v>
      </c>
      <c r="AR176" s="90" t="s">
        <v>380</v>
      </c>
      <c r="AS176" s="90" t="s">
        <v>246</v>
      </c>
      <c r="AT176" s="90" t="s">
        <v>244</v>
      </c>
      <c r="AU176" s="90">
        <v>175.87190000000001</v>
      </c>
      <c r="AV176" s="90">
        <v>101.224594872327</v>
      </c>
      <c r="AW176" s="90">
        <v>32.685850678285398</v>
      </c>
      <c r="AX176" s="90">
        <v>2.3865162299999999E-2</v>
      </c>
    </row>
    <row r="177" spans="1:50" x14ac:dyDescent="0.25">
      <c r="A177" s="102">
        <v>830000</v>
      </c>
      <c r="B177" s="102">
        <v>2400000</v>
      </c>
      <c r="C177" s="102">
        <v>2400000</v>
      </c>
      <c r="D177" s="90" t="s">
        <v>374</v>
      </c>
      <c r="E177" s="90" t="s">
        <v>68</v>
      </c>
      <c r="F177" s="90" t="s">
        <v>375</v>
      </c>
      <c r="G177" s="90" t="s">
        <v>376</v>
      </c>
      <c r="H177" s="90">
        <v>0.59</v>
      </c>
      <c r="I177" s="90">
        <v>0.64</v>
      </c>
      <c r="J177" s="90" t="s">
        <v>389</v>
      </c>
      <c r="K177" s="90">
        <v>0.10014114128248</v>
      </c>
      <c r="L177" s="90">
        <v>3643.2206340984098</v>
      </c>
      <c r="M177" s="90">
        <v>10.019319719120601</v>
      </c>
      <c r="N177" s="90">
        <v>1.87546419611564</v>
      </c>
      <c r="O177" s="90">
        <v>1.0033461115468001</v>
      </c>
      <c r="P177" s="90">
        <v>0.18781112503344999</v>
      </c>
      <c r="Q177" s="90">
        <v>364.83627224249898</v>
      </c>
      <c r="R177" s="90">
        <v>3200</v>
      </c>
      <c r="S177" s="90" t="s">
        <v>393</v>
      </c>
      <c r="T177" s="90">
        <v>3200</v>
      </c>
      <c r="U177" s="90" t="s">
        <v>378</v>
      </c>
      <c r="V177" s="90" t="s">
        <v>244</v>
      </c>
      <c r="Y177" s="90" t="s">
        <v>389</v>
      </c>
      <c r="Z177" s="90">
        <v>0</v>
      </c>
      <c r="AA177" s="90">
        <v>1</v>
      </c>
      <c r="AB177" s="90">
        <v>1.0033461115468001</v>
      </c>
      <c r="AC177" s="90">
        <v>0.18781112503344999</v>
      </c>
      <c r="AD177" s="90">
        <v>364.83627224249898</v>
      </c>
      <c r="AF177" s="90">
        <v>-1</v>
      </c>
      <c r="AG177" s="90">
        <v>-1</v>
      </c>
      <c r="AH177" s="90">
        <v>-1</v>
      </c>
      <c r="AI177" s="90">
        <v>-1</v>
      </c>
      <c r="AJ177" s="90">
        <v>0</v>
      </c>
      <c r="AM177" s="90" t="s">
        <v>379</v>
      </c>
      <c r="AN177" s="90">
        <v>-1</v>
      </c>
      <c r="AQ177" s="90">
        <v>356</v>
      </c>
      <c r="AR177" s="90" t="s">
        <v>380</v>
      </c>
      <c r="AS177" s="90" t="s">
        <v>246</v>
      </c>
      <c r="AT177" s="90" t="s">
        <v>244</v>
      </c>
      <c r="AU177" s="90">
        <v>175.87190000000001</v>
      </c>
      <c r="AV177" s="90">
        <v>190.12244842276601</v>
      </c>
      <c r="AW177" s="90">
        <v>405.25682074547399</v>
      </c>
      <c r="AX177" s="90">
        <v>0.2958931648</v>
      </c>
    </row>
    <row r="178" spans="1:50" x14ac:dyDescent="0.25">
      <c r="A178" s="102">
        <v>830000</v>
      </c>
      <c r="B178" s="102">
        <v>2400000</v>
      </c>
      <c r="C178" s="102">
        <v>2400000</v>
      </c>
      <c r="D178" s="90" t="s">
        <v>374</v>
      </c>
      <c r="E178" s="90" t="s">
        <v>68</v>
      </c>
      <c r="F178" s="90" t="s">
        <v>375</v>
      </c>
      <c r="G178" s="90" t="s">
        <v>376</v>
      </c>
      <c r="H178" s="90">
        <v>0.59</v>
      </c>
      <c r="I178" s="90">
        <v>0.64</v>
      </c>
      <c r="J178" s="90" t="s">
        <v>244</v>
      </c>
      <c r="K178" s="90">
        <v>0.46509458897716</v>
      </c>
      <c r="L178" s="90">
        <v>3643.2206340984098</v>
      </c>
      <c r="M178" s="90">
        <v>10.019319719120601</v>
      </c>
      <c r="N178" s="90">
        <v>1.87546419611564</v>
      </c>
      <c r="O178" s="90">
        <v>4.6599313865952103</v>
      </c>
      <c r="P178" s="90">
        <v>0.87226824943379</v>
      </c>
      <c r="Q178" s="90">
        <v>1694.4422033691201</v>
      </c>
      <c r="R178" s="90">
        <v>1300</v>
      </c>
      <c r="S178" s="90" t="s">
        <v>387</v>
      </c>
      <c r="T178" s="90">
        <v>1300</v>
      </c>
      <c r="U178" s="90" t="s">
        <v>378</v>
      </c>
      <c r="V178" s="90" t="s">
        <v>244</v>
      </c>
      <c r="Z178" s="90">
        <v>0</v>
      </c>
      <c r="AA178" s="90">
        <v>1</v>
      </c>
      <c r="AB178" s="90">
        <v>4.6599313865952103</v>
      </c>
      <c r="AC178" s="90">
        <v>0.87226824943379</v>
      </c>
      <c r="AD178" s="90">
        <v>1694.4422033691201</v>
      </c>
      <c r="AF178" s="90">
        <v>-1</v>
      </c>
      <c r="AG178" s="90">
        <v>-1</v>
      </c>
      <c r="AH178" s="90">
        <v>-1</v>
      </c>
      <c r="AI178" s="90">
        <v>-1</v>
      </c>
      <c r="AJ178" s="90">
        <v>0</v>
      </c>
      <c r="AM178" s="90" t="s">
        <v>379</v>
      </c>
      <c r="AN178" s="90">
        <v>-1</v>
      </c>
      <c r="AQ178" s="90">
        <v>356</v>
      </c>
      <c r="AR178" s="90" t="s">
        <v>380</v>
      </c>
      <c r="AS178" s="90" t="s">
        <v>246</v>
      </c>
      <c r="AT178" s="90" t="s">
        <v>244</v>
      </c>
      <c r="AU178" s="90">
        <v>175.87190000000001</v>
      </c>
      <c r="AV178" s="90">
        <v>173.73274768988</v>
      </c>
      <c r="AW178" s="90">
        <v>1882.1710244257199</v>
      </c>
      <c r="AX178" s="90">
        <v>1.3742434739</v>
      </c>
    </row>
    <row r="179" spans="1:50" x14ac:dyDescent="0.25">
      <c r="A179" s="102">
        <v>830000</v>
      </c>
      <c r="B179" s="102">
        <v>2400000</v>
      </c>
      <c r="C179" s="102">
        <v>2400000</v>
      </c>
      <c r="D179" s="90" t="s">
        <v>374</v>
      </c>
      <c r="E179" s="90" t="s">
        <v>68</v>
      </c>
      <c r="F179" s="90" t="s">
        <v>375</v>
      </c>
      <c r="G179" s="90" t="s">
        <v>376</v>
      </c>
      <c r="H179" s="90">
        <v>0.59</v>
      </c>
      <c r="I179" s="90">
        <v>0.64</v>
      </c>
      <c r="J179" s="90" t="s">
        <v>244</v>
      </c>
      <c r="K179" s="90">
        <v>3.345783139038E-2</v>
      </c>
      <c r="L179" s="90">
        <v>3643.2206340984098</v>
      </c>
      <c r="M179" s="90">
        <v>10.019319719120601</v>
      </c>
      <c r="N179" s="90">
        <v>1.87546419611564</v>
      </c>
      <c r="O179" s="90">
        <v>0.33522470980871</v>
      </c>
      <c r="P179" s="90">
        <v>6.2748964852339995E-2</v>
      </c>
      <c r="Q179" s="90">
        <v>121.894261693643</v>
      </c>
      <c r="R179" s="90">
        <v>1300</v>
      </c>
      <c r="S179" s="90" t="s">
        <v>387</v>
      </c>
      <c r="T179" s="90">
        <v>1300</v>
      </c>
      <c r="U179" s="90" t="s">
        <v>378</v>
      </c>
      <c r="V179" s="90" t="s">
        <v>244</v>
      </c>
      <c r="Z179" s="90">
        <v>0</v>
      </c>
      <c r="AA179" s="90">
        <v>1</v>
      </c>
      <c r="AB179" s="90">
        <v>0.33522470980871</v>
      </c>
      <c r="AC179" s="90">
        <v>6.2748964852339995E-2</v>
      </c>
      <c r="AD179" s="90">
        <v>121.89426169364199</v>
      </c>
      <c r="AF179" s="90">
        <v>-1</v>
      </c>
      <c r="AG179" s="90">
        <v>-1</v>
      </c>
      <c r="AH179" s="90">
        <v>-1</v>
      </c>
      <c r="AI179" s="90">
        <v>-1</v>
      </c>
      <c r="AJ179" s="90">
        <v>0</v>
      </c>
      <c r="AM179" s="90" t="s">
        <v>379</v>
      </c>
      <c r="AN179" s="90">
        <v>-1</v>
      </c>
      <c r="AQ179" s="90">
        <v>356</v>
      </c>
      <c r="AR179" s="90" t="s">
        <v>380</v>
      </c>
      <c r="AS179" s="90" t="s">
        <v>246</v>
      </c>
      <c r="AT179" s="90" t="s">
        <v>244</v>
      </c>
      <c r="AU179" s="90">
        <v>175.87190000000001</v>
      </c>
      <c r="AV179" s="90">
        <v>83.406420892500194</v>
      </c>
      <c r="AW179" s="90">
        <v>135.399039841762</v>
      </c>
      <c r="AX179" s="90">
        <v>9.8859903999999998E-2</v>
      </c>
    </row>
    <row r="180" spans="1:50" x14ac:dyDescent="0.25">
      <c r="A180" s="102">
        <v>830000</v>
      </c>
      <c r="B180" s="102">
        <v>2400000</v>
      </c>
      <c r="C180" s="102">
        <v>2400000</v>
      </c>
      <c r="D180" s="90" t="s">
        <v>374</v>
      </c>
      <c r="E180" s="90" t="s">
        <v>68</v>
      </c>
      <c r="F180" s="90" t="s">
        <v>375</v>
      </c>
      <c r="G180" s="90" t="s">
        <v>376</v>
      </c>
      <c r="H180" s="90">
        <v>0.59</v>
      </c>
      <c r="I180" s="90">
        <v>0.64</v>
      </c>
      <c r="J180" s="90" t="s">
        <v>244</v>
      </c>
      <c r="K180" s="90">
        <v>1.0876895588E-4</v>
      </c>
      <c r="L180" s="90">
        <v>3643.2206340984098</v>
      </c>
      <c r="M180" s="90">
        <v>10.019319719120601</v>
      </c>
      <c r="N180" s="90">
        <v>1.87546419611564</v>
      </c>
      <c r="O180" s="90">
        <v>1.0897909444999999E-3</v>
      </c>
      <c r="P180" s="90">
        <v>2.0399228240000001E-4</v>
      </c>
      <c r="Q180" s="90">
        <v>0.39626930442227998</v>
      </c>
      <c r="R180" s="90">
        <v>1300</v>
      </c>
      <c r="S180" s="90" t="s">
        <v>387</v>
      </c>
      <c r="T180" s="90">
        <v>1300</v>
      </c>
      <c r="U180" s="90" t="s">
        <v>378</v>
      </c>
      <c r="V180" s="90" t="s">
        <v>244</v>
      </c>
      <c r="Z180" s="90">
        <v>0</v>
      </c>
      <c r="AA180" s="90">
        <v>1</v>
      </c>
      <c r="AB180" s="90">
        <v>1.0897909444999999E-3</v>
      </c>
      <c r="AC180" s="90">
        <v>2.0399228240000001E-4</v>
      </c>
      <c r="AD180" s="90">
        <v>0.39626930442120001</v>
      </c>
      <c r="AF180" s="90">
        <v>-1</v>
      </c>
      <c r="AG180" s="90">
        <v>-1</v>
      </c>
      <c r="AH180" s="90">
        <v>-1</v>
      </c>
      <c r="AI180" s="90">
        <v>-1</v>
      </c>
      <c r="AJ180" s="90">
        <v>0</v>
      </c>
      <c r="AM180" s="90" t="s">
        <v>379</v>
      </c>
      <c r="AN180" s="90">
        <v>-1</v>
      </c>
      <c r="AQ180" s="90">
        <v>356</v>
      </c>
      <c r="AR180" s="90" t="s">
        <v>380</v>
      </c>
      <c r="AS180" s="90" t="s">
        <v>246</v>
      </c>
      <c r="AT180" s="90" t="s">
        <v>244</v>
      </c>
      <c r="AU180" s="90">
        <v>175.87190000000001</v>
      </c>
      <c r="AV180" s="90">
        <v>3.2252136132386902</v>
      </c>
      <c r="AW180" s="90">
        <v>0.44017234767164998</v>
      </c>
      <c r="AX180" s="90">
        <v>3.213863E-4</v>
      </c>
    </row>
    <row r="181" spans="1:50" x14ac:dyDescent="0.25">
      <c r="A181" s="102">
        <v>830000</v>
      </c>
      <c r="B181" s="102">
        <v>2400000</v>
      </c>
      <c r="C181" s="102">
        <v>2400000</v>
      </c>
      <c r="D181" s="90" t="s">
        <v>374</v>
      </c>
      <c r="E181" s="90" t="s">
        <v>68</v>
      </c>
      <c r="F181" s="90" t="s">
        <v>375</v>
      </c>
      <c r="G181" s="90" t="s">
        <v>376</v>
      </c>
      <c r="H181" s="90">
        <v>0.59</v>
      </c>
      <c r="I181" s="90">
        <v>0.64</v>
      </c>
      <c r="J181" s="90" t="s">
        <v>244</v>
      </c>
      <c r="K181" s="90">
        <v>3.47100546823E-3</v>
      </c>
      <c r="L181" s="90">
        <v>3643.2206340984098</v>
      </c>
      <c r="M181" s="90">
        <v>10.019319719120601</v>
      </c>
      <c r="N181" s="90">
        <v>1.87546419611564</v>
      </c>
      <c r="O181" s="90">
        <v>3.4777113533070003E-2</v>
      </c>
      <c r="P181" s="90">
        <v>6.50974648019E-3</v>
      </c>
      <c r="Q181" s="90">
        <v>12.645638742945801</v>
      </c>
      <c r="R181" s="90">
        <v>1300</v>
      </c>
      <c r="S181" s="90" t="s">
        <v>387</v>
      </c>
      <c r="T181" s="90">
        <v>1300</v>
      </c>
      <c r="U181" s="90" t="s">
        <v>378</v>
      </c>
      <c r="V181" s="90" t="s">
        <v>244</v>
      </c>
      <c r="Z181" s="90">
        <v>0</v>
      </c>
      <c r="AA181" s="90">
        <v>1</v>
      </c>
      <c r="AB181" s="90">
        <v>3.4777113533070003E-2</v>
      </c>
      <c r="AC181" s="90">
        <v>6.50974648019E-3</v>
      </c>
      <c r="AD181" s="90">
        <v>12.645638742947</v>
      </c>
      <c r="AF181" s="90">
        <v>-1</v>
      </c>
      <c r="AG181" s="90">
        <v>-1</v>
      </c>
      <c r="AH181" s="90">
        <v>-1</v>
      </c>
      <c r="AI181" s="90">
        <v>-1</v>
      </c>
      <c r="AJ181" s="90">
        <v>0</v>
      </c>
      <c r="AM181" s="90" t="s">
        <v>379</v>
      </c>
      <c r="AN181" s="90">
        <v>-1</v>
      </c>
      <c r="AQ181" s="90">
        <v>356</v>
      </c>
      <c r="AR181" s="90" t="s">
        <v>380</v>
      </c>
      <c r="AS181" s="90" t="s">
        <v>246</v>
      </c>
      <c r="AT181" s="90" t="s">
        <v>244</v>
      </c>
      <c r="AU181" s="90">
        <v>175.87190000000001</v>
      </c>
      <c r="AV181" s="90">
        <v>14.992364072330799</v>
      </c>
      <c r="AW181" s="90">
        <v>14.046660771317701</v>
      </c>
      <c r="AX181" s="90">
        <v>1.02559925E-2</v>
      </c>
    </row>
    <row r="182" spans="1:50" x14ac:dyDescent="0.25">
      <c r="A182" s="102">
        <v>830000</v>
      </c>
      <c r="B182" s="102">
        <v>2400000</v>
      </c>
      <c r="C182" s="102">
        <v>2400000</v>
      </c>
      <c r="D182" s="90" t="s">
        <v>374</v>
      </c>
      <c r="E182" s="90" t="s">
        <v>68</v>
      </c>
      <c r="F182" s="90" t="s">
        <v>375</v>
      </c>
      <c r="G182" s="90" t="s">
        <v>376</v>
      </c>
      <c r="H182" s="90">
        <v>0.59</v>
      </c>
      <c r="I182" s="90">
        <v>0.64</v>
      </c>
      <c r="J182" s="90" t="s">
        <v>244</v>
      </c>
      <c r="K182" s="90">
        <v>7.4132678782499999E-3</v>
      </c>
      <c r="L182" s="90">
        <v>3643.2206340984098</v>
      </c>
      <c r="M182" s="90">
        <v>10.019319719120601</v>
      </c>
      <c r="N182" s="90">
        <v>1.87546419611564</v>
      </c>
      <c r="O182" s="90">
        <v>7.4275901035750005E-2</v>
      </c>
      <c r="P182" s="90">
        <v>1.3903318481880001E-2</v>
      </c>
      <c r="Q182" s="90">
        <v>27.0081705001685</v>
      </c>
      <c r="R182" s="90">
        <v>1300</v>
      </c>
      <c r="S182" s="90" t="s">
        <v>387</v>
      </c>
      <c r="T182" s="90">
        <v>1300</v>
      </c>
      <c r="U182" s="90" t="s">
        <v>378</v>
      </c>
      <c r="V182" s="90" t="s">
        <v>244</v>
      </c>
      <c r="Z182" s="90">
        <v>0</v>
      </c>
      <c r="AA182" s="90">
        <v>1</v>
      </c>
      <c r="AB182" s="90">
        <v>7.4275901035750005E-2</v>
      </c>
      <c r="AC182" s="90">
        <v>1.3903318481880001E-2</v>
      </c>
      <c r="AD182" s="90">
        <v>27.008170500169498</v>
      </c>
      <c r="AF182" s="90">
        <v>-1</v>
      </c>
      <c r="AG182" s="90">
        <v>-1</v>
      </c>
      <c r="AH182" s="90">
        <v>-1</v>
      </c>
      <c r="AI182" s="90">
        <v>-1</v>
      </c>
      <c r="AJ182" s="90">
        <v>0</v>
      </c>
      <c r="AM182" s="90" t="s">
        <v>379</v>
      </c>
      <c r="AN182" s="90">
        <v>-1</v>
      </c>
      <c r="AQ182" s="90">
        <v>356</v>
      </c>
      <c r="AR182" s="90" t="s">
        <v>380</v>
      </c>
      <c r="AS182" s="90" t="s">
        <v>246</v>
      </c>
      <c r="AT182" s="90" t="s">
        <v>244</v>
      </c>
      <c r="AU182" s="90">
        <v>175.87190000000001</v>
      </c>
      <c r="AV182" s="90">
        <v>24.8880682620972</v>
      </c>
      <c r="AW182" s="90">
        <v>30.000430724101101</v>
      </c>
      <c r="AX182" s="90">
        <v>2.1904436699999998E-2</v>
      </c>
    </row>
    <row r="183" spans="1:50" x14ac:dyDescent="0.25">
      <c r="A183" s="102">
        <v>830000</v>
      </c>
      <c r="B183" s="102">
        <v>2400000</v>
      </c>
      <c r="C183" s="102">
        <v>2400000</v>
      </c>
      <c r="D183" s="90" t="s">
        <v>374</v>
      </c>
      <c r="E183" s="90" t="s">
        <v>68</v>
      </c>
      <c r="F183" s="90" t="s">
        <v>375</v>
      </c>
      <c r="G183" s="90" t="s">
        <v>376</v>
      </c>
      <c r="H183" s="90">
        <v>0.59</v>
      </c>
      <c r="I183" s="90">
        <v>0.64</v>
      </c>
      <c r="J183" s="90" t="s">
        <v>381</v>
      </c>
      <c r="K183" s="90">
        <v>3.4142514951700001E-3</v>
      </c>
      <c r="L183" s="90">
        <v>3724.5547691608899</v>
      </c>
      <c r="M183" s="90">
        <v>8.1072001934389402</v>
      </c>
      <c r="N183" s="90">
        <v>1.08242589716147</v>
      </c>
      <c r="O183" s="90">
        <v>2.7680020382100001E-2</v>
      </c>
      <c r="P183" s="90">
        <v>3.6956742377899999E-3</v>
      </c>
      <c r="Q183" s="90">
        <v>12.716566689457499</v>
      </c>
      <c r="R183" s="90">
        <v>1400</v>
      </c>
      <c r="S183" s="90" t="s">
        <v>324</v>
      </c>
      <c r="T183" s="90">
        <v>1400</v>
      </c>
      <c r="U183" s="90" t="s">
        <v>382</v>
      </c>
      <c r="V183" s="90" t="s">
        <v>381</v>
      </c>
      <c r="Z183" s="90">
        <v>0</v>
      </c>
      <c r="AA183" s="90">
        <v>1</v>
      </c>
      <c r="AB183" s="90">
        <v>2.7680020382100001E-2</v>
      </c>
      <c r="AC183" s="90">
        <v>3.6956742377899999E-3</v>
      </c>
      <c r="AD183" s="90">
        <v>12.716566689457199</v>
      </c>
      <c r="AF183" s="90">
        <v>-1</v>
      </c>
      <c r="AG183" s="90">
        <v>-1</v>
      </c>
      <c r="AH183" s="90">
        <v>-1</v>
      </c>
      <c r="AI183" s="90">
        <v>-1</v>
      </c>
      <c r="AJ183" s="90">
        <v>0</v>
      </c>
      <c r="AM183" s="90" t="s">
        <v>379</v>
      </c>
      <c r="AN183" s="90">
        <v>-1</v>
      </c>
      <c r="AQ183" s="90">
        <v>356</v>
      </c>
      <c r="AR183" s="90" t="s">
        <v>380</v>
      </c>
      <c r="AS183" s="90" t="s">
        <v>246</v>
      </c>
      <c r="AT183" s="90" t="s">
        <v>244</v>
      </c>
      <c r="AU183" s="90">
        <v>175.87190000000001</v>
      </c>
      <c r="AV183" s="90">
        <v>15.6585523077008</v>
      </c>
      <c r="AW183" s="90">
        <v>13.816985590925199</v>
      </c>
      <c r="AX183" s="90">
        <v>1.03135172E-2</v>
      </c>
    </row>
    <row r="184" spans="1:50" x14ac:dyDescent="0.25">
      <c r="A184" s="102">
        <v>830000</v>
      </c>
      <c r="B184" s="102">
        <v>2400000</v>
      </c>
      <c r="C184" s="102">
        <v>2400000</v>
      </c>
      <c r="D184" s="90" t="s">
        <v>374</v>
      </c>
      <c r="E184" s="90" t="s">
        <v>68</v>
      </c>
      <c r="F184" s="90" t="s">
        <v>375</v>
      </c>
      <c r="G184" s="90" t="s">
        <v>376</v>
      </c>
      <c r="H184" s="90">
        <v>0.59</v>
      </c>
      <c r="I184" s="90">
        <v>0.64</v>
      </c>
      <c r="J184" s="90" t="s">
        <v>381</v>
      </c>
      <c r="K184" s="90">
        <v>2.8799530959289998E-2</v>
      </c>
      <c r="L184" s="90">
        <v>3724.5547691608899</v>
      </c>
      <c r="M184" s="90">
        <v>8.1072001934389402</v>
      </c>
      <c r="N184" s="90">
        <v>1.08242589716147</v>
      </c>
      <c r="O184" s="90">
        <v>0.23348356296413</v>
      </c>
      <c r="P184" s="90">
        <v>3.117335813644E-2</v>
      </c>
      <c r="Q184" s="90">
        <v>107.265430384035</v>
      </c>
      <c r="R184" s="90">
        <v>1850</v>
      </c>
      <c r="S184" s="90" t="s">
        <v>388</v>
      </c>
      <c r="T184" s="90">
        <v>1850</v>
      </c>
      <c r="U184" s="90" t="s">
        <v>382</v>
      </c>
      <c r="V184" s="90" t="s">
        <v>381</v>
      </c>
      <c r="Z184" s="90">
        <v>0</v>
      </c>
      <c r="AA184" s="90">
        <v>1</v>
      </c>
      <c r="AB184" s="90">
        <v>0.23348356296413</v>
      </c>
      <c r="AC184" s="90">
        <v>3.117335813644E-2</v>
      </c>
      <c r="AD184" s="90">
        <v>107.265430384033</v>
      </c>
      <c r="AF184" s="90">
        <v>-1</v>
      </c>
      <c r="AG184" s="90">
        <v>-1</v>
      </c>
      <c r="AH184" s="90">
        <v>-1</v>
      </c>
      <c r="AI184" s="90">
        <v>-1</v>
      </c>
      <c r="AJ184" s="90">
        <v>0</v>
      </c>
      <c r="AM184" s="90" t="s">
        <v>379</v>
      </c>
      <c r="AN184" s="90">
        <v>-1</v>
      </c>
      <c r="AQ184" s="90">
        <v>356</v>
      </c>
      <c r="AR184" s="90" t="s">
        <v>380</v>
      </c>
      <c r="AS184" s="90" t="s">
        <v>246</v>
      </c>
      <c r="AT184" s="90" t="s">
        <v>244</v>
      </c>
      <c r="AU184" s="90">
        <v>175.87190000000001</v>
      </c>
      <c r="AV184" s="90">
        <v>95.009310522281197</v>
      </c>
      <c r="AW184" s="90">
        <v>116.547566824725</v>
      </c>
      <c r="AX184" s="90">
        <v>8.6995482900000004E-2</v>
      </c>
    </row>
    <row r="185" spans="1:50" x14ac:dyDescent="0.25">
      <c r="A185" s="102">
        <v>830000</v>
      </c>
      <c r="B185" s="102">
        <v>2400000</v>
      </c>
      <c r="C185" s="102">
        <v>2400000</v>
      </c>
      <c r="D185" s="90" t="s">
        <v>374</v>
      </c>
      <c r="E185" s="90" t="s">
        <v>68</v>
      </c>
      <c r="F185" s="90" t="s">
        <v>375</v>
      </c>
      <c r="G185" s="90" t="s">
        <v>376</v>
      </c>
      <c r="H185" s="90">
        <v>0.59</v>
      </c>
      <c r="I185" s="90">
        <v>0.64</v>
      </c>
      <c r="J185" s="90" t="s">
        <v>381</v>
      </c>
      <c r="K185" s="90">
        <v>0.16187425656276999</v>
      </c>
      <c r="L185" s="90">
        <v>3724.5547691608899</v>
      </c>
      <c r="M185" s="90">
        <v>8.1072001934389402</v>
      </c>
      <c r="N185" s="90">
        <v>1.08242589716147</v>
      </c>
      <c r="O185" s="90">
        <v>1.3123470041185299</v>
      </c>
      <c r="P185" s="90">
        <v>0.17521688738731001</v>
      </c>
      <c r="Q185" s="90">
        <v>602.90953428526495</v>
      </c>
      <c r="R185" s="90">
        <v>8140</v>
      </c>
      <c r="S185" s="90" t="s">
        <v>386</v>
      </c>
      <c r="T185" s="90">
        <v>8140</v>
      </c>
      <c r="U185" s="90" t="s">
        <v>382</v>
      </c>
      <c r="V185" s="90" t="s">
        <v>381</v>
      </c>
      <c r="Z185" s="90">
        <v>0</v>
      </c>
      <c r="AA185" s="90">
        <v>1</v>
      </c>
      <c r="AB185" s="90">
        <v>1.3123470041185299</v>
      </c>
      <c r="AC185" s="90">
        <v>0.17521688738731001</v>
      </c>
      <c r="AD185" s="90">
        <v>977.42905566511604</v>
      </c>
      <c r="AF185" s="90">
        <v>-1</v>
      </c>
      <c r="AG185" s="90">
        <v>-1</v>
      </c>
      <c r="AH185" s="90">
        <v>-1</v>
      </c>
      <c r="AI185" s="90">
        <v>-1</v>
      </c>
      <c r="AJ185" s="90">
        <v>0</v>
      </c>
      <c r="AM185" s="90" t="s">
        <v>379</v>
      </c>
      <c r="AN185" s="90">
        <v>-1</v>
      </c>
      <c r="AQ185" s="90">
        <v>356</v>
      </c>
      <c r="AR185" s="90" t="s">
        <v>380</v>
      </c>
      <c r="AS185" s="90" t="s">
        <v>246</v>
      </c>
      <c r="AT185" s="90" t="s">
        <v>244</v>
      </c>
      <c r="AU185" s="90">
        <v>175.87190000000001</v>
      </c>
      <c r="AV185" s="90">
        <v>126.28547973152099</v>
      </c>
      <c r="AW185" s="90">
        <v>655.08187479230003</v>
      </c>
      <c r="AX185" s="90">
        <v>0.79272429489999996</v>
      </c>
    </row>
    <row r="186" spans="1:50" x14ac:dyDescent="0.25">
      <c r="A186" s="102">
        <v>830000</v>
      </c>
      <c r="B186" s="102">
        <v>2400000</v>
      </c>
      <c r="C186" s="102">
        <v>2400000</v>
      </c>
      <c r="D186" s="90" t="s">
        <v>374</v>
      </c>
      <c r="E186" s="90" t="s">
        <v>68</v>
      </c>
      <c r="F186" s="90" t="s">
        <v>375</v>
      </c>
      <c r="G186" s="90" t="s">
        <v>376</v>
      </c>
      <c r="H186" s="90">
        <v>0.59</v>
      </c>
      <c r="I186" s="90">
        <v>0.64</v>
      </c>
      <c r="J186" s="90" t="s">
        <v>244</v>
      </c>
      <c r="K186" s="90">
        <v>1.475767033973E-2</v>
      </c>
      <c r="L186" s="90">
        <v>3724.5547691608899</v>
      </c>
      <c r="M186" s="90">
        <v>8.1072001934389402</v>
      </c>
      <c r="N186" s="90">
        <v>1.08242589716147</v>
      </c>
      <c r="O186" s="90">
        <v>0.11964338783299</v>
      </c>
      <c r="P186" s="90">
        <v>1.5974084557490002E-2</v>
      </c>
      <c r="Q186" s="90">
        <v>54.965751445556798</v>
      </c>
      <c r="R186" s="90">
        <v>1450</v>
      </c>
      <c r="S186" s="90" t="s">
        <v>391</v>
      </c>
      <c r="T186" s="90">
        <v>1450</v>
      </c>
      <c r="U186" s="90" t="s">
        <v>378</v>
      </c>
      <c r="V186" s="90" t="s">
        <v>244</v>
      </c>
      <c r="Z186" s="90">
        <v>0</v>
      </c>
      <c r="AA186" s="90">
        <v>1</v>
      </c>
      <c r="AB186" s="90">
        <v>0.11964338783299</v>
      </c>
      <c r="AC186" s="90">
        <v>1.5974084557490002E-2</v>
      </c>
      <c r="AD186" s="90">
        <v>54.965751445556002</v>
      </c>
      <c r="AF186" s="90">
        <v>-1</v>
      </c>
      <c r="AG186" s="90">
        <v>-1</v>
      </c>
      <c r="AH186" s="90">
        <v>-1</v>
      </c>
      <c r="AI186" s="90">
        <v>-1</v>
      </c>
      <c r="AJ186" s="90">
        <v>0</v>
      </c>
      <c r="AM186" s="90" t="s">
        <v>379</v>
      </c>
      <c r="AN186" s="90">
        <v>-1</v>
      </c>
      <c r="AQ186" s="90">
        <v>356</v>
      </c>
      <c r="AR186" s="90" t="s">
        <v>380</v>
      </c>
      <c r="AS186" s="90" t="s">
        <v>246</v>
      </c>
      <c r="AT186" s="90" t="s">
        <v>244</v>
      </c>
      <c r="AU186" s="90">
        <v>175.87190000000001</v>
      </c>
      <c r="AV186" s="90">
        <v>57.906953963400497</v>
      </c>
      <c r="AW186" s="90">
        <v>59.722172994009497</v>
      </c>
      <c r="AX186" s="90">
        <v>4.4578873800000002E-2</v>
      </c>
    </row>
    <row r="187" spans="1:50" x14ac:dyDescent="0.25">
      <c r="A187" s="102">
        <v>830000</v>
      </c>
      <c r="B187" s="102">
        <v>2400000</v>
      </c>
      <c r="C187" s="102">
        <v>2400000</v>
      </c>
      <c r="D187" s="90" t="s">
        <v>374</v>
      </c>
      <c r="E187" s="90" t="s">
        <v>68</v>
      </c>
      <c r="F187" s="90" t="s">
        <v>375</v>
      </c>
      <c r="G187" s="90" t="s">
        <v>376</v>
      </c>
      <c r="H187" s="90">
        <v>0.59</v>
      </c>
      <c r="I187" s="90">
        <v>0.64</v>
      </c>
      <c r="J187" s="90" t="s">
        <v>381</v>
      </c>
      <c r="K187" s="90">
        <v>7.9461757010000004E-5</v>
      </c>
      <c r="L187" s="90">
        <v>3724.5547691608899</v>
      </c>
      <c r="M187" s="90">
        <v>8.1072001934389402</v>
      </c>
      <c r="N187" s="90">
        <v>1.08242589716147</v>
      </c>
      <c r="O187" s="90">
        <v>6.4421237185999995E-4</v>
      </c>
      <c r="P187" s="90">
        <v>8.6011463630000006E-5</v>
      </c>
      <c r="Q187" s="90">
        <v>0.29595966606729002</v>
      </c>
      <c r="R187" s="90">
        <v>1450</v>
      </c>
      <c r="S187" s="90" t="s">
        <v>391</v>
      </c>
      <c r="T187" s="90">
        <v>1450</v>
      </c>
      <c r="U187" s="90" t="s">
        <v>382</v>
      </c>
      <c r="V187" s="90" t="s">
        <v>381</v>
      </c>
      <c r="Z187" s="90">
        <v>0</v>
      </c>
      <c r="AA187" s="90">
        <v>1</v>
      </c>
      <c r="AB187" s="90">
        <v>6.4421237185999995E-4</v>
      </c>
      <c r="AC187" s="90">
        <v>8.6011463630000006E-5</v>
      </c>
      <c r="AD187" s="90">
        <v>0.29595966606589003</v>
      </c>
      <c r="AF187" s="90">
        <v>-1</v>
      </c>
      <c r="AG187" s="90">
        <v>-1</v>
      </c>
      <c r="AH187" s="90">
        <v>-1</v>
      </c>
      <c r="AI187" s="90">
        <v>-1</v>
      </c>
      <c r="AJ187" s="90">
        <v>0</v>
      </c>
      <c r="AM187" s="90" t="s">
        <v>379</v>
      </c>
      <c r="AN187" s="90">
        <v>-1</v>
      </c>
      <c r="AQ187" s="90">
        <v>356</v>
      </c>
      <c r="AR187" s="90" t="s">
        <v>380</v>
      </c>
      <c r="AS187" s="90" t="s">
        <v>246</v>
      </c>
      <c r="AT187" s="90" t="s">
        <v>244</v>
      </c>
      <c r="AU187" s="90">
        <v>175.87190000000001</v>
      </c>
      <c r="AV187" s="90">
        <v>3.9833286314083098</v>
      </c>
      <c r="AW187" s="90">
        <v>0.32157032172195998</v>
      </c>
      <c r="AX187" s="90">
        <v>2.4003220000000001E-4</v>
      </c>
    </row>
    <row r="188" spans="1:50" x14ac:dyDescent="0.25">
      <c r="A188" s="102">
        <v>830000</v>
      </c>
      <c r="B188" s="102">
        <v>2400000</v>
      </c>
      <c r="C188" s="102">
        <v>2400000</v>
      </c>
      <c r="D188" s="90" t="s">
        <v>374</v>
      </c>
      <c r="E188" s="90" t="s">
        <v>68</v>
      </c>
      <c r="F188" s="90" t="s">
        <v>375</v>
      </c>
      <c r="G188" s="90" t="s">
        <v>376</v>
      </c>
      <c r="H188" s="90">
        <v>0.59</v>
      </c>
      <c r="I188" s="90">
        <v>0.64</v>
      </c>
      <c r="J188" s="90" t="s">
        <v>244</v>
      </c>
      <c r="K188" s="90">
        <v>0.37690652952154002</v>
      </c>
      <c r="L188" s="90">
        <v>3747.7253748365301</v>
      </c>
      <c r="M188" s="90">
        <v>10.782686350730801</v>
      </c>
      <c r="N188" s="90">
        <v>2.0776204014205999</v>
      </c>
      <c r="O188" s="90">
        <v>4.0640648913733104</v>
      </c>
      <c r="P188" s="90">
        <v>0.78306869516260003</v>
      </c>
      <c r="Q188" s="90">
        <v>1412.5421646294701</v>
      </c>
      <c r="R188" s="90">
        <v>1300</v>
      </c>
      <c r="S188" s="90" t="s">
        <v>387</v>
      </c>
      <c r="T188" s="90">
        <v>1300</v>
      </c>
      <c r="U188" s="90" t="s">
        <v>378</v>
      </c>
      <c r="V188" s="90" t="s">
        <v>244</v>
      </c>
      <c r="Z188" s="90">
        <v>0</v>
      </c>
      <c r="AA188" s="90">
        <v>1</v>
      </c>
      <c r="AB188" s="90">
        <v>4.0640648913733104</v>
      </c>
      <c r="AC188" s="90">
        <v>0.78306869516260003</v>
      </c>
      <c r="AD188" s="90">
        <v>1412.5421646294701</v>
      </c>
      <c r="AF188" s="90">
        <v>-1</v>
      </c>
      <c r="AG188" s="90">
        <v>-1</v>
      </c>
      <c r="AH188" s="90">
        <v>-1</v>
      </c>
      <c r="AI188" s="90">
        <v>-1</v>
      </c>
      <c r="AJ188" s="90">
        <v>0</v>
      </c>
      <c r="AM188" s="90" t="s">
        <v>379</v>
      </c>
      <c r="AN188" s="90">
        <v>-1</v>
      </c>
      <c r="AQ188" s="90">
        <v>356</v>
      </c>
      <c r="AR188" s="90" t="s">
        <v>380</v>
      </c>
      <c r="AS188" s="90" t="s">
        <v>246</v>
      </c>
      <c r="AT188" s="90" t="s">
        <v>244</v>
      </c>
      <c r="AU188" s="90">
        <v>175.87190000000001</v>
      </c>
      <c r="AV188" s="90">
        <v>160.889462214308</v>
      </c>
      <c r="AW188" s="90">
        <v>1525.28660963875</v>
      </c>
      <c r="AX188" s="90">
        <v>1.1456140831999999</v>
      </c>
    </row>
    <row r="189" spans="1:50" x14ac:dyDescent="0.25">
      <c r="A189" s="102">
        <v>830000</v>
      </c>
      <c r="B189" s="102">
        <v>2400000</v>
      </c>
      <c r="C189" s="102">
        <v>2400000</v>
      </c>
      <c r="D189" s="90" t="s">
        <v>374</v>
      </c>
      <c r="E189" s="90" t="s">
        <v>68</v>
      </c>
      <c r="F189" s="90" t="s">
        <v>375</v>
      </c>
      <c r="G189" s="90" t="s">
        <v>376</v>
      </c>
      <c r="H189" s="90">
        <v>0.59</v>
      </c>
      <c r="I189" s="90">
        <v>0.64</v>
      </c>
      <c r="J189" s="90" t="s">
        <v>244</v>
      </c>
      <c r="K189" s="90">
        <v>2.17146138036E-3</v>
      </c>
      <c r="L189" s="90">
        <v>3782.0470552777701</v>
      </c>
      <c r="M189" s="90">
        <v>11.620236560922701</v>
      </c>
      <c r="N189" s="90">
        <v>1.5341654718870601</v>
      </c>
      <c r="O189" s="90">
        <v>2.5232894922789999E-2</v>
      </c>
      <c r="P189" s="90">
        <v>3.3313810732899999E-3</v>
      </c>
      <c r="Q189" s="90">
        <v>8.21256911927399</v>
      </c>
      <c r="R189" s="90">
        <v>1400</v>
      </c>
      <c r="S189" s="90" t="s">
        <v>324</v>
      </c>
      <c r="T189" s="90">
        <v>1400</v>
      </c>
      <c r="U189" s="90" t="s">
        <v>378</v>
      </c>
      <c r="V189" s="90" t="s">
        <v>244</v>
      </c>
      <c r="Z189" s="90">
        <v>0</v>
      </c>
      <c r="AA189" s="90">
        <v>1</v>
      </c>
      <c r="AB189" s="90">
        <v>2.5232894922789999E-2</v>
      </c>
      <c r="AC189" s="90">
        <v>3.3313810732899999E-3</v>
      </c>
      <c r="AD189" s="90">
        <v>8.2125691192747396</v>
      </c>
      <c r="AF189" s="90">
        <v>-1</v>
      </c>
      <c r="AG189" s="90">
        <v>-1</v>
      </c>
      <c r="AH189" s="90">
        <v>-1</v>
      </c>
      <c r="AI189" s="90">
        <v>-1</v>
      </c>
      <c r="AJ189" s="90">
        <v>0</v>
      </c>
      <c r="AM189" s="90" t="s">
        <v>379</v>
      </c>
      <c r="AN189" s="90">
        <v>-1</v>
      </c>
      <c r="AQ189" s="90">
        <v>356</v>
      </c>
      <c r="AR189" s="90" t="s">
        <v>380</v>
      </c>
      <c r="AS189" s="90" t="s">
        <v>246</v>
      </c>
      <c r="AT189" s="90" t="s">
        <v>244</v>
      </c>
      <c r="AU189" s="90">
        <v>175.87190000000001</v>
      </c>
      <c r="AV189" s="90">
        <v>100.391345978986</v>
      </c>
      <c r="AW189" s="90">
        <v>8.7875924331406807</v>
      </c>
      <c r="AX189" s="90">
        <v>6.6606399999999998E-3</v>
      </c>
    </row>
    <row r="190" spans="1:50" x14ac:dyDescent="0.25">
      <c r="A190" s="102">
        <v>830000</v>
      </c>
      <c r="B190" s="102">
        <v>2400000</v>
      </c>
      <c r="C190" s="102">
        <v>2400000</v>
      </c>
      <c r="D190" s="90" t="s">
        <v>374</v>
      </c>
      <c r="E190" s="90" t="s">
        <v>68</v>
      </c>
      <c r="F190" s="90" t="s">
        <v>375</v>
      </c>
      <c r="G190" s="90" t="s">
        <v>376</v>
      </c>
      <c r="H190" s="90">
        <v>0.59</v>
      </c>
      <c r="I190" s="90">
        <v>0.64</v>
      </c>
      <c r="J190" s="90" t="s">
        <v>381</v>
      </c>
      <c r="K190" s="90">
        <v>2.7409592509140001E-2</v>
      </c>
      <c r="L190" s="90">
        <v>3782.0470552777701</v>
      </c>
      <c r="M190" s="90">
        <v>11.620236560922701</v>
      </c>
      <c r="N190" s="90">
        <v>1.5341654718870601</v>
      </c>
      <c r="O190" s="90">
        <v>0.31850594899479001</v>
      </c>
      <c r="P190" s="90">
        <v>4.2050850426019998E-2</v>
      </c>
      <c r="Q190" s="90">
        <v>103.664368635586</v>
      </c>
      <c r="R190" s="90">
        <v>1400</v>
      </c>
      <c r="S190" s="90" t="s">
        <v>324</v>
      </c>
      <c r="T190" s="90">
        <v>1400</v>
      </c>
      <c r="U190" s="90" t="s">
        <v>382</v>
      </c>
      <c r="V190" s="90" t="s">
        <v>381</v>
      </c>
      <c r="Z190" s="90">
        <v>0</v>
      </c>
      <c r="AA190" s="90">
        <v>1</v>
      </c>
      <c r="AB190" s="90">
        <v>0.31850594899479001</v>
      </c>
      <c r="AC190" s="90">
        <v>4.2050850426019998E-2</v>
      </c>
      <c r="AD190" s="90">
        <v>103.66436863558501</v>
      </c>
      <c r="AF190" s="90">
        <v>-1</v>
      </c>
      <c r="AG190" s="90">
        <v>-1</v>
      </c>
      <c r="AH190" s="90">
        <v>-1</v>
      </c>
      <c r="AI190" s="90">
        <v>-1</v>
      </c>
      <c r="AJ190" s="90">
        <v>0</v>
      </c>
      <c r="AM190" s="90" t="s">
        <v>379</v>
      </c>
      <c r="AN190" s="90">
        <v>-1</v>
      </c>
      <c r="AQ190" s="90">
        <v>356</v>
      </c>
      <c r="AR190" s="90" t="s">
        <v>380</v>
      </c>
      <c r="AS190" s="90" t="s">
        <v>246</v>
      </c>
      <c r="AT190" s="90" t="s">
        <v>244</v>
      </c>
      <c r="AU190" s="90">
        <v>175.87190000000001</v>
      </c>
      <c r="AV190" s="90">
        <v>104.450265330364</v>
      </c>
      <c r="AW190" s="90">
        <v>110.92268548101001</v>
      </c>
      <c r="AX190" s="90">
        <v>8.4074913700000004E-2</v>
      </c>
    </row>
    <row r="191" spans="1:50" x14ac:dyDescent="0.25">
      <c r="A191" s="102">
        <v>830000</v>
      </c>
      <c r="B191" s="102">
        <v>2400000</v>
      </c>
      <c r="C191" s="102">
        <v>2400000</v>
      </c>
      <c r="D191" s="90" t="s">
        <v>374</v>
      </c>
      <c r="E191" s="90" t="s">
        <v>68</v>
      </c>
      <c r="F191" s="90" t="s">
        <v>375</v>
      </c>
      <c r="G191" s="90" t="s">
        <v>376</v>
      </c>
      <c r="H191" s="90">
        <v>0.59</v>
      </c>
      <c r="I191" s="90">
        <v>0.64</v>
      </c>
      <c r="J191" s="90" t="s">
        <v>244</v>
      </c>
      <c r="K191" s="90">
        <v>0.56670147647807001</v>
      </c>
      <c r="L191" s="90">
        <v>3782.0470552777701</v>
      </c>
      <c r="M191" s="90">
        <v>11.620236560922701</v>
      </c>
      <c r="N191" s="90">
        <v>1.5341654718870601</v>
      </c>
      <c r="O191" s="90">
        <v>6.5852052160994301</v>
      </c>
      <c r="P191" s="90">
        <v>0.86941383808007999</v>
      </c>
      <c r="Q191" s="90">
        <v>2143.29165033546</v>
      </c>
      <c r="R191" s="90">
        <v>1430</v>
      </c>
      <c r="S191" s="90" t="s">
        <v>326</v>
      </c>
      <c r="T191" s="90">
        <v>1430</v>
      </c>
      <c r="U191" s="90" t="s">
        <v>378</v>
      </c>
      <c r="V191" s="90" t="s">
        <v>244</v>
      </c>
      <c r="Z191" s="90">
        <v>0</v>
      </c>
      <c r="AA191" s="90">
        <v>1</v>
      </c>
      <c r="AB191" s="90">
        <v>6.5852052160994301</v>
      </c>
      <c r="AC191" s="90">
        <v>0.86941383808007999</v>
      </c>
      <c r="AD191" s="90">
        <v>2143.29165033546</v>
      </c>
      <c r="AF191" s="90">
        <v>-1</v>
      </c>
      <c r="AG191" s="90">
        <v>-1</v>
      </c>
      <c r="AH191" s="90">
        <v>-1</v>
      </c>
      <c r="AI191" s="90">
        <v>-1</v>
      </c>
      <c r="AJ191" s="90">
        <v>0</v>
      </c>
      <c r="AM191" s="90" t="s">
        <v>379</v>
      </c>
      <c r="AN191" s="90">
        <v>-1</v>
      </c>
      <c r="AQ191" s="90">
        <v>356</v>
      </c>
      <c r="AR191" s="90" t="s">
        <v>380</v>
      </c>
      <c r="AS191" s="90" t="s">
        <v>246</v>
      </c>
      <c r="AT191" s="90" t="s">
        <v>244</v>
      </c>
      <c r="AU191" s="90">
        <v>175.87190000000001</v>
      </c>
      <c r="AV191" s="90">
        <v>191.54248727762601</v>
      </c>
      <c r="AW191" s="90">
        <v>2293.35950966885</v>
      </c>
      <c r="AX191" s="90">
        <v>1.7382738445999999</v>
      </c>
    </row>
    <row r="192" spans="1:50" x14ac:dyDescent="0.25">
      <c r="A192" s="102">
        <v>830000</v>
      </c>
      <c r="B192" s="102">
        <v>2400000</v>
      </c>
      <c r="C192" s="102">
        <v>2400000</v>
      </c>
      <c r="D192" s="90" t="s">
        <v>374</v>
      </c>
      <c r="E192" s="90" t="s">
        <v>68</v>
      </c>
      <c r="F192" s="90" t="s">
        <v>375</v>
      </c>
      <c r="G192" s="90" t="s">
        <v>376</v>
      </c>
      <c r="H192" s="90">
        <v>0.59</v>
      </c>
      <c r="I192" s="90">
        <v>0.64</v>
      </c>
      <c r="J192" s="90" t="s">
        <v>244</v>
      </c>
      <c r="K192" s="90">
        <v>2.1480923438399999E-2</v>
      </c>
      <c r="L192" s="90">
        <v>3782.0470552777701</v>
      </c>
      <c r="M192" s="90">
        <v>11.620236560922701</v>
      </c>
      <c r="N192" s="90">
        <v>1.5341654718870601</v>
      </c>
      <c r="O192" s="90">
        <v>0.24961341190131001</v>
      </c>
      <c r="P192" s="90">
        <v>3.2955291043439999E-2</v>
      </c>
      <c r="Q192" s="90">
        <v>81.241863234859395</v>
      </c>
      <c r="R192" s="90">
        <v>1430</v>
      </c>
      <c r="S192" s="90" t="s">
        <v>326</v>
      </c>
      <c r="T192" s="90">
        <v>1430</v>
      </c>
      <c r="U192" s="90" t="s">
        <v>378</v>
      </c>
      <c r="V192" s="90" t="s">
        <v>244</v>
      </c>
      <c r="Z192" s="90">
        <v>0</v>
      </c>
      <c r="AA192" s="90">
        <v>1</v>
      </c>
      <c r="AB192" s="90">
        <v>0.24961341190131001</v>
      </c>
      <c r="AC192" s="90">
        <v>3.2955291043439999E-2</v>
      </c>
      <c r="AD192" s="90">
        <v>81.241863234861199</v>
      </c>
      <c r="AF192" s="90">
        <v>-1</v>
      </c>
      <c r="AG192" s="90">
        <v>-1</v>
      </c>
      <c r="AH192" s="90">
        <v>-1</v>
      </c>
      <c r="AI192" s="90">
        <v>-1</v>
      </c>
      <c r="AJ192" s="90">
        <v>0</v>
      </c>
      <c r="AM192" s="90" t="s">
        <v>379</v>
      </c>
      <c r="AN192" s="90">
        <v>-1</v>
      </c>
      <c r="AQ192" s="90">
        <v>356</v>
      </c>
      <c r="AR192" s="90" t="s">
        <v>380</v>
      </c>
      <c r="AS192" s="90" t="s">
        <v>246</v>
      </c>
      <c r="AT192" s="90" t="s">
        <v>244</v>
      </c>
      <c r="AU192" s="90">
        <v>175.87190000000001</v>
      </c>
      <c r="AV192" s="90">
        <v>97.668069113491796</v>
      </c>
      <c r="AW192" s="90">
        <v>86.930212975785807</v>
      </c>
      <c r="AX192" s="90">
        <v>6.5889588999999998E-2</v>
      </c>
    </row>
    <row r="193" spans="1:50" x14ac:dyDescent="0.25">
      <c r="A193" s="102">
        <v>830000</v>
      </c>
      <c r="B193" s="102">
        <v>2400000</v>
      </c>
      <c r="C193" s="102">
        <v>2400000</v>
      </c>
      <c r="D193" s="90" t="s">
        <v>374</v>
      </c>
      <c r="E193" s="90" t="s">
        <v>68</v>
      </c>
      <c r="F193" s="90" t="s">
        <v>375</v>
      </c>
      <c r="G193" s="90" t="s">
        <v>376</v>
      </c>
      <c r="H193" s="90">
        <v>0.59</v>
      </c>
      <c r="I193" s="90">
        <v>0.64</v>
      </c>
      <c r="J193" s="90" t="s">
        <v>244</v>
      </c>
      <c r="K193" s="90">
        <v>0.61776345366790997</v>
      </c>
      <c r="L193" s="90">
        <v>3786.6370366656402</v>
      </c>
      <c r="M193" s="90">
        <v>8.2631422490321302</v>
      </c>
      <c r="N193" s="90">
        <v>1.2860662679408801</v>
      </c>
      <c r="O193" s="90">
        <v>5.10466729391133</v>
      </c>
      <c r="P193" s="90">
        <v>0.79448473932896002</v>
      </c>
      <c r="Q193" s="90">
        <v>2339.2459735573898</v>
      </c>
      <c r="R193" s="90">
        <v>1300</v>
      </c>
      <c r="S193" s="90" t="s">
        <v>387</v>
      </c>
      <c r="T193" s="90">
        <v>1300</v>
      </c>
      <c r="U193" s="90" t="s">
        <v>378</v>
      </c>
      <c r="V193" s="90" t="s">
        <v>244</v>
      </c>
      <c r="Z193" s="90">
        <v>0</v>
      </c>
      <c r="AA193" s="90">
        <v>1</v>
      </c>
      <c r="AB193" s="90">
        <v>5.10466729391133</v>
      </c>
      <c r="AC193" s="90">
        <v>0.79448473932896002</v>
      </c>
      <c r="AD193" s="90">
        <v>2339.2459735573898</v>
      </c>
      <c r="AF193" s="90">
        <v>-1</v>
      </c>
      <c r="AG193" s="90">
        <v>-1</v>
      </c>
      <c r="AH193" s="90">
        <v>-1</v>
      </c>
      <c r="AI193" s="90">
        <v>-1</v>
      </c>
      <c r="AJ193" s="90">
        <v>0</v>
      </c>
      <c r="AM193" s="90" t="s">
        <v>379</v>
      </c>
      <c r="AN193" s="90">
        <v>-1</v>
      </c>
      <c r="AQ193" s="90">
        <v>356</v>
      </c>
      <c r="AR193" s="90" t="s">
        <v>380</v>
      </c>
      <c r="AS193" s="90" t="s">
        <v>246</v>
      </c>
      <c r="AT193" s="90" t="s">
        <v>244</v>
      </c>
      <c r="AU193" s="90">
        <v>175.87190000000001</v>
      </c>
      <c r="AV193" s="90">
        <v>200</v>
      </c>
      <c r="AW193" s="90">
        <v>2500</v>
      </c>
      <c r="AX193" s="90">
        <v>1.8971986809000001</v>
      </c>
    </row>
    <row r="194" spans="1:50" x14ac:dyDescent="0.25">
      <c r="A194" s="102">
        <v>830000</v>
      </c>
      <c r="B194" s="102">
        <v>2400000</v>
      </c>
      <c r="C194" s="102">
        <v>2400000</v>
      </c>
      <c r="D194" s="90" t="s">
        <v>374</v>
      </c>
      <c r="E194" s="90" t="s">
        <v>68</v>
      </c>
      <c r="F194" s="90" t="s">
        <v>375</v>
      </c>
      <c r="G194" s="90" t="s">
        <v>376</v>
      </c>
      <c r="H194" s="90">
        <v>0.59</v>
      </c>
      <c r="I194" s="90">
        <v>0.64</v>
      </c>
      <c r="J194" s="90" t="s">
        <v>244</v>
      </c>
      <c r="K194" s="90">
        <v>0.36080342260133003</v>
      </c>
      <c r="L194" s="90">
        <v>3701.6378281606198</v>
      </c>
      <c r="M194" s="90">
        <v>9.2271126750535206</v>
      </c>
      <c r="N194" s="90">
        <v>1.3570614955731499</v>
      </c>
      <c r="O194" s="90">
        <v>3.3291738338874701</v>
      </c>
      <c r="P194" s="90">
        <v>0.48963243228328002</v>
      </c>
      <c r="Q194" s="90">
        <v>1335.56359763092</v>
      </c>
      <c r="R194" s="90">
        <v>1200</v>
      </c>
      <c r="S194" s="90" t="s">
        <v>384</v>
      </c>
      <c r="T194" s="90">
        <v>1200</v>
      </c>
      <c r="U194" s="90" t="s">
        <v>378</v>
      </c>
      <c r="V194" s="90" t="s">
        <v>244</v>
      </c>
      <c r="Z194" s="90">
        <v>0</v>
      </c>
      <c r="AA194" s="90">
        <v>1</v>
      </c>
      <c r="AB194" s="90">
        <v>3.3291738338874701</v>
      </c>
      <c r="AC194" s="90">
        <v>0.48963243228328002</v>
      </c>
      <c r="AD194" s="90">
        <v>1335.56359763092</v>
      </c>
      <c r="AF194" s="90">
        <v>-1</v>
      </c>
      <c r="AG194" s="90">
        <v>-1</v>
      </c>
      <c r="AH194" s="90">
        <v>-1</v>
      </c>
      <c r="AI194" s="90">
        <v>-1</v>
      </c>
      <c r="AJ194" s="90">
        <v>0</v>
      </c>
      <c r="AM194" s="90" t="s">
        <v>379</v>
      </c>
      <c r="AN194" s="90">
        <v>-1</v>
      </c>
      <c r="AQ194" s="90">
        <v>356</v>
      </c>
      <c r="AR194" s="90" t="s">
        <v>380</v>
      </c>
      <c r="AS194" s="90" t="s">
        <v>246</v>
      </c>
      <c r="AT194" s="90" t="s">
        <v>244</v>
      </c>
      <c r="AU194" s="90">
        <v>175.87190000000001</v>
      </c>
      <c r="AV194" s="90">
        <v>158.42504111721601</v>
      </c>
      <c r="AW194" s="90">
        <v>1460.1196479781099</v>
      </c>
      <c r="AX194" s="90">
        <v>1.0831821554000001</v>
      </c>
    </row>
    <row r="195" spans="1:50" x14ac:dyDescent="0.25">
      <c r="A195" s="102">
        <v>830000</v>
      </c>
      <c r="B195" s="102">
        <v>2400000</v>
      </c>
      <c r="C195" s="102">
        <v>2400000</v>
      </c>
      <c r="D195" s="90" t="s">
        <v>374</v>
      </c>
      <c r="E195" s="90" t="s">
        <v>68</v>
      </c>
      <c r="F195" s="90" t="s">
        <v>375</v>
      </c>
      <c r="G195" s="90" t="s">
        <v>376</v>
      </c>
      <c r="H195" s="90">
        <v>0.59</v>
      </c>
      <c r="I195" s="90">
        <v>0.64</v>
      </c>
      <c r="J195" s="90" t="s">
        <v>244</v>
      </c>
      <c r="K195" s="90">
        <v>2.1221847278309999E-2</v>
      </c>
      <c r="L195" s="90">
        <v>3701.6378281606198</v>
      </c>
      <c r="M195" s="90">
        <v>9.2271126750535206</v>
      </c>
      <c r="N195" s="90">
        <v>1.3570614955731499</v>
      </c>
      <c r="O195" s="90">
        <v>0.19581637600974999</v>
      </c>
      <c r="P195" s="90">
        <v>2.879935180633E-2</v>
      </c>
      <c r="Q195" s="90">
        <v>78.555592668843502</v>
      </c>
      <c r="R195" s="90">
        <v>1210</v>
      </c>
      <c r="S195" s="90" t="s">
        <v>385</v>
      </c>
      <c r="T195" s="90">
        <v>1210</v>
      </c>
      <c r="U195" s="90" t="s">
        <v>378</v>
      </c>
      <c r="V195" s="90" t="s">
        <v>244</v>
      </c>
      <c r="Z195" s="90">
        <v>0</v>
      </c>
      <c r="AA195" s="90">
        <v>1</v>
      </c>
      <c r="AB195" s="90">
        <v>0.19581637600974999</v>
      </c>
      <c r="AC195" s="90">
        <v>2.879935180633E-2</v>
      </c>
      <c r="AD195" s="90">
        <v>78.555592668842806</v>
      </c>
      <c r="AF195" s="90">
        <v>-1</v>
      </c>
      <c r="AG195" s="90">
        <v>-1</v>
      </c>
      <c r="AH195" s="90">
        <v>-1</v>
      </c>
      <c r="AI195" s="90">
        <v>-1</v>
      </c>
      <c r="AJ195" s="90">
        <v>0</v>
      </c>
      <c r="AM195" s="90" t="s">
        <v>379</v>
      </c>
      <c r="AN195" s="90">
        <v>-1</v>
      </c>
      <c r="AQ195" s="90">
        <v>356</v>
      </c>
      <c r="AR195" s="90" t="s">
        <v>380</v>
      </c>
      <c r="AS195" s="90" t="s">
        <v>246</v>
      </c>
      <c r="AT195" s="90" t="s">
        <v>244</v>
      </c>
      <c r="AU195" s="90">
        <v>175.87190000000001</v>
      </c>
      <c r="AV195" s="90">
        <v>38.936576531530498</v>
      </c>
      <c r="AW195" s="90">
        <v>85.8817689534241</v>
      </c>
      <c r="AX195" s="90">
        <v>6.3710943000000006E-2</v>
      </c>
    </row>
    <row r="196" spans="1:50" x14ac:dyDescent="0.25">
      <c r="A196" s="102">
        <v>830000</v>
      </c>
      <c r="B196" s="102">
        <v>2400000</v>
      </c>
      <c r="C196" s="102">
        <v>2400000</v>
      </c>
      <c r="D196" s="90" t="s">
        <v>374</v>
      </c>
      <c r="E196" s="90" t="s">
        <v>68</v>
      </c>
      <c r="F196" s="90" t="s">
        <v>375</v>
      </c>
      <c r="G196" s="90" t="s">
        <v>376</v>
      </c>
      <c r="H196" s="90">
        <v>0.59</v>
      </c>
      <c r="I196" s="90">
        <v>0.64</v>
      </c>
      <c r="J196" s="90" t="s">
        <v>244</v>
      </c>
      <c r="K196" s="90">
        <v>8.391564824851E-2</v>
      </c>
      <c r="L196" s="90">
        <v>3701.6378281606198</v>
      </c>
      <c r="M196" s="90">
        <v>9.2271126750535206</v>
      </c>
      <c r="N196" s="90">
        <v>1.3570614955731499</v>
      </c>
      <c r="O196" s="90">
        <v>0.77429914158915003</v>
      </c>
      <c r="P196" s="90">
        <v>0.11387869511411</v>
      </c>
      <c r="Q196" s="90">
        <v>310.62533793130501</v>
      </c>
      <c r="R196" s="90">
        <v>1210</v>
      </c>
      <c r="S196" s="90" t="s">
        <v>385</v>
      </c>
      <c r="T196" s="90">
        <v>1210</v>
      </c>
      <c r="U196" s="90" t="s">
        <v>378</v>
      </c>
      <c r="V196" s="90" t="s">
        <v>244</v>
      </c>
      <c r="Z196" s="90">
        <v>0</v>
      </c>
      <c r="AA196" s="90">
        <v>1</v>
      </c>
      <c r="AB196" s="90">
        <v>0.77429914158915003</v>
      </c>
      <c r="AC196" s="90">
        <v>0.11387869511411</v>
      </c>
      <c r="AD196" s="90">
        <v>310.62533793130598</v>
      </c>
      <c r="AF196" s="90">
        <v>-1</v>
      </c>
      <c r="AG196" s="90">
        <v>-1</v>
      </c>
      <c r="AH196" s="90">
        <v>-1</v>
      </c>
      <c r="AI196" s="90">
        <v>-1</v>
      </c>
      <c r="AJ196" s="90">
        <v>0</v>
      </c>
      <c r="AM196" s="90" t="s">
        <v>379</v>
      </c>
      <c r="AN196" s="90">
        <v>-1</v>
      </c>
      <c r="AQ196" s="90">
        <v>356</v>
      </c>
      <c r="AR196" s="90" t="s">
        <v>380</v>
      </c>
      <c r="AS196" s="90" t="s">
        <v>246</v>
      </c>
      <c r="AT196" s="90" t="s">
        <v>244</v>
      </c>
      <c r="AU196" s="90">
        <v>175.87190000000001</v>
      </c>
      <c r="AV196" s="90">
        <v>88.973779547849006</v>
      </c>
      <c r="AW196" s="90">
        <v>339.594580054343</v>
      </c>
      <c r="AX196" s="90">
        <v>0.25192647029999998</v>
      </c>
    </row>
    <row r="197" spans="1:50" x14ac:dyDescent="0.25">
      <c r="A197" s="102">
        <v>830000</v>
      </c>
      <c r="B197" s="102">
        <v>2400000</v>
      </c>
      <c r="C197" s="102">
        <v>2400000</v>
      </c>
      <c r="D197" s="90" t="s">
        <v>374</v>
      </c>
      <c r="E197" s="90" t="s">
        <v>68</v>
      </c>
      <c r="F197" s="90" t="s">
        <v>375</v>
      </c>
      <c r="G197" s="90" t="s">
        <v>376</v>
      </c>
      <c r="H197" s="90">
        <v>0.59</v>
      </c>
      <c r="I197" s="90">
        <v>0.64</v>
      </c>
      <c r="J197" s="90" t="s">
        <v>244</v>
      </c>
      <c r="K197" s="90">
        <v>2.0115833579350002E-2</v>
      </c>
      <c r="L197" s="90">
        <v>3701.6378281606198</v>
      </c>
      <c r="M197" s="90">
        <v>9.2271126750535206</v>
      </c>
      <c r="N197" s="90">
        <v>1.3570614955731499</v>
      </c>
      <c r="O197" s="90">
        <v>0.18561106298930999</v>
      </c>
      <c r="P197" s="90">
        <v>2.729842320189E-2</v>
      </c>
      <c r="Q197" s="90">
        <v>74.461530522316707</v>
      </c>
      <c r="R197" s="90">
        <v>1210</v>
      </c>
      <c r="S197" s="90" t="s">
        <v>385</v>
      </c>
      <c r="T197" s="90">
        <v>1210</v>
      </c>
      <c r="U197" s="90" t="s">
        <v>378</v>
      </c>
      <c r="V197" s="90" t="s">
        <v>244</v>
      </c>
      <c r="Z197" s="90">
        <v>0</v>
      </c>
      <c r="AA197" s="90">
        <v>1</v>
      </c>
      <c r="AB197" s="90">
        <v>0.18561106298930999</v>
      </c>
      <c r="AC197" s="90">
        <v>2.729842320189E-2</v>
      </c>
      <c r="AD197" s="90">
        <v>74.461530522317801</v>
      </c>
      <c r="AF197" s="90">
        <v>-1</v>
      </c>
      <c r="AG197" s="90">
        <v>-1</v>
      </c>
      <c r="AH197" s="90">
        <v>-1</v>
      </c>
      <c r="AI197" s="90">
        <v>-1</v>
      </c>
      <c r="AJ197" s="90">
        <v>0</v>
      </c>
      <c r="AM197" s="90" t="s">
        <v>379</v>
      </c>
      <c r="AN197" s="90">
        <v>-1</v>
      </c>
      <c r="AQ197" s="90">
        <v>356</v>
      </c>
      <c r="AR197" s="90" t="s">
        <v>380</v>
      </c>
      <c r="AS197" s="90" t="s">
        <v>246</v>
      </c>
      <c r="AT197" s="90" t="s">
        <v>244</v>
      </c>
      <c r="AU197" s="90">
        <v>175.87190000000001</v>
      </c>
      <c r="AV197" s="90">
        <v>36.294624479589899</v>
      </c>
      <c r="AW197" s="90">
        <v>81.405890312535504</v>
      </c>
      <c r="AX197" s="90">
        <v>6.0390535699999998E-2</v>
      </c>
    </row>
    <row r="198" spans="1:50" x14ac:dyDescent="0.25">
      <c r="A198" s="102">
        <v>830000</v>
      </c>
      <c r="B198" s="102">
        <v>2400000</v>
      </c>
      <c r="C198" s="102">
        <v>2400000</v>
      </c>
      <c r="D198" s="90" t="s">
        <v>374</v>
      </c>
      <c r="E198" s="90" t="s">
        <v>68</v>
      </c>
      <c r="F198" s="90" t="s">
        <v>375</v>
      </c>
      <c r="G198" s="90" t="s">
        <v>376</v>
      </c>
      <c r="H198" s="90">
        <v>0.59</v>
      </c>
      <c r="I198" s="90">
        <v>0.64</v>
      </c>
      <c r="J198" s="90" t="s">
        <v>244</v>
      </c>
      <c r="K198" s="90">
        <v>5.6275325558689998E-2</v>
      </c>
      <c r="L198" s="90">
        <v>3701.6378281606198</v>
      </c>
      <c r="M198" s="90">
        <v>9.2271126750535206</v>
      </c>
      <c r="N198" s="90">
        <v>1.3570614955731499</v>
      </c>
      <c r="O198" s="90">
        <v>0.51925876975535001</v>
      </c>
      <c r="P198" s="90">
        <v>7.6369077466539995E-2</v>
      </c>
      <c r="Q198" s="90">
        <v>208.31087388010101</v>
      </c>
      <c r="R198" s="90">
        <v>1210</v>
      </c>
      <c r="S198" s="90" t="s">
        <v>385</v>
      </c>
      <c r="T198" s="90">
        <v>1210</v>
      </c>
      <c r="U198" s="90" t="s">
        <v>378</v>
      </c>
      <c r="V198" s="90" t="s">
        <v>244</v>
      </c>
      <c r="Z198" s="90">
        <v>0</v>
      </c>
      <c r="AA198" s="90">
        <v>1</v>
      </c>
      <c r="AB198" s="90">
        <v>0.51925876975535001</v>
      </c>
      <c r="AC198" s="90">
        <v>7.6369077466539995E-2</v>
      </c>
      <c r="AD198" s="90">
        <v>208.31087388009999</v>
      </c>
      <c r="AF198" s="90">
        <v>-1</v>
      </c>
      <c r="AG198" s="90">
        <v>-1</v>
      </c>
      <c r="AH198" s="90">
        <v>-1</v>
      </c>
      <c r="AI198" s="90">
        <v>-1</v>
      </c>
      <c r="AJ198" s="90">
        <v>0</v>
      </c>
      <c r="AM198" s="90" t="s">
        <v>379</v>
      </c>
      <c r="AN198" s="90">
        <v>-1</v>
      </c>
      <c r="AQ198" s="90">
        <v>356</v>
      </c>
      <c r="AR198" s="90" t="s">
        <v>380</v>
      </c>
      <c r="AS198" s="90" t="s">
        <v>246</v>
      </c>
      <c r="AT198" s="90" t="s">
        <v>244</v>
      </c>
      <c r="AU198" s="90">
        <v>175.87190000000001</v>
      </c>
      <c r="AV198" s="90">
        <v>64.420735625819006</v>
      </c>
      <c r="AW198" s="90">
        <v>227.73816265983399</v>
      </c>
      <c r="AX198" s="90">
        <v>0.16894636969999999</v>
      </c>
    </row>
    <row r="199" spans="1:50" x14ac:dyDescent="0.25">
      <c r="A199" s="102">
        <v>830000</v>
      </c>
      <c r="B199" s="102">
        <v>2400000</v>
      </c>
      <c r="C199" s="102">
        <v>2400000</v>
      </c>
      <c r="D199" s="90" t="s">
        <v>374</v>
      </c>
      <c r="E199" s="90" t="s">
        <v>68</v>
      </c>
      <c r="F199" s="90" t="s">
        <v>375</v>
      </c>
      <c r="G199" s="90" t="s">
        <v>376</v>
      </c>
      <c r="H199" s="90">
        <v>0.59</v>
      </c>
      <c r="I199" s="90">
        <v>0.64</v>
      </c>
      <c r="J199" s="90" t="s">
        <v>244</v>
      </c>
      <c r="K199" s="90">
        <v>6.9355911356240002E-2</v>
      </c>
      <c r="L199" s="90">
        <v>3701.6378281606198</v>
      </c>
      <c r="M199" s="90">
        <v>9.2271126750535206</v>
      </c>
      <c r="N199" s="90">
        <v>1.3570614955731499</v>
      </c>
      <c r="O199" s="90">
        <v>0.63995480876509003</v>
      </c>
      <c r="P199" s="90">
        <v>9.4120236791939996E-2</v>
      </c>
      <c r="Q199" s="90">
        <v>256.73046508283102</v>
      </c>
      <c r="R199" s="90">
        <v>1210</v>
      </c>
      <c r="S199" s="90" t="s">
        <v>385</v>
      </c>
      <c r="T199" s="90">
        <v>1210</v>
      </c>
      <c r="U199" s="90" t="s">
        <v>378</v>
      </c>
      <c r="V199" s="90" t="s">
        <v>244</v>
      </c>
      <c r="Z199" s="90">
        <v>0</v>
      </c>
      <c r="AA199" s="90">
        <v>1</v>
      </c>
      <c r="AB199" s="90">
        <v>0.63995480876509003</v>
      </c>
      <c r="AC199" s="90">
        <v>9.4120236791939996E-2</v>
      </c>
      <c r="AD199" s="90">
        <v>256.73046508283102</v>
      </c>
      <c r="AF199" s="90">
        <v>-1</v>
      </c>
      <c r="AG199" s="90">
        <v>-1</v>
      </c>
      <c r="AH199" s="90">
        <v>-1</v>
      </c>
      <c r="AI199" s="90">
        <v>-1</v>
      </c>
      <c r="AJ199" s="90">
        <v>0</v>
      </c>
      <c r="AM199" s="90" t="s">
        <v>379</v>
      </c>
      <c r="AN199" s="90">
        <v>-1</v>
      </c>
      <c r="AQ199" s="90">
        <v>356</v>
      </c>
      <c r="AR199" s="90" t="s">
        <v>380</v>
      </c>
      <c r="AS199" s="90" t="s">
        <v>246</v>
      </c>
      <c r="AT199" s="90" t="s">
        <v>244</v>
      </c>
      <c r="AU199" s="90">
        <v>175.87190000000001</v>
      </c>
      <c r="AV199" s="90">
        <v>73.642850582568499</v>
      </c>
      <c r="AW199" s="90">
        <v>280.67341530342497</v>
      </c>
      <c r="AX199" s="90">
        <v>0.2082161112</v>
      </c>
    </row>
    <row r="200" spans="1:50" x14ac:dyDescent="0.25">
      <c r="A200" s="102">
        <v>830000</v>
      </c>
      <c r="B200" s="102">
        <v>2400000</v>
      </c>
      <c r="C200" s="102">
        <v>2400000</v>
      </c>
      <c r="D200" s="90" t="s">
        <v>374</v>
      </c>
      <c r="E200" s="90" t="s">
        <v>68</v>
      </c>
      <c r="F200" s="90" t="s">
        <v>375</v>
      </c>
      <c r="G200" s="90" t="s">
        <v>376</v>
      </c>
      <c r="H200" s="90">
        <v>0.59</v>
      </c>
      <c r="I200" s="90">
        <v>0.64</v>
      </c>
      <c r="J200" s="90" t="s">
        <v>244</v>
      </c>
      <c r="K200" s="90">
        <v>6.07546511451E-3</v>
      </c>
      <c r="L200" s="90">
        <v>3701.6378281606198</v>
      </c>
      <c r="M200" s="90">
        <v>9.2271126750535206</v>
      </c>
      <c r="N200" s="90">
        <v>1.3570614955731499</v>
      </c>
      <c r="O200" s="90">
        <v>5.6059001164940003E-2</v>
      </c>
      <c r="P200" s="90">
        <v>8.2447797745900005E-3</v>
      </c>
      <c r="Q200" s="90">
        <v>22.4891714915404</v>
      </c>
      <c r="R200" s="90">
        <v>1210</v>
      </c>
      <c r="S200" s="90" t="s">
        <v>385</v>
      </c>
      <c r="T200" s="90">
        <v>1210</v>
      </c>
      <c r="U200" s="90" t="s">
        <v>378</v>
      </c>
      <c r="V200" s="90" t="s">
        <v>244</v>
      </c>
      <c r="Z200" s="90">
        <v>0</v>
      </c>
      <c r="AA200" s="90">
        <v>1</v>
      </c>
      <c r="AB200" s="90">
        <v>5.6059001164940003E-2</v>
      </c>
      <c r="AC200" s="90">
        <v>8.2447797745900005E-3</v>
      </c>
      <c r="AD200" s="90">
        <v>22.489171491538599</v>
      </c>
      <c r="AF200" s="90">
        <v>-1</v>
      </c>
      <c r="AG200" s="90">
        <v>-1</v>
      </c>
      <c r="AH200" s="90">
        <v>-1</v>
      </c>
      <c r="AI200" s="90">
        <v>-1</v>
      </c>
      <c r="AJ200" s="90">
        <v>0</v>
      </c>
      <c r="AM200" s="90" t="s">
        <v>379</v>
      </c>
      <c r="AN200" s="90">
        <v>-1</v>
      </c>
      <c r="AQ200" s="90">
        <v>356</v>
      </c>
      <c r="AR200" s="90" t="s">
        <v>380</v>
      </c>
      <c r="AS200" s="90" t="s">
        <v>246</v>
      </c>
      <c r="AT200" s="90" t="s">
        <v>244</v>
      </c>
      <c r="AU200" s="90">
        <v>175.87190000000001</v>
      </c>
      <c r="AV200" s="90">
        <v>26.3833366400643</v>
      </c>
      <c r="AW200" s="90">
        <v>24.5865350177199</v>
      </c>
      <c r="AX200" s="90">
        <v>1.8239392900000002E-2</v>
      </c>
    </row>
    <row r="201" spans="1:50" x14ac:dyDescent="0.25">
      <c r="A201" s="102">
        <v>830000</v>
      </c>
      <c r="B201" s="102">
        <v>2400000</v>
      </c>
      <c r="C201" s="102">
        <v>2400000</v>
      </c>
      <c r="D201" s="90" t="s">
        <v>374</v>
      </c>
      <c r="E201" s="90" t="s">
        <v>68</v>
      </c>
      <c r="F201" s="90" t="s">
        <v>375</v>
      </c>
      <c r="G201" s="90" t="s">
        <v>376</v>
      </c>
      <c r="H201" s="90">
        <v>0.59</v>
      </c>
      <c r="I201" s="90">
        <v>0.64</v>
      </c>
      <c r="J201" s="90" t="s">
        <v>244</v>
      </c>
      <c r="K201" s="90">
        <v>2.1667212869300001E-3</v>
      </c>
      <c r="L201" s="90">
        <v>3792.1086898615899</v>
      </c>
      <c r="M201" s="90">
        <v>9.3288510273703693</v>
      </c>
      <c r="N201" s="90">
        <v>1.4025818563479899</v>
      </c>
      <c r="O201" s="90">
        <v>2.0213020103659999E-2</v>
      </c>
      <c r="P201" s="90">
        <v>3.0390039648200001E-3</v>
      </c>
      <c r="Q201" s="90">
        <v>8.2164426207018906</v>
      </c>
      <c r="R201" s="90">
        <v>1300</v>
      </c>
      <c r="S201" s="90" t="s">
        <v>387</v>
      </c>
      <c r="T201" s="90">
        <v>1300</v>
      </c>
      <c r="U201" s="90" t="s">
        <v>378</v>
      </c>
      <c r="V201" s="90" t="s">
        <v>244</v>
      </c>
      <c r="Z201" s="90">
        <v>0</v>
      </c>
      <c r="AA201" s="90">
        <v>1</v>
      </c>
      <c r="AB201" s="90">
        <v>2.0213020103659999E-2</v>
      </c>
      <c r="AC201" s="90">
        <v>3.0390039648200001E-3</v>
      </c>
      <c r="AD201" s="90">
        <v>8.2164426207033294</v>
      </c>
      <c r="AF201" s="90">
        <v>-1</v>
      </c>
      <c r="AG201" s="90">
        <v>-1</v>
      </c>
      <c r="AH201" s="90">
        <v>-1</v>
      </c>
      <c r="AI201" s="90">
        <v>-1</v>
      </c>
      <c r="AJ201" s="90">
        <v>0</v>
      </c>
      <c r="AM201" s="90" t="s">
        <v>379</v>
      </c>
      <c r="AN201" s="90">
        <v>-1</v>
      </c>
      <c r="AQ201" s="90">
        <v>356</v>
      </c>
      <c r="AR201" s="90" t="s">
        <v>380</v>
      </c>
      <c r="AS201" s="90" t="s">
        <v>246</v>
      </c>
      <c r="AT201" s="90" t="s">
        <v>244</v>
      </c>
      <c r="AU201" s="90">
        <v>175.87190000000001</v>
      </c>
      <c r="AV201" s="90">
        <v>100.388223075051</v>
      </c>
      <c r="AW201" s="90">
        <v>8.7684099555933095</v>
      </c>
      <c r="AX201" s="90">
        <v>6.6637815000000003E-3</v>
      </c>
    </row>
    <row r="202" spans="1:50" x14ac:dyDescent="0.25">
      <c r="A202" s="102">
        <v>830000</v>
      </c>
      <c r="B202" s="102">
        <v>2400000</v>
      </c>
      <c r="C202" s="102">
        <v>2400000</v>
      </c>
      <c r="D202" s="90" t="s">
        <v>374</v>
      </c>
      <c r="E202" s="90" t="s">
        <v>68</v>
      </c>
      <c r="F202" s="90" t="s">
        <v>375</v>
      </c>
      <c r="G202" s="90" t="s">
        <v>376</v>
      </c>
      <c r="H202" s="90">
        <v>0.59</v>
      </c>
      <c r="I202" s="90">
        <v>0.64</v>
      </c>
      <c r="J202" s="90" t="s">
        <v>381</v>
      </c>
      <c r="K202" s="90">
        <v>8.7469951683230004E-2</v>
      </c>
      <c r="L202" s="90">
        <v>3792.1086898615899</v>
      </c>
      <c r="M202" s="90">
        <v>9.3288510273703693</v>
      </c>
      <c r="N202" s="90">
        <v>1.4025818563479899</v>
      </c>
      <c r="O202" s="90">
        <v>0.81599414862422004</v>
      </c>
      <c r="P202" s="90">
        <v>0.12268376720654001</v>
      </c>
      <c r="Q202" s="90">
        <v>331.695563879784</v>
      </c>
      <c r="R202" s="90">
        <v>1300</v>
      </c>
      <c r="S202" s="90" t="s">
        <v>387</v>
      </c>
      <c r="T202" s="90">
        <v>1300</v>
      </c>
      <c r="U202" s="90" t="s">
        <v>382</v>
      </c>
      <c r="V202" s="90" t="s">
        <v>381</v>
      </c>
      <c r="Z202" s="90">
        <v>0</v>
      </c>
      <c r="AA202" s="90">
        <v>1</v>
      </c>
      <c r="AB202" s="90">
        <v>0.81599414862422004</v>
      </c>
      <c r="AC202" s="90">
        <v>0.12268376720654001</v>
      </c>
      <c r="AD202" s="90">
        <v>331.695563879784</v>
      </c>
      <c r="AF202" s="90">
        <v>-1</v>
      </c>
      <c r="AG202" s="90">
        <v>-1</v>
      </c>
      <c r="AH202" s="90">
        <v>-1</v>
      </c>
      <c r="AI202" s="90">
        <v>-1</v>
      </c>
      <c r="AJ202" s="90">
        <v>0</v>
      </c>
      <c r="AM202" s="90" t="s">
        <v>379</v>
      </c>
      <c r="AN202" s="90">
        <v>-1</v>
      </c>
      <c r="AQ202" s="90">
        <v>356</v>
      </c>
      <c r="AR202" s="90" t="s">
        <v>380</v>
      </c>
      <c r="AS202" s="90" t="s">
        <v>246</v>
      </c>
      <c r="AT202" s="90" t="s">
        <v>244</v>
      </c>
      <c r="AU202" s="90">
        <v>175.87190000000001</v>
      </c>
      <c r="AV202" s="90">
        <v>113.936044325415</v>
      </c>
      <c r="AW202" s="90">
        <v>353.97833573633301</v>
      </c>
      <c r="AX202" s="90">
        <v>0.26901505590000002</v>
      </c>
    </row>
    <row r="203" spans="1:50" x14ac:dyDescent="0.25">
      <c r="A203" s="102">
        <v>830000</v>
      </c>
      <c r="B203" s="102">
        <v>2400000</v>
      </c>
      <c r="C203" s="102">
        <v>2400000</v>
      </c>
      <c r="D203" s="90" t="s">
        <v>374</v>
      </c>
      <c r="E203" s="90" t="s">
        <v>68</v>
      </c>
      <c r="F203" s="90" t="s">
        <v>375</v>
      </c>
      <c r="G203" s="90" t="s">
        <v>376</v>
      </c>
      <c r="H203" s="90">
        <v>0.59</v>
      </c>
      <c r="I203" s="90">
        <v>0.64</v>
      </c>
      <c r="J203" s="90" t="s">
        <v>381</v>
      </c>
      <c r="K203" s="90">
        <v>2.162884504284E-2</v>
      </c>
      <c r="L203" s="90">
        <v>3792.1086898615899</v>
      </c>
      <c r="M203" s="90">
        <v>9.3288510273703693</v>
      </c>
      <c r="N203" s="90">
        <v>1.4025818563479899</v>
      </c>
      <c r="O203" s="90">
        <v>0.20177227329878999</v>
      </c>
      <c r="P203" s="90">
        <v>3.0336225630860001E-2</v>
      </c>
      <c r="Q203" s="90">
        <v>82.018931238649898</v>
      </c>
      <c r="R203" s="90">
        <v>1400</v>
      </c>
      <c r="S203" s="90" t="s">
        <v>324</v>
      </c>
      <c r="T203" s="90">
        <v>1400</v>
      </c>
      <c r="U203" s="90" t="s">
        <v>382</v>
      </c>
      <c r="V203" s="90" t="s">
        <v>381</v>
      </c>
      <c r="Z203" s="90">
        <v>0</v>
      </c>
      <c r="AA203" s="90">
        <v>1</v>
      </c>
      <c r="AB203" s="90">
        <v>0.20177227329878999</v>
      </c>
      <c r="AC203" s="90">
        <v>3.0336225630860001E-2</v>
      </c>
      <c r="AD203" s="90">
        <v>82.018931238648804</v>
      </c>
      <c r="AF203" s="90">
        <v>-1</v>
      </c>
      <c r="AG203" s="90">
        <v>-1</v>
      </c>
      <c r="AH203" s="90">
        <v>-1</v>
      </c>
      <c r="AI203" s="90">
        <v>-1</v>
      </c>
      <c r="AJ203" s="90">
        <v>0</v>
      </c>
      <c r="AM203" s="90" t="s">
        <v>379</v>
      </c>
      <c r="AN203" s="90">
        <v>-1</v>
      </c>
      <c r="AQ203" s="90">
        <v>356</v>
      </c>
      <c r="AR203" s="90" t="s">
        <v>380</v>
      </c>
      <c r="AS203" s="90" t="s">
        <v>246</v>
      </c>
      <c r="AT203" s="90" t="s">
        <v>244</v>
      </c>
      <c r="AU203" s="90">
        <v>175.87190000000001</v>
      </c>
      <c r="AV203" s="90">
        <v>103.94900258755</v>
      </c>
      <c r="AW203" s="90">
        <v>87.528830470738697</v>
      </c>
      <c r="AX203" s="90">
        <v>6.6519814499999996E-2</v>
      </c>
    </row>
    <row r="204" spans="1:50" x14ac:dyDescent="0.25">
      <c r="A204" s="102">
        <v>830000</v>
      </c>
      <c r="B204" s="102">
        <v>2400000</v>
      </c>
      <c r="C204" s="102">
        <v>2400000</v>
      </c>
      <c r="D204" s="90" t="s">
        <v>374</v>
      </c>
      <c r="E204" s="90" t="s">
        <v>68</v>
      </c>
      <c r="F204" s="90" t="s">
        <v>375</v>
      </c>
      <c r="G204" s="90" t="s">
        <v>376</v>
      </c>
      <c r="H204" s="90">
        <v>0.59</v>
      </c>
      <c r="I204" s="90">
        <v>0.64</v>
      </c>
      <c r="J204" s="90" t="s">
        <v>381</v>
      </c>
      <c r="K204" s="90">
        <v>1.8467895609999999E-5</v>
      </c>
      <c r="L204" s="90">
        <v>3792.1086898615899</v>
      </c>
      <c r="M204" s="90">
        <v>9.3288510273703693</v>
      </c>
      <c r="N204" s="90">
        <v>1.4025818563479899</v>
      </c>
      <c r="O204" s="90">
        <v>1.7228424698999999E-4</v>
      </c>
      <c r="P204" s="90">
        <v>2.5902735309999999E-5</v>
      </c>
      <c r="Q204" s="90">
        <v>7.0032267448890004E-2</v>
      </c>
      <c r="R204" s="90">
        <v>3200</v>
      </c>
      <c r="S204" s="90" t="s">
        <v>393</v>
      </c>
      <c r="T204" s="90">
        <v>3200</v>
      </c>
      <c r="U204" s="90" t="s">
        <v>382</v>
      </c>
      <c r="V204" s="90" t="s">
        <v>381</v>
      </c>
      <c r="Y204" s="90" t="s">
        <v>389</v>
      </c>
      <c r="Z204" s="90">
        <v>0</v>
      </c>
      <c r="AA204" s="90">
        <v>1</v>
      </c>
      <c r="AB204" s="90">
        <v>1.7228424698999999E-4</v>
      </c>
      <c r="AC204" s="90">
        <v>2.5902735309999999E-5</v>
      </c>
      <c r="AD204" s="90">
        <v>7.0032267450730004E-2</v>
      </c>
      <c r="AF204" s="90">
        <v>-1</v>
      </c>
      <c r="AG204" s="90">
        <v>-1</v>
      </c>
      <c r="AH204" s="90">
        <v>-1</v>
      </c>
      <c r="AI204" s="90">
        <v>-1</v>
      </c>
      <c r="AJ204" s="90">
        <v>0</v>
      </c>
      <c r="AM204" s="90" t="s">
        <v>379</v>
      </c>
      <c r="AN204" s="90">
        <v>-1</v>
      </c>
      <c r="AQ204" s="90">
        <v>356</v>
      </c>
      <c r="AR204" s="90" t="s">
        <v>380</v>
      </c>
      <c r="AS204" s="90" t="s">
        <v>246</v>
      </c>
      <c r="AT204" s="90" t="s">
        <v>244</v>
      </c>
      <c r="AU204" s="90">
        <v>175.87190000000001</v>
      </c>
      <c r="AV204" s="90">
        <v>3.42953207374963</v>
      </c>
      <c r="AW204" s="90">
        <v>7.473692198378E-2</v>
      </c>
      <c r="AX204" s="90">
        <v>5.6798300000000001E-5</v>
      </c>
    </row>
    <row r="205" spans="1:50" x14ac:dyDescent="0.25">
      <c r="A205" s="102">
        <v>830000</v>
      </c>
      <c r="B205" s="102">
        <v>2400000</v>
      </c>
      <c r="C205" s="102">
        <v>2400000</v>
      </c>
      <c r="D205" s="90" t="s">
        <v>374</v>
      </c>
      <c r="E205" s="90" t="s">
        <v>68</v>
      </c>
      <c r="F205" s="90" t="s">
        <v>375</v>
      </c>
      <c r="G205" s="90" t="s">
        <v>376</v>
      </c>
      <c r="H205" s="90">
        <v>0.59</v>
      </c>
      <c r="I205" s="90">
        <v>0.64</v>
      </c>
      <c r="J205" s="90" t="s">
        <v>381</v>
      </c>
      <c r="K205" s="90">
        <v>0.2667166201526</v>
      </c>
      <c r="L205" s="90">
        <v>3792.1086898615899</v>
      </c>
      <c r="M205" s="90">
        <v>9.3288510273703693</v>
      </c>
      <c r="N205" s="90">
        <v>1.4025818563479899</v>
      </c>
      <c r="O205" s="90">
        <v>2.48815961592741</v>
      </c>
      <c r="P205" s="90">
        <v>0.3740918922125</v>
      </c>
      <c r="Q205" s="90">
        <v>1011.41841301121</v>
      </c>
      <c r="R205" s="90">
        <v>8140</v>
      </c>
      <c r="S205" s="90" t="s">
        <v>386</v>
      </c>
      <c r="T205" s="90">
        <v>8140</v>
      </c>
      <c r="U205" s="90" t="s">
        <v>382</v>
      </c>
      <c r="V205" s="90" t="s">
        <v>381</v>
      </c>
      <c r="Z205" s="90">
        <v>0</v>
      </c>
      <c r="AA205" s="90">
        <v>1</v>
      </c>
      <c r="AB205" s="90">
        <v>2.48815961592741</v>
      </c>
      <c r="AC205" s="90">
        <v>0.3740918922125</v>
      </c>
      <c r="AD205" s="90">
        <v>1011.41841301121</v>
      </c>
      <c r="AF205" s="90">
        <v>-1</v>
      </c>
      <c r="AG205" s="90">
        <v>-1</v>
      </c>
      <c r="AH205" s="90">
        <v>-1</v>
      </c>
      <c r="AI205" s="90">
        <v>-1</v>
      </c>
      <c r="AJ205" s="90">
        <v>0</v>
      </c>
      <c r="AM205" s="90" t="s">
        <v>379</v>
      </c>
      <c r="AN205" s="90">
        <v>-1</v>
      </c>
      <c r="AQ205" s="90">
        <v>356</v>
      </c>
      <c r="AR205" s="90" t="s">
        <v>380</v>
      </c>
      <c r="AS205" s="90" t="s">
        <v>246</v>
      </c>
      <c r="AT205" s="90" t="s">
        <v>244</v>
      </c>
      <c r="AU205" s="90">
        <v>175.87190000000001</v>
      </c>
      <c r="AV205" s="90">
        <v>142.97544367492401</v>
      </c>
      <c r="AW205" s="90">
        <v>1079.3638672254001</v>
      </c>
      <c r="AX205" s="90">
        <v>0.82029068370000002</v>
      </c>
    </row>
    <row r="206" spans="1:50" x14ac:dyDescent="0.25">
      <c r="A206" s="102">
        <v>830000</v>
      </c>
      <c r="B206" s="102">
        <v>2400000</v>
      </c>
      <c r="C206" s="102">
        <v>2400000</v>
      </c>
      <c r="D206" s="90" t="s">
        <v>374</v>
      </c>
      <c r="E206" s="90" t="s">
        <v>68</v>
      </c>
      <c r="F206" s="90" t="s">
        <v>375</v>
      </c>
      <c r="G206" s="90" t="s">
        <v>376</v>
      </c>
      <c r="H206" s="90">
        <v>0.59</v>
      </c>
      <c r="I206" s="90">
        <v>0.64</v>
      </c>
      <c r="J206" s="90" t="s">
        <v>244</v>
      </c>
      <c r="K206" s="90">
        <v>0.16942814333577999</v>
      </c>
      <c r="L206" s="90">
        <v>3792.1086898615899</v>
      </c>
      <c r="M206" s="90">
        <v>9.3288510273703693</v>
      </c>
      <c r="N206" s="90">
        <v>1.4025818563479899</v>
      </c>
      <c r="O206" s="90">
        <v>1.58056990902345</v>
      </c>
      <c r="P206" s="90">
        <v>0.23763683979749001</v>
      </c>
      <c r="Q206" s="90">
        <v>642.48993465072999</v>
      </c>
      <c r="R206" s="90">
        <v>1450</v>
      </c>
      <c r="S206" s="90" t="s">
        <v>391</v>
      </c>
      <c r="T206" s="90">
        <v>1450</v>
      </c>
      <c r="U206" s="90" t="s">
        <v>378</v>
      </c>
      <c r="V206" s="90" t="s">
        <v>244</v>
      </c>
      <c r="Z206" s="90">
        <v>0</v>
      </c>
      <c r="AA206" s="90">
        <v>1</v>
      </c>
      <c r="AB206" s="90">
        <v>1.58056990902345</v>
      </c>
      <c r="AC206" s="90">
        <v>0.23763683979749001</v>
      </c>
      <c r="AD206" s="90">
        <v>642.48993465072999</v>
      </c>
      <c r="AF206" s="90">
        <v>-1</v>
      </c>
      <c r="AG206" s="90">
        <v>-1</v>
      </c>
      <c r="AH206" s="90">
        <v>-1</v>
      </c>
      <c r="AI206" s="90">
        <v>-1</v>
      </c>
      <c r="AJ206" s="90">
        <v>0</v>
      </c>
      <c r="AM206" s="90" t="s">
        <v>379</v>
      </c>
      <c r="AN206" s="90">
        <v>-1</v>
      </c>
      <c r="AQ206" s="90">
        <v>356</v>
      </c>
      <c r="AR206" s="90" t="s">
        <v>380</v>
      </c>
      <c r="AS206" s="90" t="s">
        <v>246</v>
      </c>
      <c r="AT206" s="90" t="s">
        <v>244</v>
      </c>
      <c r="AU206" s="90">
        <v>175.87190000000001</v>
      </c>
      <c r="AV206" s="90">
        <v>127.44755926686599</v>
      </c>
      <c r="AW206" s="90">
        <v>685.65136999371202</v>
      </c>
      <c r="AX206" s="90">
        <v>0.52107861690000001</v>
      </c>
    </row>
    <row r="207" spans="1:50" x14ac:dyDescent="0.25">
      <c r="A207" s="102">
        <v>830000</v>
      </c>
      <c r="B207" s="102">
        <v>2400000</v>
      </c>
      <c r="C207" s="102">
        <v>2400000</v>
      </c>
      <c r="D207" s="90" t="s">
        <v>374</v>
      </c>
      <c r="E207" s="90" t="s">
        <v>68</v>
      </c>
      <c r="F207" s="90" t="s">
        <v>375</v>
      </c>
      <c r="G207" s="90" t="s">
        <v>376</v>
      </c>
      <c r="H207" s="90">
        <v>0.59</v>
      </c>
      <c r="I207" s="90">
        <v>0.64</v>
      </c>
      <c r="J207" s="90" t="s">
        <v>381</v>
      </c>
      <c r="K207" s="90">
        <v>2.1740129045400001E-3</v>
      </c>
      <c r="L207" s="90">
        <v>3792.1086898615899</v>
      </c>
      <c r="M207" s="90">
        <v>9.3288510273703693</v>
      </c>
      <c r="N207" s="90">
        <v>1.4025818563479899</v>
      </c>
      <c r="O207" s="90">
        <v>2.0281042518080002E-2</v>
      </c>
      <c r="P207" s="90">
        <v>3.04923105538E-3</v>
      </c>
      <c r="Q207" s="90">
        <v>8.2440932271963305</v>
      </c>
      <c r="R207" s="90">
        <v>1450</v>
      </c>
      <c r="S207" s="90" t="s">
        <v>391</v>
      </c>
      <c r="T207" s="90">
        <v>1450</v>
      </c>
      <c r="U207" s="90" t="s">
        <v>382</v>
      </c>
      <c r="V207" s="90" t="s">
        <v>381</v>
      </c>
      <c r="Z207" s="90">
        <v>0</v>
      </c>
      <c r="AA207" s="90">
        <v>1</v>
      </c>
      <c r="AB207" s="90">
        <v>2.0281042518080002E-2</v>
      </c>
      <c r="AC207" s="90">
        <v>3.04923105538E-3</v>
      </c>
      <c r="AD207" s="90">
        <v>8.2440932271968208</v>
      </c>
      <c r="AF207" s="90">
        <v>-1</v>
      </c>
      <c r="AG207" s="90">
        <v>-1</v>
      </c>
      <c r="AH207" s="90">
        <v>-1</v>
      </c>
      <c r="AI207" s="90">
        <v>-1</v>
      </c>
      <c r="AJ207" s="90">
        <v>0</v>
      </c>
      <c r="AM207" s="90" t="s">
        <v>379</v>
      </c>
      <c r="AN207" s="90">
        <v>-1</v>
      </c>
      <c r="AQ207" s="90">
        <v>356</v>
      </c>
      <c r="AR207" s="90" t="s">
        <v>380</v>
      </c>
      <c r="AS207" s="90" t="s">
        <v>246</v>
      </c>
      <c r="AT207" s="90" t="s">
        <v>244</v>
      </c>
      <c r="AU207" s="90">
        <v>175.87190000000001</v>
      </c>
      <c r="AV207" s="90">
        <v>100.394924831607</v>
      </c>
      <c r="AW207" s="90">
        <v>8.7979180851389494</v>
      </c>
      <c r="AX207" s="90">
        <v>6.6862069999999996E-3</v>
      </c>
    </row>
    <row r="208" spans="1:50" x14ac:dyDescent="0.25">
      <c r="A208" s="102">
        <v>830000</v>
      </c>
      <c r="B208" s="102">
        <v>2400000</v>
      </c>
      <c r="C208" s="102">
        <v>2400000</v>
      </c>
      <c r="D208" s="90" t="s">
        <v>374</v>
      </c>
      <c r="E208" s="90" t="s">
        <v>68</v>
      </c>
      <c r="F208" s="90" t="s">
        <v>375</v>
      </c>
      <c r="G208" s="90" t="s">
        <v>376</v>
      </c>
      <c r="H208" s="90">
        <v>0.59</v>
      </c>
      <c r="I208" s="90">
        <v>0.64</v>
      </c>
      <c r="J208" s="90" t="s">
        <v>244</v>
      </c>
      <c r="K208" s="90">
        <v>6.8160691320309996E-2</v>
      </c>
      <c r="L208" s="90">
        <v>3792.1086898615899</v>
      </c>
      <c r="M208" s="90">
        <v>9.3288510273703693</v>
      </c>
      <c r="N208" s="90">
        <v>1.4025818563479899</v>
      </c>
      <c r="O208" s="90">
        <v>0.63586093524977005</v>
      </c>
      <c r="P208" s="90">
        <v>9.5600948961999999E-2</v>
      </c>
      <c r="Q208" s="90">
        <v>258.47274986273197</v>
      </c>
      <c r="R208" s="90">
        <v>1300</v>
      </c>
      <c r="S208" s="90" t="s">
        <v>387</v>
      </c>
      <c r="T208" s="90">
        <v>1300</v>
      </c>
      <c r="U208" s="90" t="s">
        <v>378</v>
      </c>
      <c r="V208" s="90" t="s">
        <v>244</v>
      </c>
      <c r="Z208" s="90">
        <v>0</v>
      </c>
      <c r="AA208" s="90">
        <v>1</v>
      </c>
      <c r="AB208" s="90">
        <v>0.63586093524977005</v>
      </c>
      <c r="AC208" s="90">
        <v>9.5600948961999999E-2</v>
      </c>
      <c r="AD208" s="90">
        <v>258.47274986273197</v>
      </c>
      <c r="AF208" s="90">
        <v>-1</v>
      </c>
      <c r="AG208" s="90">
        <v>-1</v>
      </c>
      <c r="AH208" s="90">
        <v>-1</v>
      </c>
      <c r="AI208" s="90">
        <v>-1</v>
      </c>
      <c r="AJ208" s="90">
        <v>0</v>
      </c>
      <c r="AM208" s="90" t="s">
        <v>379</v>
      </c>
      <c r="AN208" s="90">
        <v>-1</v>
      </c>
      <c r="AQ208" s="90">
        <v>356</v>
      </c>
      <c r="AR208" s="90" t="s">
        <v>380</v>
      </c>
      <c r="AS208" s="90" t="s">
        <v>246</v>
      </c>
      <c r="AT208" s="90" t="s">
        <v>244</v>
      </c>
      <c r="AU208" s="90">
        <v>175.87190000000001</v>
      </c>
      <c r="AV208" s="90">
        <v>111.052204592235</v>
      </c>
      <c r="AW208" s="90">
        <v>275.836531424832</v>
      </c>
      <c r="AX208" s="90">
        <v>0.20962915639999999</v>
      </c>
    </row>
    <row r="209" spans="1:50" x14ac:dyDescent="0.25">
      <c r="A209" s="102">
        <v>830000</v>
      </c>
      <c r="B209" s="102">
        <v>2400000</v>
      </c>
      <c r="C209" s="102">
        <v>2400000</v>
      </c>
      <c r="D209" s="90" t="s">
        <v>374</v>
      </c>
      <c r="E209" s="90" t="s">
        <v>68</v>
      </c>
      <c r="F209" s="90" t="s">
        <v>375</v>
      </c>
      <c r="G209" s="90" t="s">
        <v>376</v>
      </c>
      <c r="H209" s="90">
        <v>0.59</v>
      </c>
      <c r="I209" s="90">
        <v>0.64</v>
      </c>
      <c r="J209" s="90" t="s">
        <v>381</v>
      </c>
      <c r="K209" s="90">
        <v>4.7208639504200001E-3</v>
      </c>
      <c r="L209" s="90">
        <v>3770.9210889115402</v>
      </c>
      <c r="M209" s="90">
        <v>10.300598610886601</v>
      </c>
      <c r="N209" s="90">
        <v>1.4317422418236401</v>
      </c>
      <c r="O209" s="90">
        <v>4.8627724649899999E-2</v>
      </c>
      <c r="P209" s="90">
        <v>6.7590603357200003E-3</v>
      </c>
      <c r="Q209" s="90">
        <v>17.802005428528499</v>
      </c>
      <c r="R209" s="90">
        <v>1300</v>
      </c>
      <c r="S209" s="90" t="s">
        <v>387</v>
      </c>
      <c r="T209" s="90">
        <v>1300</v>
      </c>
      <c r="U209" s="90" t="s">
        <v>382</v>
      </c>
      <c r="V209" s="90" t="s">
        <v>381</v>
      </c>
      <c r="Z209" s="90">
        <v>0</v>
      </c>
      <c r="AA209" s="90">
        <v>1</v>
      </c>
      <c r="AB209" s="90">
        <v>4.8627724649899999E-2</v>
      </c>
      <c r="AC209" s="90">
        <v>6.7590603357200003E-3</v>
      </c>
      <c r="AD209" s="90">
        <v>217.374389329428</v>
      </c>
      <c r="AF209" s="90">
        <v>-1</v>
      </c>
      <c r="AG209" s="90">
        <v>-1</v>
      </c>
      <c r="AH209" s="90">
        <v>-1</v>
      </c>
      <c r="AI209" s="90">
        <v>-1</v>
      </c>
      <c r="AJ209" s="90">
        <v>0</v>
      </c>
      <c r="AM209" s="90" t="s">
        <v>379</v>
      </c>
      <c r="AN209" s="90">
        <v>-1</v>
      </c>
      <c r="AQ209" s="90">
        <v>356</v>
      </c>
      <c r="AR209" s="90" t="s">
        <v>380</v>
      </c>
      <c r="AS209" s="90" t="s">
        <v>246</v>
      </c>
      <c r="AT209" s="90" t="s">
        <v>244</v>
      </c>
      <c r="AU209" s="90">
        <v>175.87190000000001</v>
      </c>
      <c r="AV209" s="90">
        <v>17.505821526672399</v>
      </c>
      <c r="AW209" s="90">
        <v>19.104658597043699</v>
      </c>
      <c r="AX209" s="90">
        <v>0.17629715269999999</v>
      </c>
    </row>
    <row r="210" spans="1:50" x14ac:dyDescent="0.25">
      <c r="A210" s="102">
        <v>830000</v>
      </c>
      <c r="B210" s="102">
        <v>2400000</v>
      </c>
      <c r="C210" s="102">
        <v>2400000</v>
      </c>
      <c r="D210" s="90" t="s">
        <v>374</v>
      </c>
      <c r="E210" s="90" t="s">
        <v>68</v>
      </c>
      <c r="F210" s="90" t="s">
        <v>375</v>
      </c>
      <c r="G210" s="90" t="s">
        <v>376</v>
      </c>
      <c r="H210" s="90">
        <v>0.59</v>
      </c>
      <c r="I210" s="90">
        <v>0.64</v>
      </c>
      <c r="J210" s="90" t="s">
        <v>244</v>
      </c>
      <c r="K210" s="90">
        <v>1.3868701327E-4</v>
      </c>
      <c r="L210" s="90">
        <v>3770.9210889115402</v>
      </c>
      <c r="M210" s="90">
        <v>10.300598610886601</v>
      </c>
      <c r="N210" s="90">
        <v>1.4317422418236401</v>
      </c>
      <c r="O210" s="90">
        <v>1.42855925624E-3</v>
      </c>
      <c r="P210" s="90">
        <v>1.9856405528999999E-4</v>
      </c>
      <c r="Q210" s="90">
        <v>0.52297778310176002</v>
      </c>
      <c r="R210" s="90">
        <v>1400</v>
      </c>
      <c r="S210" s="90" t="s">
        <v>324</v>
      </c>
      <c r="T210" s="90">
        <v>1400</v>
      </c>
      <c r="U210" s="90" t="s">
        <v>378</v>
      </c>
      <c r="V210" s="90" t="s">
        <v>244</v>
      </c>
      <c r="Z210" s="90">
        <v>0</v>
      </c>
      <c r="AA210" s="90">
        <v>1</v>
      </c>
      <c r="AB210" s="90">
        <v>1.42855925624E-3</v>
      </c>
      <c r="AC210" s="90">
        <v>1.9856405528999999E-4</v>
      </c>
      <c r="AD210" s="90">
        <v>8.1624543739044899</v>
      </c>
      <c r="AF210" s="90">
        <v>-1</v>
      </c>
      <c r="AG210" s="90">
        <v>-1</v>
      </c>
      <c r="AH210" s="90">
        <v>-1</v>
      </c>
      <c r="AI210" s="90">
        <v>-1</v>
      </c>
      <c r="AJ210" s="90">
        <v>0</v>
      </c>
      <c r="AM210" s="90" t="s">
        <v>379</v>
      </c>
      <c r="AN210" s="90">
        <v>-1</v>
      </c>
      <c r="AQ210" s="90">
        <v>356</v>
      </c>
      <c r="AR210" s="90" t="s">
        <v>380</v>
      </c>
      <c r="AS210" s="90" t="s">
        <v>246</v>
      </c>
      <c r="AT210" s="90" t="s">
        <v>244</v>
      </c>
      <c r="AU210" s="90">
        <v>175.87190000000001</v>
      </c>
      <c r="AV210" s="90">
        <v>6.78034726740706</v>
      </c>
      <c r="AW210" s="90">
        <v>0.56124643036073996</v>
      </c>
      <c r="AX210" s="90">
        <v>6.6199954000000002E-3</v>
      </c>
    </row>
    <row r="211" spans="1:50" x14ac:dyDescent="0.25">
      <c r="A211" s="102">
        <v>830000</v>
      </c>
      <c r="B211" s="102">
        <v>2400000</v>
      </c>
      <c r="C211" s="102">
        <v>2400000</v>
      </c>
      <c r="D211" s="90" t="s">
        <v>374</v>
      </c>
      <c r="E211" s="90" t="s">
        <v>68</v>
      </c>
      <c r="F211" s="90" t="s">
        <v>375</v>
      </c>
      <c r="G211" s="90" t="s">
        <v>376</v>
      </c>
      <c r="H211" s="90">
        <v>0.59</v>
      </c>
      <c r="I211" s="90">
        <v>0.64</v>
      </c>
      <c r="J211" s="90" t="s">
        <v>381</v>
      </c>
      <c r="K211" s="90">
        <v>4.2555823536800002E-3</v>
      </c>
      <c r="L211" s="90">
        <v>3770.9210889115402</v>
      </c>
      <c r="M211" s="90">
        <v>10.300598610886601</v>
      </c>
      <c r="N211" s="90">
        <v>1.4317422418236401</v>
      </c>
      <c r="O211" s="90">
        <v>4.3835045680849997E-2</v>
      </c>
      <c r="P211" s="90">
        <v>6.0928970193200004E-3</v>
      </c>
      <c r="Q211" s="90">
        <v>16.0474652430992</v>
      </c>
      <c r="R211" s="90">
        <v>1400</v>
      </c>
      <c r="S211" s="90" t="s">
        <v>324</v>
      </c>
      <c r="T211" s="90">
        <v>1400</v>
      </c>
      <c r="U211" s="90" t="s">
        <v>382</v>
      </c>
      <c r="V211" s="90" t="s">
        <v>381</v>
      </c>
      <c r="Z211" s="90">
        <v>0</v>
      </c>
      <c r="AA211" s="90">
        <v>1</v>
      </c>
      <c r="AB211" s="90">
        <v>4.3835045680849997E-2</v>
      </c>
      <c r="AC211" s="90">
        <v>6.0928970193200004E-3</v>
      </c>
      <c r="AD211" s="90">
        <v>261.687135337055</v>
      </c>
      <c r="AF211" s="90">
        <v>-1</v>
      </c>
      <c r="AG211" s="90">
        <v>-1</v>
      </c>
      <c r="AH211" s="90">
        <v>-1</v>
      </c>
      <c r="AI211" s="90">
        <v>-1</v>
      </c>
      <c r="AJ211" s="90">
        <v>0</v>
      </c>
      <c r="AM211" s="90" t="s">
        <v>379</v>
      </c>
      <c r="AN211" s="90">
        <v>-1</v>
      </c>
      <c r="AQ211" s="90">
        <v>356</v>
      </c>
      <c r="AR211" s="90" t="s">
        <v>380</v>
      </c>
      <c r="AS211" s="90" t="s">
        <v>246</v>
      </c>
      <c r="AT211" s="90" t="s">
        <v>244</v>
      </c>
      <c r="AU211" s="90">
        <v>175.87190000000001</v>
      </c>
      <c r="AV211" s="90">
        <v>17.0430612845133</v>
      </c>
      <c r="AW211" s="90">
        <v>17.221730779048698</v>
      </c>
      <c r="AX211" s="90">
        <v>0.21223611949999999</v>
      </c>
    </row>
    <row r="212" spans="1:50" x14ac:dyDescent="0.25">
      <c r="A212" s="102">
        <v>830000</v>
      </c>
      <c r="B212" s="102">
        <v>2400000</v>
      </c>
      <c r="C212" s="102">
        <v>2400000</v>
      </c>
      <c r="D212" s="90" t="s">
        <v>374</v>
      </c>
      <c r="E212" s="90" t="s">
        <v>68</v>
      </c>
      <c r="F212" s="90" t="s">
        <v>375</v>
      </c>
      <c r="G212" s="90" t="s">
        <v>376</v>
      </c>
      <c r="H212" s="90">
        <v>0.59</v>
      </c>
      <c r="I212" s="90">
        <v>0.64</v>
      </c>
      <c r="J212" s="90" t="s">
        <v>381</v>
      </c>
      <c r="K212" s="90">
        <v>1.9936778510740001E-2</v>
      </c>
      <c r="L212" s="90">
        <v>3770.9210889115402</v>
      </c>
      <c r="M212" s="90">
        <v>10.300598610886601</v>
      </c>
      <c r="N212" s="90">
        <v>1.4317422418236401</v>
      </c>
      <c r="O212" s="90">
        <v>0.20536075303334</v>
      </c>
      <c r="P212" s="90">
        <v>2.854432795971E-2</v>
      </c>
      <c r="Q212" s="90">
        <v>75.1800185311306</v>
      </c>
      <c r="R212" s="90">
        <v>8140</v>
      </c>
      <c r="S212" s="90" t="s">
        <v>386</v>
      </c>
      <c r="T212" s="90">
        <v>8140</v>
      </c>
      <c r="U212" s="90" t="s">
        <v>382</v>
      </c>
      <c r="V212" s="90" t="s">
        <v>381</v>
      </c>
      <c r="Z212" s="90">
        <v>0</v>
      </c>
      <c r="AA212" s="90">
        <v>1</v>
      </c>
      <c r="AB212" s="90">
        <v>0.20536075303334</v>
      </c>
      <c r="AC212" s="90">
        <v>2.854432795971E-2</v>
      </c>
      <c r="AD212" s="90">
        <v>985.504783809841</v>
      </c>
      <c r="AF212" s="90">
        <v>-1</v>
      </c>
      <c r="AG212" s="90">
        <v>-1</v>
      </c>
      <c r="AH212" s="90">
        <v>-1</v>
      </c>
      <c r="AI212" s="90">
        <v>-1</v>
      </c>
      <c r="AJ212" s="90">
        <v>0</v>
      </c>
      <c r="AM212" s="90" t="s">
        <v>379</v>
      </c>
      <c r="AN212" s="90">
        <v>-1</v>
      </c>
      <c r="AQ212" s="90">
        <v>356</v>
      </c>
      <c r="AR212" s="90" t="s">
        <v>380</v>
      </c>
      <c r="AS212" s="90" t="s">
        <v>246</v>
      </c>
      <c r="AT212" s="90" t="s">
        <v>244</v>
      </c>
      <c r="AU212" s="90">
        <v>175.87190000000001</v>
      </c>
      <c r="AV212" s="90">
        <v>50.457333946604599</v>
      </c>
      <c r="AW212" s="90">
        <v>80.681280158179902</v>
      </c>
      <c r="AX212" s="90">
        <v>0.79927395280000002</v>
      </c>
    </row>
    <row r="213" spans="1:50" x14ac:dyDescent="0.25">
      <c r="A213" s="102">
        <v>830000</v>
      </c>
      <c r="B213" s="102">
        <v>2400000</v>
      </c>
      <c r="C213" s="102">
        <v>2400000</v>
      </c>
      <c r="D213" s="90" t="s">
        <v>374</v>
      </c>
      <c r="E213" s="90" t="s">
        <v>68</v>
      </c>
      <c r="F213" s="90" t="s">
        <v>375</v>
      </c>
      <c r="G213" s="90" t="s">
        <v>376</v>
      </c>
      <c r="H213" s="90">
        <v>0.59</v>
      </c>
      <c r="I213" s="90">
        <v>0.64</v>
      </c>
      <c r="J213" s="90" t="s">
        <v>244</v>
      </c>
      <c r="K213" s="90">
        <v>1.1977272396050001E-2</v>
      </c>
      <c r="L213" s="90">
        <v>3770.9210889115402</v>
      </c>
      <c r="M213" s="90">
        <v>10.300598610886601</v>
      </c>
      <c r="N213" s="90">
        <v>1.4317422418236401</v>
      </c>
      <c r="O213" s="90">
        <v>0.12337307540505001</v>
      </c>
      <c r="P213" s="90">
        <v>1.714836683126E-2</v>
      </c>
      <c r="Q213" s="90">
        <v>45.165349065937001</v>
      </c>
      <c r="R213" s="90">
        <v>1430</v>
      </c>
      <c r="S213" s="90" t="s">
        <v>326</v>
      </c>
      <c r="T213" s="90">
        <v>1430</v>
      </c>
      <c r="U213" s="90" t="s">
        <v>378</v>
      </c>
      <c r="V213" s="90" t="s">
        <v>244</v>
      </c>
      <c r="Z213" s="90">
        <v>0</v>
      </c>
      <c r="AA213" s="90">
        <v>1</v>
      </c>
      <c r="AB213" s="90">
        <v>0.12337307540505001</v>
      </c>
      <c r="AC213" s="90">
        <v>1.714836683126E-2</v>
      </c>
      <c r="AD213" s="90">
        <v>103.933420715587</v>
      </c>
      <c r="AF213" s="90">
        <v>-1</v>
      </c>
      <c r="AG213" s="90">
        <v>-1</v>
      </c>
      <c r="AH213" s="90">
        <v>-1</v>
      </c>
      <c r="AI213" s="90">
        <v>-1</v>
      </c>
      <c r="AJ213" s="90">
        <v>0</v>
      </c>
      <c r="AM213" s="90" t="s">
        <v>379</v>
      </c>
      <c r="AN213" s="90">
        <v>-1</v>
      </c>
      <c r="AQ213" s="90">
        <v>356</v>
      </c>
      <c r="AR213" s="90" t="s">
        <v>380</v>
      </c>
      <c r="AS213" s="90" t="s">
        <v>246</v>
      </c>
      <c r="AT213" s="90" t="s">
        <v>244</v>
      </c>
      <c r="AU213" s="90">
        <v>175.87190000000001</v>
      </c>
      <c r="AV213" s="90">
        <v>38.978033565515901</v>
      </c>
      <c r="AW213" s="90">
        <v>48.470301718824302</v>
      </c>
      <c r="AX213" s="90">
        <v>8.4293122999999998E-2</v>
      </c>
    </row>
    <row r="214" spans="1:50" x14ac:dyDescent="0.25">
      <c r="A214" s="102">
        <v>830000</v>
      </c>
      <c r="B214" s="102">
        <v>2400000</v>
      </c>
      <c r="C214" s="102">
        <v>2400000</v>
      </c>
      <c r="D214" s="90" t="s">
        <v>374</v>
      </c>
      <c r="E214" s="90" t="s">
        <v>68</v>
      </c>
      <c r="F214" s="90" t="s">
        <v>375</v>
      </c>
      <c r="G214" s="90" t="s">
        <v>376</v>
      </c>
      <c r="H214" s="90">
        <v>0.59</v>
      </c>
      <c r="I214" s="90">
        <v>0.64</v>
      </c>
      <c r="J214" s="90" t="s">
        <v>244</v>
      </c>
      <c r="K214" s="90">
        <v>2.0015616896599999E-3</v>
      </c>
      <c r="L214" s="90">
        <v>3770.9210889115402</v>
      </c>
      <c r="M214" s="90">
        <v>10.300598610886601</v>
      </c>
      <c r="N214" s="90">
        <v>1.4317422418236401</v>
      </c>
      <c r="O214" s="90">
        <v>2.0617283560130002E-2</v>
      </c>
      <c r="P214" s="90">
        <v>2.8657204207E-3</v>
      </c>
      <c r="Q214" s="90">
        <v>7.5477311863038601</v>
      </c>
      <c r="R214" s="90">
        <v>1300</v>
      </c>
      <c r="S214" s="90" t="s">
        <v>387</v>
      </c>
      <c r="T214" s="90">
        <v>1300</v>
      </c>
      <c r="U214" s="90" t="s">
        <v>378</v>
      </c>
      <c r="V214" s="90" t="s">
        <v>244</v>
      </c>
      <c r="Z214" s="90">
        <v>0</v>
      </c>
      <c r="AA214" s="90">
        <v>1</v>
      </c>
      <c r="AB214" s="90">
        <v>2.0617283560130002E-2</v>
      </c>
      <c r="AC214" s="90">
        <v>2.8657204207E-3</v>
      </c>
      <c r="AD214" s="90">
        <v>48.164092666317103</v>
      </c>
      <c r="AF214" s="90">
        <v>-1</v>
      </c>
      <c r="AG214" s="90">
        <v>-1</v>
      </c>
      <c r="AH214" s="90">
        <v>-1</v>
      </c>
      <c r="AI214" s="90">
        <v>-1</v>
      </c>
      <c r="AJ214" s="90">
        <v>0</v>
      </c>
      <c r="AM214" s="90" t="s">
        <v>379</v>
      </c>
      <c r="AN214" s="90">
        <v>-1</v>
      </c>
      <c r="AQ214" s="90">
        <v>356</v>
      </c>
      <c r="AR214" s="90" t="s">
        <v>380</v>
      </c>
      <c r="AS214" s="90" t="s">
        <v>246</v>
      </c>
      <c r="AT214" s="90" t="s">
        <v>244</v>
      </c>
      <c r="AU214" s="90">
        <v>175.87190000000001</v>
      </c>
      <c r="AV214" s="90">
        <v>12.3951379281381</v>
      </c>
      <c r="AW214" s="90">
        <v>8.1000327786373099</v>
      </c>
      <c r="AX214" s="90">
        <v>3.9062524500000001E-2</v>
      </c>
    </row>
    <row r="215" spans="1:50" x14ac:dyDescent="0.25">
      <c r="A215" s="102">
        <v>830000</v>
      </c>
      <c r="B215" s="102">
        <v>2400000</v>
      </c>
      <c r="C215" s="102">
        <v>2400000</v>
      </c>
      <c r="D215" s="90" t="s">
        <v>374</v>
      </c>
      <c r="E215" s="90" t="s">
        <v>68</v>
      </c>
      <c r="F215" s="90" t="s">
        <v>375</v>
      </c>
      <c r="G215" s="90" t="s">
        <v>376</v>
      </c>
      <c r="H215" s="90">
        <v>0.59</v>
      </c>
      <c r="I215" s="90">
        <v>0.64</v>
      </c>
      <c r="J215" s="90" t="s">
        <v>381</v>
      </c>
      <c r="K215" s="90">
        <v>1.8911479280000001E-4</v>
      </c>
      <c r="L215" s="90">
        <v>3770.9210889115402</v>
      </c>
      <c r="M215" s="90">
        <v>10.300598610886601</v>
      </c>
      <c r="N215" s="90">
        <v>1.4317422418236401</v>
      </c>
      <c r="O215" s="90">
        <v>1.9479955720499999E-3</v>
      </c>
      <c r="P215" s="90">
        <v>2.7076363740999998E-4</v>
      </c>
      <c r="Q215" s="90">
        <v>0.71313696040973995</v>
      </c>
      <c r="R215" s="90">
        <v>1300</v>
      </c>
      <c r="S215" s="90" t="s">
        <v>387</v>
      </c>
      <c r="T215" s="90">
        <v>1300</v>
      </c>
      <c r="U215" s="90" t="s">
        <v>382</v>
      </c>
      <c r="V215" s="90" t="s">
        <v>381</v>
      </c>
      <c r="Z215" s="90">
        <v>0</v>
      </c>
      <c r="AA215" s="90">
        <v>1</v>
      </c>
      <c r="AB215" s="90">
        <v>1.9479955720499999E-3</v>
      </c>
      <c r="AC215" s="90">
        <v>2.7076363740999998E-4</v>
      </c>
      <c r="AD215" s="90">
        <v>8.31760405947308</v>
      </c>
      <c r="AF215" s="90">
        <v>-1</v>
      </c>
      <c r="AG215" s="90">
        <v>-1</v>
      </c>
      <c r="AH215" s="90">
        <v>-1</v>
      </c>
      <c r="AI215" s="90">
        <v>-1</v>
      </c>
      <c r="AJ215" s="90">
        <v>0</v>
      </c>
      <c r="AM215" s="90" t="s">
        <v>379</v>
      </c>
      <c r="AN215" s="90">
        <v>-1</v>
      </c>
      <c r="AQ215" s="90">
        <v>356</v>
      </c>
      <c r="AR215" s="90" t="s">
        <v>380</v>
      </c>
      <c r="AS215" s="90" t="s">
        <v>246</v>
      </c>
      <c r="AT215" s="90" t="s">
        <v>244</v>
      </c>
      <c r="AU215" s="90">
        <v>175.87190000000001</v>
      </c>
      <c r="AV215" s="90">
        <v>8.9359590551012396</v>
      </c>
      <c r="AW215" s="90">
        <v>0.76532041383039995</v>
      </c>
      <c r="AX215" s="90">
        <v>6.7458264999999996E-3</v>
      </c>
    </row>
    <row r="216" spans="1:50" x14ac:dyDescent="0.25">
      <c r="A216" s="102">
        <v>830000</v>
      </c>
      <c r="B216" s="102">
        <v>2400000</v>
      </c>
      <c r="C216" s="102">
        <v>2400000</v>
      </c>
      <c r="D216" s="90" t="s">
        <v>374</v>
      </c>
      <c r="E216" s="90" t="s">
        <v>68</v>
      </c>
      <c r="F216" s="90" t="s">
        <v>375</v>
      </c>
      <c r="G216" s="90" t="s">
        <v>376</v>
      </c>
      <c r="H216" s="90">
        <v>0.59</v>
      </c>
      <c r="I216" s="90">
        <v>0.64</v>
      </c>
      <c r="J216" s="90" t="s">
        <v>244</v>
      </c>
      <c r="K216" s="90">
        <v>2.1667214024E-3</v>
      </c>
      <c r="L216" s="90">
        <v>3782.1009874333799</v>
      </c>
      <c r="M216" s="90">
        <v>9.38148415768757</v>
      </c>
      <c r="N216" s="90">
        <v>1.43444339027359</v>
      </c>
      <c r="O216" s="90">
        <v>2.0327062510809998E-2</v>
      </c>
      <c r="P216" s="90">
        <v>3.1080391942399999E-3</v>
      </c>
      <c r="Q216" s="90">
        <v>8.1947591555403392</v>
      </c>
      <c r="R216" s="90">
        <v>1300</v>
      </c>
      <c r="S216" s="90" t="s">
        <v>387</v>
      </c>
      <c r="T216" s="90">
        <v>1300</v>
      </c>
      <c r="U216" s="90" t="s">
        <v>378</v>
      </c>
      <c r="V216" s="90" t="s">
        <v>244</v>
      </c>
      <c r="Z216" s="90">
        <v>0</v>
      </c>
      <c r="AA216" s="90">
        <v>1</v>
      </c>
      <c r="AB216" s="90">
        <v>2.0327062510809998E-2</v>
      </c>
      <c r="AC216" s="90">
        <v>3.1080391942399999E-3</v>
      </c>
      <c r="AD216" s="90">
        <v>8.1947591555417407</v>
      </c>
      <c r="AF216" s="90">
        <v>-1</v>
      </c>
      <c r="AG216" s="90">
        <v>-1</v>
      </c>
      <c r="AH216" s="90">
        <v>-1</v>
      </c>
      <c r="AI216" s="90">
        <v>-1</v>
      </c>
      <c r="AJ216" s="90">
        <v>0</v>
      </c>
      <c r="AM216" s="90" t="s">
        <v>379</v>
      </c>
      <c r="AN216" s="90">
        <v>-1</v>
      </c>
      <c r="AQ216" s="90">
        <v>356</v>
      </c>
      <c r="AR216" s="90" t="s">
        <v>380</v>
      </c>
      <c r="AS216" s="90" t="s">
        <v>246</v>
      </c>
      <c r="AT216" s="90" t="s">
        <v>244</v>
      </c>
      <c r="AU216" s="90">
        <v>175.87190000000001</v>
      </c>
      <c r="AV216" s="90">
        <v>100.38822311219501</v>
      </c>
      <c r="AW216" s="90">
        <v>8.7684104228878503</v>
      </c>
      <c r="AX216" s="90">
        <v>6.6461955999999999E-3</v>
      </c>
    </row>
    <row r="217" spans="1:50" x14ac:dyDescent="0.25">
      <c r="A217" s="102">
        <v>830000</v>
      </c>
      <c r="B217" s="102">
        <v>2400000</v>
      </c>
      <c r="C217" s="102">
        <v>2400000</v>
      </c>
      <c r="D217" s="90" t="s">
        <v>374</v>
      </c>
      <c r="E217" s="90" t="s">
        <v>68</v>
      </c>
      <c r="F217" s="90" t="s">
        <v>375</v>
      </c>
      <c r="G217" s="90" t="s">
        <v>376</v>
      </c>
      <c r="H217" s="90">
        <v>0.59</v>
      </c>
      <c r="I217" s="90">
        <v>0.64</v>
      </c>
      <c r="J217" s="90" t="s">
        <v>381</v>
      </c>
      <c r="K217" s="90">
        <v>7.7629403090630003E-2</v>
      </c>
      <c r="L217" s="90">
        <v>3782.1009874333799</v>
      </c>
      <c r="M217" s="90">
        <v>9.38148415768757</v>
      </c>
      <c r="N217" s="90">
        <v>1.43444339027359</v>
      </c>
      <c r="O217" s="90">
        <v>0.72827901526554994</v>
      </c>
      <c r="P217" s="90">
        <v>0.11135498415424</v>
      </c>
      <c r="Q217" s="90">
        <v>293.60224208296199</v>
      </c>
      <c r="R217" s="90">
        <v>1300</v>
      </c>
      <c r="S217" s="90" t="s">
        <v>387</v>
      </c>
      <c r="T217" s="90">
        <v>1300</v>
      </c>
      <c r="U217" s="90" t="s">
        <v>382</v>
      </c>
      <c r="V217" s="90" t="s">
        <v>381</v>
      </c>
      <c r="Z217" s="90">
        <v>0</v>
      </c>
      <c r="AA217" s="90">
        <v>1</v>
      </c>
      <c r="AB217" s="90">
        <v>0.72827901526554994</v>
      </c>
      <c r="AC217" s="90">
        <v>0.11135498415424</v>
      </c>
      <c r="AD217" s="90">
        <v>293.60224208296199</v>
      </c>
      <c r="AF217" s="90">
        <v>-1</v>
      </c>
      <c r="AG217" s="90">
        <v>-1</v>
      </c>
      <c r="AH217" s="90">
        <v>-1</v>
      </c>
      <c r="AI217" s="90">
        <v>-1</v>
      </c>
      <c r="AJ217" s="90">
        <v>0</v>
      </c>
      <c r="AM217" s="90" t="s">
        <v>379</v>
      </c>
      <c r="AN217" s="90">
        <v>-1</v>
      </c>
      <c r="AQ217" s="90">
        <v>356</v>
      </c>
      <c r="AR217" s="90" t="s">
        <v>380</v>
      </c>
      <c r="AS217" s="90" t="s">
        <v>246</v>
      </c>
      <c r="AT217" s="90" t="s">
        <v>244</v>
      </c>
      <c r="AU217" s="90">
        <v>175.87190000000001</v>
      </c>
      <c r="AV217" s="90">
        <v>112.691903189968</v>
      </c>
      <c r="AW217" s="90">
        <v>314.15504846442201</v>
      </c>
      <c r="AX217" s="90">
        <v>0.2381202288</v>
      </c>
    </row>
    <row r="218" spans="1:50" x14ac:dyDescent="0.25">
      <c r="A218" s="102">
        <v>830000</v>
      </c>
      <c r="B218" s="102">
        <v>2400000</v>
      </c>
      <c r="C218" s="102">
        <v>2400000</v>
      </c>
      <c r="D218" s="90" t="s">
        <v>374</v>
      </c>
      <c r="E218" s="90" t="s">
        <v>68</v>
      </c>
      <c r="F218" s="90" t="s">
        <v>375</v>
      </c>
      <c r="G218" s="90" t="s">
        <v>376</v>
      </c>
      <c r="H218" s="90">
        <v>0.59</v>
      </c>
      <c r="I218" s="90">
        <v>0.64</v>
      </c>
      <c r="J218" s="90" t="s">
        <v>381</v>
      </c>
      <c r="K218" s="90">
        <v>6.6460258796900004E-3</v>
      </c>
      <c r="L218" s="90">
        <v>3782.1009874333799</v>
      </c>
      <c r="M218" s="90">
        <v>9.38148415768757</v>
      </c>
      <c r="N218" s="90">
        <v>1.43444339027359</v>
      </c>
      <c r="O218" s="90">
        <v>6.2349586501930003E-2</v>
      </c>
      <c r="P218" s="90">
        <v>9.5333478947099998E-3</v>
      </c>
      <c r="Q218" s="90">
        <v>25.135941042098501</v>
      </c>
      <c r="R218" s="90">
        <v>1300</v>
      </c>
      <c r="S218" s="90" t="s">
        <v>387</v>
      </c>
      <c r="T218" s="90">
        <v>1300</v>
      </c>
      <c r="U218" s="90" t="s">
        <v>382</v>
      </c>
      <c r="V218" s="90" t="s">
        <v>381</v>
      </c>
      <c r="Z218" s="90">
        <v>0</v>
      </c>
      <c r="AA218" s="90">
        <v>1</v>
      </c>
      <c r="AB218" s="90">
        <v>6.2349586501930003E-2</v>
      </c>
      <c r="AC218" s="90">
        <v>9.5333478947099998E-3</v>
      </c>
      <c r="AD218" s="90">
        <v>25.135941042098398</v>
      </c>
      <c r="AF218" s="90">
        <v>-1</v>
      </c>
      <c r="AG218" s="90">
        <v>-1</v>
      </c>
      <c r="AH218" s="90">
        <v>-1</v>
      </c>
      <c r="AI218" s="90">
        <v>-1</v>
      </c>
      <c r="AJ218" s="90">
        <v>0</v>
      </c>
      <c r="AM218" s="90" t="s">
        <v>379</v>
      </c>
      <c r="AN218" s="90">
        <v>-1</v>
      </c>
      <c r="AQ218" s="90">
        <v>356</v>
      </c>
      <c r="AR218" s="90" t="s">
        <v>380</v>
      </c>
      <c r="AS218" s="90" t="s">
        <v>246</v>
      </c>
      <c r="AT218" s="90" t="s">
        <v>244</v>
      </c>
      <c r="AU218" s="90">
        <v>175.87190000000001</v>
      </c>
      <c r="AV218" s="90">
        <v>24.263760101324699</v>
      </c>
      <c r="AW218" s="90">
        <v>26.895512514676199</v>
      </c>
      <c r="AX218" s="90">
        <v>2.03860025E-2</v>
      </c>
    </row>
    <row r="219" spans="1:50" x14ac:dyDescent="0.25">
      <c r="A219" s="102">
        <v>830000</v>
      </c>
      <c r="B219" s="102">
        <v>2400000</v>
      </c>
      <c r="C219" s="102">
        <v>2400000</v>
      </c>
      <c r="D219" s="90" t="s">
        <v>374</v>
      </c>
      <c r="E219" s="90" t="s">
        <v>68</v>
      </c>
      <c r="F219" s="90" t="s">
        <v>375</v>
      </c>
      <c r="G219" s="90" t="s">
        <v>376</v>
      </c>
      <c r="H219" s="90">
        <v>0.59</v>
      </c>
      <c r="I219" s="90">
        <v>0.64</v>
      </c>
      <c r="J219" s="90" t="s">
        <v>381</v>
      </c>
      <c r="K219" s="90">
        <v>2.8044828503899999E-2</v>
      </c>
      <c r="L219" s="90">
        <v>3782.1009874333799</v>
      </c>
      <c r="M219" s="90">
        <v>9.38148415768757</v>
      </c>
      <c r="N219" s="90">
        <v>1.43444339027359</v>
      </c>
      <c r="O219" s="90">
        <v>0.26310211431446001</v>
      </c>
      <c r="P219" s="90">
        <v>4.0228718878779997E-2</v>
      </c>
      <c r="Q219" s="90">
        <v>106.06837357702599</v>
      </c>
      <c r="R219" s="90">
        <v>1400</v>
      </c>
      <c r="S219" s="90" t="s">
        <v>324</v>
      </c>
      <c r="T219" s="90">
        <v>1400</v>
      </c>
      <c r="U219" s="90" t="s">
        <v>382</v>
      </c>
      <c r="V219" s="90" t="s">
        <v>381</v>
      </c>
      <c r="Z219" s="90">
        <v>0</v>
      </c>
      <c r="AA219" s="90">
        <v>1</v>
      </c>
      <c r="AB219" s="90">
        <v>0.26310211431446001</v>
      </c>
      <c r="AC219" s="90">
        <v>4.0228718878779997E-2</v>
      </c>
      <c r="AD219" s="90">
        <v>106.068373577028</v>
      </c>
      <c r="AF219" s="90">
        <v>-1</v>
      </c>
      <c r="AG219" s="90">
        <v>-1</v>
      </c>
      <c r="AH219" s="90">
        <v>-1</v>
      </c>
      <c r="AI219" s="90">
        <v>-1</v>
      </c>
      <c r="AJ219" s="90">
        <v>0</v>
      </c>
      <c r="AM219" s="90" t="s">
        <v>379</v>
      </c>
      <c r="AN219" s="90">
        <v>-1</v>
      </c>
      <c r="AQ219" s="90">
        <v>356</v>
      </c>
      <c r="AR219" s="90" t="s">
        <v>380</v>
      </c>
      <c r="AS219" s="90" t="s">
        <v>246</v>
      </c>
      <c r="AT219" s="90" t="s">
        <v>244</v>
      </c>
      <c r="AU219" s="90">
        <v>175.87190000000001</v>
      </c>
      <c r="AV219" s="90">
        <v>86.892818270563694</v>
      </c>
      <c r="AW219" s="90">
        <v>113.493394346144</v>
      </c>
      <c r="AX219" s="90">
        <v>8.6024633899999994E-2</v>
      </c>
    </row>
    <row r="220" spans="1:50" x14ac:dyDescent="0.25">
      <c r="A220" s="102">
        <v>830000</v>
      </c>
      <c r="B220" s="102">
        <v>2400000</v>
      </c>
      <c r="C220" s="102">
        <v>2400000</v>
      </c>
      <c r="D220" s="90" t="s">
        <v>374</v>
      </c>
      <c r="E220" s="90" t="s">
        <v>68</v>
      </c>
      <c r="F220" s="90" t="s">
        <v>375</v>
      </c>
      <c r="G220" s="90" t="s">
        <v>376</v>
      </c>
      <c r="H220" s="90">
        <v>0.59</v>
      </c>
      <c r="I220" s="90">
        <v>0.64</v>
      </c>
      <c r="J220" s="90" t="s">
        <v>381</v>
      </c>
      <c r="K220" s="90">
        <v>0.26479156416513999</v>
      </c>
      <c r="L220" s="90">
        <v>3782.1009874333799</v>
      </c>
      <c r="M220" s="90">
        <v>9.38148415768757</v>
      </c>
      <c r="N220" s="90">
        <v>1.43444339027359</v>
      </c>
      <c r="O220" s="90">
        <v>2.4841378643046101</v>
      </c>
      <c r="P220" s="90">
        <v>0.37982850901689003</v>
      </c>
      <c r="Q220" s="90">
        <v>1001.46843629302</v>
      </c>
      <c r="R220" s="90">
        <v>8140</v>
      </c>
      <c r="S220" s="90" t="s">
        <v>386</v>
      </c>
      <c r="T220" s="90">
        <v>8140</v>
      </c>
      <c r="U220" s="90" t="s">
        <v>382</v>
      </c>
      <c r="V220" s="90" t="s">
        <v>381</v>
      </c>
      <c r="Z220" s="90">
        <v>0</v>
      </c>
      <c r="AA220" s="90">
        <v>1</v>
      </c>
      <c r="AB220" s="90">
        <v>2.4841378643046101</v>
      </c>
      <c r="AC220" s="90">
        <v>0.37982850901689003</v>
      </c>
      <c r="AD220" s="90">
        <v>1001.46843629302</v>
      </c>
      <c r="AF220" s="90">
        <v>-1</v>
      </c>
      <c r="AG220" s="90">
        <v>-1</v>
      </c>
      <c r="AH220" s="90">
        <v>-1</v>
      </c>
      <c r="AI220" s="90">
        <v>-1</v>
      </c>
      <c r="AJ220" s="90">
        <v>0</v>
      </c>
      <c r="AM220" s="90" t="s">
        <v>379</v>
      </c>
      <c r="AN220" s="90">
        <v>-1</v>
      </c>
      <c r="AQ220" s="90">
        <v>356</v>
      </c>
      <c r="AR220" s="90" t="s">
        <v>380</v>
      </c>
      <c r="AS220" s="90" t="s">
        <v>246</v>
      </c>
      <c r="AT220" s="90" t="s">
        <v>244</v>
      </c>
      <c r="AU220" s="90">
        <v>175.87190000000001</v>
      </c>
      <c r="AV220" s="90">
        <v>143.18663346279999</v>
      </c>
      <c r="AW220" s="90">
        <v>1071.57344203905</v>
      </c>
      <c r="AX220" s="90">
        <v>0.81222095400000005</v>
      </c>
    </row>
    <row r="221" spans="1:50" x14ac:dyDescent="0.25">
      <c r="A221" s="102">
        <v>830000</v>
      </c>
      <c r="B221" s="102">
        <v>2400000</v>
      </c>
      <c r="C221" s="102">
        <v>2400000</v>
      </c>
      <c r="D221" s="90" t="s">
        <v>374</v>
      </c>
      <c r="E221" s="90" t="s">
        <v>68</v>
      </c>
      <c r="F221" s="90" t="s">
        <v>375</v>
      </c>
      <c r="G221" s="90" t="s">
        <v>376</v>
      </c>
      <c r="H221" s="90">
        <v>0.59</v>
      </c>
      <c r="I221" s="90">
        <v>0.64</v>
      </c>
      <c r="J221" s="90" t="s">
        <v>244</v>
      </c>
      <c r="K221" s="90">
        <v>0.10899919590394</v>
      </c>
      <c r="L221" s="90">
        <v>3782.1009874333799</v>
      </c>
      <c r="M221" s="90">
        <v>9.38148415768757</v>
      </c>
      <c r="N221" s="90">
        <v>1.43444339027359</v>
      </c>
      <c r="O221" s="90">
        <v>1.02257422957355</v>
      </c>
      <c r="P221" s="90">
        <v>0.15635317610954999</v>
      </c>
      <c r="Q221" s="90">
        <v>412.24596645775898</v>
      </c>
      <c r="R221" s="90">
        <v>1450</v>
      </c>
      <c r="S221" s="90" t="s">
        <v>391</v>
      </c>
      <c r="T221" s="90">
        <v>1450</v>
      </c>
      <c r="U221" s="90" t="s">
        <v>378</v>
      </c>
      <c r="V221" s="90" t="s">
        <v>244</v>
      </c>
      <c r="Z221" s="90">
        <v>0</v>
      </c>
      <c r="AA221" s="90">
        <v>1</v>
      </c>
      <c r="AB221" s="90">
        <v>1.02257422957355</v>
      </c>
      <c r="AC221" s="90">
        <v>0.15635317610954999</v>
      </c>
      <c r="AD221" s="90">
        <v>412.24596645775898</v>
      </c>
      <c r="AF221" s="90">
        <v>-1</v>
      </c>
      <c r="AG221" s="90">
        <v>-1</v>
      </c>
      <c r="AH221" s="90">
        <v>-1</v>
      </c>
      <c r="AI221" s="90">
        <v>-1</v>
      </c>
      <c r="AJ221" s="90">
        <v>0</v>
      </c>
      <c r="AM221" s="90" t="s">
        <v>379</v>
      </c>
      <c r="AN221" s="90">
        <v>-1</v>
      </c>
      <c r="AQ221" s="90">
        <v>356</v>
      </c>
      <c r="AR221" s="90" t="s">
        <v>380</v>
      </c>
      <c r="AS221" s="90" t="s">
        <v>246</v>
      </c>
      <c r="AT221" s="90" t="s">
        <v>244</v>
      </c>
      <c r="AU221" s="90">
        <v>175.87190000000001</v>
      </c>
      <c r="AV221" s="90">
        <v>95.745127765922106</v>
      </c>
      <c r="AW221" s="90">
        <v>441.10409598031902</v>
      </c>
      <c r="AX221" s="90">
        <v>0.33434384950000001</v>
      </c>
    </row>
    <row r="222" spans="1:50" x14ac:dyDescent="0.25">
      <c r="A222" s="102">
        <v>830000</v>
      </c>
      <c r="B222" s="102">
        <v>2400000</v>
      </c>
      <c r="C222" s="102">
        <v>2400000</v>
      </c>
      <c r="D222" s="90" t="s">
        <v>374</v>
      </c>
      <c r="E222" s="90" t="s">
        <v>68</v>
      </c>
      <c r="F222" s="90" t="s">
        <v>375</v>
      </c>
      <c r="G222" s="90" t="s">
        <v>376</v>
      </c>
      <c r="H222" s="90">
        <v>0.59</v>
      </c>
      <c r="I222" s="90">
        <v>0.64</v>
      </c>
      <c r="J222" s="90" t="s">
        <v>381</v>
      </c>
      <c r="K222" s="90">
        <v>1.5320820843199999E-3</v>
      </c>
      <c r="L222" s="90">
        <v>3782.1009874333799</v>
      </c>
      <c r="M222" s="90">
        <v>9.38148415768757</v>
      </c>
      <c r="N222" s="90">
        <v>1.43444339027359</v>
      </c>
      <c r="O222" s="90">
        <v>1.437320380238E-2</v>
      </c>
      <c r="P222" s="90">
        <v>2.1976850192099999E-3</v>
      </c>
      <c r="Q222" s="90">
        <v>5.7944891639583602</v>
      </c>
      <c r="R222" s="90">
        <v>1450</v>
      </c>
      <c r="S222" s="90" t="s">
        <v>391</v>
      </c>
      <c r="T222" s="90">
        <v>1450</v>
      </c>
      <c r="U222" s="90" t="s">
        <v>382</v>
      </c>
      <c r="V222" s="90" t="s">
        <v>381</v>
      </c>
      <c r="Z222" s="90">
        <v>0</v>
      </c>
      <c r="AA222" s="90">
        <v>1</v>
      </c>
      <c r="AB222" s="90">
        <v>1.437320380238E-2</v>
      </c>
      <c r="AC222" s="90">
        <v>2.1976850192099999E-3</v>
      </c>
      <c r="AD222" s="90">
        <v>5.7944891639583203</v>
      </c>
      <c r="AF222" s="90">
        <v>-1</v>
      </c>
      <c r="AG222" s="90">
        <v>-1</v>
      </c>
      <c r="AH222" s="90">
        <v>-1</v>
      </c>
      <c r="AI222" s="90">
        <v>-1</v>
      </c>
      <c r="AJ222" s="90">
        <v>0</v>
      </c>
      <c r="AM222" s="90" t="s">
        <v>379</v>
      </c>
      <c r="AN222" s="90">
        <v>-1</v>
      </c>
      <c r="AQ222" s="90">
        <v>356</v>
      </c>
      <c r="AR222" s="90" t="s">
        <v>380</v>
      </c>
      <c r="AS222" s="90" t="s">
        <v>246</v>
      </c>
      <c r="AT222" s="90" t="s">
        <v>244</v>
      </c>
      <c r="AU222" s="90">
        <v>175.87190000000001</v>
      </c>
      <c r="AV222" s="90">
        <v>70.841544440193502</v>
      </c>
      <c r="AW222" s="90">
        <v>6.2001162225986004</v>
      </c>
      <c r="AX222" s="90">
        <v>4.6995046000000004E-3</v>
      </c>
    </row>
    <row r="223" spans="1:50" x14ac:dyDescent="0.25">
      <c r="A223" s="102">
        <v>830000</v>
      </c>
      <c r="B223" s="102">
        <v>2400000</v>
      </c>
      <c r="C223" s="102">
        <v>2400000</v>
      </c>
      <c r="D223" s="90" t="s">
        <v>374</v>
      </c>
      <c r="E223" s="90" t="s">
        <v>68</v>
      </c>
      <c r="F223" s="90" t="s">
        <v>375</v>
      </c>
      <c r="G223" s="90" t="s">
        <v>376</v>
      </c>
      <c r="H223" s="90">
        <v>0.59</v>
      </c>
      <c r="I223" s="90">
        <v>0.64</v>
      </c>
      <c r="J223" s="90" t="s">
        <v>244</v>
      </c>
      <c r="K223" s="90">
        <v>8.5077421390660005E-2</v>
      </c>
      <c r="L223" s="90">
        <v>3782.1009874333799</v>
      </c>
      <c r="M223" s="90">
        <v>9.38148415768757</v>
      </c>
      <c r="N223" s="90">
        <v>1.43444339027359</v>
      </c>
      <c r="O223" s="90">
        <v>0.79815248095343005</v>
      </c>
      <c r="P223" s="90">
        <v>0.12203874477536</v>
      </c>
      <c r="Q223" s="90">
        <v>321.77139944992001</v>
      </c>
      <c r="R223" s="90">
        <v>1300</v>
      </c>
      <c r="S223" s="90" t="s">
        <v>387</v>
      </c>
      <c r="T223" s="90">
        <v>1300</v>
      </c>
      <c r="U223" s="90" t="s">
        <v>378</v>
      </c>
      <c r="V223" s="90" t="s">
        <v>244</v>
      </c>
      <c r="Z223" s="90">
        <v>0</v>
      </c>
      <c r="AA223" s="90">
        <v>1</v>
      </c>
      <c r="AB223" s="90">
        <v>0.79815248095343005</v>
      </c>
      <c r="AC223" s="90">
        <v>0.12203874477536</v>
      </c>
      <c r="AD223" s="90">
        <v>321.77139944992098</v>
      </c>
      <c r="AF223" s="90">
        <v>-1</v>
      </c>
      <c r="AG223" s="90">
        <v>-1</v>
      </c>
      <c r="AH223" s="90">
        <v>-1</v>
      </c>
      <c r="AI223" s="90">
        <v>-1</v>
      </c>
      <c r="AJ223" s="90">
        <v>0</v>
      </c>
      <c r="AM223" s="90" t="s">
        <v>379</v>
      </c>
      <c r="AN223" s="90">
        <v>-1</v>
      </c>
      <c r="AQ223" s="90">
        <v>356</v>
      </c>
      <c r="AR223" s="90" t="s">
        <v>380</v>
      </c>
      <c r="AS223" s="90" t="s">
        <v>246</v>
      </c>
      <c r="AT223" s="90" t="s">
        <v>244</v>
      </c>
      <c r="AU223" s="90">
        <v>175.87190000000001</v>
      </c>
      <c r="AV223" s="90">
        <v>113.79058771795</v>
      </c>
      <c r="AW223" s="90">
        <v>344.29610915604502</v>
      </c>
      <c r="AX223" s="90">
        <v>0.26096626070000001</v>
      </c>
    </row>
    <row r="224" spans="1:50" x14ac:dyDescent="0.25">
      <c r="A224" s="102">
        <v>830000</v>
      </c>
      <c r="B224" s="102">
        <v>2400000</v>
      </c>
      <c r="C224" s="102">
        <v>2400000</v>
      </c>
      <c r="D224" s="90" t="s">
        <v>374</v>
      </c>
      <c r="E224" s="90" t="s">
        <v>68</v>
      </c>
      <c r="F224" s="90" t="s">
        <v>375</v>
      </c>
      <c r="G224" s="90" t="s">
        <v>376</v>
      </c>
      <c r="H224" s="90">
        <v>0.59</v>
      </c>
      <c r="I224" s="90">
        <v>0.64</v>
      </c>
      <c r="J224" s="90" t="s">
        <v>244</v>
      </c>
      <c r="K224" s="90">
        <v>4.2230512859120002E-2</v>
      </c>
      <c r="L224" s="90">
        <v>3782.1009874333799</v>
      </c>
      <c r="M224" s="90">
        <v>9.38148415768757</v>
      </c>
      <c r="N224" s="90">
        <v>1.43444339027359</v>
      </c>
      <c r="O224" s="90">
        <v>0.39618488735886997</v>
      </c>
      <c r="P224" s="90">
        <v>6.0577280038629999E-2</v>
      </c>
      <c r="Q224" s="90">
        <v>159.72006438430299</v>
      </c>
      <c r="R224" s="90">
        <v>1300</v>
      </c>
      <c r="S224" s="90" t="s">
        <v>387</v>
      </c>
      <c r="T224" s="90">
        <v>1300</v>
      </c>
      <c r="U224" s="90" t="s">
        <v>378</v>
      </c>
      <c r="V224" s="90" t="s">
        <v>244</v>
      </c>
      <c r="Z224" s="90">
        <v>0</v>
      </c>
      <c r="AA224" s="90">
        <v>1</v>
      </c>
      <c r="AB224" s="90">
        <v>0.39618488735886997</v>
      </c>
      <c r="AC224" s="90">
        <v>6.0577280038629999E-2</v>
      </c>
      <c r="AD224" s="90">
        <v>159.72006438430299</v>
      </c>
      <c r="AF224" s="90">
        <v>-1</v>
      </c>
      <c r="AG224" s="90">
        <v>-1</v>
      </c>
      <c r="AH224" s="90">
        <v>-1</v>
      </c>
      <c r="AI224" s="90">
        <v>-1</v>
      </c>
      <c r="AJ224" s="90">
        <v>0</v>
      </c>
      <c r="AM224" s="90" t="s">
        <v>379</v>
      </c>
      <c r="AN224" s="90">
        <v>-1</v>
      </c>
      <c r="AQ224" s="90">
        <v>356</v>
      </c>
      <c r="AR224" s="90" t="s">
        <v>380</v>
      </c>
      <c r="AS224" s="90" t="s">
        <v>246</v>
      </c>
      <c r="AT224" s="90" t="s">
        <v>244</v>
      </c>
      <c r="AU224" s="90">
        <v>175.87190000000001</v>
      </c>
      <c r="AV224" s="90">
        <v>52.628892870388597</v>
      </c>
      <c r="AW224" s="90">
        <v>170.90082218518299</v>
      </c>
      <c r="AX224" s="90">
        <v>0.12953776510000001</v>
      </c>
    </row>
    <row r="225" spans="1:50" x14ac:dyDescent="0.25">
      <c r="A225" s="102">
        <v>830000</v>
      </c>
      <c r="B225" s="102">
        <v>2400000</v>
      </c>
      <c r="C225" s="102">
        <v>2400000</v>
      </c>
      <c r="D225" s="90" t="s">
        <v>374</v>
      </c>
      <c r="E225" s="90" t="s">
        <v>68</v>
      </c>
      <c r="F225" s="90" t="s">
        <v>375</v>
      </c>
      <c r="G225" s="90" t="s">
        <v>376</v>
      </c>
      <c r="H225" s="90">
        <v>0.59</v>
      </c>
      <c r="I225" s="90">
        <v>0.64</v>
      </c>
      <c r="J225" s="90" t="s">
        <v>381</v>
      </c>
      <c r="K225" s="90">
        <v>6.4569845709999999E-4</v>
      </c>
      <c r="L225" s="90">
        <v>3782.1009874333799</v>
      </c>
      <c r="M225" s="90">
        <v>9.38148415768757</v>
      </c>
      <c r="N225" s="90">
        <v>1.43444339027359</v>
      </c>
      <c r="O225" s="90">
        <v>6.0576098459500004E-3</v>
      </c>
      <c r="P225" s="90">
        <v>9.2621788389999997E-4</v>
      </c>
      <c r="Q225" s="90">
        <v>2.4420967721934601</v>
      </c>
      <c r="R225" s="90">
        <v>1300</v>
      </c>
      <c r="S225" s="90" t="s">
        <v>387</v>
      </c>
      <c r="T225" s="90">
        <v>1300</v>
      </c>
      <c r="U225" s="90" t="s">
        <v>382</v>
      </c>
      <c r="V225" s="90" t="s">
        <v>381</v>
      </c>
      <c r="Z225" s="90">
        <v>0</v>
      </c>
      <c r="AA225" s="90">
        <v>1</v>
      </c>
      <c r="AB225" s="90">
        <v>6.0576098459500004E-3</v>
      </c>
      <c r="AC225" s="90">
        <v>9.2621788389999997E-4</v>
      </c>
      <c r="AD225" s="90">
        <v>2.4420967721937599</v>
      </c>
      <c r="AF225" s="90">
        <v>-1</v>
      </c>
      <c r="AG225" s="90">
        <v>-1</v>
      </c>
      <c r="AH225" s="90">
        <v>-1</v>
      </c>
      <c r="AI225" s="90">
        <v>-1</v>
      </c>
      <c r="AJ225" s="90">
        <v>0</v>
      </c>
      <c r="AM225" s="90" t="s">
        <v>379</v>
      </c>
      <c r="AN225" s="90">
        <v>-1</v>
      </c>
      <c r="AQ225" s="90">
        <v>356</v>
      </c>
      <c r="AR225" s="90" t="s">
        <v>380</v>
      </c>
      <c r="AS225" s="90" t="s">
        <v>246</v>
      </c>
      <c r="AT225" s="90" t="s">
        <v>244</v>
      </c>
      <c r="AU225" s="90">
        <v>175.87190000000001</v>
      </c>
      <c r="AV225" s="90">
        <v>29.911171181428699</v>
      </c>
      <c r="AW225" s="90">
        <v>2.6130489480613601</v>
      </c>
      <c r="AX225" s="90">
        <v>1.9806137999999998E-3</v>
      </c>
    </row>
    <row r="226" spans="1:50" x14ac:dyDescent="0.25">
      <c r="A226" s="102">
        <v>830000</v>
      </c>
      <c r="B226" s="102">
        <v>2400000</v>
      </c>
      <c r="C226" s="102">
        <v>2400000</v>
      </c>
      <c r="D226" s="90" t="s">
        <v>374</v>
      </c>
      <c r="E226" s="90" t="s">
        <v>68</v>
      </c>
      <c r="F226" s="90" t="s">
        <v>375</v>
      </c>
      <c r="G226" s="90" t="s">
        <v>376</v>
      </c>
      <c r="H226" s="90">
        <v>0.59</v>
      </c>
      <c r="I226" s="90">
        <v>0.64</v>
      </c>
      <c r="J226" s="90" t="s">
        <v>244</v>
      </c>
      <c r="K226" s="90">
        <v>0.10642350525188</v>
      </c>
      <c r="L226" s="90">
        <v>3752.2321463424501</v>
      </c>
      <c r="M226" s="90">
        <v>10.794972646430899</v>
      </c>
      <c r="N226" s="90">
        <v>2.0799086134073899</v>
      </c>
      <c r="O226" s="90">
        <v>1.14883882813135</v>
      </c>
      <c r="P226" s="90">
        <v>0.22135116524239001</v>
      </c>
      <c r="Q226" s="90">
        <v>399.32569753255302</v>
      </c>
      <c r="R226" s="90">
        <v>1300</v>
      </c>
      <c r="S226" s="90" t="s">
        <v>387</v>
      </c>
      <c r="T226" s="90">
        <v>1300</v>
      </c>
      <c r="U226" s="90" t="s">
        <v>378</v>
      </c>
      <c r="V226" s="90" t="s">
        <v>244</v>
      </c>
      <c r="Z226" s="90">
        <v>0</v>
      </c>
      <c r="AA226" s="90">
        <v>1</v>
      </c>
      <c r="AB226" s="90">
        <v>1.14883882813135</v>
      </c>
      <c r="AC226" s="90">
        <v>0.22135116524239001</v>
      </c>
      <c r="AD226" s="90">
        <v>2317.99188994733</v>
      </c>
      <c r="AF226" s="90">
        <v>-1</v>
      </c>
      <c r="AG226" s="90">
        <v>-1</v>
      </c>
      <c r="AH226" s="90">
        <v>-1</v>
      </c>
      <c r="AI226" s="90">
        <v>-1</v>
      </c>
      <c r="AJ226" s="90">
        <v>0</v>
      </c>
      <c r="AM226" s="90" t="s">
        <v>379</v>
      </c>
      <c r="AN226" s="90">
        <v>-1</v>
      </c>
      <c r="AQ226" s="90">
        <v>356</v>
      </c>
      <c r="AR226" s="90" t="s">
        <v>380</v>
      </c>
      <c r="AS226" s="90" t="s">
        <v>246</v>
      </c>
      <c r="AT226" s="90" t="s">
        <v>244</v>
      </c>
      <c r="AU226" s="90">
        <v>175.87190000000001</v>
      </c>
      <c r="AV226" s="90">
        <v>117.256293557541</v>
      </c>
      <c r="AW226" s="90">
        <v>430.68064572289501</v>
      </c>
      <c r="AX226" s="90">
        <v>1.8799609813</v>
      </c>
    </row>
    <row r="227" spans="1:50" x14ac:dyDescent="0.25">
      <c r="A227" s="102">
        <v>830000</v>
      </c>
      <c r="B227" s="102">
        <v>2400000</v>
      </c>
      <c r="C227" s="102">
        <v>2400000</v>
      </c>
      <c r="D227" s="90" t="s">
        <v>374</v>
      </c>
      <c r="E227" s="90" t="s">
        <v>68</v>
      </c>
      <c r="F227" s="90" t="s">
        <v>375</v>
      </c>
      <c r="G227" s="90" t="s">
        <v>376</v>
      </c>
      <c r="H227" s="90">
        <v>0.59</v>
      </c>
      <c r="I227" s="90">
        <v>0.64</v>
      </c>
      <c r="J227" s="90" t="s">
        <v>244</v>
      </c>
      <c r="K227" s="90">
        <v>0.30729919654741</v>
      </c>
      <c r="L227" s="90">
        <v>3747.72409373661</v>
      </c>
      <c r="M227" s="90">
        <v>10.782682664841699</v>
      </c>
      <c r="N227" s="90">
        <v>2.0776196912191902</v>
      </c>
      <c r="O227" s="90">
        <v>3.3135097195316399</v>
      </c>
      <c r="P227" s="90">
        <v>0.63845086184275002</v>
      </c>
      <c r="Q227" s="90">
        <v>1151.6726028866599</v>
      </c>
      <c r="R227" s="90">
        <v>1300</v>
      </c>
      <c r="S227" s="90" t="s">
        <v>387</v>
      </c>
      <c r="T227" s="90">
        <v>1300</v>
      </c>
      <c r="U227" s="90" t="s">
        <v>378</v>
      </c>
      <c r="V227" s="90" t="s">
        <v>244</v>
      </c>
      <c r="Z227" s="90">
        <v>0</v>
      </c>
      <c r="AA227" s="90">
        <v>1</v>
      </c>
      <c r="AB227" s="90">
        <v>3.3135097195316399</v>
      </c>
      <c r="AC227" s="90">
        <v>0.63845086184275002</v>
      </c>
      <c r="AD227" s="90">
        <v>1151.6726028866599</v>
      </c>
      <c r="AF227" s="90">
        <v>-1</v>
      </c>
      <c r="AG227" s="90">
        <v>-1</v>
      </c>
      <c r="AH227" s="90">
        <v>-1</v>
      </c>
      <c r="AI227" s="90">
        <v>-1</v>
      </c>
      <c r="AJ227" s="90">
        <v>0</v>
      </c>
      <c r="AM227" s="90" t="s">
        <v>379</v>
      </c>
      <c r="AN227" s="90">
        <v>-1</v>
      </c>
      <c r="AQ227" s="90">
        <v>356</v>
      </c>
      <c r="AR227" s="90" t="s">
        <v>380</v>
      </c>
      <c r="AS227" s="90" t="s">
        <v>246</v>
      </c>
      <c r="AT227" s="90" t="s">
        <v>244</v>
      </c>
      <c r="AU227" s="90">
        <v>175.87190000000001</v>
      </c>
      <c r="AV227" s="90">
        <v>150.95426207256901</v>
      </c>
      <c r="AW227" s="90">
        <v>1243.5957271462801</v>
      </c>
      <c r="AX227" s="90">
        <v>0.93404104050000003</v>
      </c>
    </row>
    <row r="228" spans="1:50" x14ac:dyDescent="0.25">
      <c r="A228" s="102">
        <v>830000</v>
      </c>
      <c r="B228" s="102">
        <v>2400000</v>
      </c>
      <c r="C228" s="102">
        <v>2400000</v>
      </c>
      <c r="D228" s="90" t="s">
        <v>374</v>
      </c>
      <c r="E228" s="90" t="s">
        <v>68</v>
      </c>
      <c r="F228" s="90" t="s">
        <v>375</v>
      </c>
      <c r="G228" s="90" t="s">
        <v>376</v>
      </c>
      <c r="H228" s="90">
        <v>0.59</v>
      </c>
      <c r="I228" s="90">
        <v>0.64</v>
      </c>
      <c r="J228" s="90" t="s">
        <v>244</v>
      </c>
      <c r="K228" s="90">
        <v>0.21516129451728</v>
      </c>
      <c r="L228" s="90">
        <v>3702.2594921384198</v>
      </c>
      <c r="M228" s="90">
        <v>9.2285786783813197</v>
      </c>
      <c r="N228" s="90">
        <v>1.3572742640630799</v>
      </c>
      <c r="O228" s="90">
        <v>1.9856329349951101</v>
      </c>
      <c r="P228" s="90">
        <v>0.29203288767079999</v>
      </c>
      <c r="Q228" s="90">
        <v>796.58294496739904</v>
      </c>
      <c r="R228" s="90">
        <v>1200</v>
      </c>
      <c r="S228" s="90" t="s">
        <v>384</v>
      </c>
      <c r="T228" s="90">
        <v>1200</v>
      </c>
      <c r="U228" s="90" t="s">
        <v>378</v>
      </c>
      <c r="V228" s="90" t="s">
        <v>244</v>
      </c>
      <c r="Z228" s="90">
        <v>0</v>
      </c>
      <c r="AA228" s="90">
        <v>1</v>
      </c>
      <c r="AB228" s="90">
        <v>1.9856329349951101</v>
      </c>
      <c r="AC228" s="90">
        <v>0.29203288767079999</v>
      </c>
      <c r="AD228" s="90">
        <v>796.58294496739904</v>
      </c>
      <c r="AF228" s="90">
        <v>-1</v>
      </c>
      <c r="AG228" s="90">
        <v>-1</v>
      </c>
      <c r="AH228" s="90">
        <v>-1</v>
      </c>
      <c r="AI228" s="90">
        <v>-1</v>
      </c>
      <c r="AJ228" s="90">
        <v>0</v>
      </c>
      <c r="AM228" s="90" t="s">
        <v>379</v>
      </c>
      <c r="AN228" s="90">
        <v>-1</v>
      </c>
      <c r="AQ228" s="90">
        <v>356</v>
      </c>
      <c r="AR228" s="90" t="s">
        <v>380</v>
      </c>
      <c r="AS228" s="90" t="s">
        <v>246</v>
      </c>
      <c r="AT228" s="90" t="s">
        <v>244</v>
      </c>
      <c r="AU228" s="90">
        <v>175.87190000000001</v>
      </c>
      <c r="AV228" s="90">
        <v>194.14590779106501</v>
      </c>
      <c r="AW228" s="90">
        <v>870.72686656915903</v>
      </c>
      <c r="AX228" s="90">
        <v>0.64605267229999996</v>
      </c>
    </row>
    <row r="229" spans="1:50" x14ac:dyDescent="0.25">
      <c r="A229" s="102">
        <v>830000</v>
      </c>
      <c r="B229" s="102">
        <v>2400000</v>
      </c>
      <c r="C229" s="102">
        <v>2400000</v>
      </c>
      <c r="D229" s="90" t="s">
        <v>374</v>
      </c>
      <c r="E229" s="90" t="s">
        <v>68</v>
      </c>
      <c r="F229" s="90" t="s">
        <v>375</v>
      </c>
      <c r="G229" s="90" t="s">
        <v>376</v>
      </c>
      <c r="H229" s="90">
        <v>0.59</v>
      </c>
      <c r="I229" s="90">
        <v>0.64</v>
      </c>
      <c r="J229" s="90" t="s">
        <v>244</v>
      </c>
      <c r="K229" s="90">
        <v>0.25414637499276999</v>
      </c>
      <c r="L229" s="90">
        <v>3702.2594921384198</v>
      </c>
      <c r="M229" s="90">
        <v>9.2285786783813197</v>
      </c>
      <c r="N229" s="90">
        <v>1.3572742640630799</v>
      </c>
      <c r="O229" s="90">
        <v>2.3454098174462299</v>
      </c>
      <c r="P229" s="90">
        <v>0.34494633408261999</v>
      </c>
      <c r="Q229" s="90">
        <v>940.91582920957705</v>
      </c>
      <c r="R229" s="90">
        <v>1210</v>
      </c>
      <c r="S229" s="90" t="s">
        <v>385</v>
      </c>
      <c r="T229" s="90">
        <v>1210</v>
      </c>
      <c r="U229" s="90" t="s">
        <v>378</v>
      </c>
      <c r="V229" s="90" t="s">
        <v>244</v>
      </c>
      <c r="Z229" s="90">
        <v>0</v>
      </c>
      <c r="AA229" s="90">
        <v>1</v>
      </c>
      <c r="AB229" s="90">
        <v>2.3454098174462299</v>
      </c>
      <c r="AC229" s="90">
        <v>0.34494633408261999</v>
      </c>
      <c r="AD229" s="90">
        <v>940.91582920957705</v>
      </c>
      <c r="AF229" s="90">
        <v>-1</v>
      </c>
      <c r="AG229" s="90">
        <v>-1</v>
      </c>
      <c r="AH229" s="90">
        <v>-1</v>
      </c>
      <c r="AI229" s="90">
        <v>-1</v>
      </c>
      <c r="AJ229" s="90">
        <v>0</v>
      </c>
      <c r="AM229" s="90" t="s">
        <v>379</v>
      </c>
      <c r="AN229" s="90">
        <v>-1</v>
      </c>
      <c r="AQ229" s="90">
        <v>356</v>
      </c>
      <c r="AR229" s="90" t="s">
        <v>380</v>
      </c>
      <c r="AS229" s="90" t="s">
        <v>246</v>
      </c>
      <c r="AT229" s="90" t="s">
        <v>244</v>
      </c>
      <c r="AU229" s="90">
        <v>175.87190000000001</v>
      </c>
      <c r="AV229" s="90">
        <v>136.52108904781699</v>
      </c>
      <c r="AW229" s="90">
        <v>1028.4938898691901</v>
      </c>
      <c r="AX229" s="90">
        <v>0.76311097260000005</v>
      </c>
    </row>
    <row r="230" spans="1:50" x14ac:dyDescent="0.25">
      <c r="A230" s="102">
        <v>830000</v>
      </c>
      <c r="B230" s="102">
        <v>2400000</v>
      </c>
      <c r="C230" s="102">
        <v>2400000</v>
      </c>
      <c r="D230" s="90" t="s">
        <v>374</v>
      </c>
      <c r="E230" s="90" t="s">
        <v>68</v>
      </c>
      <c r="F230" s="90" t="s">
        <v>375</v>
      </c>
      <c r="G230" s="90" t="s">
        <v>376</v>
      </c>
      <c r="H230" s="90">
        <v>0.59</v>
      </c>
      <c r="I230" s="90">
        <v>0.64</v>
      </c>
      <c r="J230" s="90" t="s">
        <v>244</v>
      </c>
      <c r="K230" s="90">
        <v>0.14845578424990999</v>
      </c>
      <c r="L230" s="90">
        <v>3702.2594921384198</v>
      </c>
      <c r="M230" s="90">
        <v>9.2285786783813197</v>
      </c>
      <c r="N230" s="90">
        <v>1.3572742640630799</v>
      </c>
      <c r="O230" s="90">
        <v>1.3700358852110901</v>
      </c>
      <c r="P230" s="90">
        <v>0.20149521531369999</v>
      </c>
      <c r="Q230" s="90">
        <v>549.62183640208298</v>
      </c>
      <c r="R230" s="90">
        <v>1210</v>
      </c>
      <c r="S230" s="90" t="s">
        <v>385</v>
      </c>
      <c r="T230" s="90">
        <v>1210</v>
      </c>
      <c r="U230" s="90" t="s">
        <v>378</v>
      </c>
      <c r="V230" s="90" t="s">
        <v>244</v>
      </c>
      <c r="Z230" s="90">
        <v>0</v>
      </c>
      <c r="AA230" s="90">
        <v>1</v>
      </c>
      <c r="AB230" s="90">
        <v>1.3700358852110901</v>
      </c>
      <c r="AC230" s="90">
        <v>0.20149521531369999</v>
      </c>
      <c r="AD230" s="90">
        <v>549.62183640208298</v>
      </c>
      <c r="AF230" s="90">
        <v>-1</v>
      </c>
      <c r="AG230" s="90">
        <v>-1</v>
      </c>
      <c r="AH230" s="90">
        <v>-1</v>
      </c>
      <c r="AI230" s="90">
        <v>-1</v>
      </c>
      <c r="AJ230" s="90">
        <v>0</v>
      </c>
      <c r="AM230" s="90" t="s">
        <v>379</v>
      </c>
      <c r="AN230" s="90">
        <v>-1</v>
      </c>
      <c r="AQ230" s="90">
        <v>356</v>
      </c>
      <c r="AR230" s="90" t="s">
        <v>380</v>
      </c>
      <c r="AS230" s="90" t="s">
        <v>246</v>
      </c>
      <c r="AT230" s="90" t="s">
        <v>244</v>
      </c>
      <c r="AU230" s="90">
        <v>175.87190000000001</v>
      </c>
      <c r="AV230" s="90">
        <v>113.241119168138</v>
      </c>
      <c r="AW230" s="90">
        <v>600.77924393417504</v>
      </c>
      <c r="AX230" s="90">
        <v>0.44575980240000002</v>
      </c>
    </row>
    <row r="231" spans="1:50" x14ac:dyDescent="0.25">
      <c r="A231" s="102">
        <v>830000</v>
      </c>
      <c r="B231" s="102">
        <v>2400000</v>
      </c>
      <c r="C231" s="102">
        <v>2400000</v>
      </c>
      <c r="D231" s="90" t="s">
        <v>374</v>
      </c>
      <c r="E231" s="90" t="s">
        <v>68</v>
      </c>
      <c r="F231" s="90" t="s">
        <v>375</v>
      </c>
      <c r="G231" s="90" t="s">
        <v>376</v>
      </c>
      <c r="H231" s="90">
        <v>0.59</v>
      </c>
      <c r="I231" s="90">
        <v>0.64</v>
      </c>
      <c r="J231" s="90" t="s">
        <v>244</v>
      </c>
      <c r="K231" s="90">
        <v>8.4216271518599995E-3</v>
      </c>
      <c r="L231" s="90">
        <v>3649.3014877856299</v>
      </c>
      <c r="M231" s="90">
        <v>7.4108151567419496</v>
      </c>
      <c r="N231" s="90">
        <v>1.0063952351009</v>
      </c>
      <c r="O231" s="90">
        <v>6.2411122141429999E-2</v>
      </c>
      <c r="P231" s="90">
        <v>8.4754854374199991E-3</v>
      </c>
      <c r="Q231" s="90">
        <v>30.733056494858499</v>
      </c>
      <c r="R231" s="90">
        <v>1850</v>
      </c>
      <c r="S231" s="90" t="s">
        <v>388</v>
      </c>
      <c r="T231" s="90">
        <v>1850</v>
      </c>
      <c r="U231" s="90" t="s">
        <v>378</v>
      </c>
      <c r="V231" s="90" t="s">
        <v>244</v>
      </c>
      <c r="Z231" s="90">
        <v>0</v>
      </c>
      <c r="AA231" s="90">
        <v>1</v>
      </c>
      <c r="AB231" s="90">
        <v>6.2411122141429999E-2</v>
      </c>
      <c r="AC231" s="90">
        <v>8.4754854374199991E-3</v>
      </c>
      <c r="AD231" s="90">
        <v>30.733056494859301</v>
      </c>
      <c r="AF231" s="90">
        <v>-1</v>
      </c>
      <c r="AG231" s="90">
        <v>-1</v>
      </c>
      <c r="AH231" s="90">
        <v>-1</v>
      </c>
      <c r="AI231" s="90">
        <v>-1</v>
      </c>
      <c r="AJ231" s="90">
        <v>0</v>
      </c>
      <c r="AM231" s="90" t="s">
        <v>379</v>
      </c>
      <c r="AN231" s="90">
        <v>-1</v>
      </c>
      <c r="AQ231" s="90">
        <v>356</v>
      </c>
      <c r="AR231" s="90" t="s">
        <v>380</v>
      </c>
      <c r="AS231" s="90" t="s">
        <v>246</v>
      </c>
      <c r="AT231" s="90" t="s">
        <v>244</v>
      </c>
      <c r="AU231" s="90">
        <v>175.87190000000001</v>
      </c>
      <c r="AV231" s="90">
        <v>29.015688997533498</v>
      </c>
      <c r="AW231" s="90">
        <v>34.081115926563697</v>
      </c>
      <c r="AX231" s="90">
        <v>2.4925431099999999E-2</v>
      </c>
    </row>
    <row r="232" spans="1:50" x14ac:dyDescent="0.25">
      <c r="A232" s="102">
        <v>830000</v>
      </c>
      <c r="B232" s="102">
        <v>2400000</v>
      </c>
      <c r="C232" s="102">
        <v>2400000</v>
      </c>
      <c r="D232" s="90" t="s">
        <v>374</v>
      </c>
      <c r="E232" s="90" t="s">
        <v>68</v>
      </c>
      <c r="F232" s="90" t="s">
        <v>375</v>
      </c>
      <c r="G232" s="90" t="s">
        <v>376</v>
      </c>
      <c r="H232" s="90">
        <v>0.59</v>
      </c>
      <c r="I232" s="90">
        <v>0.64</v>
      </c>
      <c r="J232" s="90" t="s">
        <v>389</v>
      </c>
      <c r="K232" s="90">
        <v>4.3107736645399998E-3</v>
      </c>
      <c r="L232" s="90">
        <v>3649.3014877856299</v>
      </c>
      <c r="M232" s="90">
        <v>7.4108151567419496</v>
      </c>
      <c r="N232" s="90">
        <v>1.0063952351009</v>
      </c>
      <c r="O232" s="90">
        <v>3.1946346810459998E-2</v>
      </c>
      <c r="P232" s="90">
        <v>4.3383420755899998E-3</v>
      </c>
      <c r="Q232" s="90">
        <v>15.731312747516601</v>
      </c>
      <c r="R232" s="90">
        <v>4200</v>
      </c>
      <c r="S232" s="90" t="s">
        <v>390</v>
      </c>
      <c r="T232" s="90">
        <v>4200</v>
      </c>
      <c r="U232" s="90" t="s">
        <v>378</v>
      </c>
      <c r="V232" s="90" t="s">
        <v>244</v>
      </c>
      <c r="Y232" s="90" t="s">
        <v>389</v>
      </c>
      <c r="Z232" s="90">
        <v>0</v>
      </c>
      <c r="AA232" s="90">
        <v>1</v>
      </c>
      <c r="AB232" s="90">
        <v>3.1946346810459998E-2</v>
      </c>
      <c r="AC232" s="90">
        <v>4.3383420755899998E-3</v>
      </c>
      <c r="AD232" s="90">
        <v>15.731312747516601</v>
      </c>
      <c r="AF232" s="90">
        <v>-1</v>
      </c>
      <c r="AG232" s="90">
        <v>-1</v>
      </c>
      <c r="AH232" s="90">
        <v>-1</v>
      </c>
      <c r="AI232" s="90">
        <v>-1</v>
      </c>
      <c r="AJ232" s="90">
        <v>0</v>
      </c>
      <c r="AM232" s="90" t="s">
        <v>379</v>
      </c>
      <c r="AN232" s="90">
        <v>-1</v>
      </c>
      <c r="AQ232" s="90">
        <v>356</v>
      </c>
      <c r="AR232" s="90" t="s">
        <v>380</v>
      </c>
      <c r="AS232" s="90" t="s">
        <v>246</v>
      </c>
      <c r="AT232" s="90" t="s">
        <v>244</v>
      </c>
      <c r="AU232" s="90">
        <v>175.87190000000001</v>
      </c>
      <c r="AV232" s="90">
        <v>16.7618842398929</v>
      </c>
      <c r="AW232" s="90">
        <v>17.445082089860598</v>
      </c>
      <c r="AX232" s="90">
        <v>1.27585667E-2</v>
      </c>
    </row>
    <row r="233" spans="1:50" x14ac:dyDescent="0.25">
      <c r="A233" s="102">
        <v>830000</v>
      </c>
      <c r="B233" s="102">
        <v>2400000</v>
      </c>
      <c r="C233" s="102">
        <v>2400000</v>
      </c>
      <c r="D233" s="90" t="s">
        <v>374</v>
      </c>
      <c r="E233" s="90" t="s">
        <v>68</v>
      </c>
      <c r="F233" s="90" t="s">
        <v>375</v>
      </c>
      <c r="G233" s="90" t="s">
        <v>376</v>
      </c>
      <c r="H233" s="90">
        <v>0.59</v>
      </c>
      <c r="I233" s="90">
        <v>0.64</v>
      </c>
      <c r="J233" s="90" t="s">
        <v>381</v>
      </c>
      <c r="K233" s="90">
        <v>3.7144918622599998E-3</v>
      </c>
      <c r="L233" s="90">
        <v>3746.39664558406</v>
      </c>
      <c r="M233" s="90">
        <v>10.1188920431567</v>
      </c>
      <c r="N233" s="90">
        <v>1.77640549151062</v>
      </c>
      <c r="O233" s="90">
        <v>3.7586542149409999E-2</v>
      </c>
      <c r="P233" s="90">
        <v>6.5984437422900001E-3</v>
      </c>
      <c r="Q233" s="90">
        <v>13.9159598528276</v>
      </c>
      <c r="R233" s="90">
        <v>1300</v>
      </c>
      <c r="S233" s="90" t="s">
        <v>387</v>
      </c>
      <c r="T233" s="90">
        <v>1300</v>
      </c>
      <c r="U233" s="90" t="s">
        <v>382</v>
      </c>
      <c r="V233" s="90" t="s">
        <v>381</v>
      </c>
      <c r="Z233" s="90">
        <v>0</v>
      </c>
      <c r="AA233" s="90">
        <v>1</v>
      </c>
      <c r="AB233" s="90">
        <v>3.7586542149409999E-2</v>
      </c>
      <c r="AC233" s="90">
        <v>6.5984437422900001E-3</v>
      </c>
      <c r="AD233" s="90">
        <v>13.915959852828101</v>
      </c>
      <c r="AF233" s="90">
        <v>-1</v>
      </c>
      <c r="AG233" s="90">
        <v>-1</v>
      </c>
      <c r="AH233" s="90">
        <v>-1</v>
      </c>
      <c r="AI233" s="90">
        <v>-1</v>
      </c>
      <c r="AJ233" s="90">
        <v>0</v>
      </c>
      <c r="AM233" s="90" t="s">
        <v>379</v>
      </c>
      <c r="AN233" s="90">
        <v>-1</v>
      </c>
      <c r="AQ233" s="90">
        <v>356</v>
      </c>
      <c r="AR233" s="90" t="s">
        <v>380</v>
      </c>
      <c r="AS233" s="90" t="s">
        <v>246</v>
      </c>
      <c r="AT233" s="90" t="s">
        <v>244</v>
      </c>
      <c r="AU233" s="90">
        <v>175.87190000000001</v>
      </c>
      <c r="AV233" s="90">
        <v>54.2665163118577</v>
      </c>
      <c r="AW233" s="90">
        <v>15.032015248747999</v>
      </c>
      <c r="AX233" s="90">
        <v>1.1286261000000001E-2</v>
      </c>
    </row>
    <row r="234" spans="1:50" x14ac:dyDescent="0.25">
      <c r="A234" s="102">
        <v>830000</v>
      </c>
      <c r="B234" s="102">
        <v>2400000</v>
      </c>
      <c r="C234" s="102">
        <v>2400000</v>
      </c>
      <c r="D234" s="90" t="s">
        <v>374</v>
      </c>
      <c r="E234" s="90" t="s">
        <v>68</v>
      </c>
      <c r="F234" s="90" t="s">
        <v>375</v>
      </c>
      <c r="G234" s="90" t="s">
        <v>376</v>
      </c>
      <c r="H234" s="90">
        <v>0.59</v>
      </c>
      <c r="I234" s="90">
        <v>0.64</v>
      </c>
      <c r="J234" s="90" t="s">
        <v>381</v>
      </c>
      <c r="K234" s="90">
        <v>1.7569991090499999E-3</v>
      </c>
      <c r="L234" s="90">
        <v>3746.39664558406</v>
      </c>
      <c r="M234" s="90">
        <v>10.1188920431567</v>
      </c>
      <c r="N234" s="90">
        <v>1.77640549151062</v>
      </c>
      <c r="O234" s="90">
        <v>1.7778884304490001E-2</v>
      </c>
      <c r="P234" s="90">
        <v>3.1211428659099999E-3</v>
      </c>
      <c r="Q234" s="90">
        <v>6.5824155684728201</v>
      </c>
      <c r="R234" s="90">
        <v>1400</v>
      </c>
      <c r="S234" s="90" t="s">
        <v>324</v>
      </c>
      <c r="T234" s="90">
        <v>1400</v>
      </c>
      <c r="U234" s="90" t="s">
        <v>382</v>
      </c>
      <c r="V234" s="90" t="s">
        <v>381</v>
      </c>
      <c r="Z234" s="90">
        <v>0</v>
      </c>
      <c r="AA234" s="90">
        <v>1</v>
      </c>
      <c r="AB234" s="90">
        <v>1.7778884304490001E-2</v>
      </c>
      <c r="AC234" s="90">
        <v>3.1211428659099999E-3</v>
      </c>
      <c r="AD234" s="90">
        <v>6.5824155684730403</v>
      </c>
      <c r="AF234" s="90">
        <v>-1</v>
      </c>
      <c r="AG234" s="90">
        <v>-1</v>
      </c>
      <c r="AH234" s="90">
        <v>-1</v>
      </c>
      <c r="AI234" s="90">
        <v>-1</v>
      </c>
      <c r="AJ234" s="90">
        <v>0</v>
      </c>
      <c r="AM234" s="90" t="s">
        <v>379</v>
      </c>
      <c r="AN234" s="90">
        <v>-1</v>
      </c>
      <c r="AQ234" s="90">
        <v>356</v>
      </c>
      <c r="AR234" s="90" t="s">
        <v>380</v>
      </c>
      <c r="AS234" s="90" t="s">
        <v>246</v>
      </c>
      <c r="AT234" s="90" t="s">
        <v>244</v>
      </c>
      <c r="AU234" s="90">
        <v>175.87190000000001</v>
      </c>
      <c r="AV234" s="90">
        <v>15.340195542646301</v>
      </c>
      <c r="AW234" s="90">
        <v>7.1103231286467503</v>
      </c>
      <c r="AX234" s="90">
        <v>5.3385365999999998E-3</v>
      </c>
    </row>
    <row r="235" spans="1:50" x14ac:dyDescent="0.25">
      <c r="A235" s="102">
        <v>830000</v>
      </c>
      <c r="B235" s="102">
        <v>2400000</v>
      </c>
      <c r="C235" s="102">
        <v>2400000</v>
      </c>
      <c r="D235" s="90" t="s">
        <v>374</v>
      </c>
      <c r="E235" s="90" t="s">
        <v>68</v>
      </c>
      <c r="F235" s="90" t="s">
        <v>375</v>
      </c>
      <c r="G235" s="90" t="s">
        <v>376</v>
      </c>
      <c r="H235" s="90">
        <v>0.59</v>
      </c>
      <c r="I235" s="90">
        <v>0.64</v>
      </c>
      <c r="J235" s="90" t="s">
        <v>381</v>
      </c>
      <c r="K235" s="90">
        <v>0.19611166064294</v>
      </c>
      <c r="L235" s="90">
        <v>3746.39664558406</v>
      </c>
      <c r="M235" s="90">
        <v>10.1188920431567</v>
      </c>
      <c r="N235" s="90">
        <v>1.77640549151062</v>
      </c>
      <c r="O235" s="90">
        <v>1.9844327224501199</v>
      </c>
      <c r="P235" s="90">
        <v>0.34837383091538998</v>
      </c>
      <c r="Q235" s="90">
        <v>734.71206759263703</v>
      </c>
      <c r="R235" s="90">
        <v>8140</v>
      </c>
      <c r="S235" s="90" t="s">
        <v>386</v>
      </c>
      <c r="T235" s="90">
        <v>8140</v>
      </c>
      <c r="U235" s="90" t="s">
        <v>382</v>
      </c>
      <c r="V235" s="90" t="s">
        <v>381</v>
      </c>
      <c r="Z235" s="90">
        <v>0</v>
      </c>
      <c r="AA235" s="90">
        <v>1</v>
      </c>
      <c r="AB235" s="90">
        <v>1.9844327224501199</v>
      </c>
      <c r="AC235" s="90">
        <v>0.34837383091538998</v>
      </c>
      <c r="AD235" s="90">
        <v>734.71206759263703</v>
      </c>
      <c r="AF235" s="90">
        <v>-1</v>
      </c>
      <c r="AG235" s="90">
        <v>-1</v>
      </c>
      <c r="AH235" s="90">
        <v>-1</v>
      </c>
      <c r="AI235" s="90">
        <v>-1</v>
      </c>
      <c r="AJ235" s="90">
        <v>0</v>
      </c>
      <c r="AM235" s="90" t="s">
        <v>379</v>
      </c>
      <c r="AN235" s="90">
        <v>-1</v>
      </c>
      <c r="AQ235" s="90">
        <v>356</v>
      </c>
      <c r="AR235" s="90" t="s">
        <v>380</v>
      </c>
      <c r="AS235" s="90" t="s">
        <v>246</v>
      </c>
      <c r="AT235" s="90" t="s">
        <v>244</v>
      </c>
      <c r="AU235" s="90">
        <v>175.87190000000001</v>
      </c>
      <c r="AV235" s="90">
        <v>132.07946706561401</v>
      </c>
      <c r="AW235" s="90">
        <v>793.63573338041704</v>
      </c>
      <c r="AX235" s="90">
        <v>0.59587353409999999</v>
      </c>
    </row>
    <row r="236" spans="1:50" x14ac:dyDescent="0.25">
      <c r="A236" s="102">
        <v>830000</v>
      </c>
      <c r="B236" s="102">
        <v>2400000</v>
      </c>
      <c r="C236" s="102">
        <v>2400000</v>
      </c>
      <c r="D236" s="90" t="s">
        <v>374</v>
      </c>
      <c r="E236" s="90" t="s">
        <v>68</v>
      </c>
      <c r="F236" s="90" t="s">
        <v>375</v>
      </c>
      <c r="G236" s="90" t="s">
        <v>376</v>
      </c>
      <c r="H236" s="90">
        <v>0.59</v>
      </c>
      <c r="I236" s="90">
        <v>0.64</v>
      </c>
      <c r="J236" s="90" t="s">
        <v>244</v>
      </c>
      <c r="K236" s="90">
        <v>6.6396164630970006E-2</v>
      </c>
      <c r="L236" s="90">
        <v>3746.39664558406</v>
      </c>
      <c r="M236" s="90">
        <v>10.1188920431567</v>
      </c>
      <c r="N236" s="90">
        <v>1.77640549151062</v>
      </c>
      <c r="O236" s="90">
        <v>0.67185562198054005</v>
      </c>
      <c r="P236" s="90">
        <v>0.11794651146571</v>
      </c>
      <c r="Q236" s="90">
        <v>248.746368453146</v>
      </c>
      <c r="R236" s="90">
        <v>1300</v>
      </c>
      <c r="S236" s="90" t="s">
        <v>387</v>
      </c>
      <c r="T236" s="90">
        <v>1300</v>
      </c>
      <c r="U236" s="90" t="s">
        <v>378</v>
      </c>
      <c r="V236" s="90" t="s">
        <v>244</v>
      </c>
      <c r="Z236" s="90">
        <v>0</v>
      </c>
      <c r="AA236" s="90">
        <v>1</v>
      </c>
      <c r="AB236" s="90">
        <v>0.67185562198054005</v>
      </c>
      <c r="AC236" s="90">
        <v>0.11794651146571</v>
      </c>
      <c r="AD236" s="90">
        <v>248.74636845314501</v>
      </c>
      <c r="AF236" s="90">
        <v>-1</v>
      </c>
      <c r="AG236" s="90">
        <v>-1</v>
      </c>
      <c r="AH236" s="90">
        <v>-1</v>
      </c>
      <c r="AI236" s="90">
        <v>-1</v>
      </c>
      <c r="AJ236" s="90">
        <v>0</v>
      </c>
      <c r="AM236" s="90" t="s">
        <v>379</v>
      </c>
      <c r="AN236" s="90">
        <v>-1</v>
      </c>
      <c r="AQ236" s="90">
        <v>356</v>
      </c>
      <c r="AR236" s="90" t="s">
        <v>380</v>
      </c>
      <c r="AS236" s="90" t="s">
        <v>246</v>
      </c>
      <c r="AT236" s="90" t="s">
        <v>244</v>
      </c>
      <c r="AU236" s="90">
        <v>175.87190000000001</v>
      </c>
      <c r="AV236" s="90">
        <v>79.030485730935993</v>
      </c>
      <c r="AW236" s="90">
        <v>268.695745259604</v>
      </c>
      <c r="AX236" s="90">
        <v>0.2017407692</v>
      </c>
    </row>
    <row r="237" spans="1:50" x14ac:dyDescent="0.25">
      <c r="A237" s="102">
        <v>830000</v>
      </c>
      <c r="B237" s="102">
        <v>2400000</v>
      </c>
      <c r="C237" s="102">
        <v>2400000</v>
      </c>
      <c r="D237" s="90" t="s">
        <v>374</v>
      </c>
      <c r="E237" s="90" t="s">
        <v>68</v>
      </c>
      <c r="F237" s="90" t="s">
        <v>375</v>
      </c>
      <c r="G237" s="90" t="s">
        <v>376</v>
      </c>
      <c r="H237" s="90">
        <v>0.59</v>
      </c>
      <c r="I237" s="90">
        <v>0.64</v>
      </c>
      <c r="J237" s="90" t="s">
        <v>381</v>
      </c>
      <c r="K237" s="90">
        <v>1.9009626350000001E-4</v>
      </c>
      <c r="L237" s="90">
        <v>3746.39664558406</v>
      </c>
      <c r="M237" s="90">
        <v>10.1188920431567</v>
      </c>
      <c r="N237" s="90">
        <v>1.77640549151062</v>
      </c>
      <c r="O237" s="90">
        <v>1.92356356821E-3</v>
      </c>
      <c r="P237" s="90">
        <v>3.376880464E-4</v>
      </c>
      <c r="Q237" s="90">
        <v>0.71217600393319003</v>
      </c>
      <c r="R237" s="90">
        <v>1300</v>
      </c>
      <c r="S237" s="90" t="s">
        <v>387</v>
      </c>
      <c r="T237" s="90">
        <v>1300</v>
      </c>
      <c r="U237" s="90" t="s">
        <v>382</v>
      </c>
      <c r="V237" s="90" t="s">
        <v>381</v>
      </c>
      <c r="Z237" s="90">
        <v>0</v>
      </c>
      <c r="AA237" s="90">
        <v>1</v>
      </c>
      <c r="AB237" s="90">
        <v>1.92356356821E-3</v>
      </c>
      <c r="AC237" s="90">
        <v>3.376880464E-4</v>
      </c>
      <c r="AD237" s="90">
        <v>0.71217600393192004</v>
      </c>
      <c r="AF237" s="90">
        <v>-1</v>
      </c>
      <c r="AG237" s="90">
        <v>-1</v>
      </c>
      <c r="AH237" s="90">
        <v>-1</v>
      </c>
      <c r="AI237" s="90">
        <v>-1</v>
      </c>
      <c r="AJ237" s="90">
        <v>0</v>
      </c>
      <c r="AM237" s="90" t="s">
        <v>379</v>
      </c>
      <c r="AN237" s="90">
        <v>-1</v>
      </c>
      <c r="AQ237" s="90">
        <v>356</v>
      </c>
      <c r="AR237" s="90" t="s">
        <v>380</v>
      </c>
      <c r="AS237" s="90" t="s">
        <v>246</v>
      </c>
      <c r="AT237" s="90" t="s">
        <v>244</v>
      </c>
      <c r="AU237" s="90">
        <v>175.87190000000001</v>
      </c>
      <c r="AV237" s="90">
        <v>19.229217163565998</v>
      </c>
      <c r="AW237" s="90">
        <v>0.76929228483807999</v>
      </c>
      <c r="AX237" s="90">
        <v>5.7759610000000002E-4</v>
      </c>
    </row>
    <row r="238" spans="1:50" x14ac:dyDescent="0.25">
      <c r="A238" s="102">
        <v>830000</v>
      </c>
      <c r="B238" s="102">
        <v>2400000</v>
      </c>
      <c r="C238" s="102">
        <v>2400000</v>
      </c>
      <c r="D238" s="90" t="s">
        <v>374</v>
      </c>
      <c r="E238" s="90" t="s">
        <v>68</v>
      </c>
      <c r="F238" s="90" t="s">
        <v>375</v>
      </c>
      <c r="G238" s="90" t="s">
        <v>376</v>
      </c>
      <c r="H238" s="90">
        <v>0.59</v>
      </c>
      <c r="I238" s="90">
        <v>0.64</v>
      </c>
      <c r="J238" s="90" t="s">
        <v>244</v>
      </c>
      <c r="K238" s="90">
        <v>7.1105652780959996E-2</v>
      </c>
      <c r="L238" s="90">
        <v>3746.39664558406</v>
      </c>
      <c r="M238" s="90">
        <v>10.1188920431567</v>
      </c>
      <c r="N238" s="90">
        <v>1.77640549151062</v>
      </c>
      <c r="O238" s="90">
        <v>0.71951042414877997</v>
      </c>
      <c r="P238" s="90">
        <v>0.12631247207755</v>
      </c>
      <c r="Q238" s="90">
        <v>266.38997906067499</v>
      </c>
      <c r="R238" s="90">
        <v>1300</v>
      </c>
      <c r="S238" s="90" t="s">
        <v>387</v>
      </c>
      <c r="T238" s="90">
        <v>1300</v>
      </c>
      <c r="U238" s="90" t="s">
        <v>378</v>
      </c>
      <c r="V238" s="90" t="s">
        <v>244</v>
      </c>
      <c r="Z238" s="90">
        <v>0</v>
      </c>
      <c r="AA238" s="90">
        <v>1</v>
      </c>
      <c r="AB238" s="90">
        <v>0.71951042414877997</v>
      </c>
      <c r="AC238" s="90">
        <v>0.12631247207755</v>
      </c>
      <c r="AD238" s="90">
        <v>266.38997906067698</v>
      </c>
      <c r="AF238" s="90">
        <v>-1</v>
      </c>
      <c r="AG238" s="90">
        <v>-1</v>
      </c>
      <c r="AH238" s="90">
        <v>-1</v>
      </c>
      <c r="AI238" s="90">
        <v>-1</v>
      </c>
      <c r="AJ238" s="90">
        <v>0</v>
      </c>
      <c r="AM238" s="90" t="s">
        <v>379</v>
      </c>
      <c r="AN238" s="90">
        <v>-1</v>
      </c>
      <c r="AQ238" s="90">
        <v>356</v>
      </c>
      <c r="AR238" s="90" t="s">
        <v>380</v>
      </c>
      <c r="AS238" s="90" t="s">
        <v>246</v>
      </c>
      <c r="AT238" s="90" t="s">
        <v>244</v>
      </c>
      <c r="AU238" s="90">
        <v>175.87190000000001</v>
      </c>
      <c r="AV238" s="90">
        <v>76.246113756283407</v>
      </c>
      <c r="AW238" s="90">
        <v>287.75436762559798</v>
      </c>
      <c r="AX238" s="90">
        <v>0.21605026690000001</v>
      </c>
    </row>
    <row r="239" spans="1:50" x14ac:dyDescent="0.25">
      <c r="A239" s="102">
        <v>830000</v>
      </c>
      <c r="B239" s="102">
        <v>2400000</v>
      </c>
      <c r="C239" s="102">
        <v>2400000</v>
      </c>
      <c r="D239" s="90" t="s">
        <v>374</v>
      </c>
      <c r="E239" s="90" t="s">
        <v>68</v>
      </c>
      <c r="F239" s="90" t="s">
        <v>375</v>
      </c>
      <c r="G239" s="90" t="s">
        <v>376</v>
      </c>
      <c r="H239" s="90">
        <v>0.59</v>
      </c>
      <c r="I239" s="90">
        <v>0.64</v>
      </c>
      <c r="J239" s="90" t="s">
        <v>381</v>
      </c>
      <c r="K239" s="90">
        <v>1.4775363522000001E-4</v>
      </c>
      <c r="L239" s="90">
        <v>3746.39664558406</v>
      </c>
      <c r="M239" s="90">
        <v>10.1188920431567</v>
      </c>
      <c r="N239" s="90">
        <v>1.77640549151062</v>
      </c>
      <c r="O239" s="90">
        <v>1.4951030837800001E-3</v>
      </c>
      <c r="P239" s="90">
        <v>2.6247036899000001E-4</v>
      </c>
      <c r="Q239" s="90">
        <v>0.55354372336479996</v>
      </c>
      <c r="R239" s="90">
        <v>1300</v>
      </c>
      <c r="S239" s="90" t="s">
        <v>387</v>
      </c>
      <c r="T239" s="90">
        <v>1300</v>
      </c>
      <c r="U239" s="90" t="s">
        <v>382</v>
      </c>
      <c r="V239" s="90" t="s">
        <v>381</v>
      </c>
      <c r="Z239" s="90">
        <v>0</v>
      </c>
      <c r="AA239" s="90">
        <v>1</v>
      </c>
      <c r="AB239" s="90">
        <v>1.4951030837800001E-3</v>
      </c>
      <c r="AC239" s="90">
        <v>2.6247036899000001E-4</v>
      </c>
      <c r="AD239" s="90">
        <v>0.55354372336524005</v>
      </c>
      <c r="AF239" s="90">
        <v>-1</v>
      </c>
      <c r="AG239" s="90">
        <v>-1</v>
      </c>
      <c r="AH239" s="90">
        <v>-1</v>
      </c>
      <c r="AI239" s="90">
        <v>-1</v>
      </c>
      <c r="AJ239" s="90">
        <v>0</v>
      </c>
      <c r="AM239" s="90" t="s">
        <v>379</v>
      </c>
      <c r="AN239" s="90">
        <v>-1</v>
      </c>
      <c r="AQ239" s="90">
        <v>356</v>
      </c>
      <c r="AR239" s="90" t="s">
        <v>380</v>
      </c>
      <c r="AS239" s="90" t="s">
        <v>246</v>
      </c>
      <c r="AT239" s="90" t="s">
        <v>244</v>
      </c>
      <c r="AU239" s="90">
        <v>175.87190000000001</v>
      </c>
      <c r="AV239" s="90">
        <v>20.903177925364201</v>
      </c>
      <c r="AW239" s="90">
        <v>0.59793774762752006</v>
      </c>
      <c r="AX239" s="90">
        <v>4.4894059999999998E-4</v>
      </c>
    </row>
    <row r="240" spans="1:50" x14ac:dyDescent="0.25">
      <c r="A240" s="102">
        <v>830000</v>
      </c>
      <c r="B240" s="102">
        <v>2400000</v>
      </c>
      <c r="C240" s="102">
        <v>2400000</v>
      </c>
      <c r="D240" s="90" t="s">
        <v>374</v>
      </c>
      <c r="E240" s="90" t="s">
        <v>68</v>
      </c>
      <c r="F240" s="90" t="s">
        <v>375</v>
      </c>
      <c r="G240" s="90" t="s">
        <v>376</v>
      </c>
      <c r="H240" s="90">
        <v>0.59</v>
      </c>
      <c r="I240" s="90">
        <v>0.64</v>
      </c>
      <c r="J240" s="90" t="s">
        <v>244</v>
      </c>
      <c r="K240" s="90">
        <v>0.24726861251856999</v>
      </c>
      <c r="L240" s="90">
        <v>3746.39664558406</v>
      </c>
      <c r="M240" s="90">
        <v>10.1188920431567</v>
      </c>
      <c r="N240" s="90">
        <v>1.77640549151062</v>
      </c>
      <c r="O240" s="90">
        <v>2.5020843957366301</v>
      </c>
      <c r="P240" s="90">
        <v>0.43924932115621002</v>
      </c>
      <c r="Q240" s="90">
        <v>926.36630049781695</v>
      </c>
      <c r="R240" s="90">
        <v>1300</v>
      </c>
      <c r="S240" s="90" t="s">
        <v>387</v>
      </c>
      <c r="T240" s="90">
        <v>1300</v>
      </c>
      <c r="U240" s="90" t="s">
        <v>378</v>
      </c>
      <c r="V240" s="90" t="s">
        <v>244</v>
      </c>
      <c r="Z240" s="90">
        <v>0</v>
      </c>
      <c r="AA240" s="90">
        <v>1</v>
      </c>
      <c r="AB240" s="90">
        <v>2.5020843957366301</v>
      </c>
      <c r="AC240" s="90">
        <v>0.43924932115621002</v>
      </c>
      <c r="AD240" s="90">
        <v>926.36630049781695</v>
      </c>
      <c r="AF240" s="90">
        <v>-1</v>
      </c>
      <c r="AG240" s="90">
        <v>-1</v>
      </c>
      <c r="AH240" s="90">
        <v>-1</v>
      </c>
      <c r="AI240" s="90">
        <v>-1</v>
      </c>
      <c r="AJ240" s="90">
        <v>0</v>
      </c>
      <c r="AM240" s="90" t="s">
        <v>379</v>
      </c>
      <c r="AN240" s="90">
        <v>-1</v>
      </c>
      <c r="AQ240" s="90">
        <v>356</v>
      </c>
      <c r="AR240" s="90" t="s">
        <v>380</v>
      </c>
      <c r="AS240" s="90" t="s">
        <v>246</v>
      </c>
      <c r="AT240" s="90" t="s">
        <v>244</v>
      </c>
      <c r="AU240" s="90">
        <v>175.87190000000001</v>
      </c>
      <c r="AV240" s="90">
        <v>128.44271132330101</v>
      </c>
      <c r="AW240" s="90">
        <v>1000.6605726287301</v>
      </c>
      <c r="AX240" s="90">
        <v>0.75131086820000004</v>
      </c>
    </row>
    <row r="241" spans="1:50" x14ac:dyDescent="0.25">
      <c r="A241" s="102">
        <v>830000</v>
      </c>
      <c r="B241" s="102">
        <v>2400000</v>
      </c>
      <c r="C241" s="102">
        <v>2400000</v>
      </c>
      <c r="D241" s="90" t="s">
        <v>374</v>
      </c>
      <c r="E241" s="90" t="s">
        <v>68</v>
      </c>
      <c r="F241" s="90" t="s">
        <v>375</v>
      </c>
      <c r="G241" s="90" t="s">
        <v>376</v>
      </c>
      <c r="H241" s="90">
        <v>0.59</v>
      </c>
      <c r="I241" s="90">
        <v>0.64</v>
      </c>
      <c r="J241" s="90" t="s">
        <v>381</v>
      </c>
      <c r="K241" s="90">
        <v>7.9349580888999998E-4</v>
      </c>
      <c r="L241" s="90">
        <v>3746.39664558406</v>
      </c>
      <c r="M241" s="90">
        <v>10.1188920431567</v>
      </c>
      <c r="N241" s="90">
        <v>1.77640549151062</v>
      </c>
      <c r="O241" s="90">
        <v>8.0292984268899997E-3</v>
      </c>
      <c r="P241" s="90">
        <v>1.40957031241E-3</v>
      </c>
      <c r="Q241" s="90">
        <v>2.9727500367254902</v>
      </c>
      <c r="R241" s="90">
        <v>1300</v>
      </c>
      <c r="S241" s="90" t="s">
        <v>387</v>
      </c>
      <c r="T241" s="90">
        <v>1300</v>
      </c>
      <c r="U241" s="90" t="s">
        <v>382</v>
      </c>
      <c r="V241" s="90" t="s">
        <v>381</v>
      </c>
      <c r="Z241" s="90">
        <v>0</v>
      </c>
      <c r="AA241" s="90">
        <v>1</v>
      </c>
      <c r="AB241" s="90">
        <v>8.0292984268899997E-3</v>
      </c>
      <c r="AC241" s="90">
        <v>1.40957031241E-3</v>
      </c>
      <c r="AD241" s="90">
        <v>2.97275003672658</v>
      </c>
      <c r="AF241" s="90">
        <v>-1</v>
      </c>
      <c r="AG241" s="90">
        <v>-1</v>
      </c>
      <c r="AH241" s="90">
        <v>-1</v>
      </c>
      <c r="AI241" s="90">
        <v>-1</v>
      </c>
      <c r="AJ241" s="90">
        <v>0</v>
      </c>
      <c r="AM241" s="90" t="s">
        <v>379</v>
      </c>
      <c r="AN241" s="90">
        <v>-1</v>
      </c>
      <c r="AQ241" s="90">
        <v>356</v>
      </c>
      <c r="AR241" s="90" t="s">
        <v>380</v>
      </c>
      <c r="AS241" s="90" t="s">
        <v>246</v>
      </c>
      <c r="AT241" s="90" t="s">
        <v>244</v>
      </c>
      <c r="AU241" s="90">
        <v>175.87190000000001</v>
      </c>
      <c r="AV241" s="90">
        <v>57.072474198899997</v>
      </c>
      <c r="AW241" s="90">
        <v>3.2111636103713401</v>
      </c>
      <c r="AX241" s="90">
        <v>2.4109894999999998E-3</v>
      </c>
    </row>
    <row r="242" spans="1:50" x14ac:dyDescent="0.25">
      <c r="A242" s="102">
        <v>830000</v>
      </c>
      <c r="B242" s="102">
        <v>2400000</v>
      </c>
      <c r="C242" s="102">
        <v>2400000</v>
      </c>
      <c r="D242" s="90" t="s">
        <v>374</v>
      </c>
      <c r="E242" s="90" t="s">
        <v>68</v>
      </c>
      <c r="F242" s="90" t="s">
        <v>375</v>
      </c>
      <c r="G242" s="90" t="s">
        <v>376</v>
      </c>
      <c r="H242" s="90">
        <v>0.59</v>
      </c>
      <c r="I242" s="90">
        <v>0.64</v>
      </c>
      <c r="J242" s="90" t="s">
        <v>244</v>
      </c>
      <c r="K242" s="90">
        <v>3.0215771912889999E-2</v>
      </c>
      <c r="L242" s="90">
        <v>3746.39664558406</v>
      </c>
      <c r="M242" s="90">
        <v>10.1188920431567</v>
      </c>
      <c r="N242" s="90">
        <v>1.77640549151062</v>
      </c>
      <c r="O242" s="90">
        <v>0.30575013398717998</v>
      </c>
      <c r="P242" s="90">
        <v>5.3675463156290001E-2</v>
      </c>
      <c r="Q242" s="90">
        <v>113.200266538184</v>
      </c>
      <c r="R242" s="90">
        <v>1300</v>
      </c>
      <c r="S242" s="90" t="s">
        <v>387</v>
      </c>
      <c r="T242" s="90">
        <v>1300</v>
      </c>
      <c r="U242" s="90" t="s">
        <v>378</v>
      </c>
      <c r="V242" s="90" t="s">
        <v>244</v>
      </c>
      <c r="Z242" s="90">
        <v>0</v>
      </c>
      <c r="AA242" s="90">
        <v>1</v>
      </c>
      <c r="AB242" s="90">
        <v>0.30575013398717998</v>
      </c>
      <c r="AC242" s="90">
        <v>5.3675463156290001E-2</v>
      </c>
      <c r="AD242" s="90">
        <v>113.200266538184</v>
      </c>
      <c r="AF242" s="90">
        <v>-1</v>
      </c>
      <c r="AG242" s="90">
        <v>-1</v>
      </c>
      <c r="AH242" s="90">
        <v>-1</v>
      </c>
      <c r="AI242" s="90">
        <v>-1</v>
      </c>
      <c r="AJ242" s="90">
        <v>0</v>
      </c>
      <c r="AM242" s="90" t="s">
        <v>379</v>
      </c>
      <c r="AN242" s="90">
        <v>-1</v>
      </c>
      <c r="AQ242" s="90">
        <v>356</v>
      </c>
      <c r="AR242" s="90" t="s">
        <v>380</v>
      </c>
      <c r="AS242" s="90" t="s">
        <v>246</v>
      </c>
      <c r="AT242" s="90" t="s">
        <v>244</v>
      </c>
      <c r="AU242" s="90">
        <v>175.87190000000001</v>
      </c>
      <c r="AV242" s="90">
        <v>87.159317402383095</v>
      </c>
      <c r="AW242" s="90">
        <v>122.27889062345299</v>
      </c>
      <c r="AX242" s="90">
        <v>9.1808813099999997E-2</v>
      </c>
    </row>
    <row r="243" spans="1:50" x14ac:dyDescent="0.25">
      <c r="A243" s="102">
        <v>830000</v>
      </c>
      <c r="B243" s="102">
        <v>2400000</v>
      </c>
      <c r="C243" s="102">
        <v>2400000</v>
      </c>
      <c r="D243" s="90" t="s">
        <v>374</v>
      </c>
      <c r="E243" s="90" t="s">
        <v>68</v>
      </c>
      <c r="F243" s="90" t="s">
        <v>375</v>
      </c>
      <c r="G243" s="90" t="s">
        <v>376</v>
      </c>
      <c r="H243" s="90">
        <v>0.59</v>
      </c>
      <c r="I243" s="90">
        <v>0.64</v>
      </c>
      <c r="J243" s="90" t="s">
        <v>381</v>
      </c>
      <c r="K243" s="90">
        <v>6.2754433570000001E-5</v>
      </c>
      <c r="L243" s="90">
        <v>3746.39664558406</v>
      </c>
      <c r="M243" s="90">
        <v>10.1188920431567</v>
      </c>
      <c r="N243" s="90">
        <v>1.77640549151062</v>
      </c>
      <c r="O243" s="90">
        <v>6.3500533860000004E-4</v>
      </c>
      <c r="P243" s="90">
        <v>1.1147732042E-4</v>
      </c>
      <c r="Q243" s="90">
        <v>0.23510299945214</v>
      </c>
      <c r="R243" s="90">
        <v>1300</v>
      </c>
      <c r="S243" s="90" t="s">
        <v>387</v>
      </c>
      <c r="T243" s="90">
        <v>1300</v>
      </c>
      <c r="U243" s="90" t="s">
        <v>382</v>
      </c>
      <c r="V243" s="90" t="s">
        <v>381</v>
      </c>
      <c r="Z243" s="90">
        <v>0</v>
      </c>
      <c r="AA243" s="90">
        <v>1</v>
      </c>
      <c r="AB243" s="90">
        <v>6.3500533860000004E-4</v>
      </c>
      <c r="AC243" s="90">
        <v>1.1147732042E-4</v>
      </c>
      <c r="AD243" s="90">
        <v>0.23510299945388999</v>
      </c>
      <c r="AF243" s="90">
        <v>-1</v>
      </c>
      <c r="AG243" s="90">
        <v>-1</v>
      </c>
      <c r="AH243" s="90">
        <v>-1</v>
      </c>
      <c r="AI243" s="90">
        <v>-1</v>
      </c>
      <c r="AJ243" s="90">
        <v>0</v>
      </c>
      <c r="AM243" s="90" t="s">
        <v>379</v>
      </c>
      <c r="AN243" s="90">
        <v>-1</v>
      </c>
      <c r="AQ243" s="90">
        <v>356</v>
      </c>
      <c r="AR243" s="90" t="s">
        <v>380</v>
      </c>
      <c r="AS243" s="90" t="s">
        <v>246</v>
      </c>
      <c r="AT243" s="90" t="s">
        <v>244</v>
      </c>
      <c r="AU243" s="90">
        <v>175.87190000000001</v>
      </c>
      <c r="AV243" s="90">
        <v>7.9423750318431301</v>
      </c>
      <c r="AW243" s="90">
        <v>0.25395818256108998</v>
      </c>
      <c r="AX243" s="90">
        <v>1.906756E-4</v>
      </c>
    </row>
    <row r="244" spans="1:50" x14ac:dyDescent="0.25">
      <c r="A244" s="102">
        <v>830000</v>
      </c>
      <c r="B244" s="102">
        <v>2400000</v>
      </c>
      <c r="C244" s="102">
        <v>2400000</v>
      </c>
      <c r="D244" s="90" t="s">
        <v>374</v>
      </c>
      <c r="E244" s="90" t="s">
        <v>68</v>
      </c>
      <c r="F244" s="90" t="s">
        <v>375</v>
      </c>
      <c r="G244" s="90" t="s">
        <v>376</v>
      </c>
      <c r="H244" s="90">
        <v>0.59</v>
      </c>
      <c r="I244" s="90">
        <v>0.64</v>
      </c>
      <c r="J244" s="90" t="s">
        <v>381</v>
      </c>
      <c r="K244" s="90">
        <v>1.559509221375E-2</v>
      </c>
      <c r="L244" s="90">
        <v>3730.32324874714</v>
      </c>
      <c r="M244" s="90">
        <v>10.0467101090869</v>
      </c>
      <c r="N244" s="90">
        <v>1.77106116047442</v>
      </c>
      <c r="O244" s="90">
        <v>0.15667937059605</v>
      </c>
      <c r="P244" s="90">
        <v>2.761986211379E-2</v>
      </c>
      <c r="Q244" s="90">
        <v>58.1747350513184</v>
      </c>
      <c r="R244" s="90">
        <v>1300</v>
      </c>
      <c r="S244" s="90" t="s">
        <v>387</v>
      </c>
      <c r="T244" s="90">
        <v>1300</v>
      </c>
      <c r="U244" s="90" t="s">
        <v>382</v>
      </c>
      <c r="V244" s="90" t="s">
        <v>381</v>
      </c>
      <c r="Z244" s="90">
        <v>0</v>
      </c>
      <c r="AA244" s="90">
        <v>1</v>
      </c>
      <c r="AB244" s="90">
        <v>0.15667937059605</v>
      </c>
      <c r="AC244" s="90">
        <v>2.761986211379E-2</v>
      </c>
      <c r="AD244" s="90">
        <v>58.174735051317597</v>
      </c>
      <c r="AF244" s="90">
        <v>-1</v>
      </c>
      <c r="AG244" s="90">
        <v>-1</v>
      </c>
      <c r="AH244" s="90">
        <v>-1</v>
      </c>
      <c r="AI244" s="90">
        <v>-1</v>
      </c>
      <c r="AJ244" s="90">
        <v>0</v>
      </c>
      <c r="AM244" s="90" t="s">
        <v>379</v>
      </c>
      <c r="AN244" s="90">
        <v>-1</v>
      </c>
      <c r="AQ244" s="90">
        <v>356</v>
      </c>
      <c r="AR244" s="90" t="s">
        <v>380</v>
      </c>
      <c r="AS244" s="90" t="s">
        <v>246</v>
      </c>
      <c r="AT244" s="90" t="s">
        <v>244</v>
      </c>
      <c r="AU244" s="90">
        <v>175.87190000000001</v>
      </c>
      <c r="AV244" s="90">
        <v>52.095568406241597</v>
      </c>
      <c r="AW244" s="90">
        <v>63.111099083145803</v>
      </c>
      <c r="AX244" s="90">
        <v>4.7181455800000001E-2</v>
      </c>
    </row>
    <row r="245" spans="1:50" x14ac:dyDescent="0.25">
      <c r="A245" s="102">
        <v>830000</v>
      </c>
      <c r="B245" s="102">
        <v>2400000</v>
      </c>
      <c r="C245" s="102">
        <v>2400000</v>
      </c>
      <c r="D245" s="90" t="s">
        <v>374</v>
      </c>
      <c r="E245" s="90" t="s">
        <v>68</v>
      </c>
      <c r="F245" s="90" t="s">
        <v>375</v>
      </c>
      <c r="G245" s="90" t="s">
        <v>376</v>
      </c>
      <c r="H245" s="90">
        <v>0.59</v>
      </c>
      <c r="I245" s="90">
        <v>0.64</v>
      </c>
      <c r="J245" s="90" t="s">
        <v>381</v>
      </c>
      <c r="K245" s="90">
        <v>1.9548601690479998E-2</v>
      </c>
      <c r="L245" s="90">
        <v>3730.32324874714</v>
      </c>
      <c r="M245" s="90">
        <v>10.0467101090869</v>
      </c>
      <c r="N245" s="90">
        <v>1.77106116047442</v>
      </c>
      <c r="O245" s="90">
        <v>0.19639913422232999</v>
      </c>
      <c r="P245" s="90">
        <v>3.4621769195599998E-2</v>
      </c>
      <c r="Q245" s="90">
        <v>72.922603366525095</v>
      </c>
      <c r="R245" s="90">
        <v>4200</v>
      </c>
      <c r="S245" s="90" t="s">
        <v>390</v>
      </c>
      <c r="T245" s="90">
        <v>4200</v>
      </c>
      <c r="U245" s="90" t="s">
        <v>382</v>
      </c>
      <c r="V245" s="90" t="s">
        <v>381</v>
      </c>
      <c r="Y245" s="90" t="s">
        <v>389</v>
      </c>
      <c r="Z245" s="90">
        <v>0</v>
      </c>
      <c r="AA245" s="90">
        <v>1</v>
      </c>
      <c r="AB245" s="90">
        <v>0.19639913422232999</v>
      </c>
      <c r="AC245" s="90">
        <v>3.4621769195599998E-2</v>
      </c>
      <c r="AD245" s="90">
        <v>72.922603366525493</v>
      </c>
      <c r="AF245" s="90">
        <v>-1</v>
      </c>
      <c r="AG245" s="90">
        <v>-1</v>
      </c>
      <c r="AH245" s="90">
        <v>-1</v>
      </c>
      <c r="AI245" s="90">
        <v>-1</v>
      </c>
      <c r="AJ245" s="90">
        <v>0</v>
      </c>
      <c r="AM245" s="90" t="s">
        <v>379</v>
      </c>
      <c r="AN245" s="90">
        <v>-1</v>
      </c>
      <c r="AQ245" s="90">
        <v>356</v>
      </c>
      <c r="AR245" s="90" t="s">
        <v>380</v>
      </c>
      <c r="AS245" s="90" t="s">
        <v>246</v>
      </c>
      <c r="AT245" s="90" t="s">
        <v>244</v>
      </c>
      <c r="AU245" s="90">
        <v>175.87190000000001</v>
      </c>
      <c r="AV245" s="90">
        <v>60.031657491273599</v>
      </c>
      <c r="AW245" s="90">
        <v>79.110384300091397</v>
      </c>
      <c r="AX245" s="90">
        <v>5.9142419600000003E-2</v>
      </c>
    </row>
    <row r="246" spans="1:50" x14ac:dyDescent="0.25">
      <c r="A246" s="102">
        <v>830000</v>
      </c>
      <c r="B246" s="102">
        <v>2400000</v>
      </c>
      <c r="C246" s="102">
        <v>2400000</v>
      </c>
      <c r="D246" s="90" t="s">
        <v>374</v>
      </c>
      <c r="E246" s="90" t="s">
        <v>68</v>
      </c>
      <c r="F246" s="90" t="s">
        <v>375</v>
      </c>
      <c r="G246" s="90" t="s">
        <v>376</v>
      </c>
      <c r="H246" s="90">
        <v>0.59</v>
      </c>
      <c r="I246" s="90">
        <v>0.64</v>
      </c>
      <c r="J246" s="90" t="s">
        <v>381</v>
      </c>
      <c r="K246" s="90">
        <v>0.17591366951286</v>
      </c>
      <c r="L246" s="90">
        <v>3730.32324874714</v>
      </c>
      <c r="M246" s="90">
        <v>10.0467101090869</v>
      </c>
      <c r="N246" s="90">
        <v>1.77106116047442</v>
      </c>
      <c r="O246" s="90">
        <v>1.7673536418214399</v>
      </c>
      <c r="P246" s="90">
        <v>0.31155386767075999</v>
      </c>
      <c r="Q246" s="90">
        <v>656.21485115625103</v>
      </c>
      <c r="R246" s="90">
        <v>8140</v>
      </c>
      <c r="S246" s="90" t="s">
        <v>386</v>
      </c>
      <c r="T246" s="90">
        <v>8140</v>
      </c>
      <c r="U246" s="90" t="s">
        <v>382</v>
      </c>
      <c r="V246" s="90" t="s">
        <v>381</v>
      </c>
      <c r="Z246" s="90">
        <v>0</v>
      </c>
      <c r="AA246" s="90">
        <v>1</v>
      </c>
      <c r="AB246" s="90">
        <v>1.7673536418214399</v>
      </c>
      <c r="AC246" s="90">
        <v>0.31155386767075999</v>
      </c>
      <c r="AD246" s="90">
        <v>656.21485115625103</v>
      </c>
      <c r="AF246" s="90">
        <v>-1</v>
      </c>
      <c r="AG246" s="90">
        <v>-1</v>
      </c>
      <c r="AH246" s="90">
        <v>-1</v>
      </c>
      <c r="AI246" s="90">
        <v>-1</v>
      </c>
      <c r="AJ246" s="90">
        <v>0</v>
      </c>
      <c r="AM246" s="90" t="s">
        <v>379</v>
      </c>
      <c r="AN246" s="90">
        <v>-1</v>
      </c>
      <c r="AQ246" s="90">
        <v>356</v>
      </c>
      <c r="AR246" s="90" t="s">
        <v>380</v>
      </c>
      <c r="AS246" s="90" t="s">
        <v>246</v>
      </c>
      <c r="AT246" s="90" t="s">
        <v>244</v>
      </c>
      <c r="AU246" s="90">
        <v>175.87190000000001</v>
      </c>
      <c r="AV246" s="90">
        <v>129.09665308794001</v>
      </c>
      <c r="AW246" s="90">
        <v>711.89736325607805</v>
      </c>
      <c r="AX246" s="90">
        <v>0.5322099361</v>
      </c>
    </row>
    <row r="247" spans="1:50" x14ac:dyDescent="0.25">
      <c r="A247" s="102">
        <v>830000</v>
      </c>
      <c r="B247" s="102">
        <v>2400000</v>
      </c>
      <c r="C247" s="102">
        <v>2400000</v>
      </c>
      <c r="D247" s="90" t="s">
        <v>374</v>
      </c>
      <c r="E247" s="90" t="s">
        <v>68</v>
      </c>
      <c r="F247" s="90" t="s">
        <v>375</v>
      </c>
      <c r="G247" s="90" t="s">
        <v>376</v>
      </c>
      <c r="H247" s="90">
        <v>0.59</v>
      </c>
      <c r="I247" s="90">
        <v>0.64</v>
      </c>
      <c r="J247" s="90" t="s">
        <v>244</v>
      </c>
      <c r="K247" s="90">
        <v>0.40575895619570002</v>
      </c>
      <c r="L247" s="90">
        <v>3730.32324874714</v>
      </c>
      <c r="M247" s="90">
        <v>10.0467101090869</v>
      </c>
      <c r="N247" s="90">
        <v>1.77106116047442</v>
      </c>
      <c r="O247" s="90">
        <v>4.0765426070639599</v>
      </c>
      <c r="P247" s="90">
        <v>0.71862392783286</v>
      </c>
      <c r="Q247" s="90">
        <v>1513.6120676842199</v>
      </c>
      <c r="R247" s="90">
        <v>1300</v>
      </c>
      <c r="S247" s="90" t="s">
        <v>387</v>
      </c>
      <c r="T247" s="90">
        <v>1300</v>
      </c>
      <c r="U247" s="90" t="s">
        <v>378</v>
      </c>
      <c r="V247" s="90" t="s">
        <v>244</v>
      </c>
      <c r="Z247" s="90">
        <v>0</v>
      </c>
      <c r="AA247" s="90">
        <v>1</v>
      </c>
      <c r="AB247" s="90">
        <v>4.0765426070639599</v>
      </c>
      <c r="AC247" s="90">
        <v>0.71862392783286</v>
      </c>
      <c r="AD247" s="90">
        <v>1513.6120676842199</v>
      </c>
      <c r="AF247" s="90">
        <v>-1</v>
      </c>
      <c r="AG247" s="90">
        <v>-1</v>
      </c>
      <c r="AH247" s="90">
        <v>-1</v>
      </c>
      <c r="AI247" s="90">
        <v>-1</v>
      </c>
      <c r="AJ247" s="90">
        <v>0</v>
      </c>
      <c r="AM247" s="90" t="s">
        <v>379</v>
      </c>
      <c r="AN247" s="90">
        <v>-1</v>
      </c>
      <c r="AQ247" s="90">
        <v>356</v>
      </c>
      <c r="AR247" s="90" t="s">
        <v>380</v>
      </c>
      <c r="AS247" s="90" t="s">
        <v>246</v>
      </c>
      <c r="AT247" s="90" t="s">
        <v>244</v>
      </c>
      <c r="AU247" s="90">
        <v>175.87190000000001</v>
      </c>
      <c r="AV247" s="90">
        <v>165.559152141471</v>
      </c>
      <c r="AW247" s="90">
        <v>1642.0482378269101</v>
      </c>
      <c r="AX247" s="90">
        <v>1.2275848075</v>
      </c>
    </row>
    <row r="248" spans="1:50" x14ac:dyDescent="0.25">
      <c r="A248" s="102">
        <v>830000</v>
      </c>
      <c r="B248" s="102">
        <v>2400000</v>
      </c>
      <c r="C248" s="102">
        <v>2400000</v>
      </c>
      <c r="D248" s="90" t="s">
        <v>374</v>
      </c>
      <c r="E248" s="90" t="s">
        <v>68</v>
      </c>
      <c r="F248" s="90" t="s">
        <v>375</v>
      </c>
      <c r="G248" s="90" t="s">
        <v>376</v>
      </c>
      <c r="H248" s="90">
        <v>0.59</v>
      </c>
      <c r="I248" s="90">
        <v>0.64</v>
      </c>
      <c r="J248" s="90" t="s">
        <v>381</v>
      </c>
      <c r="K248" s="90">
        <v>9.4713412414000001E-4</v>
      </c>
      <c r="L248" s="90">
        <v>3730.32324874714</v>
      </c>
      <c r="M248" s="90">
        <v>10.0467101090869</v>
      </c>
      <c r="N248" s="90">
        <v>1.77106116047442</v>
      </c>
      <c r="O248" s="90">
        <v>9.5155819796800007E-3</v>
      </c>
      <c r="P248" s="90">
        <v>1.67743246103E-3</v>
      </c>
      <c r="Q248" s="90">
        <v>3.5331164429723998</v>
      </c>
      <c r="R248" s="90">
        <v>1300</v>
      </c>
      <c r="S248" s="90" t="s">
        <v>387</v>
      </c>
      <c r="T248" s="90">
        <v>1300</v>
      </c>
      <c r="U248" s="90" t="s">
        <v>382</v>
      </c>
      <c r="V248" s="90" t="s">
        <v>381</v>
      </c>
      <c r="Z248" s="90">
        <v>0</v>
      </c>
      <c r="AA248" s="90">
        <v>1</v>
      </c>
      <c r="AB248" s="90">
        <v>9.5155819796800007E-3</v>
      </c>
      <c r="AC248" s="90">
        <v>1.67743246103E-3</v>
      </c>
      <c r="AD248" s="90">
        <v>3.5331164429737498</v>
      </c>
      <c r="AF248" s="90">
        <v>-1</v>
      </c>
      <c r="AG248" s="90">
        <v>-1</v>
      </c>
      <c r="AH248" s="90">
        <v>-1</v>
      </c>
      <c r="AI248" s="90">
        <v>-1</v>
      </c>
      <c r="AJ248" s="90">
        <v>0</v>
      </c>
      <c r="AM248" s="90" t="s">
        <v>379</v>
      </c>
      <c r="AN248" s="90">
        <v>-1</v>
      </c>
      <c r="AQ248" s="90">
        <v>356</v>
      </c>
      <c r="AR248" s="90" t="s">
        <v>380</v>
      </c>
      <c r="AS248" s="90" t="s">
        <v>246</v>
      </c>
      <c r="AT248" s="90" t="s">
        <v>244</v>
      </c>
      <c r="AU248" s="90">
        <v>175.87190000000001</v>
      </c>
      <c r="AV248" s="90">
        <v>100.54519284123199</v>
      </c>
      <c r="AW248" s="90">
        <v>3.8329158131637602</v>
      </c>
      <c r="AX248" s="90">
        <v>2.8654635000000001E-3</v>
      </c>
    </row>
    <row r="249" spans="1:50" x14ac:dyDescent="0.25">
      <c r="A249" s="102">
        <v>830000</v>
      </c>
      <c r="B249" s="102">
        <v>2400000</v>
      </c>
      <c r="C249" s="102">
        <v>2400000</v>
      </c>
      <c r="D249" s="90" t="s">
        <v>374</v>
      </c>
      <c r="E249" s="90" t="s">
        <v>68</v>
      </c>
      <c r="F249" s="90" t="s">
        <v>375</v>
      </c>
      <c r="G249" s="90" t="s">
        <v>376</v>
      </c>
      <c r="H249" s="90">
        <v>0.59</v>
      </c>
      <c r="I249" s="90">
        <v>0.64</v>
      </c>
      <c r="J249" s="90" t="s">
        <v>244</v>
      </c>
      <c r="K249" s="90">
        <v>0.61776345348380002</v>
      </c>
      <c r="L249" s="90">
        <v>3882.5384879909002</v>
      </c>
      <c r="M249" s="90">
        <v>8.6413750181892706</v>
      </c>
      <c r="N249" s="90">
        <v>1.1734419275405199</v>
      </c>
      <c r="O249" s="90">
        <v>5.3383256740852802</v>
      </c>
      <c r="P249" s="90">
        <v>0.72490953762012</v>
      </c>
      <c r="Q249" s="90">
        <v>2398.49038462505</v>
      </c>
      <c r="R249" s="90">
        <v>1450</v>
      </c>
      <c r="S249" s="90" t="s">
        <v>391</v>
      </c>
      <c r="T249" s="90">
        <v>1450</v>
      </c>
      <c r="U249" s="90" t="s">
        <v>378</v>
      </c>
      <c r="V249" s="90" t="s">
        <v>244</v>
      </c>
      <c r="Z249" s="90">
        <v>0</v>
      </c>
      <c r="AA249" s="90">
        <v>1</v>
      </c>
      <c r="AB249" s="90">
        <v>5.3383256740852802</v>
      </c>
      <c r="AC249" s="90">
        <v>0.72490953762012</v>
      </c>
      <c r="AD249" s="90">
        <v>2398.49038462505</v>
      </c>
      <c r="AF249" s="90">
        <v>-1</v>
      </c>
      <c r="AG249" s="90">
        <v>-1</v>
      </c>
      <c r="AH249" s="90">
        <v>-1</v>
      </c>
      <c r="AI249" s="90">
        <v>-1</v>
      </c>
      <c r="AJ249" s="90">
        <v>0</v>
      </c>
      <c r="AM249" s="90" t="s">
        <v>379</v>
      </c>
      <c r="AN249" s="90">
        <v>-1</v>
      </c>
      <c r="AQ249" s="90">
        <v>356</v>
      </c>
      <c r="AR249" s="90" t="s">
        <v>380</v>
      </c>
      <c r="AS249" s="90" t="s">
        <v>246</v>
      </c>
      <c r="AT249" s="90" t="s">
        <v>244</v>
      </c>
      <c r="AU249" s="90">
        <v>175.87190000000001</v>
      </c>
      <c r="AV249" s="90">
        <v>199.999999970197</v>
      </c>
      <c r="AW249" s="90">
        <v>2499.9999992549401</v>
      </c>
      <c r="AX249" s="90">
        <v>1.9452476760999999</v>
      </c>
    </row>
    <row r="250" spans="1:50" x14ac:dyDescent="0.25">
      <c r="A250" s="102">
        <v>830000</v>
      </c>
      <c r="B250" s="102">
        <v>2400000</v>
      </c>
      <c r="C250" s="102">
        <v>2400000</v>
      </c>
      <c r="D250" s="90" t="s">
        <v>374</v>
      </c>
      <c r="E250" s="90" t="s">
        <v>68</v>
      </c>
      <c r="F250" s="90" t="s">
        <v>375</v>
      </c>
      <c r="G250" s="90" t="s">
        <v>376</v>
      </c>
      <c r="H250" s="90">
        <v>0.59</v>
      </c>
      <c r="I250" s="90">
        <v>0.64</v>
      </c>
      <c r="J250" s="90" t="s">
        <v>244</v>
      </c>
      <c r="K250" s="90">
        <v>0.61564412493325005</v>
      </c>
      <c r="L250" s="90">
        <v>3756.4692926047901</v>
      </c>
      <c r="M250" s="90">
        <v>10.8064271545274</v>
      </c>
      <c r="N250" s="90">
        <v>2.0820300371093401</v>
      </c>
      <c r="O250" s="90">
        <v>6.6529133892040599</v>
      </c>
      <c r="P250" s="90">
        <v>1.2817895602809299</v>
      </c>
      <c r="Q250" s="90">
        <v>2312.6482504843202</v>
      </c>
      <c r="R250" s="90">
        <v>1300</v>
      </c>
      <c r="S250" s="90" t="s">
        <v>387</v>
      </c>
      <c r="T250" s="90">
        <v>1300</v>
      </c>
      <c r="U250" s="90" t="s">
        <v>378</v>
      </c>
      <c r="V250" s="90" t="s">
        <v>244</v>
      </c>
      <c r="Z250" s="90">
        <v>0</v>
      </c>
      <c r="AA250" s="90">
        <v>1</v>
      </c>
      <c r="AB250" s="90">
        <v>6.6529133892040599</v>
      </c>
      <c r="AC250" s="90">
        <v>1.2817895602809299</v>
      </c>
      <c r="AD250" s="90">
        <v>2320.60944379699</v>
      </c>
      <c r="AF250" s="90">
        <v>-1</v>
      </c>
      <c r="AG250" s="90">
        <v>-1</v>
      </c>
      <c r="AH250" s="90">
        <v>-1</v>
      </c>
      <c r="AI250" s="90">
        <v>-1</v>
      </c>
      <c r="AJ250" s="90">
        <v>0</v>
      </c>
      <c r="AM250" s="90" t="s">
        <v>379</v>
      </c>
      <c r="AN250" s="90">
        <v>-1</v>
      </c>
      <c r="AQ250" s="90">
        <v>356</v>
      </c>
      <c r="AR250" s="90" t="s">
        <v>380</v>
      </c>
      <c r="AS250" s="90" t="s">
        <v>246</v>
      </c>
      <c r="AT250" s="90" t="s">
        <v>244</v>
      </c>
      <c r="AU250" s="90">
        <v>175.87190000000001</v>
      </c>
      <c r="AV250" s="90">
        <v>199.24819495705501</v>
      </c>
      <c r="AW250" s="90">
        <v>2491.4233808989702</v>
      </c>
      <c r="AX250" s="90">
        <v>1.8820838959999999</v>
      </c>
    </row>
    <row r="251" spans="1:50" x14ac:dyDescent="0.25">
      <c r="A251" s="102">
        <v>830000</v>
      </c>
      <c r="B251" s="102">
        <v>2400000</v>
      </c>
      <c r="C251" s="102">
        <v>2400000</v>
      </c>
      <c r="D251" s="90" t="s">
        <v>374</v>
      </c>
      <c r="E251" s="90" t="s">
        <v>68</v>
      </c>
      <c r="F251" s="90" t="s">
        <v>375</v>
      </c>
      <c r="G251" s="90" t="s">
        <v>376</v>
      </c>
      <c r="H251" s="90">
        <v>0.59</v>
      </c>
      <c r="I251" s="90">
        <v>0.64</v>
      </c>
      <c r="J251" s="90" t="s">
        <v>244</v>
      </c>
      <c r="K251" s="90">
        <v>0.47984936538695</v>
      </c>
      <c r="L251" s="90">
        <v>3885.05372713427</v>
      </c>
      <c r="M251" s="90">
        <v>8.6468520391944992</v>
      </c>
      <c r="N251" s="90">
        <v>1.17418732744239</v>
      </c>
      <c r="O251" s="90">
        <v>4.1491864636024003</v>
      </c>
      <c r="P251" s="90">
        <v>0.56343304391863003</v>
      </c>
      <c r="Q251" s="90">
        <v>1864.24056545961</v>
      </c>
      <c r="R251" s="90">
        <v>1410</v>
      </c>
      <c r="S251" s="90" t="s">
        <v>325</v>
      </c>
      <c r="T251" s="90">
        <v>1410</v>
      </c>
      <c r="U251" s="90" t="s">
        <v>378</v>
      </c>
      <c r="V251" s="90" t="s">
        <v>244</v>
      </c>
      <c r="Z251" s="90">
        <v>0</v>
      </c>
      <c r="AA251" s="90">
        <v>1</v>
      </c>
      <c r="AB251" s="90">
        <v>4.1491864636024003</v>
      </c>
      <c r="AC251" s="90">
        <v>0.56343304391863003</v>
      </c>
      <c r="AD251" s="90">
        <v>2400.04420824927</v>
      </c>
      <c r="AF251" s="90">
        <v>-1</v>
      </c>
      <c r="AG251" s="90">
        <v>-1</v>
      </c>
      <c r="AH251" s="90">
        <v>-1</v>
      </c>
      <c r="AI251" s="90">
        <v>-1</v>
      </c>
      <c r="AJ251" s="90">
        <v>0</v>
      </c>
      <c r="AM251" s="90" t="s">
        <v>379</v>
      </c>
      <c r="AN251" s="90">
        <v>-1</v>
      </c>
      <c r="AQ251" s="90">
        <v>356</v>
      </c>
      <c r="AR251" s="90" t="s">
        <v>380</v>
      </c>
      <c r="AS251" s="90" t="s">
        <v>246</v>
      </c>
      <c r="AT251" s="90" t="s">
        <v>244</v>
      </c>
      <c r="AU251" s="90">
        <v>175.87190000000001</v>
      </c>
      <c r="AV251" s="90">
        <v>177.68999354078699</v>
      </c>
      <c r="AW251" s="90">
        <v>1941.88148610077</v>
      </c>
      <c r="AX251" s="90">
        <v>1.9465078736999999</v>
      </c>
    </row>
    <row r="252" spans="1:50" x14ac:dyDescent="0.25">
      <c r="A252" s="102">
        <v>830000</v>
      </c>
      <c r="B252" s="102">
        <v>2400000</v>
      </c>
      <c r="C252" s="102">
        <v>2400000</v>
      </c>
      <c r="D252" s="90" t="s">
        <v>374</v>
      </c>
      <c r="E252" s="90" t="s">
        <v>68</v>
      </c>
      <c r="F252" s="90" t="s">
        <v>375</v>
      </c>
      <c r="G252" s="90" t="s">
        <v>376</v>
      </c>
      <c r="H252" s="90">
        <v>0.59</v>
      </c>
      <c r="I252" s="90">
        <v>0.64</v>
      </c>
      <c r="J252" s="90" t="s">
        <v>244</v>
      </c>
      <c r="K252" s="90">
        <v>0.61776345366790997</v>
      </c>
      <c r="L252" s="90">
        <v>3777.9106740546399</v>
      </c>
      <c r="M252" s="90">
        <v>11.608074310682101</v>
      </c>
      <c r="N252" s="90">
        <v>1.5325543325089599</v>
      </c>
      <c r="O252" s="90">
        <v>7.1710440766007704</v>
      </c>
      <c r="P252" s="90">
        <v>0.94675605738446</v>
      </c>
      <c r="Q252" s="90">
        <v>2333.8551456528699</v>
      </c>
      <c r="R252" s="90">
        <v>1450</v>
      </c>
      <c r="S252" s="90" t="s">
        <v>391</v>
      </c>
      <c r="T252" s="90">
        <v>1450</v>
      </c>
      <c r="U252" s="90" t="s">
        <v>378</v>
      </c>
      <c r="V252" s="90" t="s">
        <v>244</v>
      </c>
      <c r="Z252" s="90">
        <v>0</v>
      </c>
      <c r="AA252" s="90">
        <v>1</v>
      </c>
      <c r="AB252" s="90">
        <v>7.1710440766007704</v>
      </c>
      <c r="AC252" s="90">
        <v>0.94675605738446</v>
      </c>
      <c r="AD252" s="90">
        <v>2333.8551456528699</v>
      </c>
      <c r="AF252" s="90">
        <v>-1</v>
      </c>
      <c r="AG252" s="90">
        <v>-1</v>
      </c>
      <c r="AH252" s="90">
        <v>-1</v>
      </c>
      <c r="AI252" s="90">
        <v>-1</v>
      </c>
      <c r="AJ252" s="90">
        <v>0</v>
      </c>
      <c r="AM252" s="90" t="s">
        <v>379</v>
      </c>
      <c r="AN252" s="90">
        <v>-1</v>
      </c>
      <c r="AQ252" s="90">
        <v>356</v>
      </c>
      <c r="AR252" s="90" t="s">
        <v>380</v>
      </c>
      <c r="AS252" s="90" t="s">
        <v>246</v>
      </c>
      <c r="AT252" s="90" t="s">
        <v>244</v>
      </c>
      <c r="AU252" s="90">
        <v>175.87190000000001</v>
      </c>
      <c r="AV252" s="90">
        <v>200</v>
      </c>
      <c r="AW252" s="90">
        <v>2500</v>
      </c>
      <c r="AX252" s="90">
        <v>1.8928265577000001</v>
      </c>
    </row>
    <row r="253" spans="1:50" x14ac:dyDescent="0.25">
      <c r="A253" s="102">
        <v>830000</v>
      </c>
      <c r="B253" s="102">
        <v>2400000</v>
      </c>
      <c r="C253" s="102">
        <v>2400000</v>
      </c>
      <c r="D253" s="90" t="s">
        <v>374</v>
      </c>
      <c r="E253" s="90" t="s">
        <v>68</v>
      </c>
      <c r="F253" s="90" t="s">
        <v>375</v>
      </c>
      <c r="G253" s="90" t="s">
        <v>376</v>
      </c>
      <c r="H253" s="90">
        <v>0.59</v>
      </c>
      <c r="I253" s="90">
        <v>0.64</v>
      </c>
      <c r="J253" s="90" t="s">
        <v>244</v>
      </c>
      <c r="K253" s="90">
        <v>4.5482947814039998E-2</v>
      </c>
      <c r="L253" s="90">
        <v>3774.3108456365399</v>
      </c>
      <c r="M253" s="90">
        <v>11.580054974133899</v>
      </c>
      <c r="N253" s="90">
        <v>1.52902303747277</v>
      </c>
      <c r="O253" s="90">
        <v>0.52669503607232004</v>
      </c>
      <c r="P253" s="90">
        <v>6.9544475019850005E-2</v>
      </c>
      <c r="Q253" s="90">
        <v>171.666783226078</v>
      </c>
      <c r="R253" s="90">
        <v>1400</v>
      </c>
      <c r="S253" s="90" t="s">
        <v>324</v>
      </c>
      <c r="T253" s="90">
        <v>1400</v>
      </c>
      <c r="U253" s="90" t="s">
        <v>378</v>
      </c>
      <c r="V253" s="90" t="s">
        <v>244</v>
      </c>
      <c r="Z253" s="90">
        <v>0</v>
      </c>
      <c r="AA253" s="90">
        <v>1</v>
      </c>
      <c r="AB253" s="90">
        <v>0.52669503607232004</v>
      </c>
      <c r="AC253" s="90">
        <v>6.9544475019850005E-2</v>
      </c>
      <c r="AD253" s="90">
        <v>409.22068847373799</v>
      </c>
      <c r="AF253" s="90">
        <v>-1</v>
      </c>
      <c r="AG253" s="90">
        <v>-1</v>
      </c>
      <c r="AH253" s="90">
        <v>-1</v>
      </c>
      <c r="AI253" s="90">
        <v>-1</v>
      </c>
      <c r="AJ253" s="90">
        <v>0</v>
      </c>
      <c r="AM253" s="90" t="s">
        <v>379</v>
      </c>
      <c r="AN253" s="90">
        <v>-1</v>
      </c>
      <c r="AQ253" s="90">
        <v>356</v>
      </c>
      <c r="AR253" s="90" t="s">
        <v>380</v>
      </c>
      <c r="AS253" s="90" t="s">
        <v>246</v>
      </c>
      <c r="AT253" s="90" t="s">
        <v>244</v>
      </c>
      <c r="AU253" s="90">
        <v>175.87190000000001</v>
      </c>
      <c r="AV253" s="90">
        <v>71.991140096313003</v>
      </c>
      <c r="AW253" s="90">
        <v>184.06295947096001</v>
      </c>
      <c r="AX253" s="90">
        <v>0.33189025830000002</v>
      </c>
    </row>
    <row r="254" spans="1:50" x14ac:dyDescent="0.25">
      <c r="A254" s="102">
        <v>830000</v>
      </c>
      <c r="B254" s="102">
        <v>2400000</v>
      </c>
      <c r="C254" s="102">
        <v>2400000</v>
      </c>
      <c r="D254" s="90" t="s">
        <v>374</v>
      </c>
      <c r="E254" s="90" t="s">
        <v>68</v>
      </c>
      <c r="F254" s="90" t="s">
        <v>375</v>
      </c>
      <c r="G254" s="90" t="s">
        <v>376</v>
      </c>
      <c r="H254" s="90">
        <v>0.59</v>
      </c>
      <c r="I254" s="90">
        <v>0.64</v>
      </c>
      <c r="J254" s="90" t="s">
        <v>381</v>
      </c>
      <c r="K254" s="90">
        <v>3.0199053272069998E-2</v>
      </c>
      <c r="L254" s="90">
        <v>3774.3108456365399</v>
      </c>
      <c r="M254" s="90">
        <v>11.580054974133899</v>
      </c>
      <c r="N254" s="90">
        <v>1.52902303747277</v>
      </c>
      <c r="O254" s="90">
        <v>0.34970669705746998</v>
      </c>
      <c r="P254" s="90">
        <v>4.6175048162869999E-2</v>
      </c>
      <c r="Q254" s="90">
        <v>113.98061429276299</v>
      </c>
      <c r="R254" s="90">
        <v>1400</v>
      </c>
      <c r="S254" s="90" t="s">
        <v>324</v>
      </c>
      <c r="T254" s="90">
        <v>1400</v>
      </c>
      <c r="U254" s="90" t="s">
        <v>382</v>
      </c>
      <c r="V254" s="90" t="s">
        <v>381</v>
      </c>
      <c r="Z254" s="90">
        <v>0</v>
      </c>
      <c r="AA254" s="90">
        <v>1</v>
      </c>
      <c r="AB254" s="90">
        <v>0.34970669705746998</v>
      </c>
      <c r="AC254" s="90">
        <v>4.6175048162869999E-2</v>
      </c>
      <c r="AD254" s="90">
        <v>834.940902928848</v>
      </c>
      <c r="AF254" s="90">
        <v>-1</v>
      </c>
      <c r="AG254" s="90">
        <v>-1</v>
      </c>
      <c r="AH254" s="90">
        <v>-1</v>
      </c>
      <c r="AI254" s="90">
        <v>-1</v>
      </c>
      <c r="AJ254" s="90">
        <v>0</v>
      </c>
      <c r="AM254" s="90" t="s">
        <v>379</v>
      </c>
      <c r="AN254" s="90">
        <v>-1</v>
      </c>
      <c r="AQ254" s="90">
        <v>356</v>
      </c>
      <c r="AR254" s="90" t="s">
        <v>380</v>
      </c>
      <c r="AS254" s="90" t="s">
        <v>246</v>
      </c>
      <c r="AT254" s="90" t="s">
        <v>244</v>
      </c>
      <c r="AU254" s="90">
        <v>175.87190000000001</v>
      </c>
      <c r="AV254" s="90">
        <v>52.740944193829399</v>
      </c>
      <c r="AW254" s="90">
        <v>122.211232684511</v>
      </c>
      <c r="AX254" s="90">
        <v>0.67716212730000003</v>
      </c>
    </row>
    <row r="255" spans="1:50" x14ac:dyDescent="0.25">
      <c r="A255" s="102">
        <v>830000</v>
      </c>
      <c r="B255" s="102">
        <v>2400000</v>
      </c>
      <c r="C255" s="102">
        <v>2400000</v>
      </c>
      <c r="D255" s="90" t="s">
        <v>374</v>
      </c>
      <c r="E255" s="90" t="s">
        <v>68</v>
      </c>
      <c r="F255" s="90" t="s">
        <v>375</v>
      </c>
      <c r="G255" s="90" t="s">
        <v>376</v>
      </c>
      <c r="H255" s="90">
        <v>0.59</v>
      </c>
      <c r="I255" s="90">
        <v>0.64</v>
      </c>
      <c r="J255" s="90" t="s">
        <v>244</v>
      </c>
      <c r="K255" s="90">
        <v>3.2077960034299999E-3</v>
      </c>
      <c r="L255" s="90">
        <v>3774.3108456365399</v>
      </c>
      <c r="M255" s="90">
        <v>11.580054974133899</v>
      </c>
      <c r="N255" s="90">
        <v>1.52902303747277</v>
      </c>
      <c r="O255" s="90">
        <v>3.7146454065520002E-2</v>
      </c>
      <c r="P255" s="90">
        <v>4.9047939887499996E-3</v>
      </c>
      <c r="Q255" s="90">
        <v>12.107219246335401</v>
      </c>
      <c r="R255" s="90">
        <v>1430</v>
      </c>
      <c r="S255" s="90" t="s">
        <v>326</v>
      </c>
      <c r="T255" s="90">
        <v>1430</v>
      </c>
      <c r="U255" s="90" t="s">
        <v>378</v>
      </c>
      <c r="V255" s="90" t="s">
        <v>244</v>
      </c>
      <c r="Z255" s="90">
        <v>0</v>
      </c>
      <c r="AA255" s="90">
        <v>1</v>
      </c>
      <c r="AB255" s="90">
        <v>3.7146454065520002E-2</v>
      </c>
      <c r="AC255" s="90">
        <v>4.9047939887499996E-3</v>
      </c>
      <c r="AD255" s="90">
        <v>12.107219246336999</v>
      </c>
      <c r="AF255" s="90">
        <v>-1</v>
      </c>
      <c r="AG255" s="90">
        <v>-1</v>
      </c>
      <c r="AH255" s="90">
        <v>-1</v>
      </c>
      <c r="AI255" s="90">
        <v>-1</v>
      </c>
      <c r="AJ255" s="90">
        <v>0</v>
      </c>
      <c r="AM255" s="90" t="s">
        <v>379</v>
      </c>
      <c r="AN255" s="90">
        <v>-1</v>
      </c>
      <c r="AQ255" s="90">
        <v>356</v>
      </c>
      <c r="AR255" s="90" t="s">
        <v>380</v>
      </c>
      <c r="AS255" s="90" t="s">
        <v>246</v>
      </c>
      <c r="AT255" s="90" t="s">
        <v>244</v>
      </c>
      <c r="AU255" s="90">
        <v>175.87190000000001</v>
      </c>
      <c r="AV255" s="90">
        <v>54.642018672291996</v>
      </c>
      <c r="AW255" s="90">
        <v>12.9814898582314</v>
      </c>
      <c r="AX255" s="90">
        <v>9.8193181000000001E-3</v>
      </c>
    </row>
    <row r="256" spans="1:50" x14ac:dyDescent="0.25">
      <c r="A256" s="102">
        <v>830000</v>
      </c>
      <c r="B256" s="102">
        <v>2400000</v>
      </c>
      <c r="C256" s="102">
        <v>2400000</v>
      </c>
      <c r="D256" s="90" t="s">
        <v>374</v>
      </c>
      <c r="E256" s="90" t="s">
        <v>68</v>
      </c>
      <c r="F256" s="90" t="s">
        <v>375</v>
      </c>
      <c r="G256" s="90" t="s">
        <v>376</v>
      </c>
      <c r="H256" s="90">
        <v>0.59</v>
      </c>
      <c r="I256" s="90">
        <v>0.64</v>
      </c>
      <c r="J256" s="90" t="s">
        <v>244</v>
      </c>
      <c r="K256" s="90">
        <v>0.61776345348380002</v>
      </c>
      <c r="L256" s="90">
        <v>3777.9106743361199</v>
      </c>
      <c r="M256" s="90">
        <v>11.608074311546901</v>
      </c>
      <c r="N256" s="90">
        <v>1.5325543326231399</v>
      </c>
      <c r="O256" s="90">
        <v>7.1710440749979103</v>
      </c>
      <c r="P256" s="90">
        <v>0.94675605717283995</v>
      </c>
      <c r="Q256" s="90">
        <v>2333.8551451312101</v>
      </c>
      <c r="R256" s="90">
        <v>1450</v>
      </c>
      <c r="S256" s="90" t="s">
        <v>391</v>
      </c>
      <c r="T256" s="90">
        <v>1450</v>
      </c>
      <c r="U256" s="90" t="s">
        <v>378</v>
      </c>
      <c r="V256" s="90" t="s">
        <v>244</v>
      </c>
      <c r="Z256" s="90">
        <v>0</v>
      </c>
      <c r="AA256" s="90">
        <v>1</v>
      </c>
      <c r="AB256" s="90">
        <v>7.1710440749979103</v>
      </c>
      <c r="AC256" s="90">
        <v>0.94675605717283995</v>
      </c>
      <c r="AD256" s="90">
        <v>2333.8551451312101</v>
      </c>
      <c r="AF256" s="90">
        <v>-1</v>
      </c>
      <c r="AG256" s="90">
        <v>-1</v>
      </c>
      <c r="AH256" s="90">
        <v>-1</v>
      </c>
      <c r="AI256" s="90">
        <v>-1</v>
      </c>
      <c r="AJ256" s="90">
        <v>0</v>
      </c>
      <c r="AM256" s="90" t="s">
        <v>379</v>
      </c>
      <c r="AN256" s="90">
        <v>-1</v>
      </c>
      <c r="AQ256" s="90">
        <v>356</v>
      </c>
      <c r="AR256" s="90" t="s">
        <v>380</v>
      </c>
      <c r="AS256" s="90" t="s">
        <v>246</v>
      </c>
      <c r="AT256" s="90" t="s">
        <v>244</v>
      </c>
      <c r="AU256" s="90">
        <v>175.87190000000001</v>
      </c>
      <c r="AV256" s="90">
        <v>199.999999970197</v>
      </c>
      <c r="AW256" s="90">
        <v>2499.9999992549401</v>
      </c>
      <c r="AX256" s="90">
        <v>1.8928265573</v>
      </c>
    </row>
    <row r="257" spans="1:50" x14ac:dyDescent="0.25">
      <c r="A257" s="102">
        <v>830000</v>
      </c>
      <c r="B257" s="102">
        <v>2400000</v>
      </c>
      <c r="C257" s="102">
        <v>2400000</v>
      </c>
      <c r="D257" s="90" t="s">
        <v>374</v>
      </c>
      <c r="E257" s="90" t="s">
        <v>68</v>
      </c>
      <c r="F257" s="90" t="s">
        <v>375</v>
      </c>
      <c r="G257" s="90" t="s">
        <v>376</v>
      </c>
      <c r="H257" s="90">
        <v>0.59</v>
      </c>
      <c r="I257" s="90">
        <v>0.64</v>
      </c>
      <c r="J257" s="90" t="s">
        <v>244</v>
      </c>
      <c r="K257" s="90">
        <v>4.7881545387399999E-2</v>
      </c>
      <c r="L257" s="90">
        <v>3781.8716354419298</v>
      </c>
      <c r="M257" s="90">
        <v>11.579550042135599</v>
      </c>
      <c r="N257" s="90">
        <v>1.5286200724267101</v>
      </c>
      <c r="O257" s="90">
        <v>0.55444675090821005</v>
      </c>
      <c r="P257" s="90">
        <v>7.3192691377990005E-2</v>
      </c>
      <c r="Q257" s="90">
        <v>181.08185836174101</v>
      </c>
      <c r="R257" s="90">
        <v>1410</v>
      </c>
      <c r="S257" s="90" t="s">
        <v>325</v>
      </c>
      <c r="T257" s="90">
        <v>1410</v>
      </c>
      <c r="U257" s="90" t="s">
        <v>378</v>
      </c>
      <c r="V257" s="90" t="s">
        <v>244</v>
      </c>
      <c r="Z257" s="90">
        <v>0</v>
      </c>
      <c r="AA257" s="90">
        <v>1</v>
      </c>
      <c r="AB257" s="90">
        <v>0.55444675090821005</v>
      </c>
      <c r="AC257" s="90">
        <v>7.3192691377990005E-2</v>
      </c>
      <c r="AD257" s="90">
        <v>1986.6389106970901</v>
      </c>
      <c r="AF257" s="90">
        <v>-1</v>
      </c>
      <c r="AG257" s="90">
        <v>-1</v>
      </c>
      <c r="AH257" s="90">
        <v>-1</v>
      </c>
      <c r="AI257" s="90">
        <v>-1</v>
      </c>
      <c r="AJ257" s="90">
        <v>0</v>
      </c>
      <c r="AM257" s="90" t="s">
        <v>379</v>
      </c>
      <c r="AN257" s="90">
        <v>-1</v>
      </c>
      <c r="AQ257" s="90">
        <v>356</v>
      </c>
      <c r="AR257" s="90" t="s">
        <v>380</v>
      </c>
      <c r="AS257" s="90" t="s">
        <v>246</v>
      </c>
      <c r="AT257" s="90" t="s">
        <v>244</v>
      </c>
      <c r="AU257" s="90">
        <v>175.87190000000001</v>
      </c>
      <c r="AV257" s="90">
        <v>64.814641161538702</v>
      </c>
      <c r="AW257" s="90">
        <v>193.76973946544399</v>
      </c>
      <c r="AX257" s="90">
        <v>1.6112237719</v>
      </c>
    </row>
    <row r="258" spans="1:50" x14ac:dyDescent="0.25">
      <c r="A258" s="102">
        <v>830000</v>
      </c>
      <c r="B258" s="102">
        <v>2400000</v>
      </c>
      <c r="C258" s="102">
        <v>2400000</v>
      </c>
      <c r="D258" s="90" t="s">
        <v>374</v>
      </c>
      <c r="E258" s="90" t="s">
        <v>68</v>
      </c>
      <c r="F258" s="90" t="s">
        <v>375</v>
      </c>
      <c r="G258" s="90" t="s">
        <v>376</v>
      </c>
      <c r="H258" s="90">
        <v>0.59</v>
      </c>
      <c r="I258" s="90">
        <v>0.64</v>
      </c>
      <c r="J258" s="90" t="s">
        <v>389</v>
      </c>
      <c r="K258" s="90">
        <v>0.53984310565037996</v>
      </c>
      <c r="L258" s="90">
        <v>3120.0168105094299</v>
      </c>
      <c r="M258" s="90">
        <v>6.10409027808684</v>
      </c>
      <c r="N258" s="90">
        <v>0.83243253844505005</v>
      </c>
      <c r="O258" s="90">
        <v>3.2952510528927301</v>
      </c>
      <c r="P258" s="90">
        <v>0.44938296679861001</v>
      </c>
      <c r="Q258" s="90">
        <v>1684.31956466683</v>
      </c>
      <c r="R258" s="90">
        <v>4200</v>
      </c>
      <c r="S258" s="90" t="s">
        <v>390</v>
      </c>
      <c r="T258" s="90">
        <v>4200</v>
      </c>
      <c r="U258" s="90" t="s">
        <v>378</v>
      </c>
      <c r="V258" s="90" t="s">
        <v>244</v>
      </c>
      <c r="Y258" s="90" t="s">
        <v>389</v>
      </c>
      <c r="Z258" s="90">
        <v>0</v>
      </c>
      <c r="AA258" s="90">
        <v>1</v>
      </c>
      <c r="AB258" s="90">
        <v>3.2952510528927301</v>
      </c>
      <c r="AC258" s="90">
        <v>0.44938296679861001</v>
      </c>
      <c r="AD258" s="90">
        <v>1927.4323600032401</v>
      </c>
      <c r="AF258" s="90">
        <v>-1</v>
      </c>
      <c r="AG258" s="90">
        <v>-1</v>
      </c>
      <c r="AH258" s="90">
        <v>-1</v>
      </c>
      <c r="AI258" s="90">
        <v>-1</v>
      </c>
      <c r="AJ258" s="90">
        <v>0</v>
      </c>
      <c r="AM258" s="90" t="s">
        <v>379</v>
      </c>
      <c r="AN258" s="90">
        <v>-1</v>
      </c>
      <c r="AQ258" s="90">
        <v>356</v>
      </c>
      <c r="AR258" s="90" t="s">
        <v>380</v>
      </c>
      <c r="AS258" s="90" t="s">
        <v>246</v>
      </c>
      <c r="AT258" s="90" t="s">
        <v>244</v>
      </c>
      <c r="AU258" s="90">
        <v>175.87190000000001</v>
      </c>
      <c r="AV258" s="90">
        <v>187.40143566116399</v>
      </c>
      <c r="AW258" s="90">
        <v>2184.6675391896301</v>
      </c>
      <c r="AX258" s="90">
        <v>1.5632054825999999</v>
      </c>
    </row>
    <row r="259" spans="1:50" x14ac:dyDescent="0.25">
      <c r="A259" s="102">
        <v>830000</v>
      </c>
      <c r="B259" s="102">
        <v>2400000</v>
      </c>
      <c r="C259" s="102">
        <v>2400000</v>
      </c>
      <c r="D259" s="90" t="s">
        <v>374</v>
      </c>
      <c r="E259" s="90" t="s">
        <v>68</v>
      </c>
      <c r="F259" s="90" t="s">
        <v>375</v>
      </c>
      <c r="G259" s="90" t="s">
        <v>376</v>
      </c>
      <c r="H259" s="90">
        <v>0.59</v>
      </c>
      <c r="I259" s="90">
        <v>0.64</v>
      </c>
      <c r="J259" s="90" t="s">
        <v>244</v>
      </c>
      <c r="K259" s="90">
        <v>2.75511446617E-2</v>
      </c>
      <c r="L259" s="90">
        <v>3752.8105449066202</v>
      </c>
      <c r="M259" s="90">
        <v>10.6434789165361</v>
      </c>
      <c r="N259" s="90">
        <v>1.9789777567598901</v>
      </c>
      <c r="O259" s="90">
        <v>0.29324002733326998</v>
      </c>
      <c r="P259" s="90">
        <v>5.4523102458779997E-2</v>
      </c>
      <c r="Q259" s="90">
        <v>103.394226210686</v>
      </c>
      <c r="R259" s="90">
        <v>1300</v>
      </c>
      <c r="S259" s="90" t="s">
        <v>387</v>
      </c>
      <c r="T259" s="90">
        <v>1300</v>
      </c>
      <c r="U259" s="90" t="s">
        <v>378</v>
      </c>
      <c r="V259" s="90" t="s">
        <v>244</v>
      </c>
      <c r="Z259" s="90">
        <v>0</v>
      </c>
      <c r="AA259" s="90">
        <v>1</v>
      </c>
      <c r="AB259" s="90">
        <v>0.29324002733326998</v>
      </c>
      <c r="AC259" s="90">
        <v>5.4523102458779997E-2</v>
      </c>
      <c r="AD259" s="90">
        <v>992.51632696675495</v>
      </c>
      <c r="AF259" s="90">
        <v>-1</v>
      </c>
      <c r="AG259" s="90">
        <v>-1</v>
      </c>
      <c r="AH259" s="90">
        <v>-1</v>
      </c>
      <c r="AI259" s="90">
        <v>-1</v>
      </c>
      <c r="AJ259" s="90">
        <v>0</v>
      </c>
      <c r="AM259" s="90" t="s">
        <v>379</v>
      </c>
      <c r="AN259" s="90">
        <v>-1</v>
      </c>
      <c r="AQ259" s="90">
        <v>356</v>
      </c>
      <c r="AR259" s="90" t="s">
        <v>380</v>
      </c>
      <c r="AS259" s="90" t="s">
        <v>246</v>
      </c>
      <c r="AT259" s="90" t="s">
        <v>244</v>
      </c>
      <c r="AU259" s="90">
        <v>175.87190000000001</v>
      </c>
      <c r="AV259" s="90">
        <v>104.48922562702801</v>
      </c>
      <c r="AW259" s="90">
        <v>111.495526718682</v>
      </c>
      <c r="AX259" s="90">
        <v>0.80496052470000001</v>
      </c>
    </row>
    <row r="260" spans="1:50" x14ac:dyDescent="0.25">
      <c r="A260" s="102">
        <v>830000</v>
      </c>
      <c r="B260" s="102">
        <v>2400000</v>
      </c>
      <c r="C260" s="102">
        <v>2400000</v>
      </c>
      <c r="D260" s="90" t="s">
        <v>374</v>
      </c>
      <c r="E260" s="90" t="s">
        <v>68</v>
      </c>
      <c r="F260" s="90" t="s">
        <v>375</v>
      </c>
      <c r="G260" s="90" t="s">
        <v>376</v>
      </c>
      <c r="H260" s="90">
        <v>0.59</v>
      </c>
      <c r="I260" s="90">
        <v>0.64</v>
      </c>
      <c r="J260" s="90" t="s">
        <v>244</v>
      </c>
      <c r="K260" s="90">
        <v>5.076549399797E-2</v>
      </c>
      <c r="L260" s="90">
        <v>3752.8105449066202</v>
      </c>
      <c r="M260" s="90">
        <v>10.6434789165361</v>
      </c>
      <c r="N260" s="90">
        <v>1.9789777567598901</v>
      </c>
      <c r="O260" s="90">
        <v>0.54032146505501999</v>
      </c>
      <c r="P260" s="90">
        <v>0.10046378343292001</v>
      </c>
      <c r="Q260" s="90">
        <v>190.51328119300501</v>
      </c>
      <c r="R260" s="90">
        <v>1400</v>
      </c>
      <c r="S260" s="90" t="s">
        <v>324</v>
      </c>
      <c r="T260" s="90">
        <v>1400</v>
      </c>
      <c r="U260" s="90" t="s">
        <v>378</v>
      </c>
      <c r="V260" s="90" t="s">
        <v>244</v>
      </c>
      <c r="Z260" s="90">
        <v>0</v>
      </c>
      <c r="AA260" s="90">
        <v>1</v>
      </c>
      <c r="AB260" s="90">
        <v>0.54032146505501999</v>
      </c>
      <c r="AC260" s="90">
        <v>0.10046378343292001</v>
      </c>
      <c r="AD260" s="90">
        <v>190.51328119300501</v>
      </c>
      <c r="AF260" s="90">
        <v>-1</v>
      </c>
      <c r="AG260" s="90">
        <v>-1</v>
      </c>
      <c r="AH260" s="90">
        <v>-1</v>
      </c>
      <c r="AI260" s="90">
        <v>-1</v>
      </c>
      <c r="AJ260" s="90">
        <v>0</v>
      </c>
      <c r="AM260" s="90" t="s">
        <v>379</v>
      </c>
      <c r="AN260" s="90">
        <v>-1</v>
      </c>
      <c r="AQ260" s="90">
        <v>356</v>
      </c>
      <c r="AR260" s="90" t="s">
        <v>380</v>
      </c>
      <c r="AS260" s="90" t="s">
        <v>246</v>
      </c>
      <c r="AT260" s="90" t="s">
        <v>244</v>
      </c>
      <c r="AU260" s="90">
        <v>175.87190000000001</v>
      </c>
      <c r="AV260" s="90">
        <v>112.426903110494</v>
      </c>
      <c r="AW260" s="90">
        <v>205.440665422026</v>
      </c>
      <c r="AX260" s="90">
        <v>0.15451198799999999</v>
      </c>
    </row>
    <row r="261" spans="1:50" x14ac:dyDescent="0.25">
      <c r="A261" s="102">
        <v>830000</v>
      </c>
      <c r="B261" s="102">
        <v>2400000</v>
      </c>
      <c r="C261" s="102">
        <v>2400000</v>
      </c>
      <c r="D261" s="90" t="s">
        <v>374</v>
      </c>
      <c r="E261" s="90" t="s">
        <v>68</v>
      </c>
      <c r="F261" s="90" t="s">
        <v>375</v>
      </c>
      <c r="G261" s="90" t="s">
        <v>376</v>
      </c>
      <c r="H261" s="90">
        <v>0.59</v>
      </c>
      <c r="I261" s="90">
        <v>0.64</v>
      </c>
      <c r="J261" s="90" t="s">
        <v>244</v>
      </c>
      <c r="K261" s="90">
        <v>3.2955662295100002E-3</v>
      </c>
      <c r="L261" s="90">
        <v>3752.8105449066202</v>
      </c>
      <c r="M261" s="90">
        <v>10.6434789165361</v>
      </c>
      <c r="N261" s="90">
        <v>1.9789777567598901</v>
      </c>
      <c r="O261" s="90">
        <v>3.5076289681839998E-2</v>
      </c>
      <c r="P261" s="90">
        <v>6.5218522641299998E-3</v>
      </c>
      <c r="Q261" s="90">
        <v>12.367635697547</v>
      </c>
      <c r="R261" s="90">
        <v>1300</v>
      </c>
      <c r="S261" s="90" t="s">
        <v>387</v>
      </c>
      <c r="T261" s="90">
        <v>1300</v>
      </c>
      <c r="U261" s="90" t="s">
        <v>378</v>
      </c>
      <c r="V261" s="90" t="s">
        <v>244</v>
      </c>
      <c r="Z261" s="90">
        <v>0</v>
      </c>
      <c r="AA261" s="90">
        <v>1</v>
      </c>
      <c r="AB261" s="90">
        <v>3.5076289681839998E-2</v>
      </c>
      <c r="AC261" s="90">
        <v>6.5218522641299998E-3</v>
      </c>
      <c r="AD261" s="90">
        <v>12.367635697547099</v>
      </c>
      <c r="AF261" s="90">
        <v>-1</v>
      </c>
      <c r="AG261" s="90">
        <v>-1</v>
      </c>
      <c r="AH261" s="90">
        <v>-1</v>
      </c>
      <c r="AI261" s="90">
        <v>-1</v>
      </c>
      <c r="AJ261" s="90">
        <v>0</v>
      </c>
      <c r="AM261" s="90" t="s">
        <v>379</v>
      </c>
      <c r="AN261" s="90">
        <v>-1</v>
      </c>
      <c r="AQ261" s="90">
        <v>356</v>
      </c>
      <c r="AR261" s="90" t="s">
        <v>380</v>
      </c>
      <c r="AS261" s="90" t="s">
        <v>246</v>
      </c>
      <c r="AT261" s="90" t="s">
        <v>244</v>
      </c>
      <c r="AU261" s="90">
        <v>175.87190000000001</v>
      </c>
      <c r="AV261" s="90">
        <v>15.1424927381474</v>
      </c>
      <c r="AW261" s="90">
        <v>13.336683361341199</v>
      </c>
      <c r="AX261" s="90">
        <v>1.00305237E-2</v>
      </c>
    </row>
    <row r="262" spans="1:50" x14ac:dyDescent="0.25">
      <c r="A262" s="102">
        <v>830000</v>
      </c>
      <c r="B262" s="102">
        <v>2400000</v>
      </c>
      <c r="C262" s="102">
        <v>2400000</v>
      </c>
      <c r="D262" s="90" t="s">
        <v>374</v>
      </c>
      <c r="E262" s="90" t="s">
        <v>68</v>
      </c>
      <c r="F262" s="90" t="s">
        <v>375</v>
      </c>
      <c r="G262" s="90" t="s">
        <v>376</v>
      </c>
      <c r="H262" s="90">
        <v>0.59</v>
      </c>
      <c r="I262" s="90">
        <v>0.64</v>
      </c>
      <c r="J262" s="90" t="s">
        <v>244</v>
      </c>
      <c r="K262" s="90">
        <v>0.61776345371394004</v>
      </c>
      <c r="L262" s="90">
        <v>3747.7351295950298</v>
      </c>
      <c r="M262" s="90">
        <v>10.7827144164304</v>
      </c>
      <c r="N262" s="90">
        <v>2.0776258091528699</v>
      </c>
      <c r="O262" s="90">
        <v>6.6611668983051402</v>
      </c>
      <c r="P262" s="90">
        <v>1.2834812953875001</v>
      </c>
      <c r="Q262" s="90">
        <v>2315.2137972636801</v>
      </c>
      <c r="R262" s="90">
        <v>1300</v>
      </c>
      <c r="S262" s="90" t="s">
        <v>387</v>
      </c>
      <c r="T262" s="90">
        <v>1300</v>
      </c>
      <c r="U262" s="90" t="s">
        <v>378</v>
      </c>
      <c r="V262" s="90" t="s">
        <v>244</v>
      </c>
      <c r="Z262" s="90">
        <v>0</v>
      </c>
      <c r="AA262" s="90">
        <v>1</v>
      </c>
      <c r="AB262" s="90">
        <v>6.6611668983051402</v>
      </c>
      <c r="AC262" s="90">
        <v>1.2834812953875001</v>
      </c>
      <c r="AD262" s="90">
        <v>2315.2137972636801</v>
      </c>
      <c r="AF262" s="90">
        <v>-1</v>
      </c>
      <c r="AG262" s="90">
        <v>-1</v>
      </c>
      <c r="AH262" s="90">
        <v>-1</v>
      </c>
      <c r="AI262" s="90">
        <v>-1</v>
      </c>
      <c r="AJ262" s="90">
        <v>0</v>
      </c>
      <c r="AM262" s="90" t="s">
        <v>379</v>
      </c>
      <c r="AN262" s="90">
        <v>-1</v>
      </c>
      <c r="AQ262" s="90">
        <v>356</v>
      </c>
      <c r="AR262" s="90" t="s">
        <v>380</v>
      </c>
      <c r="AS262" s="90" t="s">
        <v>246</v>
      </c>
      <c r="AT262" s="90" t="s">
        <v>244</v>
      </c>
      <c r="AU262" s="90">
        <v>175.87190000000001</v>
      </c>
      <c r="AV262" s="90">
        <v>200.00000000745001</v>
      </c>
      <c r="AW262" s="90">
        <v>2500.00000018626</v>
      </c>
      <c r="AX262" s="90">
        <v>1.8777078648000001</v>
      </c>
    </row>
    <row r="263" spans="1:50" x14ac:dyDescent="0.25">
      <c r="A263" s="102">
        <v>830000</v>
      </c>
      <c r="B263" s="102">
        <v>2400000</v>
      </c>
      <c r="C263" s="102">
        <v>2400000</v>
      </c>
      <c r="D263" s="90" t="s">
        <v>374</v>
      </c>
      <c r="E263" s="90" t="s">
        <v>68</v>
      </c>
      <c r="F263" s="90" t="s">
        <v>375</v>
      </c>
      <c r="G263" s="90" t="s">
        <v>376</v>
      </c>
      <c r="H263" s="90">
        <v>0.59</v>
      </c>
      <c r="I263" s="90">
        <v>0.64</v>
      </c>
      <c r="J263" s="90" t="s">
        <v>244</v>
      </c>
      <c r="K263" s="90">
        <v>0.26381790253993997</v>
      </c>
      <c r="L263" s="90">
        <v>3746.9312451753399</v>
      </c>
      <c r="M263" s="90">
        <v>10.780471751685001</v>
      </c>
      <c r="N263" s="90">
        <v>2.0772018569227502</v>
      </c>
      <c r="O263" s="90">
        <v>2.84408144592064</v>
      </c>
      <c r="P263" s="90">
        <v>0.54800303704542996</v>
      </c>
      <c r="Q263" s="90">
        <v>988.50754206353497</v>
      </c>
      <c r="R263" s="90">
        <v>1300</v>
      </c>
      <c r="S263" s="90" t="s">
        <v>387</v>
      </c>
      <c r="T263" s="90">
        <v>1300</v>
      </c>
      <c r="U263" s="90" t="s">
        <v>378</v>
      </c>
      <c r="V263" s="90" t="s">
        <v>244</v>
      </c>
      <c r="Z263" s="90">
        <v>0</v>
      </c>
      <c r="AA263" s="90">
        <v>1</v>
      </c>
      <c r="AB263" s="90">
        <v>2.84408144592064</v>
      </c>
      <c r="AC263" s="90">
        <v>0.54800303704542996</v>
      </c>
      <c r="AD263" s="90">
        <v>988.50754206353497</v>
      </c>
      <c r="AF263" s="90">
        <v>-1</v>
      </c>
      <c r="AG263" s="90">
        <v>-1</v>
      </c>
      <c r="AH263" s="90">
        <v>-1</v>
      </c>
      <c r="AI263" s="90">
        <v>-1</v>
      </c>
      <c r="AJ263" s="90">
        <v>0</v>
      </c>
      <c r="AM263" s="90" t="s">
        <v>379</v>
      </c>
      <c r="AN263" s="90">
        <v>-1</v>
      </c>
      <c r="AQ263" s="90">
        <v>356</v>
      </c>
      <c r="AR263" s="90" t="s">
        <v>380</v>
      </c>
      <c r="AS263" s="90" t="s">
        <v>246</v>
      </c>
      <c r="AT263" s="90" t="s">
        <v>244</v>
      </c>
      <c r="AU263" s="90">
        <v>175.87190000000001</v>
      </c>
      <c r="AV263" s="90">
        <v>141.396559525177</v>
      </c>
      <c r="AW263" s="90">
        <v>1067.6331732378601</v>
      </c>
      <c r="AX263" s="90">
        <v>0.80170927989999996</v>
      </c>
    </row>
    <row r="264" spans="1:50" x14ac:dyDescent="0.25">
      <c r="A264" s="102">
        <v>830000</v>
      </c>
      <c r="B264" s="102">
        <v>2400000</v>
      </c>
      <c r="C264" s="102">
        <v>2400000</v>
      </c>
      <c r="D264" s="90" t="s">
        <v>374</v>
      </c>
      <c r="E264" s="90" t="s">
        <v>68</v>
      </c>
      <c r="F264" s="90" t="s">
        <v>375</v>
      </c>
      <c r="G264" s="90" t="s">
        <v>376</v>
      </c>
      <c r="H264" s="90">
        <v>0.59</v>
      </c>
      <c r="I264" s="90">
        <v>0.64</v>
      </c>
      <c r="J264" s="90" t="s">
        <v>244</v>
      </c>
      <c r="K264" s="90">
        <v>5.35831913366E-3</v>
      </c>
      <c r="L264" s="90">
        <v>3746.9312451753399</v>
      </c>
      <c r="M264" s="90">
        <v>10.780471751685001</v>
      </c>
      <c r="N264" s="90">
        <v>2.0772018569227502</v>
      </c>
      <c r="O264" s="90">
        <v>5.7765208057029997E-2</v>
      </c>
      <c r="P264" s="90">
        <v>1.113031045444E-2</v>
      </c>
      <c r="Q264" s="90">
        <v>20.0772533835652</v>
      </c>
      <c r="R264" s="90">
        <v>1300</v>
      </c>
      <c r="S264" s="90" t="s">
        <v>387</v>
      </c>
      <c r="T264" s="90">
        <v>1300</v>
      </c>
      <c r="U264" s="90" t="s">
        <v>378</v>
      </c>
      <c r="V264" s="90" t="s">
        <v>244</v>
      </c>
      <c r="Z264" s="90">
        <v>0</v>
      </c>
      <c r="AA264" s="90">
        <v>1</v>
      </c>
      <c r="AB264" s="90">
        <v>5.7765208057029997E-2</v>
      </c>
      <c r="AC264" s="90">
        <v>1.113031045444E-2</v>
      </c>
      <c r="AD264" s="90">
        <v>20.077253383563999</v>
      </c>
      <c r="AF264" s="90">
        <v>-1</v>
      </c>
      <c r="AG264" s="90">
        <v>-1</v>
      </c>
      <c r="AH264" s="90">
        <v>-1</v>
      </c>
      <c r="AI264" s="90">
        <v>-1</v>
      </c>
      <c r="AJ264" s="90">
        <v>0</v>
      </c>
      <c r="AM264" s="90" t="s">
        <v>379</v>
      </c>
      <c r="AN264" s="90">
        <v>-1</v>
      </c>
      <c r="AQ264" s="90">
        <v>356</v>
      </c>
      <c r="AR264" s="90" t="s">
        <v>380</v>
      </c>
      <c r="AS264" s="90" t="s">
        <v>246</v>
      </c>
      <c r="AT264" s="90" t="s">
        <v>244</v>
      </c>
      <c r="AU264" s="90">
        <v>175.87190000000001</v>
      </c>
      <c r="AV264" s="90">
        <v>47.150284924661698</v>
      </c>
      <c r="AW264" s="90">
        <v>21.684348199355899</v>
      </c>
      <c r="AX264" s="90">
        <v>1.6283255E-2</v>
      </c>
    </row>
    <row r="265" spans="1:50" x14ac:dyDescent="0.25">
      <c r="A265" s="102">
        <v>830000</v>
      </c>
      <c r="B265" s="102">
        <v>2400000</v>
      </c>
      <c r="C265" s="102">
        <v>2400000</v>
      </c>
      <c r="D265" s="90" t="s">
        <v>374</v>
      </c>
      <c r="E265" s="90" t="s">
        <v>68</v>
      </c>
      <c r="F265" s="90" t="s">
        <v>375</v>
      </c>
      <c r="G265" s="90" t="s">
        <v>376</v>
      </c>
      <c r="H265" s="90">
        <v>0.59</v>
      </c>
      <c r="I265" s="90">
        <v>0.64</v>
      </c>
      <c r="J265" s="90" t="s">
        <v>244</v>
      </c>
      <c r="K265" s="90">
        <v>0.28801992287116002</v>
      </c>
      <c r="L265" s="90">
        <v>3749.80819673511</v>
      </c>
      <c r="M265" s="90">
        <v>10.7884498132138</v>
      </c>
      <c r="N265" s="90">
        <v>2.0787042659494599</v>
      </c>
      <c r="O265" s="90">
        <v>3.1072884831012999</v>
      </c>
      <c r="P265" s="90">
        <v>0.59870824235071995</v>
      </c>
      <c r="Q265" s="90">
        <v>1080.01946760531</v>
      </c>
      <c r="R265" s="90">
        <v>1300</v>
      </c>
      <c r="S265" s="90" t="s">
        <v>387</v>
      </c>
      <c r="T265" s="90">
        <v>1300</v>
      </c>
      <c r="U265" s="90" t="s">
        <v>378</v>
      </c>
      <c r="V265" s="90" t="s">
        <v>244</v>
      </c>
      <c r="Z265" s="90">
        <v>0</v>
      </c>
      <c r="AA265" s="90">
        <v>1</v>
      </c>
      <c r="AB265" s="90">
        <v>3.1072884831012999</v>
      </c>
      <c r="AC265" s="90">
        <v>0.59870824235071995</v>
      </c>
      <c r="AD265" s="90">
        <v>1080.01946760531</v>
      </c>
      <c r="AF265" s="90">
        <v>-1</v>
      </c>
      <c r="AG265" s="90">
        <v>-1</v>
      </c>
      <c r="AH265" s="90">
        <v>-1</v>
      </c>
      <c r="AI265" s="90">
        <v>-1</v>
      </c>
      <c r="AJ265" s="90">
        <v>0</v>
      </c>
      <c r="AM265" s="90" t="s">
        <v>379</v>
      </c>
      <c r="AN265" s="90">
        <v>-1</v>
      </c>
      <c r="AQ265" s="90">
        <v>356</v>
      </c>
      <c r="AR265" s="90" t="s">
        <v>380</v>
      </c>
      <c r="AS265" s="90" t="s">
        <v>246</v>
      </c>
      <c r="AT265" s="90" t="s">
        <v>244</v>
      </c>
      <c r="AU265" s="90">
        <v>175.87190000000001</v>
      </c>
      <c r="AV265" s="90">
        <v>174.61465449846301</v>
      </c>
      <c r="AW265" s="90">
        <v>1165.5752746503299</v>
      </c>
      <c r="AX265" s="90">
        <v>0.87592819759999996</v>
      </c>
    </row>
    <row r="266" spans="1:50" x14ac:dyDescent="0.25">
      <c r="A266" s="102">
        <v>830000</v>
      </c>
      <c r="B266" s="102">
        <v>2400000</v>
      </c>
      <c r="C266" s="102">
        <v>2400000</v>
      </c>
      <c r="D266" s="90" t="s">
        <v>374</v>
      </c>
      <c r="E266" s="90" t="s">
        <v>68</v>
      </c>
      <c r="F266" s="90" t="s">
        <v>375</v>
      </c>
      <c r="G266" s="90" t="s">
        <v>376</v>
      </c>
      <c r="H266" s="90">
        <v>0.59</v>
      </c>
      <c r="I266" s="90">
        <v>0.64</v>
      </c>
      <c r="J266" s="90" t="s">
        <v>244</v>
      </c>
      <c r="K266" s="90">
        <v>0.32974353061264</v>
      </c>
      <c r="L266" s="90">
        <v>3749.80819673511</v>
      </c>
      <c r="M266" s="90">
        <v>10.7884498132138</v>
      </c>
      <c r="N266" s="90">
        <v>2.0787042659494599</v>
      </c>
      <c r="O266" s="90">
        <v>3.5574215312464101</v>
      </c>
      <c r="P266" s="90">
        <v>0.68543928375372998</v>
      </c>
      <c r="Q266" s="90">
        <v>1236.47499391165</v>
      </c>
      <c r="R266" s="90">
        <v>1300</v>
      </c>
      <c r="S266" s="90" t="s">
        <v>387</v>
      </c>
      <c r="T266" s="90">
        <v>1300</v>
      </c>
      <c r="U266" s="90" t="s">
        <v>378</v>
      </c>
      <c r="V266" s="90" t="s">
        <v>244</v>
      </c>
      <c r="Z266" s="90">
        <v>0</v>
      </c>
      <c r="AA266" s="90">
        <v>1</v>
      </c>
      <c r="AB266" s="90">
        <v>3.5574215312464101</v>
      </c>
      <c r="AC266" s="90">
        <v>0.68543928375372998</v>
      </c>
      <c r="AD266" s="90">
        <v>1236.47499391165</v>
      </c>
      <c r="AF266" s="90">
        <v>-1</v>
      </c>
      <c r="AG266" s="90">
        <v>-1</v>
      </c>
      <c r="AH266" s="90">
        <v>-1</v>
      </c>
      <c r="AI266" s="90">
        <v>-1</v>
      </c>
      <c r="AJ266" s="90">
        <v>0</v>
      </c>
      <c r="AM266" s="90" t="s">
        <v>379</v>
      </c>
      <c r="AN266" s="90">
        <v>-1</v>
      </c>
      <c r="AQ266" s="90">
        <v>356</v>
      </c>
      <c r="AR266" s="90" t="s">
        <v>380</v>
      </c>
      <c r="AS266" s="90" t="s">
        <v>246</v>
      </c>
      <c r="AT266" s="90" t="s">
        <v>244</v>
      </c>
      <c r="AU266" s="90">
        <v>175.87190000000001</v>
      </c>
      <c r="AV266" s="90">
        <v>154.26821085280699</v>
      </c>
      <c r="AW266" s="90">
        <v>1334.42472460461</v>
      </c>
      <c r="AX266" s="90">
        <v>1.0028183243</v>
      </c>
    </row>
    <row r="267" spans="1:50" x14ac:dyDescent="0.25">
      <c r="A267" s="102">
        <v>830000</v>
      </c>
      <c r="B267" s="102">
        <v>2400000</v>
      </c>
      <c r="C267" s="102">
        <v>2400000</v>
      </c>
      <c r="D267" s="90" t="s">
        <v>374</v>
      </c>
      <c r="E267" s="90" t="s">
        <v>68</v>
      </c>
      <c r="F267" s="90" t="s">
        <v>375</v>
      </c>
      <c r="G267" s="90" t="s">
        <v>376</v>
      </c>
      <c r="H267" s="90">
        <v>0.59</v>
      </c>
      <c r="I267" s="90">
        <v>0.64</v>
      </c>
      <c r="J267" s="90" t="s">
        <v>244</v>
      </c>
      <c r="K267" s="90">
        <v>7.7925954703589997E-2</v>
      </c>
      <c r="L267" s="90">
        <v>2226.0480261681901</v>
      </c>
      <c r="M267" s="90">
        <v>6.6641870572027404</v>
      </c>
      <c r="N267" s="90">
        <v>0.89734605010361002</v>
      </c>
      <c r="O267" s="90">
        <v>0.51931313875584995</v>
      </c>
      <c r="P267" s="90">
        <v>6.9926547653820004E-2</v>
      </c>
      <c r="Q267" s="90">
        <v>173.46691765520501</v>
      </c>
      <c r="R267" s="90">
        <v>1410</v>
      </c>
      <c r="S267" s="90" t="s">
        <v>325</v>
      </c>
      <c r="T267" s="90">
        <v>1410</v>
      </c>
      <c r="U267" s="90" t="s">
        <v>378</v>
      </c>
      <c r="V267" s="90" t="s">
        <v>244</v>
      </c>
      <c r="Z267" s="90">
        <v>0</v>
      </c>
      <c r="AA267" s="90">
        <v>1</v>
      </c>
      <c r="AB267" s="90">
        <v>0.51931313875584995</v>
      </c>
      <c r="AC267" s="90">
        <v>6.9926547653820004E-2</v>
      </c>
      <c r="AD267" s="90">
        <v>206.16082908931901</v>
      </c>
      <c r="AF267" s="90">
        <v>-1</v>
      </c>
      <c r="AG267" s="90">
        <v>-1</v>
      </c>
      <c r="AH267" s="90">
        <v>-1</v>
      </c>
      <c r="AI267" s="90">
        <v>-1</v>
      </c>
      <c r="AJ267" s="90">
        <v>0</v>
      </c>
      <c r="AM267" s="90" t="s">
        <v>379</v>
      </c>
      <c r="AN267" s="90">
        <v>-1</v>
      </c>
      <c r="AQ267" s="90">
        <v>356</v>
      </c>
      <c r="AR267" s="90" t="s">
        <v>380</v>
      </c>
      <c r="AS267" s="90" t="s">
        <v>246</v>
      </c>
      <c r="AT267" s="90" t="s">
        <v>244</v>
      </c>
      <c r="AU267" s="90">
        <v>175.87190000000001</v>
      </c>
      <c r="AV267" s="90">
        <v>71.040591951523794</v>
      </c>
      <c r="AW267" s="90">
        <v>315.355150263886</v>
      </c>
      <c r="AX267" s="90">
        <v>0.16720261889999999</v>
      </c>
    </row>
    <row r="268" spans="1:50" x14ac:dyDescent="0.25">
      <c r="A268" s="102">
        <v>830000</v>
      </c>
      <c r="B268" s="102">
        <v>2400000</v>
      </c>
      <c r="C268" s="102">
        <v>2400000</v>
      </c>
      <c r="D268" s="90" t="s">
        <v>374</v>
      </c>
      <c r="E268" s="90" t="s">
        <v>68</v>
      </c>
      <c r="F268" s="90" t="s">
        <v>375</v>
      </c>
      <c r="G268" s="90" t="s">
        <v>376</v>
      </c>
      <c r="H268" s="90">
        <v>0.59</v>
      </c>
      <c r="I268" s="90">
        <v>0.64</v>
      </c>
      <c r="J268" s="90" t="s">
        <v>244</v>
      </c>
      <c r="K268" s="90">
        <v>0.14412227096655</v>
      </c>
      <c r="L268" s="90">
        <v>2226.0480261681901</v>
      </c>
      <c r="M268" s="90">
        <v>6.6641870572027404</v>
      </c>
      <c r="N268" s="90">
        <v>0.89734605010361002</v>
      </c>
      <c r="O268" s="90">
        <v>0.96045777282995004</v>
      </c>
      <c r="P268" s="90">
        <v>0.12932755058379</v>
      </c>
      <c r="Q268" s="90">
        <v>320.82309681196898</v>
      </c>
      <c r="R268" s="90">
        <v>1430</v>
      </c>
      <c r="S268" s="90" t="s">
        <v>326</v>
      </c>
      <c r="T268" s="90">
        <v>1430</v>
      </c>
      <c r="U268" s="90" t="s">
        <v>378</v>
      </c>
      <c r="V268" s="90" t="s">
        <v>244</v>
      </c>
      <c r="Z268" s="90">
        <v>0</v>
      </c>
      <c r="AA268" s="90">
        <v>1</v>
      </c>
      <c r="AB268" s="90">
        <v>0.96045777282995004</v>
      </c>
      <c r="AC268" s="90">
        <v>0.12932755058379</v>
      </c>
      <c r="AD268" s="90">
        <v>376.48121412323798</v>
      </c>
      <c r="AF268" s="90">
        <v>-1</v>
      </c>
      <c r="AG268" s="90">
        <v>-1</v>
      </c>
      <c r="AH268" s="90">
        <v>-1</v>
      </c>
      <c r="AI268" s="90">
        <v>-1</v>
      </c>
      <c r="AJ268" s="90">
        <v>0</v>
      </c>
      <c r="AM268" s="90" t="s">
        <v>379</v>
      </c>
      <c r="AN268" s="90">
        <v>-1</v>
      </c>
      <c r="AQ268" s="90">
        <v>356</v>
      </c>
      <c r="AR268" s="90" t="s">
        <v>380</v>
      </c>
      <c r="AS268" s="90" t="s">
        <v>246</v>
      </c>
      <c r="AT268" s="90" t="s">
        <v>244</v>
      </c>
      <c r="AU268" s="90">
        <v>175.87190000000001</v>
      </c>
      <c r="AV268" s="90">
        <v>100.51659311468499</v>
      </c>
      <c r="AW268" s="90">
        <v>583.24213787186</v>
      </c>
      <c r="AX268" s="90">
        <v>0.30533756210000002</v>
      </c>
    </row>
    <row r="269" spans="1:50" x14ac:dyDescent="0.25">
      <c r="A269" s="102">
        <v>830000</v>
      </c>
      <c r="B269" s="102">
        <v>2400000</v>
      </c>
      <c r="C269" s="102">
        <v>2400000</v>
      </c>
      <c r="D269" s="90" t="s">
        <v>374</v>
      </c>
      <c r="E269" s="90" t="s">
        <v>68</v>
      </c>
      <c r="F269" s="90" t="s">
        <v>375</v>
      </c>
      <c r="G269" s="90" t="s">
        <v>376</v>
      </c>
      <c r="H269" s="90">
        <v>0.59</v>
      </c>
      <c r="I269" s="90">
        <v>0.64</v>
      </c>
      <c r="J269" s="90" t="s">
        <v>244</v>
      </c>
      <c r="K269" s="90">
        <v>1.373805872085E-2</v>
      </c>
      <c r="L269" s="90">
        <v>3702.2594911729898</v>
      </c>
      <c r="M269" s="90">
        <v>9.2285786759747808</v>
      </c>
      <c r="N269" s="90">
        <v>1.3572742637091399</v>
      </c>
      <c r="O269" s="90">
        <v>0.12678275576059</v>
      </c>
      <c r="P269" s="90">
        <v>1.8646313535139999E-2</v>
      </c>
      <c r="Q269" s="90">
        <v>50.861858289584703</v>
      </c>
      <c r="R269" s="90">
        <v>1200</v>
      </c>
      <c r="S269" s="90" t="s">
        <v>384</v>
      </c>
      <c r="T269" s="90">
        <v>1200</v>
      </c>
      <c r="U269" s="90" t="s">
        <v>378</v>
      </c>
      <c r="V269" s="90" t="s">
        <v>244</v>
      </c>
      <c r="Z269" s="90">
        <v>0</v>
      </c>
      <c r="AA269" s="90">
        <v>1</v>
      </c>
      <c r="AB269" s="90">
        <v>0.12678275576059</v>
      </c>
      <c r="AC269" s="90">
        <v>1.8646313535139999E-2</v>
      </c>
      <c r="AD269" s="90">
        <v>288.81051851883399</v>
      </c>
      <c r="AF269" s="90">
        <v>-1</v>
      </c>
      <c r="AG269" s="90">
        <v>-1</v>
      </c>
      <c r="AH269" s="90">
        <v>-1</v>
      </c>
      <c r="AI269" s="90">
        <v>-1</v>
      </c>
      <c r="AJ269" s="90">
        <v>0</v>
      </c>
      <c r="AM269" s="90" t="s">
        <v>379</v>
      </c>
      <c r="AN269" s="90">
        <v>-1</v>
      </c>
      <c r="AQ269" s="90">
        <v>356</v>
      </c>
      <c r="AR269" s="90" t="s">
        <v>380</v>
      </c>
      <c r="AS269" s="90" t="s">
        <v>246</v>
      </c>
      <c r="AT269" s="90" t="s">
        <v>244</v>
      </c>
      <c r="AU269" s="90">
        <v>175.87190000000001</v>
      </c>
      <c r="AV269" s="90">
        <v>29.853741546167601</v>
      </c>
      <c r="AW269" s="90">
        <v>55.595951165808799</v>
      </c>
      <c r="AX269" s="90">
        <v>0.23423399719999999</v>
      </c>
    </row>
    <row r="270" spans="1:50" x14ac:dyDescent="0.25">
      <c r="A270" s="102">
        <v>830000</v>
      </c>
      <c r="B270" s="102">
        <v>2400000</v>
      </c>
      <c r="C270" s="102">
        <v>2400000</v>
      </c>
      <c r="D270" s="90" t="s">
        <v>374</v>
      </c>
      <c r="E270" s="90" t="s">
        <v>68</v>
      </c>
      <c r="F270" s="90" t="s">
        <v>375</v>
      </c>
      <c r="G270" s="90" t="s">
        <v>376</v>
      </c>
      <c r="H270" s="90">
        <v>0.59</v>
      </c>
      <c r="I270" s="90">
        <v>0.64</v>
      </c>
      <c r="J270" s="90" t="s">
        <v>244</v>
      </c>
      <c r="K270" s="90">
        <v>8.8322927837519993E-2</v>
      </c>
      <c r="L270" s="90">
        <v>3702.2594911729898</v>
      </c>
      <c r="M270" s="90">
        <v>9.2285786759747808</v>
      </c>
      <c r="N270" s="90">
        <v>1.3572742637091399</v>
      </c>
      <c r="O270" s="90">
        <v>0.81509508844108003</v>
      </c>
      <c r="P270" s="90">
        <v>0.11987843684931</v>
      </c>
      <c r="Q270" s="90">
        <v>326.99439787467799</v>
      </c>
      <c r="R270" s="90">
        <v>1210</v>
      </c>
      <c r="S270" s="90" t="s">
        <v>385</v>
      </c>
      <c r="T270" s="90">
        <v>1210</v>
      </c>
      <c r="U270" s="90" t="s">
        <v>378</v>
      </c>
      <c r="V270" s="90" t="s">
        <v>244</v>
      </c>
      <c r="Z270" s="90">
        <v>0</v>
      </c>
      <c r="AA270" s="90">
        <v>1</v>
      </c>
      <c r="AB270" s="90">
        <v>0.81509508844108003</v>
      </c>
      <c r="AC270" s="90">
        <v>0.11987843684931</v>
      </c>
      <c r="AD270" s="90">
        <v>422.21204333010201</v>
      </c>
      <c r="AF270" s="90">
        <v>-1</v>
      </c>
      <c r="AG270" s="90">
        <v>-1</v>
      </c>
      <c r="AH270" s="90">
        <v>-1</v>
      </c>
      <c r="AI270" s="90">
        <v>-1</v>
      </c>
      <c r="AJ270" s="90">
        <v>0</v>
      </c>
      <c r="AM270" s="90" t="s">
        <v>379</v>
      </c>
      <c r="AN270" s="90">
        <v>-1</v>
      </c>
      <c r="AQ270" s="90">
        <v>356</v>
      </c>
      <c r="AR270" s="90" t="s">
        <v>380</v>
      </c>
      <c r="AS270" s="90" t="s">
        <v>246</v>
      </c>
      <c r="AT270" s="90" t="s">
        <v>244</v>
      </c>
      <c r="AU270" s="90">
        <v>175.87190000000001</v>
      </c>
      <c r="AV270" s="90">
        <v>102.340092143397</v>
      </c>
      <c r="AW270" s="90">
        <v>357.43020776447503</v>
      </c>
      <c r="AX270" s="90">
        <v>0.34242663690000003</v>
      </c>
    </row>
    <row r="271" spans="1:50" x14ac:dyDescent="0.25">
      <c r="A271" s="102">
        <v>830000</v>
      </c>
      <c r="B271" s="102">
        <v>2400000</v>
      </c>
      <c r="C271" s="102">
        <v>2400000</v>
      </c>
      <c r="D271" s="90" t="s">
        <v>374</v>
      </c>
      <c r="E271" s="90" t="s">
        <v>68</v>
      </c>
      <c r="F271" s="90" t="s">
        <v>375</v>
      </c>
      <c r="G271" s="90" t="s">
        <v>376</v>
      </c>
      <c r="H271" s="90">
        <v>0.59</v>
      </c>
      <c r="I271" s="90">
        <v>0.64</v>
      </c>
      <c r="J271" s="90" t="s">
        <v>244</v>
      </c>
      <c r="K271" s="102">
        <v>2.5873733400000002E-7</v>
      </c>
      <c r="L271" s="90">
        <v>3702.2594911729898</v>
      </c>
      <c r="M271" s="90">
        <v>9.2285786759747808</v>
      </c>
      <c r="N271" s="90">
        <v>1.3572742637091399</v>
      </c>
      <c r="O271" s="102">
        <v>2.3877778432309999E-6</v>
      </c>
      <c r="P271" s="102">
        <v>3.5117752449889999E-7</v>
      </c>
      <c r="Q271" s="90">
        <v>9.5791275051999999E-4</v>
      </c>
      <c r="R271" s="90">
        <v>1210</v>
      </c>
      <c r="S271" s="90" t="s">
        <v>385</v>
      </c>
      <c r="T271" s="90">
        <v>1210</v>
      </c>
      <c r="U271" s="90" t="s">
        <v>378</v>
      </c>
      <c r="V271" s="90" t="s">
        <v>244</v>
      </c>
      <c r="Z271" s="90">
        <v>0</v>
      </c>
      <c r="AA271" s="90">
        <v>1</v>
      </c>
      <c r="AB271" s="102">
        <v>2.3877778432309999E-6</v>
      </c>
      <c r="AC271" s="102">
        <v>3.5117752449889999E-7</v>
      </c>
      <c r="AD271" s="90">
        <v>1.5447676894315701</v>
      </c>
      <c r="AF271" s="90">
        <v>-1</v>
      </c>
      <c r="AG271" s="90">
        <v>-1</v>
      </c>
      <c r="AH271" s="90">
        <v>-1</v>
      </c>
      <c r="AI271" s="90">
        <v>-1</v>
      </c>
      <c r="AJ271" s="90">
        <v>0</v>
      </c>
      <c r="AM271" s="90" t="s">
        <v>379</v>
      </c>
      <c r="AN271" s="90">
        <v>-1</v>
      </c>
      <c r="AQ271" s="90">
        <v>356</v>
      </c>
      <c r="AR271" s="90" t="s">
        <v>380</v>
      </c>
      <c r="AS271" s="90" t="s">
        <v>246</v>
      </c>
      <c r="AT271" s="90" t="s">
        <v>244</v>
      </c>
      <c r="AU271" s="90">
        <v>175.87190000000001</v>
      </c>
      <c r="AV271" s="90">
        <v>0.47496640042039001</v>
      </c>
      <c r="AW271" s="90">
        <v>1.0470728404200001E-3</v>
      </c>
      <c r="AX271" s="90">
        <v>1.252853E-3</v>
      </c>
    </row>
    <row r="272" spans="1:50" x14ac:dyDescent="0.25">
      <c r="A272" s="102">
        <v>830000</v>
      </c>
      <c r="B272" s="102">
        <v>2400000</v>
      </c>
      <c r="C272" s="102">
        <v>2400000</v>
      </c>
      <c r="D272" s="90" t="s">
        <v>374</v>
      </c>
      <c r="E272" s="90" t="s">
        <v>68</v>
      </c>
      <c r="F272" s="90" t="s">
        <v>375</v>
      </c>
      <c r="G272" s="90" t="s">
        <v>376</v>
      </c>
      <c r="H272" s="90">
        <v>0.59</v>
      </c>
      <c r="I272" s="90">
        <v>0.64</v>
      </c>
      <c r="J272" s="90" t="s">
        <v>244</v>
      </c>
      <c r="K272" s="90">
        <v>0.61776345366790997</v>
      </c>
      <c r="L272" s="90">
        <v>3777.9106740546399</v>
      </c>
      <c r="M272" s="90">
        <v>11.608074310682101</v>
      </c>
      <c r="N272" s="90">
        <v>1.5325543325089599</v>
      </c>
      <c r="O272" s="90">
        <v>7.1710440766007704</v>
      </c>
      <c r="P272" s="90">
        <v>0.94675605738446</v>
      </c>
      <c r="Q272" s="90">
        <v>2333.8551456528699</v>
      </c>
      <c r="R272" s="90">
        <v>1450</v>
      </c>
      <c r="S272" s="90" t="s">
        <v>391</v>
      </c>
      <c r="T272" s="90">
        <v>1450</v>
      </c>
      <c r="U272" s="90" t="s">
        <v>378</v>
      </c>
      <c r="V272" s="90" t="s">
        <v>244</v>
      </c>
      <c r="Z272" s="90">
        <v>0</v>
      </c>
      <c r="AA272" s="90">
        <v>1</v>
      </c>
      <c r="AB272" s="90">
        <v>7.1710440766007704</v>
      </c>
      <c r="AC272" s="90">
        <v>0.94675605738446</v>
      </c>
      <c r="AD272" s="90">
        <v>2333.8551456528699</v>
      </c>
      <c r="AF272" s="90">
        <v>-1</v>
      </c>
      <c r="AG272" s="90">
        <v>-1</v>
      </c>
      <c r="AH272" s="90">
        <v>-1</v>
      </c>
      <c r="AI272" s="90">
        <v>-1</v>
      </c>
      <c r="AJ272" s="90">
        <v>0</v>
      </c>
      <c r="AM272" s="90" t="s">
        <v>379</v>
      </c>
      <c r="AN272" s="90">
        <v>-1</v>
      </c>
      <c r="AQ272" s="90">
        <v>356</v>
      </c>
      <c r="AR272" s="90" t="s">
        <v>380</v>
      </c>
      <c r="AS272" s="90" t="s">
        <v>246</v>
      </c>
      <c r="AT272" s="90" t="s">
        <v>244</v>
      </c>
      <c r="AU272" s="90">
        <v>175.87190000000001</v>
      </c>
      <c r="AV272" s="90">
        <v>200</v>
      </c>
      <c r="AW272" s="90">
        <v>2500</v>
      </c>
      <c r="AX272" s="90">
        <v>1.8928265577000001</v>
      </c>
    </row>
    <row r="273" spans="1:50" x14ac:dyDescent="0.25">
      <c r="A273" s="102">
        <v>830000</v>
      </c>
      <c r="B273" s="102">
        <v>2400000</v>
      </c>
      <c r="C273" s="102">
        <v>2400000</v>
      </c>
      <c r="D273" s="90" t="s">
        <v>374</v>
      </c>
      <c r="E273" s="90" t="s">
        <v>68</v>
      </c>
      <c r="F273" s="90" t="s">
        <v>375</v>
      </c>
      <c r="G273" s="90" t="s">
        <v>376</v>
      </c>
      <c r="H273" s="90">
        <v>0.59</v>
      </c>
      <c r="I273" s="90">
        <v>0.64</v>
      </c>
      <c r="J273" s="90" t="s">
        <v>244</v>
      </c>
      <c r="K273" s="90">
        <v>4.3758943097599997E-3</v>
      </c>
      <c r="L273" s="90">
        <v>3746.2567983774102</v>
      </c>
      <c r="M273" s="90">
        <v>10.7785897933791</v>
      </c>
      <c r="N273" s="90">
        <v>2.0768460448711799</v>
      </c>
      <c r="O273" s="90">
        <v>4.7165969744109998E-2</v>
      </c>
      <c r="P273" s="90">
        <v>9.0880587900000007E-3</v>
      </c>
      <c r="Q273" s="90">
        <v>16.3932238069306</v>
      </c>
      <c r="R273" s="90">
        <v>1300</v>
      </c>
      <c r="S273" s="90" t="s">
        <v>387</v>
      </c>
      <c r="T273" s="90">
        <v>1300</v>
      </c>
      <c r="U273" s="90" t="s">
        <v>378</v>
      </c>
      <c r="V273" s="90" t="s">
        <v>244</v>
      </c>
      <c r="Z273" s="90">
        <v>0</v>
      </c>
      <c r="AA273" s="90">
        <v>1</v>
      </c>
      <c r="AB273" s="90">
        <v>4.7165969744109998E-2</v>
      </c>
      <c r="AC273" s="90">
        <v>9.0880587900000007E-3</v>
      </c>
      <c r="AD273" s="90">
        <v>16.393223806931399</v>
      </c>
      <c r="AF273" s="90">
        <v>-1</v>
      </c>
      <c r="AG273" s="90">
        <v>-1</v>
      </c>
      <c r="AH273" s="90">
        <v>-1</v>
      </c>
      <c r="AI273" s="90">
        <v>-1</v>
      </c>
      <c r="AJ273" s="90">
        <v>0</v>
      </c>
      <c r="AM273" s="90" t="s">
        <v>379</v>
      </c>
      <c r="AN273" s="90">
        <v>-1</v>
      </c>
      <c r="AQ273" s="90">
        <v>356</v>
      </c>
      <c r="AR273" s="90" t="s">
        <v>380</v>
      </c>
      <c r="AS273" s="90" t="s">
        <v>246</v>
      </c>
      <c r="AT273" s="90" t="s">
        <v>244</v>
      </c>
      <c r="AU273" s="90">
        <v>175.87190000000001</v>
      </c>
      <c r="AV273" s="90">
        <v>27.297541632420302</v>
      </c>
      <c r="AW273" s="90">
        <v>17.708615991208799</v>
      </c>
      <c r="AX273" s="90">
        <v>1.3295396399999999E-2</v>
      </c>
    </row>
    <row r="274" spans="1:50" x14ac:dyDescent="0.25">
      <c r="A274" s="102">
        <v>830000</v>
      </c>
      <c r="B274" s="102">
        <v>2400000</v>
      </c>
      <c r="C274" s="102">
        <v>2400000</v>
      </c>
      <c r="D274" s="90" t="s">
        <v>374</v>
      </c>
      <c r="E274" s="90" t="s">
        <v>68</v>
      </c>
      <c r="F274" s="90" t="s">
        <v>375</v>
      </c>
      <c r="G274" s="90" t="s">
        <v>376</v>
      </c>
      <c r="H274" s="90">
        <v>0.59</v>
      </c>
      <c r="I274" s="90">
        <v>0.64</v>
      </c>
      <c r="J274" s="90" t="s">
        <v>244</v>
      </c>
      <c r="K274" s="90">
        <v>0.19742763773814001</v>
      </c>
      <c r="L274" s="90">
        <v>3746.2567983774102</v>
      </c>
      <c r="M274" s="90">
        <v>10.7785897933791</v>
      </c>
      <c r="N274" s="90">
        <v>2.0768460448711799</v>
      </c>
      <c r="O274" s="90">
        <v>2.1279915210553302</v>
      </c>
      <c r="P274" s="90">
        <v>0.41002680858472002</v>
      </c>
      <c r="Q274" s="90">
        <v>739.61463006411805</v>
      </c>
      <c r="R274" s="90">
        <v>1300</v>
      </c>
      <c r="S274" s="90" t="s">
        <v>387</v>
      </c>
      <c r="T274" s="90">
        <v>1300</v>
      </c>
      <c r="U274" s="90" t="s">
        <v>378</v>
      </c>
      <c r="V274" s="90" t="s">
        <v>244</v>
      </c>
      <c r="Z274" s="90">
        <v>0</v>
      </c>
      <c r="AA274" s="90">
        <v>1</v>
      </c>
      <c r="AB274" s="90">
        <v>2.1279915210553302</v>
      </c>
      <c r="AC274" s="90">
        <v>0.41002680858472002</v>
      </c>
      <c r="AD274" s="90">
        <v>739.61463006411805</v>
      </c>
      <c r="AF274" s="90">
        <v>-1</v>
      </c>
      <c r="AG274" s="90">
        <v>-1</v>
      </c>
      <c r="AH274" s="90">
        <v>-1</v>
      </c>
      <c r="AI274" s="90">
        <v>-1</v>
      </c>
      <c r="AJ274" s="90">
        <v>0</v>
      </c>
      <c r="AM274" s="90" t="s">
        <v>379</v>
      </c>
      <c r="AN274" s="90">
        <v>-1</v>
      </c>
      <c r="AQ274" s="90">
        <v>356</v>
      </c>
      <c r="AR274" s="90" t="s">
        <v>380</v>
      </c>
      <c r="AS274" s="90" t="s">
        <v>246</v>
      </c>
      <c r="AT274" s="90" t="s">
        <v>244</v>
      </c>
      <c r="AU274" s="90">
        <v>175.87190000000001</v>
      </c>
      <c r="AV274" s="90">
        <v>130.75898618276</v>
      </c>
      <c r="AW274" s="90">
        <v>798.96130373987205</v>
      </c>
      <c r="AX274" s="90">
        <v>0.59984965940000001</v>
      </c>
    </row>
    <row r="275" spans="1:50" x14ac:dyDescent="0.25">
      <c r="A275" s="102">
        <v>830000</v>
      </c>
      <c r="B275" s="102">
        <v>2400000</v>
      </c>
      <c r="C275" s="102">
        <v>2400000</v>
      </c>
      <c r="D275" s="90" t="s">
        <v>374</v>
      </c>
      <c r="E275" s="90" t="s">
        <v>68</v>
      </c>
      <c r="F275" s="90" t="s">
        <v>375</v>
      </c>
      <c r="G275" s="90" t="s">
        <v>376</v>
      </c>
      <c r="H275" s="90">
        <v>0.59</v>
      </c>
      <c r="I275" s="90">
        <v>0.64</v>
      </c>
      <c r="J275" s="90" t="s">
        <v>244</v>
      </c>
      <c r="K275" s="90">
        <v>8.5355623754029997E-2</v>
      </c>
      <c r="L275" s="90">
        <v>3752.23214606289</v>
      </c>
      <c r="M275" s="90">
        <v>10.794972645626601</v>
      </c>
      <c r="N275" s="90">
        <v>2.07990861325242</v>
      </c>
      <c r="O275" s="90">
        <v>0.92141162357522</v>
      </c>
      <c r="P275" s="90">
        <v>0.17753189703555</v>
      </c>
      <c r="Q275" s="90">
        <v>320.274115297143</v>
      </c>
      <c r="R275" s="90">
        <v>1300</v>
      </c>
      <c r="S275" s="90" t="s">
        <v>387</v>
      </c>
      <c r="T275" s="90">
        <v>1300</v>
      </c>
      <c r="U275" s="90" t="s">
        <v>378</v>
      </c>
      <c r="V275" s="90" t="s">
        <v>244</v>
      </c>
      <c r="Z275" s="90">
        <v>0</v>
      </c>
      <c r="AA275" s="90">
        <v>1</v>
      </c>
      <c r="AB275" s="90">
        <v>0.92141162357522</v>
      </c>
      <c r="AC275" s="90">
        <v>0.17753189703555</v>
      </c>
      <c r="AD275" s="90">
        <v>2317.99188994733</v>
      </c>
      <c r="AF275" s="90">
        <v>-1</v>
      </c>
      <c r="AG275" s="90">
        <v>-1</v>
      </c>
      <c r="AH275" s="90">
        <v>-1</v>
      </c>
      <c r="AI275" s="90">
        <v>-1</v>
      </c>
      <c r="AJ275" s="90">
        <v>0</v>
      </c>
      <c r="AM275" s="90" t="s">
        <v>379</v>
      </c>
      <c r="AN275" s="90">
        <v>-1</v>
      </c>
      <c r="AQ275" s="90">
        <v>356</v>
      </c>
      <c r="AR275" s="90" t="s">
        <v>380</v>
      </c>
      <c r="AS275" s="90" t="s">
        <v>246</v>
      </c>
      <c r="AT275" s="90" t="s">
        <v>244</v>
      </c>
      <c r="AU275" s="90">
        <v>175.87190000000001</v>
      </c>
      <c r="AV275" s="90">
        <v>113.84594590212301</v>
      </c>
      <c r="AW275" s="90">
        <v>345.42195417697798</v>
      </c>
      <c r="AX275" s="90">
        <v>1.8799609813</v>
      </c>
    </row>
    <row r="276" spans="1:50" x14ac:dyDescent="0.25">
      <c r="A276" s="102">
        <v>830000</v>
      </c>
      <c r="B276" s="102">
        <v>2400000</v>
      </c>
      <c r="C276" s="102">
        <v>2400000</v>
      </c>
      <c r="D276" s="90" t="s">
        <v>374</v>
      </c>
      <c r="E276" s="90" t="s">
        <v>68</v>
      </c>
      <c r="F276" s="90" t="s">
        <v>375</v>
      </c>
      <c r="G276" s="90" t="s">
        <v>376</v>
      </c>
      <c r="H276" s="90">
        <v>0.59</v>
      </c>
      <c r="I276" s="90">
        <v>0.64</v>
      </c>
      <c r="J276" s="90" t="s">
        <v>244</v>
      </c>
      <c r="K276" s="90">
        <v>2.09270333386E-3</v>
      </c>
      <c r="L276" s="90">
        <v>3819.1307605721699</v>
      </c>
      <c r="M276" s="90">
        <v>10.320692041614</v>
      </c>
      <c r="N276" s="90">
        <v>1.50208131607216</v>
      </c>
      <c r="O276" s="90">
        <v>2.159814664325E-2</v>
      </c>
      <c r="P276" s="90">
        <v>3.1434105778699998E-3</v>
      </c>
      <c r="Q276" s="90">
        <v>7.9923076751081199</v>
      </c>
      <c r="R276" s="90">
        <v>1400</v>
      </c>
      <c r="S276" s="90" t="s">
        <v>324</v>
      </c>
      <c r="T276" s="90">
        <v>1400</v>
      </c>
      <c r="U276" s="90" t="s">
        <v>378</v>
      </c>
      <c r="V276" s="90" t="s">
        <v>244</v>
      </c>
      <c r="Z276" s="90">
        <v>0</v>
      </c>
      <c r="AA276" s="90">
        <v>1</v>
      </c>
      <c r="AB276" s="90">
        <v>2.159814664325E-2</v>
      </c>
      <c r="AC276" s="90">
        <v>3.1434105778699998E-3</v>
      </c>
      <c r="AD276" s="90">
        <v>7.9923076751064404</v>
      </c>
      <c r="AF276" s="90">
        <v>-1</v>
      </c>
      <c r="AG276" s="90">
        <v>-1</v>
      </c>
      <c r="AH276" s="90">
        <v>-1</v>
      </c>
      <c r="AI276" s="90">
        <v>-1</v>
      </c>
      <c r="AJ276" s="90">
        <v>0</v>
      </c>
      <c r="AM276" s="90" t="s">
        <v>379</v>
      </c>
      <c r="AN276" s="90">
        <v>-1</v>
      </c>
      <c r="AQ276" s="90">
        <v>356</v>
      </c>
      <c r="AR276" s="90" t="s">
        <v>380</v>
      </c>
      <c r="AS276" s="90" t="s">
        <v>246</v>
      </c>
      <c r="AT276" s="90" t="s">
        <v>244</v>
      </c>
      <c r="AU276" s="90">
        <v>175.87190000000001</v>
      </c>
      <c r="AV276" s="90">
        <v>104.21837981919499</v>
      </c>
      <c r="AW276" s="90">
        <v>8.4688699268196093</v>
      </c>
      <c r="AX276" s="90">
        <v>6.4820014000000004E-3</v>
      </c>
    </row>
    <row r="277" spans="1:50" x14ac:dyDescent="0.25">
      <c r="A277" s="102">
        <v>830000</v>
      </c>
      <c r="B277" s="102">
        <v>2400000</v>
      </c>
      <c r="C277" s="102">
        <v>2400000</v>
      </c>
      <c r="D277" s="90" t="s">
        <v>374</v>
      </c>
      <c r="E277" s="90" t="s">
        <v>68</v>
      </c>
      <c r="F277" s="90" t="s">
        <v>375</v>
      </c>
      <c r="G277" s="90" t="s">
        <v>376</v>
      </c>
      <c r="H277" s="90">
        <v>0.59</v>
      </c>
      <c r="I277" s="90">
        <v>0.64</v>
      </c>
      <c r="J277" s="90" t="s">
        <v>381</v>
      </c>
      <c r="K277" s="90">
        <v>0.25873506908491001</v>
      </c>
      <c r="L277" s="90">
        <v>3819.1307605721699</v>
      </c>
      <c r="M277" s="90">
        <v>10.320692041614</v>
      </c>
      <c r="N277" s="90">
        <v>1.50208131607216</v>
      </c>
      <c r="O277" s="90">
        <v>2.6703249683911099</v>
      </c>
      <c r="P277" s="90">
        <v>0.38864111308507998</v>
      </c>
      <c r="Q277" s="90">
        <v>988.14306118095806</v>
      </c>
      <c r="R277" s="90">
        <v>1400</v>
      </c>
      <c r="S277" s="90" t="s">
        <v>324</v>
      </c>
      <c r="T277" s="90">
        <v>1400</v>
      </c>
      <c r="U277" s="90" t="s">
        <v>382</v>
      </c>
      <c r="V277" s="90" t="s">
        <v>381</v>
      </c>
      <c r="Z277" s="90">
        <v>0</v>
      </c>
      <c r="AA277" s="90">
        <v>1</v>
      </c>
      <c r="AB277" s="90">
        <v>2.6703249683911099</v>
      </c>
      <c r="AC277" s="90">
        <v>0.38864111308507998</v>
      </c>
      <c r="AD277" s="90">
        <v>988.14306118095806</v>
      </c>
      <c r="AF277" s="90">
        <v>-1</v>
      </c>
      <c r="AG277" s="90">
        <v>-1</v>
      </c>
      <c r="AH277" s="90">
        <v>-1</v>
      </c>
      <c r="AI277" s="90">
        <v>-1</v>
      </c>
      <c r="AJ277" s="90">
        <v>0</v>
      </c>
      <c r="AM277" s="90" t="s">
        <v>379</v>
      </c>
      <c r="AN277" s="90">
        <v>-1</v>
      </c>
      <c r="AQ277" s="90">
        <v>356</v>
      </c>
      <c r="AR277" s="90" t="s">
        <v>380</v>
      </c>
      <c r="AS277" s="90" t="s">
        <v>246</v>
      </c>
      <c r="AT277" s="90" t="s">
        <v>244</v>
      </c>
      <c r="AU277" s="90">
        <v>175.87190000000001</v>
      </c>
      <c r="AV277" s="90">
        <v>141.819050899014</v>
      </c>
      <c r="AW277" s="90">
        <v>1047.0636760263801</v>
      </c>
      <c r="AX277" s="90">
        <v>0.80141367490000004</v>
      </c>
    </row>
    <row r="278" spans="1:50" x14ac:dyDescent="0.25">
      <c r="A278" s="102">
        <v>830000</v>
      </c>
      <c r="B278" s="102">
        <v>2400000</v>
      </c>
      <c r="C278" s="102">
        <v>2400000</v>
      </c>
      <c r="D278" s="90" t="s">
        <v>374</v>
      </c>
      <c r="E278" s="90" t="s">
        <v>68</v>
      </c>
      <c r="F278" s="90" t="s">
        <v>375</v>
      </c>
      <c r="G278" s="90" t="s">
        <v>376</v>
      </c>
      <c r="H278" s="90">
        <v>0.59</v>
      </c>
      <c r="I278" s="90">
        <v>0.64</v>
      </c>
      <c r="J278" s="90" t="s">
        <v>244</v>
      </c>
      <c r="K278" s="90">
        <v>0.23701868922193001</v>
      </c>
      <c r="L278" s="90">
        <v>3819.1307605721699</v>
      </c>
      <c r="M278" s="90">
        <v>10.320692041614</v>
      </c>
      <c r="N278" s="90">
        <v>1.50208131607216</v>
      </c>
      <c r="O278" s="90">
        <v>2.4461968995665799</v>
      </c>
      <c r="P278" s="90">
        <v>0.35602134464016999</v>
      </c>
      <c r="Q278" s="90">
        <v>905.20536683797695</v>
      </c>
      <c r="R278" s="90">
        <v>1430</v>
      </c>
      <c r="S278" s="90" t="s">
        <v>326</v>
      </c>
      <c r="T278" s="90">
        <v>1430</v>
      </c>
      <c r="U278" s="90" t="s">
        <v>378</v>
      </c>
      <c r="V278" s="90" t="s">
        <v>244</v>
      </c>
      <c r="Z278" s="90">
        <v>0</v>
      </c>
      <c r="AA278" s="90">
        <v>1</v>
      </c>
      <c r="AB278" s="90">
        <v>2.4461968995665799</v>
      </c>
      <c r="AC278" s="90">
        <v>0.35602134464016999</v>
      </c>
      <c r="AD278" s="90">
        <v>905.20536683797695</v>
      </c>
      <c r="AF278" s="90">
        <v>-1</v>
      </c>
      <c r="AG278" s="90">
        <v>-1</v>
      </c>
      <c r="AH278" s="90">
        <v>-1</v>
      </c>
      <c r="AI278" s="90">
        <v>-1</v>
      </c>
      <c r="AJ278" s="90">
        <v>0</v>
      </c>
      <c r="AM278" s="90" t="s">
        <v>379</v>
      </c>
      <c r="AN278" s="90">
        <v>-1</v>
      </c>
      <c r="AQ278" s="90">
        <v>356</v>
      </c>
      <c r="AR278" s="90" t="s">
        <v>380</v>
      </c>
      <c r="AS278" s="90" t="s">
        <v>246</v>
      </c>
      <c r="AT278" s="90" t="s">
        <v>244</v>
      </c>
      <c r="AU278" s="90">
        <v>175.87190000000001</v>
      </c>
      <c r="AV278" s="90">
        <v>124.143546263937</v>
      </c>
      <c r="AW278" s="90">
        <v>959.18060470660396</v>
      </c>
      <c r="AX278" s="90">
        <v>0.73414871599999998</v>
      </c>
    </row>
    <row r="279" spans="1:50" x14ac:dyDescent="0.25">
      <c r="A279" s="102">
        <v>830000</v>
      </c>
      <c r="B279" s="102">
        <v>2400000</v>
      </c>
      <c r="C279" s="102">
        <v>2400000</v>
      </c>
      <c r="D279" s="90" t="s">
        <v>374</v>
      </c>
      <c r="E279" s="90" t="s">
        <v>68</v>
      </c>
      <c r="F279" s="90" t="s">
        <v>375</v>
      </c>
      <c r="G279" s="90" t="s">
        <v>376</v>
      </c>
      <c r="H279" s="90">
        <v>0.59</v>
      </c>
      <c r="I279" s="90">
        <v>0.64</v>
      </c>
      <c r="J279" s="90" t="s">
        <v>244</v>
      </c>
      <c r="K279" s="90">
        <v>0.11991699195816</v>
      </c>
      <c r="L279" s="90">
        <v>3819.1307605721699</v>
      </c>
      <c r="M279" s="90">
        <v>10.320692041614</v>
      </c>
      <c r="N279" s="90">
        <v>1.50208131607216</v>
      </c>
      <c r="O279" s="90">
        <v>1.23762634455693</v>
      </c>
      <c r="P279" s="90">
        <v>0.18012507309993001</v>
      </c>
      <c r="Q279" s="90">
        <v>457.97867270271701</v>
      </c>
      <c r="R279" s="90">
        <v>1300</v>
      </c>
      <c r="S279" s="90" t="s">
        <v>387</v>
      </c>
      <c r="T279" s="90">
        <v>1300</v>
      </c>
      <c r="U279" s="90" t="s">
        <v>378</v>
      </c>
      <c r="V279" s="90" t="s">
        <v>244</v>
      </c>
      <c r="Z279" s="90">
        <v>0</v>
      </c>
      <c r="AA279" s="90">
        <v>1</v>
      </c>
      <c r="AB279" s="90">
        <v>1.23762634455693</v>
      </c>
      <c r="AC279" s="90">
        <v>0.18012507309993001</v>
      </c>
      <c r="AD279" s="90">
        <v>457.97867270271701</v>
      </c>
      <c r="AF279" s="90">
        <v>-1</v>
      </c>
      <c r="AG279" s="90">
        <v>-1</v>
      </c>
      <c r="AH279" s="90">
        <v>-1</v>
      </c>
      <c r="AI279" s="90">
        <v>-1</v>
      </c>
      <c r="AJ279" s="90">
        <v>0</v>
      </c>
      <c r="AM279" s="90" t="s">
        <v>379</v>
      </c>
      <c r="AN279" s="90">
        <v>-1</v>
      </c>
      <c r="AQ279" s="90">
        <v>356</v>
      </c>
      <c r="AR279" s="90" t="s">
        <v>380</v>
      </c>
      <c r="AS279" s="90" t="s">
        <v>246</v>
      </c>
      <c r="AT279" s="90" t="s">
        <v>244</v>
      </c>
      <c r="AU279" s="90">
        <v>175.87190000000001</v>
      </c>
      <c r="AV279" s="90">
        <v>91.459380097207003</v>
      </c>
      <c r="AW279" s="90">
        <v>485.28684906079201</v>
      </c>
      <c r="AX279" s="90">
        <v>0.37143444660000002</v>
      </c>
    </row>
    <row r="280" spans="1:50" x14ac:dyDescent="0.25">
      <c r="A280" s="102">
        <v>830000</v>
      </c>
      <c r="B280" s="102">
        <v>2400000</v>
      </c>
      <c r="C280" s="102">
        <v>2400000</v>
      </c>
      <c r="D280" s="90" t="s">
        <v>374</v>
      </c>
      <c r="E280" s="90" t="s">
        <v>68</v>
      </c>
      <c r="F280" s="90" t="s">
        <v>375</v>
      </c>
      <c r="G280" s="90" t="s">
        <v>376</v>
      </c>
      <c r="H280" s="90">
        <v>0.59</v>
      </c>
      <c r="I280" s="90">
        <v>0.64</v>
      </c>
      <c r="J280" s="90" t="s">
        <v>244</v>
      </c>
      <c r="K280" s="90">
        <v>0.61776345348380002</v>
      </c>
      <c r="L280" s="90">
        <v>3786.63703694776</v>
      </c>
      <c r="M280" s="90">
        <v>8.26314224964778</v>
      </c>
      <c r="N280" s="90">
        <v>1.2860662680367001</v>
      </c>
      <c r="O280" s="90">
        <v>5.1046672927703503</v>
      </c>
      <c r="P280" s="90">
        <v>0.79448473915137996</v>
      </c>
      <c r="Q280" s="90">
        <v>2339.2459730345299</v>
      </c>
      <c r="R280" s="90">
        <v>1300</v>
      </c>
      <c r="S280" s="90" t="s">
        <v>387</v>
      </c>
      <c r="T280" s="90">
        <v>1300</v>
      </c>
      <c r="U280" s="90" t="s">
        <v>378</v>
      </c>
      <c r="V280" s="90" t="s">
        <v>244</v>
      </c>
      <c r="Z280" s="90">
        <v>0</v>
      </c>
      <c r="AA280" s="90">
        <v>1</v>
      </c>
      <c r="AB280" s="90">
        <v>5.1046672927703503</v>
      </c>
      <c r="AC280" s="90">
        <v>0.79448473915137996</v>
      </c>
      <c r="AD280" s="90">
        <v>2339.2459730345299</v>
      </c>
      <c r="AF280" s="90">
        <v>-1</v>
      </c>
      <c r="AG280" s="90">
        <v>-1</v>
      </c>
      <c r="AH280" s="90">
        <v>-1</v>
      </c>
      <c r="AI280" s="90">
        <v>-1</v>
      </c>
      <c r="AJ280" s="90">
        <v>0</v>
      </c>
      <c r="AM280" s="90" t="s">
        <v>379</v>
      </c>
      <c r="AN280" s="90">
        <v>-1</v>
      </c>
      <c r="AQ280" s="90">
        <v>356</v>
      </c>
      <c r="AR280" s="90" t="s">
        <v>380</v>
      </c>
      <c r="AS280" s="90" t="s">
        <v>246</v>
      </c>
      <c r="AT280" s="90" t="s">
        <v>244</v>
      </c>
      <c r="AU280" s="90">
        <v>175.87190000000001</v>
      </c>
      <c r="AV280" s="90">
        <v>199.999999970197</v>
      </c>
      <c r="AW280" s="90">
        <v>2499.9999992549401</v>
      </c>
      <c r="AX280" s="90">
        <v>1.8971986805000001</v>
      </c>
    </row>
    <row r="281" spans="1:50" x14ac:dyDescent="0.25">
      <c r="A281" s="102">
        <v>830000</v>
      </c>
      <c r="B281" s="102">
        <v>2400000</v>
      </c>
      <c r="C281" s="102">
        <v>2400000</v>
      </c>
      <c r="D281" s="90" t="s">
        <v>374</v>
      </c>
      <c r="E281" s="90" t="s">
        <v>68</v>
      </c>
      <c r="F281" s="90" t="s">
        <v>375</v>
      </c>
      <c r="G281" s="90" t="s">
        <v>376</v>
      </c>
      <c r="H281" s="90">
        <v>0.59</v>
      </c>
      <c r="I281" s="90">
        <v>0.64</v>
      </c>
      <c r="J281" s="90" t="s">
        <v>244</v>
      </c>
      <c r="K281" s="90">
        <v>0.58545919020342996</v>
      </c>
      <c r="L281" s="90">
        <v>3733.4819079490499</v>
      </c>
      <c r="M281" s="90">
        <v>11.7942550344107</v>
      </c>
      <c r="N281" s="90">
        <v>2.3949589695612898</v>
      </c>
      <c r="O281" s="90">
        <v>6.9050550014988303</v>
      </c>
      <c r="P281" s="90">
        <v>1.4021507388898</v>
      </c>
      <c r="Q281" s="90">
        <v>2185.8012944670099</v>
      </c>
      <c r="R281" s="90">
        <v>1300</v>
      </c>
      <c r="S281" s="90" t="s">
        <v>387</v>
      </c>
      <c r="T281" s="90">
        <v>1300</v>
      </c>
      <c r="U281" s="90" t="s">
        <v>378</v>
      </c>
      <c r="V281" s="90" t="s">
        <v>244</v>
      </c>
      <c r="Z281" s="90">
        <v>0</v>
      </c>
      <c r="AA281" s="90">
        <v>1</v>
      </c>
      <c r="AB281" s="90">
        <v>6.9050550014988303</v>
      </c>
      <c r="AC281" s="90">
        <v>1.4021507388898</v>
      </c>
      <c r="AD281" s="90">
        <v>2185.8012944670099</v>
      </c>
      <c r="AF281" s="90">
        <v>-1</v>
      </c>
      <c r="AG281" s="90">
        <v>-1</v>
      </c>
      <c r="AH281" s="90">
        <v>-1</v>
      </c>
      <c r="AI281" s="90">
        <v>-1</v>
      </c>
      <c r="AJ281" s="90">
        <v>0</v>
      </c>
      <c r="AM281" s="90" t="s">
        <v>379</v>
      </c>
      <c r="AN281" s="90">
        <v>-1</v>
      </c>
      <c r="AQ281" s="90">
        <v>356</v>
      </c>
      <c r="AR281" s="90" t="s">
        <v>380</v>
      </c>
      <c r="AS281" s="90" t="s">
        <v>246</v>
      </c>
      <c r="AT281" s="90" t="s">
        <v>244</v>
      </c>
      <c r="AU281" s="90">
        <v>175.87190000000001</v>
      </c>
      <c r="AV281" s="90">
        <v>193.767733252553</v>
      </c>
      <c r="AW281" s="90">
        <v>2369.2692839278502</v>
      </c>
      <c r="AX281" s="90">
        <v>1.7727504415999999</v>
      </c>
    </row>
    <row r="282" spans="1:50" x14ac:dyDescent="0.25">
      <c r="A282" s="102">
        <v>830000</v>
      </c>
      <c r="B282" s="102">
        <v>2400000</v>
      </c>
      <c r="C282" s="102">
        <v>2400000</v>
      </c>
      <c r="D282" s="90" t="s">
        <v>374</v>
      </c>
      <c r="E282" s="90" t="s">
        <v>68</v>
      </c>
      <c r="F282" s="90" t="s">
        <v>375</v>
      </c>
      <c r="G282" s="90" t="s">
        <v>376</v>
      </c>
      <c r="H282" s="90">
        <v>0.59</v>
      </c>
      <c r="I282" s="90">
        <v>0.64</v>
      </c>
      <c r="J282" s="90" t="s">
        <v>244</v>
      </c>
      <c r="K282" s="90">
        <v>1.127726700305E-2</v>
      </c>
      <c r="L282" s="90">
        <v>3733.4819079490499</v>
      </c>
      <c r="M282" s="90">
        <v>11.7942550344107</v>
      </c>
      <c r="N282" s="90">
        <v>2.3949589695612898</v>
      </c>
      <c r="O282" s="90">
        <v>0.13300696312516999</v>
      </c>
      <c r="P282" s="90">
        <v>2.7008591761100001E-2</v>
      </c>
      <c r="Q282" s="90">
        <v>42.103472327016704</v>
      </c>
      <c r="R282" s="90">
        <v>1300</v>
      </c>
      <c r="S282" s="90" t="s">
        <v>387</v>
      </c>
      <c r="T282" s="90">
        <v>1300</v>
      </c>
      <c r="U282" s="90" t="s">
        <v>378</v>
      </c>
      <c r="V282" s="90" t="s">
        <v>244</v>
      </c>
      <c r="Z282" s="90">
        <v>0</v>
      </c>
      <c r="AA282" s="90">
        <v>1</v>
      </c>
      <c r="AB282" s="90">
        <v>0.13300696312516999</v>
      </c>
      <c r="AC282" s="90">
        <v>2.7008591761100001E-2</v>
      </c>
      <c r="AD282" s="90">
        <v>42.103472327016298</v>
      </c>
      <c r="AF282" s="90">
        <v>-1</v>
      </c>
      <c r="AG282" s="90">
        <v>-1</v>
      </c>
      <c r="AH282" s="90">
        <v>-1</v>
      </c>
      <c r="AI282" s="90">
        <v>-1</v>
      </c>
      <c r="AJ282" s="90">
        <v>0</v>
      </c>
      <c r="AM282" s="90" t="s">
        <v>379</v>
      </c>
      <c r="AN282" s="90">
        <v>-1</v>
      </c>
      <c r="AQ282" s="90">
        <v>356</v>
      </c>
      <c r="AR282" s="90" t="s">
        <v>380</v>
      </c>
      <c r="AS282" s="90" t="s">
        <v>246</v>
      </c>
      <c r="AT282" s="90" t="s">
        <v>244</v>
      </c>
      <c r="AU282" s="90">
        <v>175.87190000000001</v>
      </c>
      <c r="AV282" s="90">
        <v>66.351010746605894</v>
      </c>
      <c r="AW282" s="90">
        <v>45.637480398432402</v>
      </c>
      <c r="AX282" s="90">
        <v>3.4147179499999999E-2</v>
      </c>
    </row>
    <row r="283" spans="1:50" x14ac:dyDescent="0.25">
      <c r="A283" s="102">
        <v>830000</v>
      </c>
      <c r="B283" s="102">
        <v>2400000</v>
      </c>
      <c r="C283" s="102">
        <v>2400000</v>
      </c>
      <c r="D283" s="90" t="s">
        <v>374</v>
      </c>
      <c r="E283" s="90" t="s">
        <v>68</v>
      </c>
      <c r="F283" s="90" t="s">
        <v>375</v>
      </c>
      <c r="G283" s="90" t="s">
        <v>376</v>
      </c>
      <c r="H283" s="90">
        <v>0.59</v>
      </c>
      <c r="I283" s="90">
        <v>0.64</v>
      </c>
      <c r="J283" s="90" t="s">
        <v>244</v>
      </c>
      <c r="K283" s="90">
        <v>0.61776345352982998</v>
      </c>
      <c r="L283" s="90">
        <v>3777.9106740546399</v>
      </c>
      <c r="M283" s="90">
        <v>11.608074310682101</v>
      </c>
      <c r="N283" s="90">
        <v>1.5325543325089599</v>
      </c>
      <c r="O283" s="90">
        <v>7.1710440749979103</v>
      </c>
      <c r="P283" s="90">
        <v>0.94675605717283995</v>
      </c>
      <c r="Q283" s="90">
        <v>2333.8551451312101</v>
      </c>
      <c r="R283" s="90">
        <v>1450</v>
      </c>
      <c r="S283" s="90" t="s">
        <v>391</v>
      </c>
      <c r="T283" s="90">
        <v>1450</v>
      </c>
      <c r="U283" s="90" t="s">
        <v>378</v>
      </c>
      <c r="V283" s="90" t="s">
        <v>244</v>
      </c>
      <c r="Z283" s="90">
        <v>0</v>
      </c>
      <c r="AA283" s="90">
        <v>1</v>
      </c>
      <c r="AB283" s="90">
        <v>7.1710440749979103</v>
      </c>
      <c r="AC283" s="90">
        <v>0.94675605717283995</v>
      </c>
      <c r="AD283" s="90">
        <v>2333.8551451312101</v>
      </c>
      <c r="AF283" s="90">
        <v>-1</v>
      </c>
      <c r="AG283" s="90">
        <v>-1</v>
      </c>
      <c r="AH283" s="90">
        <v>-1</v>
      </c>
      <c r="AI283" s="90">
        <v>-1</v>
      </c>
      <c r="AJ283" s="90">
        <v>0</v>
      </c>
      <c r="AM283" s="90" t="s">
        <v>379</v>
      </c>
      <c r="AN283" s="90">
        <v>-1</v>
      </c>
      <c r="AQ283" s="90">
        <v>356</v>
      </c>
      <c r="AR283" s="90" t="s">
        <v>380</v>
      </c>
      <c r="AS283" s="90" t="s">
        <v>246</v>
      </c>
      <c r="AT283" s="90" t="s">
        <v>244</v>
      </c>
      <c r="AU283" s="90">
        <v>175.87190000000001</v>
      </c>
      <c r="AV283" s="90">
        <v>199.999999977648</v>
      </c>
      <c r="AW283" s="90">
        <v>2499.9999994412001</v>
      </c>
      <c r="AX283" s="90">
        <v>1.8928265573</v>
      </c>
    </row>
    <row r="284" spans="1:50" x14ac:dyDescent="0.25">
      <c r="A284" s="102">
        <v>830000</v>
      </c>
      <c r="B284" s="102">
        <v>2400000</v>
      </c>
      <c r="C284" s="102">
        <v>2400000</v>
      </c>
      <c r="D284" s="90" t="s">
        <v>374</v>
      </c>
      <c r="E284" s="90" t="s">
        <v>68</v>
      </c>
      <c r="F284" s="90" t="s">
        <v>375</v>
      </c>
      <c r="G284" s="90" t="s">
        <v>376</v>
      </c>
      <c r="H284" s="90">
        <v>0.59</v>
      </c>
      <c r="I284" s="90">
        <v>0.64</v>
      </c>
      <c r="J284" s="90" t="s">
        <v>244</v>
      </c>
      <c r="K284" s="90">
        <v>0.61776345359886997</v>
      </c>
      <c r="L284" s="90">
        <v>3746.2716028988598</v>
      </c>
      <c r="M284" s="90">
        <v>10.7786323883923</v>
      </c>
      <c r="N284" s="90">
        <v>2.0768542521862501</v>
      </c>
      <c r="O284" s="90">
        <v>6.6586451693259097</v>
      </c>
      <c r="P284" s="90">
        <v>1.28300465545208</v>
      </c>
      <c r="Q284" s="90">
        <v>2314.3096835261899</v>
      </c>
      <c r="R284" s="90">
        <v>1300</v>
      </c>
      <c r="S284" s="90" t="s">
        <v>387</v>
      </c>
      <c r="T284" s="90">
        <v>1300</v>
      </c>
      <c r="U284" s="90" t="s">
        <v>378</v>
      </c>
      <c r="V284" s="90" t="s">
        <v>244</v>
      </c>
      <c r="Z284" s="90">
        <v>0</v>
      </c>
      <c r="AA284" s="90">
        <v>1</v>
      </c>
      <c r="AB284" s="90">
        <v>6.6586451693259097</v>
      </c>
      <c r="AC284" s="90">
        <v>1.28300465545208</v>
      </c>
      <c r="AD284" s="90">
        <v>2314.3096835261899</v>
      </c>
      <c r="AF284" s="90">
        <v>-1</v>
      </c>
      <c r="AG284" s="90">
        <v>-1</v>
      </c>
      <c r="AH284" s="90">
        <v>-1</v>
      </c>
      <c r="AI284" s="90">
        <v>-1</v>
      </c>
      <c r="AJ284" s="90">
        <v>0</v>
      </c>
      <c r="AM284" s="90" t="s">
        <v>379</v>
      </c>
      <c r="AN284" s="90">
        <v>-1</v>
      </c>
      <c r="AQ284" s="90">
        <v>356</v>
      </c>
      <c r="AR284" s="90" t="s">
        <v>380</v>
      </c>
      <c r="AS284" s="90" t="s">
        <v>246</v>
      </c>
      <c r="AT284" s="90" t="s">
        <v>244</v>
      </c>
      <c r="AU284" s="90">
        <v>175.87190000000001</v>
      </c>
      <c r="AV284" s="90">
        <v>199.99999998882399</v>
      </c>
      <c r="AW284" s="90">
        <v>2499.9999997206</v>
      </c>
      <c r="AX284" s="90">
        <v>1.8769746013999999</v>
      </c>
    </row>
    <row r="285" spans="1:50" x14ac:dyDescent="0.25">
      <c r="A285" s="102">
        <v>830000</v>
      </c>
      <c r="B285" s="102">
        <v>2400000</v>
      </c>
      <c r="C285" s="102">
        <v>2400000</v>
      </c>
      <c r="D285" s="90" t="s">
        <v>374</v>
      </c>
      <c r="E285" s="90" t="s">
        <v>68</v>
      </c>
      <c r="F285" s="90" t="s">
        <v>375</v>
      </c>
      <c r="G285" s="90" t="s">
        <v>376</v>
      </c>
      <c r="H285" s="90">
        <v>0.59</v>
      </c>
      <c r="I285" s="90">
        <v>0.64</v>
      </c>
      <c r="J285" s="90" t="s">
        <v>244</v>
      </c>
      <c r="K285" s="102">
        <v>3.7150410799999999E-6</v>
      </c>
      <c r="L285" s="90">
        <v>3756.34928830836</v>
      </c>
      <c r="M285" s="90">
        <v>11.43058587825</v>
      </c>
      <c r="N285" s="90">
        <v>1.52655675792151</v>
      </c>
      <c r="O285" s="90">
        <v>4.2465096100000002E-5</v>
      </c>
      <c r="P285" s="102">
        <v>5.6712210666300002E-6</v>
      </c>
      <c r="Q285" s="90">
        <v>1.395499191689E-2</v>
      </c>
      <c r="R285" s="90">
        <v>1300</v>
      </c>
      <c r="S285" s="90" t="s">
        <v>387</v>
      </c>
      <c r="T285" s="90">
        <v>1300</v>
      </c>
      <c r="U285" s="90" t="s">
        <v>378</v>
      </c>
      <c r="V285" s="90" t="s">
        <v>244</v>
      </c>
      <c r="Z285" s="90">
        <v>0</v>
      </c>
      <c r="AA285" s="90">
        <v>1</v>
      </c>
      <c r="AB285" s="90">
        <v>4.2465096100000002E-5</v>
      </c>
      <c r="AC285" s="102">
        <v>5.6712210666300002E-6</v>
      </c>
      <c r="AD285" s="90">
        <v>1.3954991918510001E-2</v>
      </c>
      <c r="AF285" s="90">
        <v>-1</v>
      </c>
      <c r="AG285" s="90">
        <v>-1</v>
      </c>
      <c r="AH285" s="90">
        <v>-1</v>
      </c>
      <c r="AI285" s="90">
        <v>-1</v>
      </c>
      <c r="AJ285" s="90">
        <v>0</v>
      </c>
      <c r="AM285" s="90" t="s">
        <v>379</v>
      </c>
      <c r="AN285" s="90">
        <v>-1</v>
      </c>
      <c r="AQ285" s="90">
        <v>356</v>
      </c>
      <c r="AR285" s="90" t="s">
        <v>380</v>
      </c>
      <c r="AS285" s="90" t="s">
        <v>246</v>
      </c>
      <c r="AT285" s="90" t="s">
        <v>244</v>
      </c>
      <c r="AU285" s="90">
        <v>175.87190000000001</v>
      </c>
      <c r="AV285" s="90">
        <v>1.7603397583284299</v>
      </c>
      <c r="AW285" s="90">
        <v>1.5034237855820001E-2</v>
      </c>
      <c r="AX285" s="90">
        <v>1.1317900000000001E-5</v>
      </c>
    </row>
    <row r="286" spans="1:50" x14ac:dyDescent="0.25">
      <c r="A286" s="102">
        <v>830000</v>
      </c>
      <c r="B286" s="102">
        <v>2400000</v>
      </c>
      <c r="C286" s="102">
        <v>2400000</v>
      </c>
      <c r="D286" s="90" t="s">
        <v>374</v>
      </c>
      <c r="E286" s="90" t="s">
        <v>68</v>
      </c>
      <c r="F286" s="90" t="s">
        <v>375</v>
      </c>
      <c r="G286" s="90" t="s">
        <v>376</v>
      </c>
      <c r="H286" s="90">
        <v>0.59</v>
      </c>
      <c r="I286" s="90">
        <v>0.64</v>
      </c>
      <c r="J286" s="90" t="s">
        <v>244</v>
      </c>
      <c r="K286" s="90">
        <v>0.15723532901171999</v>
      </c>
      <c r="L286" s="90">
        <v>3756.34928830836</v>
      </c>
      <c r="M286" s="90">
        <v>11.43058587825</v>
      </c>
      <c r="N286" s="90">
        <v>1.52655675792151</v>
      </c>
      <c r="O286" s="90">
        <v>1.7972919313634601</v>
      </c>
      <c r="P286" s="90">
        <v>0.24002865408686</v>
      </c>
      <c r="Q286" s="90">
        <v>590.630816230135</v>
      </c>
      <c r="R286" s="90">
        <v>1400</v>
      </c>
      <c r="S286" s="90" t="s">
        <v>324</v>
      </c>
      <c r="T286" s="90">
        <v>1400</v>
      </c>
      <c r="U286" s="90" t="s">
        <v>378</v>
      </c>
      <c r="V286" s="90" t="s">
        <v>244</v>
      </c>
      <c r="Z286" s="90">
        <v>0</v>
      </c>
      <c r="AA286" s="90">
        <v>1</v>
      </c>
      <c r="AB286" s="90">
        <v>1.7972919313634601</v>
      </c>
      <c r="AC286" s="90">
        <v>0.24002865408686</v>
      </c>
      <c r="AD286" s="90">
        <v>590.630816230135</v>
      </c>
      <c r="AF286" s="90">
        <v>-1</v>
      </c>
      <c r="AG286" s="90">
        <v>-1</v>
      </c>
      <c r="AH286" s="90">
        <v>-1</v>
      </c>
      <c r="AI286" s="90">
        <v>-1</v>
      </c>
      <c r="AJ286" s="90">
        <v>0</v>
      </c>
      <c r="AM286" s="90" t="s">
        <v>379</v>
      </c>
      <c r="AN286" s="90">
        <v>-1</v>
      </c>
      <c r="AQ286" s="90">
        <v>356</v>
      </c>
      <c r="AR286" s="90" t="s">
        <v>380</v>
      </c>
      <c r="AS286" s="90" t="s">
        <v>246</v>
      </c>
      <c r="AT286" s="90" t="s">
        <v>244</v>
      </c>
      <c r="AU286" s="90">
        <v>175.87190000000001</v>
      </c>
      <c r="AV286" s="90">
        <v>196.553151431781</v>
      </c>
      <c r="AW286" s="90">
        <v>636.308801039287</v>
      </c>
      <c r="AX286" s="90">
        <v>0.4790193157</v>
      </c>
    </row>
    <row r="287" spans="1:50" x14ac:dyDescent="0.25">
      <c r="A287" s="102">
        <v>830000</v>
      </c>
      <c r="B287" s="102">
        <v>2400000</v>
      </c>
      <c r="C287" s="102">
        <v>2400000</v>
      </c>
      <c r="D287" s="90" t="s">
        <v>374</v>
      </c>
      <c r="E287" s="90" t="s">
        <v>68</v>
      </c>
      <c r="F287" s="90" t="s">
        <v>375</v>
      </c>
      <c r="G287" s="90" t="s">
        <v>376</v>
      </c>
      <c r="H287" s="90">
        <v>0.59</v>
      </c>
      <c r="I287" s="90">
        <v>0.64</v>
      </c>
      <c r="J287" s="90" t="s">
        <v>389</v>
      </c>
      <c r="K287" s="90">
        <v>1.6371601620229999E-2</v>
      </c>
      <c r="L287" s="90">
        <v>3756.34928830836</v>
      </c>
      <c r="M287" s="90">
        <v>11.43058587825</v>
      </c>
      <c r="N287" s="90">
        <v>1.52655675792151</v>
      </c>
      <c r="O287" s="90">
        <v>0.18713699828460001</v>
      </c>
      <c r="P287" s="90">
        <v>2.4992179091370002E-2</v>
      </c>
      <c r="Q287" s="90">
        <v>61.497454094641498</v>
      </c>
      <c r="R287" s="90">
        <v>3200</v>
      </c>
      <c r="S287" s="90" t="s">
        <v>393</v>
      </c>
      <c r="T287" s="90">
        <v>3200</v>
      </c>
      <c r="U287" s="90" t="s">
        <v>378</v>
      </c>
      <c r="V287" s="90" t="s">
        <v>244</v>
      </c>
      <c r="Y287" s="90" t="s">
        <v>389</v>
      </c>
      <c r="Z287" s="90">
        <v>0</v>
      </c>
      <c r="AA287" s="90">
        <v>1</v>
      </c>
      <c r="AB287" s="90">
        <v>0.18713699828460001</v>
      </c>
      <c r="AC287" s="90">
        <v>2.4992179091370002E-2</v>
      </c>
      <c r="AD287" s="90">
        <v>61.497454094641498</v>
      </c>
      <c r="AF287" s="90">
        <v>-1</v>
      </c>
      <c r="AG287" s="90">
        <v>-1</v>
      </c>
      <c r="AH287" s="90">
        <v>-1</v>
      </c>
      <c r="AI287" s="90">
        <v>-1</v>
      </c>
      <c r="AJ287" s="90">
        <v>0</v>
      </c>
      <c r="AM287" s="90" t="s">
        <v>379</v>
      </c>
      <c r="AN287" s="90">
        <v>-1</v>
      </c>
      <c r="AQ287" s="90">
        <v>356</v>
      </c>
      <c r="AR287" s="90" t="s">
        <v>380</v>
      </c>
      <c r="AS287" s="90" t="s">
        <v>246</v>
      </c>
      <c r="AT287" s="90" t="s">
        <v>244</v>
      </c>
      <c r="AU287" s="90">
        <v>175.87190000000001</v>
      </c>
      <c r="AV287" s="90">
        <v>95.670029182508202</v>
      </c>
      <c r="AW287" s="90">
        <v>66.253521161826399</v>
      </c>
      <c r="AX287" s="90">
        <v>4.9876280699999997E-2</v>
      </c>
    </row>
    <row r="288" spans="1:50" x14ac:dyDescent="0.25">
      <c r="A288" s="102">
        <v>830000</v>
      </c>
      <c r="B288" s="102">
        <v>2400000</v>
      </c>
      <c r="C288" s="102">
        <v>2400000</v>
      </c>
      <c r="D288" s="90" t="s">
        <v>374</v>
      </c>
      <c r="E288" s="90" t="s">
        <v>68</v>
      </c>
      <c r="F288" s="90" t="s">
        <v>375</v>
      </c>
      <c r="G288" s="90" t="s">
        <v>376</v>
      </c>
      <c r="H288" s="90">
        <v>0.59</v>
      </c>
      <c r="I288" s="90">
        <v>0.64</v>
      </c>
      <c r="J288" s="90" t="s">
        <v>244</v>
      </c>
      <c r="K288" s="90">
        <v>0.42844313497494002</v>
      </c>
      <c r="L288" s="90">
        <v>3756.34928830836</v>
      </c>
      <c r="M288" s="90">
        <v>11.43058587825</v>
      </c>
      <c r="N288" s="90">
        <v>1.52655675792151</v>
      </c>
      <c r="O288" s="90">
        <v>4.8973560482778096</v>
      </c>
      <c r="P288" s="90">
        <v>0.65404276308108</v>
      </c>
      <c r="Q288" s="90">
        <v>1609.38206514374</v>
      </c>
      <c r="R288" s="90">
        <v>1410</v>
      </c>
      <c r="S288" s="90" t="s">
        <v>325</v>
      </c>
      <c r="T288" s="90">
        <v>1410</v>
      </c>
      <c r="U288" s="90" t="s">
        <v>378</v>
      </c>
      <c r="V288" s="90" t="s">
        <v>244</v>
      </c>
      <c r="Z288" s="90">
        <v>0</v>
      </c>
      <c r="AA288" s="90">
        <v>1</v>
      </c>
      <c r="AB288" s="90">
        <v>4.8973560482778096</v>
      </c>
      <c r="AC288" s="90">
        <v>0.65404276308108</v>
      </c>
      <c r="AD288" s="90">
        <v>1609.38206514374</v>
      </c>
      <c r="AF288" s="90">
        <v>-1</v>
      </c>
      <c r="AG288" s="90">
        <v>-1</v>
      </c>
      <c r="AH288" s="90">
        <v>-1</v>
      </c>
      <c r="AI288" s="90">
        <v>-1</v>
      </c>
      <c r="AJ288" s="90">
        <v>0</v>
      </c>
      <c r="AM288" s="90" t="s">
        <v>379</v>
      </c>
      <c r="AN288" s="90">
        <v>-1</v>
      </c>
      <c r="AQ288" s="90">
        <v>356</v>
      </c>
      <c r="AR288" s="90" t="s">
        <v>380</v>
      </c>
      <c r="AS288" s="90" t="s">
        <v>246</v>
      </c>
      <c r="AT288" s="90" t="s">
        <v>244</v>
      </c>
      <c r="AU288" s="90">
        <v>175.87190000000001</v>
      </c>
      <c r="AV288" s="90">
        <v>167.240214528292</v>
      </c>
      <c r="AW288" s="90">
        <v>1733.8478524065499</v>
      </c>
      <c r="AX288" s="90">
        <v>1.3052571493</v>
      </c>
    </row>
    <row r="289" spans="1:50" x14ac:dyDescent="0.25">
      <c r="A289" s="102">
        <v>830000</v>
      </c>
      <c r="B289" s="102">
        <v>2400000</v>
      </c>
      <c r="C289" s="102">
        <v>2400000</v>
      </c>
      <c r="D289" s="90" t="s">
        <v>374</v>
      </c>
      <c r="E289" s="90" t="s">
        <v>68</v>
      </c>
      <c r="F289" s="90" t="s">
        <v>375</v>
      </c>
      <c r="G289" s="90" t="s">
        <v>376</v>
      </c>
      <c r="H289" s="90">
        <v>0.59</v>
      </c>
      <c r="I289" s="90">
        <v>0.64</v>
      </c>
      <c r="J289" s="90" t="s">
        <v>244</v>
      </c>
      <c r="K289" s="90">
        <v>1.4028680471709999E-2</v>
      </c>
      <c r="L289" s="90">
        <v>3756.34928830836</v>
      </c>
      <c r="M289" s="90">
        <v>11.43058587825</v>
      </c>
      <c r="N289" s="90">
        <v>1.52655675792151</v>
      </c>
      <c r="O289" s="90">
        <v>0.16035603689042</v>
      </c>
      <c r="P289" s="90">
        <v>2.141557697881E-2</v>
      </c>
      <c r="Q289" s="90">
        <v>52.696623905816999</v>
      </c>
      <c r="R289" s="90">
        <v>1300</v>
      </c>
      <c r="S289" s="90" t="s">
        <v>387</v>
      </c>
      <c r="T289" s="90">
        <v>1300</v>
      </c>
      <c r="U289" s="90" t="s">
        <v>378</v>
      </c>
      <c r="V289" s="90" t="s">
        <v>244</v>
      </c>
      <c r="Z289" s="90">
        <v>0</v>
      </c>
      <c r="AA289" s="90">
        <v>1</v>
      </c>
      <c r="AB289" s="90">
        <v>0.16035603689042</v>
      </c>
      <c r="AC289" s="90">
        <v>2.141557697881E-2</v>
      </c>
      <c r="AD289" s="90">
        <v>52.696623905815102</v>
      </c>
      <c r="AF289" s="90">
        <v>-1</v>
      </c>
      <c r="AG289" s="90">
        <v>-1</v>
      </c>
      <c r="AH289" s="90">
        <v>-1</v>
      </c>
      <c r="AI289" s="90">
        <v>-1</v>
      </c>
      <c r="AJ289" s="90">
        <v>0</v>
      </c>
      <c r="AM289" s="90" t="s">
        <v>379</v>
      </c>
      <c r="AN289" s="90">
        <v>-1</v>
      </c>
      <c r="AQ289" s="90">
        <v>356</v>
      </c>
      <c r="AR289" s="90" t="s">
        <v>380</v>
      </c>
      <c r="AS289" s="90" t="s">
        <v>246</v>
      </c>
      <c r="AT289" s="90" t="s">
        <v>244</v>
      </c>
      <c r="AU289" s="90">
        <v>175.87190000000001</v>
      </c>
      <c r="AV289" s="90">
        <v>98.446671135374402</v>
      </c>
      <c r="AW289" s="90">
        <v>56.772055664739099</v>
      </c>
      <c r="AX289" s="90">
        <v>4.2738543300000001E-2</v>
      </c>
    </row>
    <row r="290" spans="1:50" x14ac:dyDescent="0.25">
      <c r="A290" s="102">
        <v>830000</v>
      </c>
      <c r="B290" s="102">
        <v>2400000</v>
      </c>
      <c r="C290" s="102">
        <v>2400000</v>
      </c>
      <c r="D290" s="90" t="s">
        <v>374</v>
      </c>
      <c r="E290" s="90" t="s">
        <v>68</v>
      </c>
      <c r="F290" s="90" t="s">
        <v>375</v>
      </c>
      <c r="G290" s="90" t="s">
        <v>376</v>
      </c>
      <c r="H290" s="90">
        <v>0.59</v>
      </c>
      <c r="I290" s="90">
        <v>0.64</v>
      </c>
      <c r="J290" s="90" t="s">
        <v>244</v>
      </c>
      <c r="K290" s="90">
        <v>1.0416556224199999E-3</v>
      </c>
      <c r="L290" s="90">
        <v>3756.34928830836</v>
      </c>
      <c r="M290" s="90">
        <v>11.43058587825</v>
      </c>
      <c r="N290" s="90">
        <v>1.52655675792151</v>
      </c>
      <c r="O290" s="90">
        <v>1.190673404766E-2</v>
      </c>
      <c r="P290" s="90">
        <v>1.5901464298299999E-3</v>
      </c>
      <c r="Q290" s="90">
        <v>3.91282235595104</v>
      </c>
      <c r="R290" s="90">
        <v>1300</v>
      </c>
      <c r="S290" s="90" t="s">
        <v>387</v>
      </c>
      <c r="T290" s="90">
        <v>1300</v>
      </c>
      <c r="U290" s="90" t="s">
        <v>378</v>
      </c>
      <c r="V290" s="90" t="s">
        <v>244</v>
      </c>
      <c r="Z290" s="90">
        <v>0</v>
      </c>
      <c r="AA290" s="90">
        <v>1</v>
      </c>
      <c r="AB290" s="90">
        <v>1.190673404766E-2</v>
      </c>
      <c r="AC290" s="90">
        <v>1.5901464298299999E-3</v>
      </c>
      <c r="AD290" s="90">
        <v>3.9128223559496802</v>
      </c>
      <c r="AF290" s="90">
        <v>-1</v>
      </c>
      <c r="AG290" s="90">
        <v>-1</v>
      </c>
      <c r="AH290" s="90">
        <v>-1</v>
      </c>
      <c r="AI290" s="90">
        <v>-1</v>
      </c>
      <c r="AJ290" s="90">
        <v>0</v>
      </c>
      <c r="AM290" s="90" t="s">
        <v>379</v>
      </c>
      <c r="AN290" s="90">
        <v>-1</v>
      </c>
      <c r="AQ290" s="90">
        <v>356</v>
      </c>
      <c r="AR290" s="90" t="s">
        <v>380</v>
      </c>
      <c r="AS290" s="90" t="s">
        <v>246</v>
      </c>
      <c r="AT290" s="90" t="s">
        <v>244</v>
      </c>
      <c r="AU290" s="90">
        <v>175.87190000000001</v>
      </c>
      <c r="AV290" s="90">
        <v>9.4635438190872598</v>
      </c>
      <c r="AW290" s="90">
        <v>4.2154307455301296</v>
      </c>
      <c r="AX290" s="90">
        <v>3.1734163000000002E-3</v>
      </c>
    </row>
    <row r="291" spans="1:50" x14ac:dyDescent="0.25">
      <c r="A291" s="102">
        <v>830000</v>
      </c>
      <c r="B291" s="102">
        <v>2400000</v>
      </c>
      <c r="C291" s="102">
        <v>2400000</v>
      </c>
      <c r="D291" s="90" t="s">
        <v>374</v>
      </c>
      <c r="E291" s="90" t="s">
        <v>68</v>
      </c>
      <c r="F291" s="90" t="s">
        <v>375</v>
      </c>
      <c r="G291" s="90" t="s">
        <v>376</v>
      </c>
      <c r="H291" s="90">
        <v>0.59</v>
      </c>
      <c r="I291" s="90">
        <v>0.64</v>
      </c>
      <c r="J291" s="90" t="s">
        <v>244</v>
      </c>
      <c r="K291" s="90">
        <v>6.3933699482999996E-4</v>
      </c>
      <c r="L291" s="90">
        <v>3756.34928830836</v>
      </c>
      <c r="M291" s="90">
        <v>11.43058587825</v>
      </c>
      <c r="N291" s="90">
        <v>1.52655675792151</v>
      </c>
      <c r="O291" s="90">
        <v>7.3079964245400001E-3</v>
      </c>
      <c r="P291" s="90">
        <v>9.7598421003999999E-4</v>
      </c>
      <c r="Q291" s="90">
        <v>2.4015730655188698</v>
      </c>
      <c r="R291" s="90">
        <v>1300</v>
      </c>
      <c r="S291" s="90" t="s">
        <v>387</v>
      </c>
      <c r="T291" s="90">
        <v>1300</v>
      </c>
      <c r="U291" s="90" t="s">
        <v>378</v>
      </c>
      <c r="V291" s="90" t="s">
        <v>244</v>
      </c>
      <c r="Z291" s="90">
        <v>0</v>
      </c>
      <c r="AA291" s="90">
        <v>1</v>
      </c>
      <c r="AB291" s="90">
        <v>7.3079964245400001E-3</v>
      </c>
      <c r="AC291" s="90">
        <v>9.7598421003999999E-4</v>
      </c>
      <c r="AD291" s="90">
        <v>2.4015730655201701</v>
      </c>
      <c r="AF291" s="90">
        <v>-1</v>
      </c>
      <c r="AG291" s="90">
        <v>-1</v>
      </c>
      <c r="AH291" s="90">
        <v>-1</v>
      </c>
      <c r="AI291" s="90">
        <v>-1</v>
      </c>
      <c r="AJ291" s="90">
        <v>0</v>
      </c>
      <c r="AM291" s="90" t="s">
        <v>379</v>
      </c>
      <c r="AN291" s="90">
        <v>-1</v>
      </c>
      <c r="AQ291" s="90">
        <v>356</v>
      </c>
      <c r="AR291" s="90" t="s">
        <v>380</v>
      </c>
      <c r="AS291" s="90" t="s">
        <v>246</v>
      </c>
      <c r="AT291" s="90" t="s">
        <v>244</v>
      </c>
      <c r="AU291" s="90">
        <v>175.87190000000001</v>
      </c>
      <c r="AV291" s="90">
        <v>7.6609580913482702</v>
      </c>
      <c r="AW291" s="90">
        <v>2.5873050236071</v>
      </c>
      <c r="AX291" s="90">
        <v>1.9477477999999999E-3</v>
      </c>
    </row>
    <row r="292" spans="1:50" x14ac:dyDescent="0.25">
      <c r="A292" s="102">
        <v>830000</v>
      </c>
      <c r="B292" s="102">
        <v>2400000</v>
      </c>
      <c r="C292" s="102">
        <v>2400000</v>
      </c>
      <c r="D292" s="90" t="s">
        <v>374</v>
      </c>
      <c r="E292" s="90" t="s">
        <v>68</v>
      </c>
      <c r="F292" s="90" t="s">
        <v>375</v>
      </c>
      <c r="G292" s="90" t="s">
        <v>376</v>
      </c>
      <c r="H292" s="90">
        <v>0.59</v>
      </c>
      <c r="I292" s="90">
        <v>0.64</v>
      </c>
      <c r="J292" s="90" t="s">
        <v>381</v>
      </c>
      <c r="K292" s="90">
        <v>2.6312487667870001E-2</v>
      </c>
      <c r="L292" s="90">
        <v>3755.4184646812701</v>
      </c>
      <c r="M292" s="90">
        <v>10.3659758128312</v>
      </c>
      <c r="N292" s="90">
        <v>1.88392875083533</v>
      </c>
      <c r="O292" s="90">
        <v>0.27275461074056001</v>
      </c>
      <c r="P292" s="90">
        <v>4.9570852023499999E-2</v>
      </c>
      <c r="Q292" s="90">
        <v>98.814402039617406</v>
      </c>
      <c r="R292" s="90">
        <v>1300</v>
      </c>
      <c r="S292" s="90" t="s">
        <v>387</v>
      </c>
      <c r="T292" s="90">
        <v>1300</v>
      </c>
      <c r="U292" s="90" t="s">
        <v>382</v>
      </c>
      <c r="V292" s="90" t="s">
        <v>381</v>
      </c>
      <c r="Z292" s="90">
        <v>0</v>
      </c>
      <c r="AA292" s="90">
        <v>1</v>
      </c>
      <c r="AB292" s="90">
        <v>0.27275461074056001</v>
      </c>
      <c r="AC292" s="90">
        <v>4.9570852023499999E-2</v>
      </c>
      <c r="AD292" s="90">
        <v>98.814402039616994</v>
      </c>
      <c r="AF292" s="90">
        <v>-1</v>
      </c>
      <c r="AG292" s="90">
        <v>-1</v>
      </c>
      <c r="AH292" s="90">
        <v>-1</v>
      </c>
      <c r="AI292" s="90">
        <v>-1</v>
      </c>
      <c r="AJ292" s="90">
        <v>0</v>
      </c>
      <c r="AM292" s="90" t="s">
        <v>379</v>
      </c>
      <c r="AN292" s="90">
        <v>-1</v>
      </c>
      <c r="AQ292" s="90">
        <v>356</v>
      </c>
      <c r="AR292" s="90" t="s">
        <v>380</v>
      </c>
      <c r="AS292" s="90" t="s">
        <v>246</v>
      </c>
      <c r="AT292" s="90" t="s">
        <v>244</v>
      </c>
      <c r="AU292" s="90">
        <v>175.87190000000001</v>
      </c>
      <c r="AV292" s="90">
        <v>104.444728860487</v>
      </c>
      <c r="AW292" s="90">
        <v>106.482859708039</v>
      </c>
      <c r="AX292" s="90">
        <v>8.0141445300000003E-2</v>
      </c>
    </row>
    <row r="293" spans="1:50" x14ac:dyDescent="0.25">
      <c r="A293" s="102">
        <v>830000</v>
      </c>
      <c r="B293" s="102">
        <v>2400000</v>
      </c>
      <c r="C293" s="102">
        <v>2400000</v>
      </c>
      <c r="D293" s="90" t="s">
        <v>374</v>
      </c>
      <c r="E293" s="90" t="s">
        <v>68</v>
      </c>
      <c r="F293" s="90" t="s">
        <v>375</v>
      </c>
      <c r="G293" s="90" t="s">
        <v>376</v>
      </c>
      <c r="H293" s="90">
        <v>0.59</v>
      </c>
      <c r="I293" s="90">
        <v>0.64</v>
      </c>
      <c r="J293" s="90" t="s">
        <v>381</v>
      </c>
      <c r="K293" s="90">
        <v>0.12939772521099999</v>
      </c>
      <c r="L293" s="90">
        <v>3755.4184646812701</v>
      </c>
      <c r="M293" s="90">
        <v>10.3659758128312</v>
      </c>
      <c r="N293" s="90">
        <v>1.88392875083533</v>
      </c>
      <c r="O293" s="90">
        <v>1.3413336897727</v>
      </c>
      <c r="P293" s="90">
        <v>0.24377609481771001</v>
      </c>
      <c r="Q293" s="90">
        <v>485.942606545177</v>
      </c>
      <c r="R293" s="90">
        <v>8140</v>
      </c>
      <c r="S293" s="90" t="s">
        <v>386</v>
      </c>
      <c r="T293" s="90">
        <v>8140</v>
      </c>
      <c r="U293" s="90" t="s">
        <v>382</v>
      </c>
      <c r="V293" s="90" t="s">
        <v>381</v>
      </c>
      <c r="Z293" s="90">
        <v>0</v>
      </c>
      <c r="AA293" s="90">
        <v>1</v>
      </c>
      <c r="AB293" s="90">
        <v>1.3413336897727</v>
      </c>
      <c r="AC293" s="90">
        <v>0.24377609481771001</v>
      </c>
      <c r="AD293" s="90">
        <v>485.942606545177</v>
      </c>
      <c r="AF293" s="90">
        <v>-1</v>
      </c>
      <c r="AG293" s="90">
        <v>-1</v>
      </c>
      <c r="AH293" s="90">
        <v>-1</v>
      </c>
      <c r="AI293" s="90">
        <v>-1</v>
      </c>
      <c r="AJ293" s="90">
        <v>0</v>
      </c>
      <c r="AM293" s="90" t="s">
        <v>379</v>
      </c>
      <c r="AN293" s="90">
        <v>-1</v>
      </c>
      <c r="AQ293" s="90">
        <v>356</v>
      </c>
      <c r="AR293" s="90" t="s">
        <v>380</v>
      </c>
      <c r="AS293" s="90" t="s">
        <v>246</v>
      </c>
      <c r="AT293" s="90" t="s">
        <v>244</v>
      </c>
      <c r="AU293" s="90">
        <v>175.87190000000001</v>
      </c>
      <c r="AV293" s="90">
        <v>121.029919271667</v>
      </c>
      <c r="AW293" s="90">
        <v>523.65401531412294</v>
      </c>
      <c r="AX293" s="90">
        <v>0.39411403610000001</v>
      </c>
    </row>
    <row r="294" spans="1:50" x14ac:dyDescent="0.25">
      <c r="A294" s="102">
        <v>830000</v>
      </c>
      <c r="B294" s="102">
        <v>2400000</v>
      </c>
      <c r="C294" s="102">
        <v>2400000</v>
      </c>
      <c r="D294" s="90" t="s">
        <v>374</v>
      </c>
      <c r="E294" s="90" t="s">
        <v>68</v>
      </c>
      <c r="F294" s="90" t="s">
        <v>375</v>
      </c>
      <c r="G294" s="90" t="s">
        <v>376</v>
      </c>
      <c r="H294" s="90">
        <v>0.59</v>
      </c>
      <c r="I294" s="90">
        <v>0.64</v>
      </c>
      <c r="J294" s="90" t="s">
        <v>244</v>
      </c>
      <c r="K294" s="90">
        <v>0.23886468642333999</v>
      </c>
      <c r="L294" s="90">
        <v>3755.4184646812701</v>
      </c>
      <c r="M294" s="90">
        <v>10.3659758128312</v>
      </c>
      <c r="N294" s="90">
        <v>1.88392875083533</v>
      </c>
      <c r="O294" s="90">
        <v>2.4760655620039498</v>
      </c>
      <c r="P294" s="90">
        <v>0.45000405031221002</v>
      </c>
      <c r="Q294" s="90">
        <v>897.03685395454795</v>
      </c>
      <c r="R294" s="90">
        <v>1300</v>
      </c>
      <c r="S294" s="90" t="s">
        <v>387</v>
      </c>
      <c r="T294" s="90">
        <v>1300</v>
      </c>
      <c r="U294" s="90" t="s">
        <v>378</v>
      </c>
      <c r="V294" s="90" t="s">
        <v>244</v>
      </c>
      <c r="Z294" s="90">
        <v>0</v>
      </c>
      <c r="AA294" s="90">
        <v>1</v>
      </c>
      <c r="AB294" s="90">
        <v>2.4760655620039498</v>
      </c>
      <c r="AC294" s="90">
        <v>0.45000405031221002</v>
      </c>
      <c r="AD294" s="90">
        <v>897.03685395454795</v>
      </c>
      <c r="AF294" s="90">
        <v>-1</v>
      </c>
      <c r="AG294" s="90">
        <v>-1</v>
      </c>
      <c r="AH294" s="90">
        <v>-1</v>
      </c>
      <c r="AI294" s="90">
        <v>-1</v>
      </c>
      <c r="AJ294" s="90">
        <v>0</v>
      </c>
      <c r="AM294" s="90" t="s">
        <v>379</v>
      </c>
      <c r="AN294" s="90">
        <v>-1</v>
      </c>
      <c r="AQ294" s="90">
        <v>356</v>
      </c>
      <c r="AR294" s="90" t="s">
        <v>380</v>
      </c>
      <c r="AS294" s="90" t="s">
        <v>246</v>
      </c>
      <c r="AT294" s="90" t="s">
        <v>244</v>
      </c>
      <c r="AU294" s="90">
        <v>175.87190000000001</v>
      </c>
      <c r="AV294" s="90">
        <v>126.61761537631899</v>
      </c>
      <c r="AW294" s="90">
        <v>966.65109033689396</v>
      </c>
      <c r="AX294" s="90">
        <v>0.72752380689999996</v>
      </c>
    </row>
    <row r="295" spans="1:50" x14ac:dyDescent="0.25">
      <c r="A295" s="102">
        <v>830000</v>
      </c>
      <c r="B295" s="102">
        <v>2400000</v>
      </c>
      <c r="C295" s="102">
        <v>2400000</v>
      </c>
      <c r="D295" s="90" t="s">
        <v>374</v>
      </c>
      <c r="E295" s="90" t="s">
        <v>68</v>
      </c>
      <c r="F295" s="90" t="s">
        <v>375</v>
      </c>
      <c r="G295" s="90" t="s">
        <v>376</v>
      </c>
      <c r="H295" s="90">
        <v>0.59</v>
      </c>
      <c r="I295" s="90">
        <v>0.64</v>
      </c>
      <c r="J295" s="90" t="s">
        <v>381</v>
      </c>
      <c r="K295" s="90">
        <v>8.7032670599000001E-4</v>
      </c>
      <c r="L295" s="90">
        <v>3755.4184646812701</v>
      </c>
      <c r="M295" s="90">
        <v>10.3659758128312</v>
      </c>
      <c r="N295" s="90">
        <v>1.88392875083533</v>
      </c>
      <c r="O295" s="90">
        <v>9.0217855835499992E-3</v>
      </c>
      <c r="P295" s="90">
        <v>1.63963350403E-3</v>
      </c>
      <c r="Q295" s="90">
        <v>3.2684409819800799</v>
      </c>
      <c r="R295" s="90">
        <v>1300</v>
      </c>
      <c r="S295" s="90" t="s">
        <v>387</v>
      </c>
      <c r="T295" s="90">
        <v>1300</v>
      </c>
      <c r="U295" s="90" t="s">
        <v>382</v>
      </c>
      <c r="V295" s="90" t="s">
        <v>381</v>
      </c>
      <c r="Z295" s="90">
        <v>0</v>
      </c>
      <c r="AA295" s="90">
        <v>1</v>
      </c>
      <c r="AB295" s="90">
        <v>9.0217855835499992E-3</v>
      </c>
      <c r="AC295" s="90">
        <v>1.63963350403E-3</v>
      </c>
      <c r="AD295" s="90">
        <v>3.2684409819790301</v>
      </c>
      <c r="AF295" s="90">
        <v>-1</v>
      </c>
      <c r="AG295" s="90">
        <v>-1</v>
      </c>
      <c r="AH295" s="90">
        <v>-1</v>
      </c>
      <c r="AI295" s="90">
        <v>-1</v>
      </c>
      <c r="AJ295" s="90">
        <v>0</v>
      </c>
      <c r="AM295" s="90" t="s">
        <v>379</v>
      </c>
      <c r="AN295" s="90">
        <v>-1</v>
      </c>
      <c r="AQ295" s="90">
        <v>356</v>
      </c>
      <c r="AR295" s="90" t="s">
        <v>380</v>
      </c>
      <c r="AS295" s="90" t="s">
        <v>246</v>
      </c>
      <c r="AT295" s="90" t="s">
        <v>244</v>
      </c>
      <c r="AU295" s="90">
        <v>175.87190000000001</v>
      </c>
      <c r="AV295" s="90">
        <v>50.176639951307997</v>
      </c>
      <c r="AW295" s="90">
        <v>3.5220872197207398</v>
      </c>
      <c r="AX295" s="90">
        <v>2.6508037E-3</v>
      </c>
    </row>
    <row r="296" spans="1:50" x14ac:dyDescent="0.25">
      <c r="A296" s="102">
        <v>830000</v>
      </c>
      <c r="B296" s="102">
        <v>2400000</v>
      </c>
      <c r="C296" s="102">
        <v>2400000</v>
      </c>
      <c r="D296" s="90" t="s">
        <v>374</v>
      </c>
      <c r="E296" s="90" t="s">
        <v>68</v>
      </c>
      <c r="F296" s="90" t="s">
        <v>375</v>
      </c>
      <c r="G296" s="90" t="s">
        <v>376</v>
      </c>
      <c r="H296" s="90">
        <v>0.59</v>
      </c>
      <c r="I296" s="90">
        <v>0.64</v>
      </c>
      <c r="J296" s="90" t="s">
        <v>244</v>
      </c>
      <c r="K296" s="90">
        <v>0.19711010941203999</v>
      </c>
      <c r="L296" s="90">
        <v>3755.4184646812701</v>
      </c>
      <c r="M296" s="90">
        <v>10.3659758128312</v>
      </c>
      <c r="N296" s="90">
        <v>1.88392875083533</v>
      </c>
      <c r="O296" s="90">
        <v>2.0432386266297602</v>
      </c>
      <c r="P296" s="90">
        <v>0.37134140220164003</v>
      </c>
      <c r="Q296" s="90">
        <v>740.230944461337</v>
      </c>
      <c r="R296" s="90">
        <v>1300</v>
      </c>
      <c r="S296" s="90" t="s">
        <v>387</v>
      </c>
      <c r="T296" s="90">
        <v>1300</v>
      </c>
      <c r="U296" s="90" t="s">
        <v>378</v>
      </c>
      <c r="V296" s="90" t="s">
        <v>244</v>
      </c>
      <c r="Z296" s="90">
        <v>0</v>
      </c>
      <c r="AA296" s="90">
        <v>1</v>
      </c>
      <c r="AB296" s="90">
        <v>2.0432386266297602</v>
      </c>
      <c r="AC296" s="90">
        <v>0.37134140220164003</v>
      </c>
      <c r="AD296" s="90">
        <v>740.230944461337</v>
      </c>
      <c r="AF296" s="90">
        <v>-1</v>
      </c>
      <c r="AG296" s="90">
        <v>-1</v>
      </c>
      <c r="AH296" s="90">
        <v>-1</v>
      </c>
      <c r="AI296" s="90">
        <v>-1</v>
      </c>
      <c r="AJ296" s="90">
        <v>0</v>
      </c>
      <c r="AM296" s="90" t="s">
        <v>379</v>
      </c>
      <c r="AN296" s="90">
        <v>-1</v>
      </c>
      <c r="AQ296" s="90">
        <v>356</v>
      </c>
      <c r="AR296" s="90" t="s">
        <v>380</v>
      </c>
      <c r="AS296" s="90" t="s">
        <v>246</v>
      </c>
      <c r="AT296" s="90" t="s">
        <v>244</v>
      </c>
      <c r="AU296" s="90">
        <v>175.87190000000001</v>
      </c>
      <c r="AV296" s="90">
        <v>117.180816286032</v>
      </c>
      <c r="AW296" s="90">
        <v>797.67631219409498</v>
      </c>
      <c r="AX296" s="90">
        <v>0.60034950890000005</v>
      </c>
    </row>
    <row r="297" spans="1:50" x14ac:dyDescent="0.25">
      <c r="A297" s="102">
        <v>830000</v>
      </c>
      <c r="B297" s="102">
        <v>2400000</v>
      </c>
      <c r="C297" s="102">
        <v>2400000</v>
      </c>
      <c r="D297" s="90" t="s">
        <v>374</v>
      </c>
      <c r="E297" s="90" t="s">
        <v>68</v>
      </c>
      <c r="F297" s="90" t="s">
        <v>375</v>
      </c>
      <c r="G297" s="90" t="s">
        <v>376</v>
      </c>
      <c r="H297" s="90">
        <v>0.59</v>
      </c>
      <c r="I297" s="90">
        <v>0.64</v>
      </c>
      <c r="J297" s="90" t="s">
        <v>381</v>
      </c>
      <c r="K297" s="90">
        <v>9.4879890486000002E-4</v>
      </c>
      <c r="L297" s="90">
        <v>3755.4184646812701</v>
      </c>
      <c r="M297" s="90">
        <v>10.3659758128312</v>
      </c>
      <c r="N297" s="90">
        <v>1.88392875083533</v>
      </c>
      <c r="O297" s="90">
        <v>9.8352264990399993E-3</v>
      </c>
      <c r="P297" s="90">
        <v>1.7874695356300001E-3</v>
      </c>
      <c r="Q297" s="90">
        <v>3.5631369265881299</v>
      </c>
      <c r="R297" s="90">
        <v>1300</v>
      </c>
      <c r="S297" s="90" t="s">
        <v>387</v>
      </c>
      <c r="T297" s="90">
        <v>1300</v>
      </c>
      <c r="U297" s="90" t="s">
        <v>382</v>
      </c>
      <c r="V297" s="90" t="s">
        <v>381</v>
      </c>
      <c r="Z297" s="90">
        <v>0</v>
      </c>
      <c r="AA297" s="90">
        <v>1</v>
      </c>
      <c r="AB297" s="90">
        <v>9.8352264990399993E-3</v>
      </c>
      <c r="AC297" s="90">
        <v>1.7874695356300001E-3</v>
      </c>
      <c r="AD297" s="90">
        <v>3.5631369265866999</v>
      </c>
      <c r="AF297" s="90">
        <v>-1</v>
      </c>
      <c r="AG297" s="90">
        <v>-1</v>
      </c>
      <c r="AH297" s="90">
        <v>-1</v>
      </c>
      <c r="AI297" s="90">
        <v>-1</v>
      </c>
      <c r="AJ297" s="90">
        <v>0</v>
      </c>
      <c r="AM297" s="90" t="s">
        <v>379</v>
      </c>
      <c r="AN297" s="90">
        <v>-1</v>
      </c>
      <c r="AQ297" s="90">
        <v>356</v>
      </c>
      <c r="AR297" s="90" t="s">
        <v>380</v>
      </c>
      <c r="AS297" s="90" t="s">
        <v>246</v>
      </c>
      <c r="AT297" s="90" t="s">
        <v>244</v>
      </c>
      <c r="AU297" s="90">
        <v>175.87190000000001</v>
      </c>
      <c r="AV297" s="90">
        <v>43.796373378695201</v>
      </c>
      <c r="AW297" s="90">
        <v>3.8396529417053298</v>
      </c>
      <c r="AX297" s="90">
        <v>2.8898109999999999E-3</v>
      </c>
    </row>
    <row r="298" spans="1:50" x14ac:dyDescent="0.25">
      <c r="A298" s="102">
        <v>830000</v>
      </c>
      <c r="B298" s="102">
        <v>2400000</v>
      </c>
      <c r="C298" s="102">
        <v>2400000</v>
      </c>
      <c r="D298" s="90" t="s">
        <v>374</v>
      </c>
      <c r="E298" s="90" t="s">
        <v>68</v>
      </c>
      <c r="F298" s="90" t="s">
        <v>375</v>
      </c>
      <c r="G298" s="90" t="s">
        <v>376</v>
      </c>
      <c r="H298" s="90">
        <v>0.59</v>
      </c>
      <c r="I298" s="90">
        <v>0.64</v>
      </c>
      <c r="J298" s="90" t="s">
        <v>244</v>
      </c>
      <c r="K298" s="90">
        <v>2.4112122112499999E-2</v>
      </c>
      <c r="L298" s="90">
        <v>3755.4184646812701</v>
      </c>
      <c r="M298" s="90">
        <v>10.3659758128312</v>
      </c>
      <c r="N298" s="90">
        <v>1.88392875083533</v>
      </c>
      <c r="O298" s="90">
        <v>0.24994567461428999</v>
      </c>
      <c r="P298" s="90">
        <v>4.5425520091400003E-2</v>
      </c>
      <c r="Q298" s="90">
        <v>90.551108603962206</v>
      </c>
      <c r="R298" s="90">
        <v>1300</v>
      </c>
      <c r="S298" s="90" t="s">
        <v>387</v>
      </c>
      <c r="T298" s="90">
        <v>1300</v>
      </c>
      <c r="U298" s="90" t="s">
        <v>378</v>
      </c>
      <c r="V298" s="90" t="s">
        <v>244</v>
      </c>
      <c r="Z298" s="90">
        <v>0</v>
      </c>
      <c r="AA298" s="90">
        <v>1</v>
      </c>
      <c r="AB298" s="90">
        <v>0.24994567461428999</v>
      </c>
      <c r="AC298" s="90">
        <v>4.5425520091400003E-2</v>
      </c>
      <c r="AD298" s="90">
        <v>90.551108603963399</v>
      </c>
      <c r="AF298" s="90">
        <v>-1</v>
      </c>
      <c r="AG298" s="90">
        <v>-1</v>
      </c>
      <c r="AH298" s="90">
        <v>-1</v>
      </c>
      <c r="AI298" s="90">
        <v>-1</v>
      </c>
      <c r="AJ298" s="90">
        <v>0</v>
      </c>
      <c r="AM298" s="90" t="s">
        <v>379</v>
      </c>
      <c r="AN298" s="90">
        <v>-1</v>
      </c>
      <c r="AQ298" s="90">
        <v>356</v>
      </c>
      <c r="AR298" s="90" t="s">
        <v>380</v>
      </c>
      <c r="AS298" s="90" t="s">
        <v>246</v>
      </c>
      <c r="AT298" s="90" t="s">
        <v>244</v>
      </c>
      <c r="AU298" s="90">
        <v>175.87190000000001</v>
      </c>
      <c r="AV298" s="90">
        <v>78.481286616059407</v>
      </c>
      <c r="AW298" s="90">
        <v>97.578296228697397</v>
      </c>
      <c r="AX298" s="90">
        <v>7.3439666299999998E-2</v>
      </c>
    </row>
    <row r="299" spans="1:50" x14ac:dyDescent="0.25">
      <c r="A299" s="102">
        <v>830000</v>
      </c>
      <c r="B299" s="102">
        <v>2400000</v>
      </c>
      <c r="C299" s="102">
        <v>2400000</v>
      </c>
      <c r="D299" s="90" t="s">
        <v>374</v>
      </c>
      <c r="E299" s="90" t="s">
        <v>68</v>
      </c>
      <c r="F299" s="90" t="s">
        <v>375</v>
      </c>
      <c r="G299" s="90" t="s">
        <v>376</v>
      </c>
      <c r="H299" s="90">
        <v>0.59</v>
      </c>
      <c r="I299" s="90">
        <v>0.64</v>
      </c>
      <c r="J299" s="90" t="s">
        <v>381</v>
      </c>
      <c r="K299" s="90">
        <v>1.4719723027999999E-4</v>
      </c>
      <c r="L299" s="90">
        <v>3755.4184646812701</v>
      </c>
      <c r="M299" s="90">
        <v>10.3659758128312</v>
      </c>
      <c r="N299" s="90">
        <v>1.88392875083533</v>
      </c>
      <c r="O299" s="90">
        <v>1.52584292881E-3</v>
      </c>
      <c r="P299" s="90">
        <v>2.7730909416999997E-4</v>
      </c>
      <c r="Q299" s="90">
        <v>0.55278719655095998</v>
      </c>
      <c r="R299" s="90">
        <v>1300</v>
      </c>
      <c r="S299" s="90" t="s">
        <v>387</v>
      </c>
      <c r="T299" s="90">
        <v>1300</v>
      </c>
      <c r="U299" s="90" t="s">
        <v>382</v>
      </c>
      <c r="V299" s="90" t="s">
        <v>381</v>
      </c>
      <c r="Z299" s="90">
        <v>0</v>
      </c>
      <c r="AA299" s="90">
        <v>1</v>
      </c>
      <c r="AB299" s="90">
        <v>1.52584292881E-3</v>
      </c>
      <c r="AC299" s="90">
        <v>2.7730909416999997E-4</v>
      </c>
      <c r="AD299" s="90">
        <v>0.55278719654957997</v>
      </c>
      <c r="AF299" s="90">
        <v>-1</v>
      </c>
      <c r="AG299" s="90">
        <v>-1</v>
      </c>
      <c r="AH299" s="90">
        <v>-1</v>
      </c>
      <c r="AI299" s="90">
        <v>-1</v>
      </c>
      <c r="AJ299" s="90">
        <v>0</v>
      </c>
      <c r="AM299" s="90" t="s">
        <v>379</v>
      </c>
      <c r="AN299" s="90">
        <v>-1</v>
      </c>
      <c r="AQ299" s="90">
        <v>356</v>
      </c>
      <c r="AR299" s="90" t="s">
        <v>380</v>
      </c>
      <c r="AS299" s="90" t="s">
        <v>246</v>
      </c>
      <c r="AT299" s="90" t="s">
        <v>244</v>
      </c>
      <c r="AU299" s="90">
        <v>175.87190000000001</v>
      </c>
      <c r="AV299" s="90">
        <v>7.0714561505252602</v>
      </c>
      <c r="AW299" s="90">
        <v>0.59568605672470998</v>
      </c>
      <c r="AX299" s="90">
        <v>4.4832699999999999E-4</v>
      </c>
    </row>
    <row r="300" spans="1:50" x14ac:dyDescent="0.25">
      <c r="A300" s="102">
        <v>830000</v>
      </c>
      <c r="B300" s="102">
        <v>2400000</v>
      </c>
      <c r="C300" s="102">
        <v>2400000</v>
      </c>
      <c r="D300" s="90" t="s">
        <v>374</v>
      </c>
      <c r="E300" s="90" t="s">
        <v>68</v>
      </c>
      <c r="F300" s="90" t="s">
        <v>375</v>
      </c>
      <c r="G300" s="90" t="s">
        <v>376</v>
      </c>
      <c r="H300" s="90">
        <v>0.59</v>
      </c>
      <c r="I300" s="90">
        <v>0.64</v>
      </c>
      <c r="J300" s="90" t="s">
        <v>244</v>
      </c>
      <c r="K300" s="90">
        <v>1.5787426905670001E-2</v>
      </c>
      <c r="L300" s="90">
        <v>3746.4515509402499</v>
      </c>
      <c r="M300" s="90">
        <v>11.8787099802384</v>
      </c>
      <c r="N300" s="90">
        <v>2.0781284775914202</v>
      </c>
      <c r="O300" s="90">
        <v>0.18753426554670999</v>
      </c>
      <c r="P300" s="90">
        <v>3.2808301440570002E-2</v>
      </c>
      <c r="Q300" s="90">
        <v>59.146830016118201</v>
      </c>
      <c r="R300" s="90">
        <v>1300</v>
      </c>
      <c r="S300" s="90" t="s">
        <v>387</v>
      </c>
      <c r="T300" s="90">
        <v>1300</v>
      </c>
      <c r="U300" s="90" t="s">
        <v>378</v>
      </c>
      <c r="V300" s="90" t="s">
        <v>244</v>
      </c>
      <c r="Z300" s="90">
        <v>0</v>
      </c>
      <c r="AA300" s="90">
        <v>1</v>
      </c>
      <c r="AB300" s="90">
        <v>0.18753426554670999</v>
      </c>
      <c r="AC300" s="90">
        <v>3.2808301440570002E-2</v>
      </c>
      <c r="AD300" s="90">
        <v>59.1468300161171</v>
      </c>
      <c r="AF300" s="90">
        <v>-1</v>
      </c>
      <c r="AG300" s="90">
        <v>-1</v>
      </c>
      <c r="AH300" s="90">
        <v>-1</v>
      </c>
      <c r="AI300" s="90">
        <v>-1</v>
      </c>
      <c r="AJ300" s="90">
        <v>0</v>
      </c>
      <c r="AM300" s="90" t="s">
        <v>379</v>
      </c>
      <c r="AN300" s="90">
        <v>-1</v>
      </c>
      <c r="AQ300" s="90">
        <v>356</v>
      </c>
      <c r="AR300" s="90" t="s">
        <v>380</v>
      </c>
      <c r="AS300" s="90" t="s">
        <v>246</v>
      </c>
      <c r="AT300" s="90" t="s">
        <v>244</v>
      </c>
      <c r="AU300" s="90">
        <v>175.87190000000001</v>
      </c>
      <c r="AV300" s="90">
        <v>38.121343024060998</v>
      </c>
      <c r="AW300" s="90">
        <v>63.889449966396299</v>
      </c>
      <c r="AX300" s="90">
        <v>4.7969853999999999E-2</v>
      </c>
    </row>
    <row r="301" spans="1:50" x14ac:dyDescent="0.25">
      <c r="A301" s="102">
        <v>830000</v>
      </c>
      <c r="B301" s="102">
        <v>2400000</v>
      </c>
      <c r="C301" s="102">
        <v>2400000</v>
      </c>
      <c r="D301" s="90" t="s">
        <v>374</v>
      </c>
      <c r="E301" s="90" t="s">
        <v>68</v>
      </c>
      <c r="F301" s="90" t="s">
        <v>375</v>
      </c>
      <c r="G301" s="90" t="s">
        <v>376</v>
      </c>
      <c r="H301" s="90">
        <v>0.59</v>
      </c>
      <c r="I301" s="90">
        <v>0.64</v>
      </c>
      <c r="J301" s="90" t="s">
        <v>244</v>
      </c>
      <c r="K301" s="90">
        <v>5.7342622383000003E-4</v>
      </c>
      <c r="L301" s="90">
        <v>3746.4515509402499</v>
      </c>
      <c r="M301" s="90">
        <v>11.8787099802384</v>
      </c>
      <c r="N301" s="90">
        <v>2.0781284775914202</v>
      </c>
      <c r="O301" s="90">
        <v>6.81156380795E-3</v>
      </c>
      <c r="P301" s="90">
        <v>1.1916533655399999E-3</v>
      </c>
      <c r="Q301" s="90">
        <v>2.1483135656214598</v>
      </c>
      <c r="R301" s="90">
        <v>1450</v>
      </c>
      <c r="S301" s="90" t="s">
        <v>391</v>
      </c>
      <c r="T301" s="90">
        <v>1450</v>
      </c>
      <c r="U301" s="90" t="s">
        <v>378</v>
      </c>
      <c r="V301" s="90" t="s">
        <v>244</v>
      </c>
      <c r="Z301" s="90">
        <v>0</v>
      </c>
      <c r="AA301" s="90">
        <v>1</v>
      </c>
      <c r="AB301" s="90">
        <v>6.81156380795E-3</v>
      </c>
      <c r="AC301" s="90">
        <v>1.1916533655399999E-3</v>
      </c>
      <c r="AD301" s="90">
        <v>2.1483135656200099</v>
      </c>
      <c r="AF301" s="90">
        <v>-1</v>
      </c>
      <c r="AG301" s="90">
        <v>-1</v>
      </c>
      <c r="AH301" s="90">
        <v>-1</v>
      </c>
      <c r="AI301" s="90">
        <v>-1</v>
      </c>
      <c r="AJ301" s="90">
        <v>0</v>
      </c>
      <c r="AM301" s="90" t="s">
        <v>379</v>
      </c>
      <c r="AN301" s="90">
        <v>-1</v>
      </c>
      <c r="AQ301" s="90">
        <v>356</v>
      </c>
      <c r="AR301" s="90" t="s">
        <v>380</v>
      </c>
      <c r="AS301" s="90" t="s">
        <v>246</v>
      </c>
      <c r="AT301" s="90" t="s">
        <v>244</v>
      </c>
      <c r="AU301" s="90">
        <v>175.87190000000001</v>
      </c>
      <c r="AV301" s="90">
        <v>6.5766935943418199</v>
      </c>
      <c r="AW301" s="90">
        <v>2.32057359668149</v>
      </c>
      <c r="AX301" s="90">
        <v>1.7423467999999999E-3</v>
      </c>
    </row>
    <row r="302" spans="1:50" x14ac:dyDescent="0.25">
      <c r="A302" s="102">
        <v>830000</v>
      </c>
      <c r="B302" s="102">
        <v>2400000</v>
      </c>
      <c r="C302" s="102">
        <v>2400000</v>
      </c>
      <c r="D302" s="90" t="s">
        <v>374</v>
      </c>
      <c r="E302" s="90" t="s">
        <v>68</v>
      </c>
      <c r="F302" s="90" t="s">
        <v>375</v>
      </c>
      <c r="G302" s="90" t="s">
        <v>376</v>
      </c>
      <c r="H302" s="90">
        <v>0.59</v>
      </c>
      <c r="I302" s="90">
        <v>0.64</v>
      </c>
      <c r="J302" s="90" t="s">
        <v>244</v>
      </c>
      <c r="K302" s="90">
        <v>2.6779554374879999E-2</v>
      </c>
      <c r="L302" s="90">
        <v>3746.4515509402499</v>
      </c>
      <c r="M302" s="90">
        <v>11.8787099802384</v>
      </c>
      <c r="N302" s="90">
        <v>2.0781284775914202</v>
      </c>
      <c r="O302" s="90">
        <v>0.31810655981926</v>
      </c>
      <c r="P302" s="90">
        <v>5.5651354563650002E-2</v>
      </c>
      <c r="Q302" s="90">
        <v>100.32830302126899</v>
      </c>
      <c r="R302" s="90">
        <v>1300</v>
      </c>
      <c r="S302" s="90" t="s">
        <v>387</v>
      </c>
      <c r="T302" s="90">
        <v>1300</v>
      </c>
      <c r="U302" s="90" t="s">
        <v>378</v>
      </c>
      <c r="V302" s="90" t="s">
        <v>244</v>
      </c>
      <c r="Z302" s="90">
        <v>0</v>
      </c>
      <c r="AA302" s="90">
        <v>1</v>
      </c>
      <c r="AB302" s="90">
        <v>0.31810655981926</v>
      </c>
      <c r="AC302" s="90">
        <v>5.5651354563650002E-2</v>
      </c>
      <c r="AD302" s="90">
        <v>100.32830302126899</v>
      </c>
      <c r="AF302" s="90">
        <v>-1</v>
      </c>
      <c r="AG302" s="90">
        <v>-1</v>
      </c>
      <c r="AH302" s="90">
        <v>-1</v>
      </c>
      <c r="AI302" s="90">
        <v>-1</v>
      </c>
      <c r="AJ302" s="90">
        <v>0</v>
      </c>
      <c r="AM302" s="90" t="s">
        <v>379</v>
      </c>
      <c r="AN302" s="90">
        <v>-1</v>
      </c>
      <c r="AQ302" s="90">
        <v>356</v>
      </c>
      <c r="AR302" s="90" t="s">
        <v>380</v>
      </c>
      <c r="AS302" s="90" t="s">
        <v>246</v>
      </c>
      <c r="AT302" s="90" t="s">
        <v>244</v>
      </c>
      <c r="AU302" s="90">
        <v>175.87190000000001</v>
      </c>
      <c r="AV302" s="90">
        <v>74.802377357297402</v>
      </c>
      <c r="AW302" s="90">
        <v>108.373011611005</v>
      </c>
      <c r="AX302" s="90">
        <v>8.1369264400000002E-2</v>
      </c>
    </row>
    <row r="303" spans="1:50" x14ac:dyDescent="0.25">
      <c r="A303" s="102">
        <v>830000</v>
      </c>
      <c r="B303" s="102">
        <v>2400000</v>
      </c>
      <c r="C303" s="102">
        <v>2400000</v>
      </c>
      <c r="D303" s="90" t="s">
        <v>374</v>
      </c>
      <c r="E303" s="90" t="s">
        <v>68</v>
      </c>
      <c r="F303" s="90" t="s">
        <v>375</v>
      </c>
      <c r="G303" s="90" t="s">
        <v>376</v>
      </c>
      <c r="H303" s="90">
        <v>0.59</v>
      </c>
      <c r="I303" s="90">
        <v>0.64</v>
      </c>
      <c r="J303" s="90" t="s">
        <v>244</v>
      </c>
      <c r="K303" s="90">
        <v>0.27769618740592</v>
      </c>
      <c r="L303" s="90">
        <v>3772.1578557585699</v>
      </c>
      <c r="M303" s="90">
        <v>9.4019674621254392</v>
      </c>
      <c r="N303" s="90">
        <v>1.6428056320798301</v>
      </c>
      <c r="O303" s="90">
        <v>2.6108905183467899</v>
      </c>
      <c r="P303" s="90">
        <v>0.45620086067755</v>
      </c>
      <c r="Q303" s="90">
        <v>1047.51385483746</v>
      </c>
      <c r="R303" s="90">
        <v>1300</v>
      </c>
      <c r="S303" s="90" t="s">
        <v>387</v>
      </c>
      <c r="T303" s="90">
        <v>1300</v>
      </c>
      <c r="U303" s="90" t="s">
        <v>378</v>
      </c>
      <c r="V303" s="90" t="s">
        <v>244</v>
      </c>
      <c r="Z303" s="90">
        <v>0</v>
      </c>
      <c r="AA303" s="90">
        <v>1</v>
      </c>
      <c r="AB303" s="90">
        <v>2.6108905183467899</v>
      </c>
      <c r="AC303" s="90">
        <v>0.45620086067755</v>
      </c>
      <c r="AD303" s="90">
        <v>1047.51385483746</v>
      </c>
      <c r="AF303" s="90">
        <v>-1</v>
      </c>
      <c r="AG303" s="90">
        <v>-1</v>
      </c>
      <c r="AH303" s="90">
        <v>-1</v>
      </c>
      <c r="AI303" s="90">
        <v>-1</v>
      </c>
      <c r="AJ303" s="90">
        <v>0</v>
      </c>
      <c r="AM303" s="90" t="s">
        <v>379</v>
      </c>
      <c r="AN303" s="90">
        <v>-1</v>
      </c>
      <c r="AQ303" s="90">
        <v>356</v>
      </c>
      <c r="AR303" s="90" t="s">
        <v>380</v>
      </c>
      <c r="AS303" s="90" t="s">
        <v>246</v>
      </c>
      <c r="AT303" s="90" t="s">
        <v>244</v>
      </c>
      <c r="AU303" s="90">
        <v>175.87190000000001</v>
      </c>
      <c r="AV303" s="90">
        <v>144.95867214132599</v>
      </c>
      <c r="AW303" s="90">
        <v>1123.79659947966</v>
      </c>
      <c r="AX303" s="90">
        <v>0.8495651702</v>
      </c>
    </row>
    <row r="304" spans="1:50" x14ac:dyDescent="0.25">
      <c r="A304" s="102">
        <v>830000</v>
      </c>
      <c r="B304" s="102">
        <v>2400000</v>
      </c>
      <c r="C304" s="102">
        <v>2400000</v>
      </c>
      <c r="D304" s="90" t="s">
        <v>374</v>
      </c>
      <c r="E304" s="90" t="s">
        <v>68</v>
      </c>
      <c r="F304" s="90" t="s">
        <v>375</v>
      </c>
      <c r="G304" s="90" t="s">
        <v>376</v>
      </c>
      <c r="H304" s="90">
        <v>0.59</v>
      </c>
      <c r="I304" s="90">
        <v>0.64</v>
      </c>
      <c r="J304" s="90" t="s">
        <v>244</v>
      </c>
      <c r="K304" s="90">
        <v>0.34006726612389998</v>
      </c>
      <c r="L304" s="90">
        <v>3772.1578557585699</v>
      </c>
      <c r="M304" s="90">
        <v>9.4019674621254392</v>
      </c>
      <c r="N304" s="90">
        <v>1.6428056320798301</v>
      </c>
      <c r="O304" s="90">
        <v>3.1973013710309299</v>
      </c>
      <c r="P304" s="90">
        <v>0.55866442007434003</v>
      </c>
      <c r="Q304" s="90">
        <v>1282.78740939564</v>
      </c>
      <c r="R304" s="90">
        <v>1300</v>
      </c>
      <c r="S304" s="90" t="s">
        <v>387</v>
      </c>
      <c r="T304" s="90">
        <v>1300</v>
      </c>
      <c r="U304" s="90" t="s">
        <v>378</v>
      </c>
      <c r="V304" s="90" t="s">
        <v>244</v>
      </c>
      <c r="Z304" s="90">
        <v>0</v>
      </c>
      <c r="AA304" s="90">
        <v>1</v>
      </c>
      <c r="AB304" s="90">
        <v>3.1973013710309299</v>
      </c>
      <c r="AC304" s="90">
        <v>0.55866442007434003</v>
      </c>
      <c r="AD304" s="90">
        <v>1282.78740939564</v>
      </c>
      <c r="AF304" s="90">
        <v>-1</v>
      </c>
      <c r="AG304" s="90">
        <v>-1</v>
      </c>
      <c r="AH304" s="90">
        <v>-1</v>
      </c>
      <c r="AI304" s="90">
        <v>-1</v>
      </c>
      <c r="AJ304" s="90">
        <v>0</v>
      </c>
      <c r="AM304" s="90" t="s">
        <v>379</v>
      </c>
      <c r="AN304" s="90">
        <v>-1</v>
      </c>
      <c r="AQ304" s="90">
        <v>356</v>
      </c>
      <c r="AR304" s="90" t="s">
        <v>380</v>
      </c>
      <c r="AS304" s="90" t="s">
        <v>246</v>
      </c>
      <c r="AT304" s="90" t="s">
        <v>244</v>
      </c>
      <c r="AU304" s="90">
        <v>175.87190000000001</v>
      </c>
      <c r="AV304" s="90">
        <v>155.05494416285799</v>
      </c>
      <c r="AW304" s="90">
        <v>1376.2033999615401</v>
      </c>
      <c r="AX304" s="90">
        <v>1.0403790829999999</v>
      </c>
    </row>
    <row r="305" spans="1:50" x14ac:dyDescent="0.25">
      <c r="A305" s="102">
        <v>830000</v>
      </c>
      <c r="B305" s="102">
        <v>2400000</v>
      </c>
      <c r="C305" s="102">
        <v>2400000</v>
      </c>
      <c r="D305" s="90" t="s">
        <v>374</v>
      </c>
      <c r="E305" s="90" t="s">
        <v>68</v>
      </c>
      <c r="F305" s="90" t="s">
        <v>375</v>
      </c>
      <c r="G305" s="90" t="s">
        <v>376</v>
      </c>
      <c r="H305" s="90">
        <v>0.59</v>
      </c>
      <c r="I305" s="90">
        <v>0.64</v>
      </c>
      <c r="J305" s="90" t="s">
        <v>244</v>
      </c>
      <c r="K305" s="90">
        <v>6.2020006546620002E-2</v>
      </c>
      <c r="L305" s="90">
        <v>3703.6532917064201</v>
      </c>
      <c r="M305" s="90">
        <v>7.8158993568162298</v>
      </c>
      <c r="N305" s="90">
        <v>1.0621180944037401</v>
      </c>
      <c r="O305" s="90">
        <v>0.48474212927751997</v>
      </c>
      <c r="P305" s="90">
        <v>6.5872571168210006E-2</v>
      </c>
      <c r="Q305" s="90">
        <v>229.70060139806799</v>
      </c>
      <c r="R305" s="90">
        <v>1450</v>
      </c>
      <c r="S305" s="90" t="s">
        <v>391</v>
      </c>
      <c r="T305" s="90">
        <v>1450</v>
      </c>
      <c r="U305" s="90" t="s">
        <v>378</v>
      </c>
      <c r="V305" s="90" t="s">
        <v>244</v>
      </c>
      <c r="Z305" s="90">
        <v>0</v>
      </c>
      <c r="AA305" s="90">
        <v>1</v>
      </c>
      <c r="AB305" s="90">
        <v>0.48474212927751997</v>
      </c>
      <c r="AC305" s="90">
        <v>6.5872571168210006E-2</v>
      </c>
      <c r="AD305" s="90">
        <v>229.70060139806699</v>
      </c>
      <c r="AF305" s="90">
        <v>-1</v>
      </c>
      <c r="AG305" s="90">
        <v>-1</v>
      </c>
      <c r="AH305" s="90">
        <v>-1</v>
      </c>
      <c r="AI305" s="90">
        <v>-1</v>
      </c>
      <c r="AJ305" s="90">
        <v>0</v>
      </c>
      <c r="AM305" s="90" t="s">
        <v>379</v>
      </c>
      <c r="AN305" s="90">
        <v>-1</v>
      </c>
      <c r="AQ305" s="90">
        <v>356</v>
      </c>
      <c r="AR305" s="90" t="s">
        <v>380</v>
      </c>
      <c r="AS305" s="90" t="s">
        <v>246</v>
      </c>
      <c r="AT305" s="90" t="s">
        <v>244</v>
      </c>
      <c r="AU305" s="90">
        <v>175.87190000000001</v>
      </c>
      <c r="AV305" s="90">
        <v>110.064253460763</v>
      </c>
      <c r="AW305" s="90">
        <v>250.98606181050499</v>
      </c>
      <c r="AX305" s="90">
        <v>0.18629408059999999</v>
      </c>
    </row>
    <row r="306" spans="1:50" x14ac:dyDescent="0.25">
      <c r="A306" s="102">
        <v>830000</v>
      </c>
      <c r="B306" s="102">
        <v>2400000</v>
      </c>
      <c r="C306" s="102">
        <v>2400000</v>
      </c>
      <c r="D306" s="90" t="s">
        <v>374</v>
      </c>
      <c r="E306" s="90" t="s">
        <v>68</v>
      </c>
      <c r="F306" s="90" t="s">
        <v>375</v>
      </c>
      <c r="G306" s="90" t="s">
        <v>376</v>
      </c>
      <c r="H306" s="90">
        <v>0.59</v>
      </c>
      <c r="I306" s="90">
        <v>0.64</v>
      </c>
      <c r="J306" s="90" t="s">
        <v>244</v>
      </c>
      <c r="K306" s="90">
        <v>4.0985237628710001E-2</v>
      </c>
      <c r="L306" s="90">
        <v>3701.46234073202</v>
      </c>
      <c r="M306" s="90">
        <v>7.4631608493218904</v>
      </c>
      <c r="N306" s="90">
        <v>1.01878397874913</v>
      </c>
      <c r="O306" s="90">
        <v>0.30587942087078002</v>
      </c>
      <c r="P306" s="90">
        <v>4.1755103461360001E-2</v>
      </c>
      <c r="Q306" s="90">
        <v>151.70531360864501</v>
      </c>
      <c r="R306" s="90">
        <v>1450</v>
      </c>
      <c r="S306" s="90" t="s">
        <v>391</v>
      </c>
      <c r="T306" s="90">
        <v>1450</v>
      </c>
      <c r="U306" s="90" t="s">
        <v>378</v>
      </c>
      <c r="V306" s="90" t="s">
        <v>244</v>
      </c>
      <c r="Z306" s="90">
        <v>0</v>
      </c>
      <c r="AA306" s="90">
        <v>1</v>
      </c>
      <c r="AB306" s="90">
        <v>0.30587942087078002</v>
      </c>
      <c r="AC306" s="90">
        <v>4.1755103461360001E-2</v>
      </c>
      <c r="AD306" s="90">
        <v>151.70531360864399</v>
      </c>
      <c r="AF306" s="90">
        <v>-1</v>
      </c>
      <c r="AG306" s="90">
        <v>-1</v>
      </c>
      <c r="AH306" s="90">
        <v>-1</v>
      </c>
      <c r="AI306" s="90">
        <v>-1</v>
      </c>
      <c r="AJ306" s="90">
        <v>0</v>
      </c>
      <c r="AM306" s="90" t="s">
        <v>379</v>
      </c>
      <c r="AN306" s="90">
        <v>-1</v>
      </c>
      <c r="AQ306" s="90">
        <v>356</v>
      </c>
      <c r="AR306" s="90" t="s">
        <v>380</v>
      </c>
      <c r="AS306" s="90" t="s">
        <v>246</v>
      </c>
      <c r="AT306" s="90" t="s">
        <v>244</v>
      </c>
      <c r="AU306" s="90">
        <v>175.87190000000001</v>
      </c>
      <c r="AV306" s="90">
        <v>106.650378195393</v>
      </c>
      <c r="AW306" s="90">
        <v>165.86137212135799</v>
      </c>
      <c r="AX306" s="90">
        <v>0.12303756170000001</v>
      </c>
    </row>
    <row r="307" spans="1:50" x14ac:dyDescent="0.25">
      <c r="A307" s="102">
        <v>830000</v>
      </c>
      <c r="B307" s="102">
        <v>2400000</v>
      </c>
      <c r="C307" s="102">
        <v>2400000</v>
      </c>
      <c r="D307" s="90" t="s">
        <v>374</v>
      </c>
      <c r="E307" s="90" t="s">
        <v>68</v>
      </c>
      <c r="F307" s="90" t="s">
        <v>375</v>
      </c>
      <c r="G307" s="90" t="s">
        <v>376</v>
      </c>
      <c r="H307" s="90">
        <v>0.59</v>
      </c>
      <c r="I307" s="90">
        <v>0.64</v>
      </c>
      <c r="J307" s="90" t="s">
        <v>244</v>
      </c>
      <c r="K307" s="90">
        <v>0.20903184137151001</v>
      </c>
      <c r="L307" s="90">
        <v>3759.49731767804</v>
      </c>
      <c r="M307" s="90">
        <v>8.0615853241044597</v>
      </c>
      <c r="N307" s="90">
        <v>1.14374272956833</v>
      </c>
      <c r="O307" s="90">
        <v>1.68512802467116</v>
      </c>
      <c r="P307" s="90">
        <v>0.23907864881695001</v>
      </c>
      <c r="Q307" s="90">
        <v>785.854646945524</v>
      </c>
      <c r="R307" s="90">
        <v>1400</v>
      </c>
      <c r="S307" s="90" t="s">
        <v>324</v>
      </c>
      <c r="T307" s="90">
        <v>1400</v>
      </c>
      <c r="U307" s="90" t="s">
        <v>378</v>
      </c>
      <c r="V307" s="90" t="s">
        <v>244</v>
      </c>
      <c r="Z307" s="90">
        <v>0</v>
      </c>
      <c r="AA307" s="90">
        <v>1</v>
      </c>
      <c r="AB307" s="90">
        <v>1.68512802467116</v>
      </c>
      <c r="AC307" s="90">
        <v>0.23907864881695001</v>
      </c>
      <c r="AD307" s="90">
        <v>785.854646945524</v>
      </c>
      <c r="AF307" s="90">
        <v>-1</v>
      </c>
      <c r="AG307" s="90">
        <v>-1</v>
      </c>
      <c r="AH307" s="90">
        <v>-1</v>
      </c>
      <c r="AI307" s="90">
        <v>-1</v>
      </c>
      <c r="AJ307" s="90">
        <v>0</v>
      </c>
      <c r="AM307" s="90" t="s">
        <v>379</v>
      </c>
      <c r="AN307" s="90">
        <v>-1</v>
      </c>
      <c r="AQ307" s="90">
        <v>356</v>
      </c>
      <c r="AR307" s="90" t="s">
        <v>380</v>
      </c>
      <c r="AS307" s="90" t="s">
        <v>246</v>
      </c>
      <c r="AT307" s="90" t="s">
        <v>244</v>
      </c>
      <c r="AU307" s="90">
        <v>175.87190000000001</v>
      </c>
      <c r="AV307" s="90">
        <v>133.84631458548901</v>
      </c>
      <c r="AW307" s="90">
        <v>845.92184974042596</v>
      </c>
      <c r="AX307" s="90">
        <v>0.63735170070000002</v>
      </c>
    </row>
    <row r="308" spans="1:50" x14ac:dyDescent="0.25">
      <c r="A308" s="102">
        <v>830000</v>
      </c>
      <c r="B308" s="102">
        <v>2400000</v>
      </c>
      <c r="C308" s="102">
        <v>2400000</v>
      </c>
      <c r="D308" s="90" t="s">
        <v>374</v>
      </c>
      <c r="E308" s="90" t="s">
        <v>68</v>
      </c>
      <c r="F308" s="90" t="s">
        <v>375</v>
      </c>
      <c r="G308" s="90" t="s">
        <v>376</v>
      </c>
      <c r="H308" s="90">
        <v>0.59</v>
      </c>
      <c r="I308" s="90">
        <v>0.64</v>
      </c>
      <c r="J308" s="90" t="s">
        <v>244</v>
      </c>
      <c r="K308" s="90">
        <v>4.5988064047379998E-2</v>
      </c>
      <c r="L308" s="90">
        <v>3759.49731767804</v>
      </c>
      <c r="M308" s="90">
        <v>8.0615853241044597</v>
      </c>
      <c r="N308" s="90">
        <v>1.14374272956833</v>
      </c>
      <c r="O308" s="90">
        <v>0.37073670220839</v>
      </c>
      <c r="P308" s="90">
        <v>5.2598513901119998E-2</v>
      </c>
      <c r="Q308" s="90">
        <v>172.89200343135701</v>
      </c>
      <c r="R308" s="90">
        <v>1300</v>
      </c>
      <c r="S308" s="90" t="s">
        <v>387</v>
      </c>
      <c r="T308" s="90">
        <v>1300</v>
      </c>
      <c r="U308" s="90" t="s">
        <v>378</v>
      </c>
      <c r="V308" s="90" t="s">
        <v>244</v>
      </c>
      <c r="Z308" s="90">
        <v>0</v>
      </c>
      <c r="AA308" s="90">
        <v>1</v>
      </c>
      <c r="AB308" s="90">
        <v>0.37073670220839</v>
      </c>
      <c r="AC308" s="90">
        <v>5.2598513901119998E-2</v>
      </c>
      <c r="AD308" s="90">
        <v>172.89200343135599</v>
      </c>
      <c r="AF308" s="90">
        <v>-1</v>
      </c>
      <c r="AG308" s="90">
        <v>-1</v>
      </c>
      <c r="AH308" s="90">
        <v>-1</v>
      </c>
      <c r="AI308" s="90">
        <v>-1</v>
      </c>
      <c r="AJ308" s="90">
        <v>0</v>
      </c>
      <c r="AM308" s="90" t="s">
        <v>379</v>
      </c>
      <c r="AN308" s="90">
        <v>-1</v>
      </c>
      <c r="AQ308" s="90">
        <v>356</v>
      </c>
      <c r="AR308" s="90" t="s">
        <v>380</v>
      </c>
      <c r="AS308" s="90" t="s">
        <v>246</v>
      </c>
      <c r="AT308" s="90" t="s">
        <v>244</v>
      </c>
      <c r="AU308" s="90">
        <v>175.87190000000001</v>
      </c>
      <c r="AV308" s="90">
        <v>107.449177869968</v>
      </c>
      <c r="AW308" s="90">
        <v>186.10709234390899</v>
      </c>
      <c r="AX308" s="90">
        <v>0.14022060289999999</v>
      </c>
    </row>
    <row r="309" spans="1:50" x14ac:dyDescent="0.25">
      <c r="A309" s="102">
        <v>830000</v>
      </c>
      <c r="B309" s="102">
        <v>2400000</v>
      </c>
      <c r="C309" s="102">
        <v>2400000</v>
      </c>
      <c r="D309" s="90" t="s">
        <v>374</v>
      </c>
      <c r="E309" s="90" t="s">
        <v>68</v>
      </c>
      <c r="F309" s="90" t="s">
        <v>375</v>
      </c>
      <c r="G309" s="90" t="s">
        <v>376</v>
      </c>
      <c r="H309" s="90">
        <v>0.59</v>
      </c>
      <c r="I309" s="90">
        <v>0.64</v>
      </c>
      <c r="J309" s="90" t="s">
        <v>244</v>
      </c>
      <c r="K309" s="90">
        <v>9.5131205900170004E-2</v>
      </c>
      <c r="L309" s="90">
        <v>3701.6378278848201</v>
      </c>
      <c r="M309" s="90">
        <v>9.2271126743660403</v>
      </c>
      <c r="N309" s="90">
        <v>1.3570614954720499</v>
      </c>
      <c r="O309" s="90">
        <v>0.87778635568924002</v>
      </c>
      <c r="P309" s="90">
        <v>0.12909889654494999</v>
      </c>
      <c r="Q309" s="90">
        <v>352.14127037239501</v>
      </c>
      <c r="R309" s="90">
        <v>1200</v>
      </c>
      <c r="S309" s="90" t="s">
        <v>384</v>
      </c>
      <c r="T309" s="90">
        <v>1200</v>
      </c>
      <c r="U309" s="90" t="s">
        <v>378</v>
      </c>
      <c r="V309" s="90" t="s">
        <v>244</v>
      </c>
      <c r="Z309" s="90">
        <v>0</v>
      </c>
      <c r="AA309" s="90">
        <v>1</v>
      </c>
      <c r="AB309" s="90">
        <v>0.87778635568924002</v>
      </c>
      <c r="AC309" s="90">
        <v>0.12909889654494999</v>
      </c>
      <c r="AD309" s="90">
        <v>1351.25617886085</v>
      </c>
      <c r="AF309" s="90">
        <v>-1</v>
      </c>
      <c r="AG309" s="90">
        <v>-1</v>
      </c>
      <c r="AH309" s="90">
        <v>-1</v>
      </c>
      <c r="AI309" s="90">
        <v>-1</v>
      </c>
      <c r="AJ309" s="90">
        <v>0</v>
      </c>
      <c r="AM309" s="90" t="s">
        <v>379</v>
      </c>
      <c r="AN309" s="90">
        <v>-1</v>
      </c>
      <c r="AQ309" s="90">
        <v>356</v>
      </c>
      <c r="AR309" s="90" t="s">
        <v>380</v>
      </c>
      <c r="AS309" s="90" t="s">
        <v>246</v>
      </c>
      <c r="AT309" s="90" t="s">
        <v>244</v>
      </c>
      <c r="AU309" s="90">
        <v>175.87190000000001</v>
      </c>
      <c r="AV309" s="90">
        <v>84.981823560137101</v>
      </c>
      <c r="AW309" s="90">
        <v>384.98233156778701</v>
      </c>
      <c r="AX309" s="90">
        <v>1.0959093096999999</v>
      </c>
    </row>
    <row r="310" spans="1:50" x14ac:dyDescent="0.25">
      <c r="A310" s="102">
        <v>830000</v>
      </c>
      <c r="B310" s="102">
        <v>2400000</v>
      </c>
      <c r="C310" s="102">
        <v>2400000</v>
      </c>
      <c r="D310" s="90" t="s">
        <v>374</v>
      </c>
      <c r="E310" s="90" t="s">
        <v>68</v>
      </c>
      <c r="F310" s="90" t="s">
        <v>375</v>
      </c>
      <c r="G310" s="90" t="s">
        <v>376</v>
      </c>
      <c r="H310" s="90">
        <v>0.59</v>
      </c>
      <c r="I310" s="90">
        <v>0.64</v>
      </c>
      <c r="J310" s="90" t="s">
        <v>244</v>
      </c>
      <c r="K310" s="90">
        <v>3.0164138632620002E-2</v>
      </c>
      <c r="L310" s="90">
        <v>3701.6378278848201</v>
      </c>
      <c r="M310" s="90">
        <v>9.2271126743660403</v>
      </c>
      <c r="N310" s="90">
        <v>1.3570614954720499</v>
      </c>
      <c r="O310" s="90">
        <v>0.27832790588841</v>
      </c>
      <c r="P310" s="90">
        <v>4.0934591082410002E-2</v>
      </c>
      <c r="Q310" s="90">
        <v>111.65671660807899</v>
      </c>
      <c r="R310" s="90">
        <v>1210</v>
      </c>
      <c r="S310" s="90" t="s">
        <v>385</v>
      </c>
      <c r="T310" s="90">
        <v>1210</v>
      </c>
      <c r="U310" s="90" t="s">
        <v>378</v>
      </c>
      <c r="V310" s="90" t="s">
        <v>244</v>
      </c>
      <c r="Z310" s="90">
        <v>0</v>
      </c>
      <c r="AA310" s="90">
        <v>1</v>
      </c>
      <c r="AB310" s="90">
        <v>0.27832790588841</v>
      </c>
      <c r="AC310" s="90">
        <v>4.0934591082410002E-2</v>
      </c>
      <c r="AD310" s="90">
        <v>184.73087102467599</v>
      </c>
      <c r="AF310" s="90">
        <v>-1</v>
      </c>
      <c r="AG310" s="90">
        <v>-1</v>
      </c>
      <c r="AH310" s="90">
        <v>-1</v>
      </c>
      <c r="AI310" s="90">
        <v>-1</v>
      </c>
      <c r="AJ310" s="90">
        <v>0</v>
      </c>
      <c r="AM310" s="90" t="s">
        <v>379</v>
      </c>
      <c r="AN310" s="90">
        <v>-1</v>
      </c>
      <c r="AQ310" s="90">
        <v>356</v>
      </c>
      <c r="AR310" s="90" t="s">
        <v>380</v>
      </c>
      <c r="AS310" s="90" t="s">
        <v>246</v>
      </c>
      <c r="AT310" s="90" t="s">
        <v>244</v>
      </c>
      <c r="AU310" s="90">
        <v>175.87190000000001</v>
      </c>
      <c r="AV310" s="90">
        <v>44.590504054359897</v>
      </c>
      <c r="AW310" s="90">
        <v>122.069938151592</v>
      </c>
      <c r="AX310" s="90">
        <v>0.14982227980000001</v>
      </c>
    </row>
    <row r="311" spans="1:50" x14ac:dyDescent="0.25">
      <c r="A311" s="102">
        <v>830000</v>
      </c>
      <c r="B311" s="102">
        <v>2400000</v>
      </c>
      <c r="C311" s="102">
        <v>2400000</v>
      </c>
      <c r="D311" s="90" t="s">
        <v>374</v>
      </c>
      <c r="E311" s="90" t="s">
        <v>68</v>
      </c>
      <c r="F311" s="90" t="s">
        <v>375</v>
      </c>
      <c r="G311" s="90" t="s">
        <v>376</v>
      </c>
      <c r="H311" s="90">
        <v>0.59</v>
      </c>
      <c r="I311" s="90">
        <v>0.64</v>
      </c>
      <c r="J311" s="90" t="s">
        <v>244</v>
      </c>
      <c r="K311" s="90">
        <v>3.6759390984190003E-2</v>
      </c>
      <c r="L311" s="90">
        <v>3701.6378278848201</v>
      </c>
      <c r="M311" s="90">
        <v>9.2271126743660403</v>
      </c>
      <c r="N311" s="90">
        <v>1.3570614954720499</v>
      </c>
      <c r="O311" s="90">
        <v>0.33918304245219999</v>
      </c>
      <c r="P311" s="90">
        <v>4.9884754101639998E-2</v>
      </c>
      <c r="Q311" s="90">
        <v>136.06995219708901</v>
      </c>
      <c r="R311" s="90">
        <v>1210</v>
      </c>
      <c r="S311" s="90" t="s">
        <v>385</v>
      </c>
      <c r="T311" s="90">
        <v>1210</v>
      </c>
      <c r="U311" s="90" t="s">
        <v>378</v>
      </c>
      <c r="V311" s="90" t="s">
        <v>244</v>
      </c>
      <c r="Z311" s="90">
        <v>0</v>
      </c>
      <c r="AA311" s="90">
        <v>1</v>
      </c>
      <c r="AB311" s="90">
        <v>0.33918304245219999</v>
      </c>
      <c r="AC311" s="90">
        <v>4.9884754101639998E-2</v>
      </c>
      <c r="AD311" s="90">
        <v>234.34102351799601</v>
      </c>
      <c r="AF311" s="90">
        <v>-1</v>
      </c>
      <c r="AG311" s="90">
        <v>-1</v>
      </c>
      <c r="AH311" s="90">
        <v>-1</v>
      </c>
      <c r="AI311" s="90">
        <v>-1</v>
      </c>
      <c r="AJ311" s="90">
        <v>0</v>
      </c>
      <c r="AM311" s="90" t="s">
        <v>379</v>
      </c>
      <c r="AN311" s="90">
        <v>-1</v>
      </c>
      <c r="AQ311" s="90">
        <v>356</v>
      </c>
      <c r="AR311" s="90" t="s">
        <v>380</v>
      </c>
      <c r="AS311" s="90" t="s">
        <v>246</v>
      </c>
      <c r="AT311" s="90" t="s">
        <v>244</v>
      </c>
      <c r="AU311" s="90">
        <v>175.87190000000001</v>
      </c>
      <c r="AV311" s="90">
        <v>49.0758656035662</v>
      </c>
      <c r="AW311" s="90">
        <v>148.759977487887</v>
      </c>
      <c r="AX311" s="90">
        <v>0.19005760220000001</v>
      </c>
    </row>
    <row r="312" spans="1:50" x14ac:dyDescent="0.25">
      <c r="A312" s="102">
        <v>830000</v>
      </c>
      <c r="B312" s="102">
        <v>2400000</v>
      </c>
      <c r="C312" s="102">
        <v>2400000</v>
      </c>
      <c r="D312" s="90" t="s">
        <v>374</v>
      </c>
      <c r="E312" s="90" t="s">
        <v>68</v>
      </c>
      <c r="F312" s="90" t="s">
        <v>375</v>
      </c>
      <c r="G312" s="90" t="s">
        <v>376</v>
      </c>
      <c r="H312" s="90">
        <v>0.59</v>
      </c>
      <c r="I312" s="90">
        <v>0.64</v>
      </c>
      <c r="J312" s="90" t="s">
        <v>244</v>
      </c>
      <c r="K312" s="90">
        <v>0.61776345366790997</v>
      </c>
      <c r="L312" s="90">
        <v>3752.9178025176302</v>
      </c>
      <c r="M312" s="90">
        <v>10.7970529167505</v>
      </c>
      <c r="N312" s="90">
        <v>2.0803219520304999</v>
      </c>
      <c r="O312" s="90">
        <v>6.6700246992869996</v>
      </c>
      <c r="P312" s="90">
        <v>1.28514687382753</v>
      </c>
      <c r="Q312" s="90">
        <v>2318.4154630150902</v>
      </c>
      <c r="R312" s="90">
        <v>1300</v>
      </c>
      <c r="S312" s="90" t="s">
        <v>387</v>
      </c>
      <c r="T312" s="90">
        <v>1300</v>
      </c>
      <c r="U312" s="90" t="s">
        <v>378</v>
      </c>
      <c r="V312" s="90" t="s">
        <v>244</v>
      </c>
      <c r="Z312" s="90">
        <v>0</v>
      </c>
      <c r="AA312" s="90">
        <v>1</v>
      </c>
      <c r="AB312" s="90">
        <v>6.6700246992869996</v>
      </c>
      <c r="AC312" s="90">
        <v>1.28514687382753</v>
      </c>
      <c r="AD312" s="90">
        <v>2318.4154630150902</v>
      </c>
      <c r="AF312" s="90">
        <v>-1</v>
      </c>
      <c r="AG312" s="90">
        <v>-1</v>
      </c>
      <c r="AH312" s="90">
        <v>-1</v>
      </c>
      <c r="AI312" s="90">
        <v>-1</v>
      </c>
      <c r="AJ312" s="90">
        <v>0</v>
      </c>
      <c r="AM312" s="90" t="s">
        <v>379</v>
      </c>
      <c r="AN312" s="90">
        <v>-1</v>
      </c>
      <c r="AQ312" s="90">
        <v>356</v>
      </c>
      <c r="AR312" s="90" t="s">
        <v>380</v>
      </c>
      <c r="AS312" s="90" t="s">
        <v>246</v>
      </c>
      <c r="AT312" s="90" t="s">
        <v>244</v>
      </c>
      <c r="AU312" s="90">
        <v>175.87190000000001</v>
      </c>
      <c r="AV312" s="90">
        <v>200</v>
      </c>
      <c r="AW312" s="90">
        <v>2500</v>
      </c>
      <c r="AX312" s="90">
        <v>1.8803045117999999</v>
      </c>
    </row>
    <row r="313" spans="1:50" x14ac:dyDescent="0.25">
      <c r="A313" s="102">
        <v>830000</v>
      </c>
      <c r="B313" s="102">
        <v>2400000</v>
      </c>
      <c r="C313" s="102">
        <v>2400000</v>
      </c>
      <c r="D313" s="90" t="s">
        <v>374</v>
      </c>
      <c r="E313" s="90" t="s">
        <v>68</v>
      </c>
      <c r="F313" s="90" t="s">
        <v>375</v>
      </c>
      <c r="G313" s="90" t="s">
        <v>376</v>
      </c>
      <c r="H313" s="90">
        <v>0.59</v>
      </c>
      <c r="I313" s="90">
        <v>0.64</v>
      </c>
      <c r="J313" s="90" t="s">
        <v>244</v>
      </c>
      <c r="K313" s="90">
        <v>2.2749129344700001E-3</v>
      </c>
      <c r="L313" s="90">
        <v>3733.4838596110799</v>
      </c>
      <c r="M313" s="90">
        <v>11.7942611998131</v>
      </c>
      <c r="N313" s="90">
        <v>2.39496022151762</v>
      </c>
      <c r="O313" s="90">
        <v>2.6830917356E-2</v>
      </c>
      <c r="P313" s="90">
        <v>5.4483259854700003E-3</v>
      </c>
      <c r="Q313" s="90">
        <v>8.4933507228754195</v>
      </c>
      <c r="R313" s="90">
        <v>1300</v>
      </c>
      <c r="S313" s="90" t="s">
        <v>387</v>
      </c>
      <c r="T313" s="90">
        <v>1300</v>
      </c>
      <c r="U313" s="90" t="s">
        <v>378</v>
      </c>
      <c r="V313" s="90" t="s">
        <v>244</v>
      </c>
      <c r="Z313" s="90">
        <v>0</v>
      </c>
      <c r="AA313" s="90">
        <v>1</v>
      </c>
      <c r="AB313" s="90">
        <v>2.6830917356E-2</v>
      </c>
      <c r="AC313" s="90">
        <v>5.4483259854700003E-3</v>
      </c>
      <c r="AD313" s="90">
        <v>8.4933507228738598</v>
      </c>
      <c r="AF313" s="90">
        <v>-1</v>
      </c>
      <c r="AG313" s="90">
        <v>-1</v>
      </c>
      <c r="AH313" s="90">
        <v>-1</v>
      </c>
      <c r="AI313" s="90">
        <v>-1</v>
      </c>
      <c r="AJ313" s="90">
        <v>0</v>
      </c>
      <c r="AM313" s="90" t="s">
        <v>379</v>
      </c>
      <c r="AN313" s="90">
        <v>-1</v>
      </c>
      <c r="AQ313" s="90">
        <v>356</v>
      </c>
      <c r="AR313" s="90" t="s">
        <v>380</v>
      </c>
      <c r="AS313" s="90" t="s">
        <v>246</v>
      </c>
      <c r="AT313" s="90" t="s">
        <v>244</v>
      </c>
      <c r="AU313" s="90">
        <v>175.87190000000001</v>
      </c>
      <c r="AV313" s="90">
        <v>13.169270985165801</v>
      </c>
      <c r="AW313" s="90">
        <v>9.2062460192711892</v>
      </c>
      <c r="AX313" s="90">
        <v>6.8883623E-3</v>
      </c>
    </row>
    <row r="314" spans="1:50" x14ac:dyDescent="0.25">
      <c r="A314" s="102">
        <v>830000</v>
      </c>
      <c r="B314" s="102">
        <v>2400000</v>
      </c>
      <c r="C314" s="102">
        <v>2400000</v>
      </c>
      <c r="D314" s="90" t="s">
        <v>374</v>
      </c>
      <c r="E314" s="90" t="s">
        <v>68</v>
      </c>
      <c r="F314" s="90" t="s">
        <v>375</v>
      </c>
      <c r="G314" s="90" t="s">
        <v>376</v>
      </c>
      <c r="H314" s="90">
        <v>0.59</v>
      </c>
      <c r="I314" s="90">
        <v>0.64</v>
      </c>
      <c r="J314" s="90" t="s">
        <v>244</v>
      </c>
      <c r="K314" s="90">
        <v>5.6971348866659999E-2</v>
      </c>
      <c r="L314" s="90">
        <v>3733.4838596110799</v>
      </c>
      <c r="M314" s="90">
        <v>11.7942611998131</v>
      </c>
      <c r="N314" s="90">
        <v>2.39496022151762</v>
      </c>
      <c r="O314" s="90">
        <v>0.67193496943909004</v>
      </c>
      <c r="P314" s="90">
        <v>0.13644411430184999</v>
      </c>
      <c r="Q314" s="90">
        <v>212.701611453954</v>
      </c>
      <c r="R314" s="90">
        <v>1300</v>
      </c>
      <c r="S314" s="90" t="s">
        <v>387</v>
      </c>
      <c r="T314" s="90">
        <v>1300</v>
      </c>
      <c r="U314" s="90" t="s">
        <v>378</v>
      </c>
      <c r="V314" s="90" t="s">
        <v>244</v>
      </c>
      <c r="Z314" s="90">
        <v>0</v>
      </c>
      <c r="AA314" s="90">
        <v>1</v>
      </c>
      <c r="AB314" s="90">
        <v>0.67193496943909004</v>
      </c>
      <c r="AC314" s="90">
        <v>0.13644411430184999</v>
      </c>
      <c r="AD314" s="90">
        <v>212.701611453954</v>
      </c>
      <c r="AF314" s="90">
        <v>-1</v>
      </c>
      <c r="AG314" s="90">
        <v>-1</v>
      </c>
      <c r="AH314" s="90">
        <v>-1</v>
      </c>
      <c r="AI314" s="90">
        <v>-1</v>
      </c>
      <c r="AJ314" s="90">
        <v>0</v>
      </c>
      <c r="AM314" s="90" t="s">
        <v>379</v>
      </c>
      <c r="AN314" s="90">
        <v>-1</v>
      </c>
      <c r="AQ314" s="90">
        <v>356</v>
      </c>
      <c r="AR314" s="90" t="s">
        <v>380</v>
      </c>
      <c r="AS314" s="90" t="s">
        <v>246</v>
      </c>
      <c r="AT314" s="90" t="s">
        <v>244</v>
      </c>
      <c r="AU314" s="90">
        <v>175.87190000000001</v>
      </c>
      <c r="AV314" s="90">
        <v>104.521770862043</v>
      </c>
      <c r="AW314" s="90">
        <v>230.554869053842</v>
      </c>
      <c r="AX314" s="90">
        <v>0.17250738970000001</v>
      </c>
    </row>
    <row r="315" spans="1:50" x14ac:dyDescent="0.25">
      <c r="A315" s="102">
        <v>830000</v>
      </c>
      <c r="B315" s="102">
        <v>2400000</v>
      </c>
      <c r="C315" s="102">
        <v>2400000</v>
      </c>
      <c r="D315" s="90" t="s">
        <v>374</v>
      </c>
      <c r="E315" s="90" t="s">
        <v>68</v>
      </c>
      <c r="F315" s="90" t="s">
        <v>375</v>
      </c>
      <c r="G315" s="90" t="s">
        <v>376</v>
      </c>
      <c r="H315" s="90">
        <v>0.59</v>
      </c>
      <c r="I315" s="90">
        <v>0.64</v>
      </c>
      <c r="J315" s="90" t="s">
        <v>244</v>
      </c>
      <c r="K315" s="90">
        <v>0.16117243238076001</v>
      </c>
      <c r="L315" s="90">
        <v>3672.8799240073099</v>
      </c>
      <c r="M315" s="90">
        <v>7.4739828555063204</v>
      </c>
      <c r="N315" s="90">
        <v>1.01459676622211</v>
      </c>
      <c r="O315" s="90">
        <v>1.2045999963940599</v>
      </c>
      <c r="P315" s="90">
        <v>0.16352502869766999</v>
      </c>
      <c r="Q315" s="90">
        <v>591.96699119472601</v>
      </c>
      <c r="R315" s="90">
        <v>1850</v>
      </c>
      <c r="S315" s="90" t="s">
        <v>388</v>
      </c>
      <c r="T315" s="90">
        <v>1850</v>
      </c>
      <c r="U315" s="90" t="s">
        <v>378</v>
      </c>
      <c r="V315" s="90" t="s">
        <v>244</v>
      </c>
      <c r="Z315" s="90">
        <v>0</v>
      </c>
      <c r="AA315" s="90">
        <v>1</v>
      </c>
      <c r="AB315" s="90">
        <v>1.2045999963940599</v>
      </c>
      <c r="AC315" s="90">
        <v>0.16352502869766999</v>
      </c>
      <c r="AD315" s="90">
        <v>591.96699119472601</v>
      </c>
      <c r="AF315" s="90">
        <v>-1</v>
      </c>
      <c r="AG315" s="90">
        <v>-1</v>
      </c>
      <c r="AH315" s="90">
        <v>-1</v>
      </c>
      <c r="AI315" s="90">
        <v>-1</v>
      </c>
      <c r="AJ315" s="90">
        <v>0</v>
      </c>
      <c r="AM315" s="90" t="s">
        <v>379</v>
      </c>
      <c r="AN315" s="90">
        <v>-1</v>
      </c>
      <c r="AQ315" s="90">
        <v>356</v>
      </c>
      <c r="AR315" s="90" t="s">
        <v>380</v>
      </c>
      <c r="AS315" s="90" t="s">
        <v>246</v>
      </c>
      <c r="AT315" s="90" t="s">
        <v>244</v>
      </c>
      <c r="AU315" s="90">
        <v>175.87190000000001</v>
      </c>
      <c r="AV315" s="90">
        <v>126.146142345854</v>
      </c>
      <c r="AW315" s="90">
        <v>652.24169309391596</v>
      </c>
      <c r="AX315" s="90">
        <v>0.48010299369999998</v>
      </c>
    </row>
    <row r="316" spans="1:50" x14ac:dyDescent="0.25">
      <c r="A316" s="102">
        <v>830000</v>
      </c>
      <c r="B316" s="102">
        <v>2400000</v>
      </c>
      <c r="C316" s="102">
        <v>2400000</v>
      </c>
      <c r="D316" s="90" t="s">
        <v>374</v>
      </c>
      <c r="E316" s="90" t="s">
        <v>68</v>
      </c>
      <c r="F316" s="90" t="s">
        <v>375</v>
      </c>
      <c r="G316" s="90" t="s">
        <v>376</v>
      </c>
      <c r="H316" s="90">
        <v>0.59</v>
      </c>
      <c r="I316" s="90">
        <v>0.64</v>
      </c>
      <c r="J316" s="90" t="s">
        <v>389</v>
      </c>
      <c r="K316" s="90">
        <v>1.528844766003E-2</v>
      </c>
      <c r="L316" s="90">
        <v>3672.8799240073099</v>
      </c>
      <c r="M316" s="90">
        <v>7.4739828555063204</v>
      </c>
      <c r="N316" s="90">
        <v>1.01459676622211</v>
      </c>
      <c r="O316" s="90">
        <v>0.11426559569838</v>
      </c>
      <c r="P316" s="90">
        <v>1.5511609556419999E-2</v>
      </c>
      <c r="Q316" s="90">
        <v>56.152632479768101</v>
      </c>
      <c r="R316" s="90">
        <v>4200</v>
      </c>
      <c r="S316" s="90" t="s">
        <v>390</v>
      </c>
      <c r="T316" s="90">
        <v>4200</v>
      </c>
      <c r="U316" s="90" t="s">
        <v>378</v>
      </c>
      <c r="V316" s="90" t="s">
        <v>244</v>
      </c>
      <c r="Y316" s="90" t="s">
        <v>389</v>
      </c>
      <c r="Z316" s="90">
        <v>0</v>
      </c>
      <c r="AA316" s="90">
        <v>1</v>
      </c>
      <c r="AB316" s="90">
        <v>0.11426559569838</v>
      </c>
      <c r="AC316" s="90">
        <v>1.5511609556419999E-2</v>
      </c>
      <c r="AD316" s="90">
        <v>56.152632479767703</v>
      </c>
      <c r="AF316" s="90">
        <v>-1</v>
      </c>
      <c r="AG316" s="90">
        <v>-1</v>
      </c>
      <c r="AH316" s="90">
        <v>-1</v>
      </c>
      <c r="AI316" s="90">
        <v>-1</v>
      </c>
      <c r="AJ316" s="90">
        <v>0</v>
      </c>
      <c r="AM316" s="90" t="s">
        <v>379</v>
      </c>
      <c r="AN316" s="90">
        <v>-1</v>
      </c>
      <c r="AQ316" s="90">
        <v>356</v>
      </c>
      <c r="AR316" s="90" t="s">
        <v>380</v>
      </c>
      <c r="AS316" s="90" t="s">
        <v>246</v>
      </c>
      <c r="AT316" s="90" t="s">
        <v>244</v>
      </c>
      <c r="AU316" s="90">
        <v>175.87190000000001</v>
      </c>
      <c r="AV316" s="90">
        <v>102.537576967975</v>
      </c>
      <c r="AW316" s="90">
        <v>61.870152601526499</v>
      </c>
      <c r="AX316" s="90">
        <v>4.5541470000000001E-2</v>
      </c>
    </row>
    <row r="317" spans="1:50" x14ac:dyDescent="0.25">
      <c r="A317" s="102">
        <v>830000</v>
      </c>
      <c r="B317" s="102">
        <v>2400000</v>
      </c>
      <c r="C317" s="102">
        <v>2400000</v>
      </c>
      <c r="D317" s="90" t="s">
        <v>374</v>
      </c>
      <c r="E317" s="90" t="s">
        <v>68</v>
      </c>
      <c r="F317" s="90" t="s">
        <v>375</v>
      </c>
      <c r="G317" s="90" t="s">
        <v>376</v>
      </c>
      <c r="H317" s="90">
        <v>0.59</v>
      </c>
      <c r="I317" s="90">
        <v>0.64</v>
      </c>
      <c r="J317" s="90" t="s">
        <v>381</v>
      </c>
      <c r="K317" s="90">
        <v>4.6198315858829997E-2</v>
      </c>
      <c r="L317" s="90">
        <v>3774.46272523159</v>
      </c>
      <c r="M317" s="90">
        <v>10.6418536584173</v>
      </c>
      <c r="N317" s="90">
        <v>1.4008455664980699</v>
      </c>
      <c r="O317" s="90">
        <v>0.49163571663506</v>
      </c>
      <c r="P317" s="90">
        <v>6.4716705950519995E-2</v>
      </c>
      <c r="Q317" s="90">
        <v>174.37382117764801</v>
      </c>
      <c r="R317" s="90">
        <v>1400</v>
      </c>
      <c r="S317" s="90" t="s">
        <v>324</v>
      </c>
      <c r="T317" s="90">
        <v>1400</v>
      </c>
      <c r="U317" s="90" t="s">
        <v>382</v>
      </c>
      <c r="V317" s="90" t="s">
        <v>381</v>
      </c>
      <c r="Z317" s="90">
        <v>0</v>
      </c>
      <c r="AA317" s="90">
        <v>1</v>
      </c>
      <c r="AB317" s="90">
        <v>0.49163571663506</v>
      </c>
      <c r="AC317" s="90">
        <v>6.4716705950519995E-2</v>
      </c>
      <c r="AD317" s="90">
        <v>174.37382117764699</v>
      </c>
      <c r="AF317" s="90">
        <v>-1</v>
      </c>
      <c r="AG317" s="90">
        <v>-1</v>
      </c>
      <c r="AH317" s="90">
        <v>-1</v>
      </c>
      <c r="AI317" s="90">
        <v>-1</v>
      </c>
      <c r="AJ317" s="90">
        <v>0</v>
      </c>
      <c r="AM317" s="90" t="s">
        <v>379</v>
      </c>
      <c r="AN317" s="90">
        <v>-1</v>
      </c>
      <c r="AQ317" s="90">
        <v>356</v>
      </c>
      <c r="AR317" s="90" t="s">
        <v>380</v>
      </c>
      <c r="AS317" s="90" t="s">
        <v>246</v>
      </c>
      <c r="AT317" s="90" t="s">
        <v>244</v>
      </c>
      <c r="AU317" s="90">
        <v>175.87190000000001</v>
      </c>
      <c r="AV317" s="90">
        <v>107.55461832427901</v>
      </c>
      <c r="AW317" s="90">
        <v>186.95795123738901</v>
      </c>
      <c r="AX317" s="90">
        <v>0.1414224016</v>
      </c>
    </row>
    <row r="318" spans="1:50" x14ac:dyDescent="0.25">
      <c r="A318" s="102">
        <v>830000</v>
      </c>
      <c r="B318" s="102">
        <v>2400000</v>
      </c>
      <c r="C318" s="102">
        <v>2400000</v>
      </c>
      <c r="D318" s="90" t="s">
        <v>374</v>
      </c>
      <c r="E318" s="90" t="s">
        <v>68</v>
      </c>
      <c r="F318" s="90" t="s">
        <v>375</v>
      </c>
      <c r="G318" s="90" t="s">
        <v>376</v>
      </c>
      <c r="H318" s="90">
        <v>0.59</v>
      </c>
      <c r="I318" s="90">
        <v>0.64</v>
      </c>
      <c r="J318" s="90" t="s">
        <v>381</v>
      </c>
      <c r="K318" s="90">
        <v>0.16987375751990999</v>
      </c>
      <c r="L318" s="90">
        <v>3774.46272523159</v>
      </c>
      <c r="M318" s="90">
        <v>10.6418536584173</v>
      </c>
      <c r="N318" s="90">
        <v>1.4008455664980699</v>
      </c>
      <c r="O318" s="90">
        <v>1.80777166793243</v>
      </c>
      <c r="P318" s="90">
        <v>0.23796690008613999</v>
      </c>
      <c r="Q318" s="90">
        <v>641.18216575396002</v>
      </c>
      <c r="R318" s="90">
        <v>8140</v>
      </c>
      <c r="S318" s="90" t="s">
        <v>386</v>
      </c>
      <c r="T318" s="90">
        <v>8140</v>
      </c>
      <c r="U318" s="90" t="s">
        <v>382</v>
      </c>
      <c r="V318" s="90" t="s">
        <v>381</v>
      </c>
      <c r="Z318" s="90">
        <v>0</v>
      </c>
      <c r="AA318" s="90">
        <v>1</v>
      </c>
      <c r="AB318" s="90">
        <v>1.80777166793243</v>
      </c>
      <c r="AC318" s="90">
        <v>0.23796690008613999</v>
      </c>
      <c r="AD318" s="90">
        <v>786.01381358088497</v>
      </c>
      <c r="AF318" s="90">
        <v>-1</v>
      </c>
      <c r="AG318" s="90">
        <v>-1</v>
      </c>
      <c r="AH318" s="90">
        <v>-1</v>
      </c>
      <c r="AI318" s="90">
        <v>-1</v>
      </c>
      <c r="AJ318" s="90">
        <v>0</v>
      </c>
      <c r="AM318" s="90" t="s">
        <v>379</v>
      </c>
      <c r="AN318" s="90">
        <v>-1</v>
      </c>
      <c r="AQ318" s="90">
        <v>356</v>
      </c>
      <c r="AR318" s="90" t="s">
        <v>380</v>
      </c>
      <c r="AS318" s="90" t="s">
        <v>246</v>
      </c>
      <c r="AT318" s="90" t="s">
        <v>244</v>
      </c>
      <c r="AU318" s="90">
        <v>175.87190000000001</v>
      </c>
      <c r="AV318" s="90">
        <v>127.608839904942</v>
      </c>
      <c r="AW318" s="90">
        <v>687.45470661669901</v>
      </c>
      <c r="AX318" s="90">
        <v>0.63748078959999999</v>
      </c>
    </row>
    <row r="319" spans="1:50" x14ac:dyDescent="0.25">
      <c r="A319" s="102">
        <v>830000</v>
      </c>
      <c r="B319" s="102">
        <v>2400000</v>
      </c>
      <c r="C319" s="102">
        <v>2400000</v>
      </c>
      <c r="D319" s="90" t="s">
        <v>374</v>
      </c>
      <c r="E319" s="90" t="s">
        <v>68</v>
      </c>
      <c r="F319" s="90" t="s">
        <v>375</v>
      </c>
      <c r="G319" s="90" t="s">
        <v>376</v>
      </c>
      <c r="H319" s="90">
        <v>0.59</v>
      </c>
      <c r="I319" s="90">
        <v>0.64</v>
      </c>
      <c r="J319" s="90" t="s">
        <v>244</v>
      </c>
      <c r="K319" s="90">
        <v>0.36112961370273</v>
      </c>
      <c r="L319" s="90">
        <v>3774.46272523159</v>
      </c>
      <c r="M319" s="90">
        <v>10.6418536584173</v>
      </c>
      <c r="N319" s="90">
        <v>1.4008455664980699</v>
      </c>
      <c r="O319" s="90">
        <v>3.8430885007453099</v>
      </c>
      <c r="P319" s="90">
        <v>0.50588681828663995</v>
      </c>
      <c r="Q319" s="90">
        <v>1363.07026589826</v>
      </c>
      <c r="R319" s="90">
        <v>1450</v>
      </c>
      <c r="S319" s="90" t="s">
        <v>391</v>
      </c>
      <c r="T319" s="90">
        <v>1450</v>
      </c>
      <c r="U319" s="90" t="s">
        <v>378</v>
      </c>
      <c r="V319" s="90" t="s">
        <v>244</v>
      </c>
      <c r="Z319" s="90">
        <v>0</v>
      </c>
      <c r="AA319" s="90">
        <v>1</v>
      </c>
      <c r="AB319" s="90">
        <v>3.8430885007453099</v>
      </c>
      <c r="AC319" s="90">
        <v>0.50588681828663995</v>
      </c>
      <c r="AD319" s="90">
        <v>1363.07026589826</v>
      </c>
      <c r="AF319" s="90">
        <v>-1</v>
      </c>
      <c r="AG319" s="90">
        <v>-1</v>
      </c>
      <c r="AH319" s="90">
        <v>-1</v>
      </c>
      <c r="AI319" s="90">
        <v>-1</v>
      </c>
      <c r="AJ319" s="90">
        <v>0</v>
      </c>
      <c r="AM319" s="90" t="s">
        <v>379</v>
      </c>
      <c r="AN319" s="90">
        <v>-1</v>
      </c>
      <c r="AQ319" s="90">
        <v>356</v>
      </c>
      <c r="AR319" s="90" t="s">
        <v>380</v>
      </c>
      <c r="AS319" s="90" t="s">
        <v>246</v>
      </c>
      <c r="AT319" s="90" t="s">
        <v>244</v>
      </c>
      <c r="AU319" s="90">
        <v>175.87190000000001</v>
      </c>
      <c r="AV319" s="90">
        <v>158.48316595109901</v>
      </c>
      <c r="AW319" s="90">
        <v>1461.4396965317501</v>
      </c>
      <c r="AX319" s="90">
        <v>1.1054908887999999</v>
      </c>
    </row>
    <row r="320" spans="1:50" x14ac:dyDescent="0.25">
      <c r="A320" s="102">
        <v>830000</v>
      </c>
      <c r="B320" s="102">
        <v>2400000</v>
      </c>
      <c r="C320" s="102">
        <v>2400000</v>
      </c>
      <c r="D320" s="90" t="s">
        <v>374</v>
      </c>
      <c r="E320" s="90" t="s">
        <v>68</v>
      </c>
      <c r="F320" s="90" t="s">
        <v>375</v>
      </c>
      <c r="G320" s="90" t="s">
        <v>376</v>
      </c>
      <c r="H320" s="90">
        <v>0.59</v>
      </c>
      <c r="I320" s="90">
        <v>0.64</v>
      </c>
      <c r="J320" s="90" t="s">
        <v>381</v>
      </c>
      <c r="K320" s="90">
        <v>2.1903059653500001E-3</v>
      </c>
      <c r="L320" s="90">
        <v>3774.46272523159</v>
      </c>
      <c r="M320" s="90">
        <v>10.6418536584173</v>
      </c>
      <c r="N320" s="90">
        <v>1.4008455664980699</v>
      </c>
      <c r="O320" s="90">
        <v>2.3308915550420001E-2</v>
      </c>
      <c r="P320" s="90">
        <v>3.0682804008299999E-3</v>
      </c>
      <c r="Q320" s="90">
        <v>8.2672282230697505</v>
      </c>
      <c r="R320" s="90">
        <v>1450</v>
      </c>
      <c r="S320" s="90" t="s">
        <v>391</v>
      </c>
      <c r="T320" s="90">
        <v>1450</v>
      </c>
      <c r="U320" s="90" t="s">
        <v>382</v>
      </c>
      <c r="V320" s="90" t="s">
        <v>381</v>
      </c>
      <c r="Z320" s="90">
        <v>0</v>
      </c>
      <c r="AA320" s="90">
        <v>1</v>
      </c>
      <c r="AB320" s="90">
        <v>2.3308915550420001E-2</v>
      </c>
      <c r="AC320" s="90">
        <v>3.0682804008299999E-3</v>
      </c>
      <c r="AD320" s="90">
        <v>8.2672282230693401</v>
      </c>
      <c r="AF320" s="90">
        <v>-1</v>
      </c>
      <c r="AG320" s="90">
        <v>-1</v>
      </c>
      <c r="AH320" s="90">
        <v>-1</v>
      </c>
      <c r="AI320" s="90">
        <v>-1</v>
      </c>
      <c r="AJ320" s="90">
        <v>0</v>
      </c>
      <c r="AM320" s="90" t="s">
        <v>379</v>
      </c>
      <c r="AN320" s="90">
        <v>-1</v>
      </c>
      <c r="AQ320" s="90">
        <v>356</v>
      </c>
      <c r="AR320" s="90" t="s">
        <v>380</v>
      </c>
      <c r="AS320" s="90" t="s">
        <v>246</v>
      </c>
      <c r="AT320" s="90" t="s">
        <v>244</v>
      </c>
      <c r="AU320" s="90">
        <v>175.87190000000001</v>
      </c>
      <c r="AV320" s="90">
        <v>100.408772347601</v>
      </c>
      <c r="AW320" s="90">
        <v>8.8638537629013001</v>
      </c>
      <c r="AX320" s="90">
        <v>6.7049702000000003E-3</v>
      </c>
    </row>
    <row r="321" spans="1:50" x14ac:dyDescent="0.25">
      <c r="A321" s="102">
        <v>830000</v>
      </c>
      <c r="B321" s="102">
        <v>2400000</v>
      </c>
      <c r="C321" s="102">
        <v>2400000</v>
      </c>
      <c r="D321" s="90" t="s">
        <v>374</v>
      </c>
      <c r="E321" s="90" t="s">
        <v>68</v>
      </c>
      <c r="F321" s="90" t="s">
        <v>375</v>
      </c>
      <c r="G321" s="90" t="s">
        <v>376</v>
      </c>
      <c r="H321" s="90">
        <v>0.59</v>
      </c>
      <c r="I321" s="90">
        <v>0.64</v>
      </c>
      <c r="J321" s="90" t="s">
        <v>244</v>
      </c>
      <c r="K321" s="90">
        <v>1.0397169587100001E-3</v>
      </c>
      <c r="L321" s="90">
        <v>3552.9250313555699</v>
      </c>
      <c r="M321" s="90">
        <v>8.9846101347280598</v>
      </c>
      <c r="N321" s="90">
        <v>1.1926649910545599</v>
      </c>
      <c r="O321" s="90">
        <v>9.3414515244900007E-3</v>
      </c>
      <c r="P321" s="90">
        <v>1.24003401726E-3</v>
      </c>
      <c r="Q321" s="90">
        <v>3.6940364081327499</v>
      </c>
      <c r="R321" s="90">
        <v>1400</v>
      </c>
      <c r="S321" s="90" t="s">
        <v>324</v>
      </c>
      <c r="T321" s="90">
        <v>1400</v>
      </c>
      <c r="U321" s="90" t="s">
        <v>378</v>
      </c>
      <c r="V321" s="90" t="s">
        <v>244</v>
      </c>
      <c r="Z321" s="90">
        <v>0</v>
      </c>
      <c r="AA321" s="90">
        <v>1</v>
      </c>
      <c r="AB321" s="90">
        <v>9.3414515244900007E-3</v>
      </c>
      <c r="AC321" s="90">
        <v>1.24003401726E-3</v>
      </c>
      <c r="AD321" s="90">
        <v>3.6940364081320101</v>
      </c>
      <c r="AF321" s="90">
        <v>-1</v>
      </c>
      <c r="AG321" s="90">
        <v>-1</v>
      </c>
      <c r="AH321" s="90">
        <v>-1</v>
      </c>
      <c r="AI321" s="90">
        <v>-1</v>
      </c>
      <c r="AJ321" s="90">
        <v>0</v>
      </c>
      <c r="AM321" s="90" t="s">
        <v>379</v>
      </c>
      <c r="AN321" s="90">
        <v>-1</v>
      </c>
      <c r="AQ321" s="90">
        <v>356</v>
      </c>
      <c r="AR321" s="90" t="s">
        <v>380</v>
      </c>
      <c r="AS321" s="90" t="s">
        <v>246</v>
      </c>
      <c r="AT321" s="90" t="s">
        <v>244</v>
      </c>
      <c r="AU321" s="90">
        <v>175.87190000000001</v>
      </c>
      <c r="AV321" s="90">
        <v>48.268899064293699</v>
      </c>
      <c r="AW321" s="90">
        <v>4.2075852518409897</v>
      </c>
      <c r="AX321" s="90">
        <v>2.9959743999999999E-3</v>
      </c>
    </row>
    <row r="322" spans="1:50" x14ac:dyDescent="0.25">
      <c r="A322" s="102">
        <v>830000</v>
      </c>
      <c r="B322" s="102">
        <v>2400000</v>
      </c>
      <c r="C322" s="102">
        <v>2400000</v>
      </c>
      <c r="D322" s="90" t="s">
        <v>374</v>
      </c>
      <c r="E322" s="90" t="s">
        <v>68</v>
      </c>
      <c r="F322" s="90" t="s">
        <v>375</v>
      </c>
      <c r="G322" s="90" t="s">
        <v>376</v>
      </c>
      <c r="H322" s="90">
        <v>0.59</v>
      </c>
      <c r="I322" s="90">
        <v>0.64</v>
      </c>
      <c r="J322" s="90" t="s">
        <v>381</v>
      </c>
      <c r="K322" s="90">
        <v>3.3832649949449997E-2</v>
      </c>
      <c r="L322" s="90">
        <v>3552.9250313555699</v>
      </c>
      <c r="M322" s="90">
        <v>8.9846101347280598</v>
      </c>
      <c r="N322" s="90">
        <v>1.1926649910545599</v>
      </c>
      <c r="O322" s="90">
        <v>0.30397316962059001</v>
      </c>
      <c r="P322" s="90">
        <v>4.0351017149319997E-2</v>
      </c>
      <c r="Q322" s="90">
        <v>120.204868882516</v>
      </c>
      <c r="R322" s="90">
        <v>1400</v>
      </c>
      <c r="S322" s="90" t="s">
        <v>324</v>
      </c>
      <c r="T322" s="90">
        <v>1400</v>
      </c>
      <c r="U322" s="90" t="s">
        <v>382</v>
      </c>
      <c r="V322" s="90" t="s">
        <v>381</v>
      </c>
      <c r="Z322" s="90">
        <v>0</v>
      </c>
      <c r="AA322" s="90">
        <v>1</v>
      </c>
      <c r="AB322" s="90">
        <v>0.30397316962059001</v>
      </c>
      <c r="AC322" s="90">
        <v>4.0351017149319997E-2</v>
      </c>
      <c r="AD322" s="90">
        <v>120.204868882517</v>
      </c>
      <c r="AF322" s="90">
        <v>-1</v>
      </c>
      <c r="AG322" s="90">
        <v>-1</v>
      </c>
      <c r="AH322" s="90">
        <v>-1</v>
      </c>
      <c r="AI322" s="90">
        <v>-1</v>
      </c>
      <c r="AJ322" s="90">
        <v>0</v>
      </c>
      <c r="AM322" s="90" t="s">
        <v>379</v>
      </c>
      <c r="AN322" s="90">
        <v>-1</v>
      </c>
      <c r="AQ322" s="90">
        <v>356</v>
      </c>
      <c r="AR322" s="90" t="s">
        <v>380</v>
      </c>
      <c r="AS322" s="90" t="s">
        <v>246</v>
      </c>
      <c r="AT322" s="90" t="s">
        <v>244</v>
      </c>
      <c r="AU322" s="90">
        <v>175.87190000000001</v>
      </c>
      <c r="AV322" s="90">
        <v>59.188027154549403</v>
      </c>
      <c r="AW322" s="90">
        <v>136.91587673477099</v>
      </c>
      <c r="AX322" s="90">
        <v>9.7489755799999994E-2</v>
      </c>
    </row>
    <row r="323" spans="1:50" x14ac:dyDescent="0.25">
      <c r="A323" s="102">
        <v>830000</v>
      </c>
      <c r="B323" s="102">
        <v>2400000</v>
      </c>
      <c r="C323" s="102">
        <v>2400000</v>
      </c>
      <c r="D323" s="90" t="s">
        <v>374</v>
      </c>
      <c r="E323" s="90" t="s">
        <v>68</v>
      </c>
      <c r="F323" s="90" t="s">
        <v>375</v>
      </c>
      <c r="G323" s="90" t="s">
        <v>376</v>
      </c>
      <c r="H323" s="90">
        <v>0.59</v>
      </c>
      <c r="I323" s="90">
        <v>0.64</v>
      </c>
      <c r="J323" s="90" t="s">
        <v>389</v>
      </c>
      <c r="K323" s="90">
        <v>0.18029455700304001</v>
      </c>
      <c r="L323" s="90">
        <v>3552.9250313555699</v>
      </c>
      <c r="M323" s="90">
        <v>8.9846101347280598</v>
      </c>
      <c r="N323" s="90">
        <v>1.1926649910545599</v>
      </c>
      <c r="O323" s="90">
        <v>1.6198763040858599</v>
      </c>
      <c r="P323" s="90">
        <v>0.21503100621522001</v>
      </c>
      <c r="Q323" s="90">
        <v>640.57304459328304</v>
      </c>
      <c r="R323" s="90">
        <v>4200</v>
      </c>
      <c r="S323" s="90" t="s">
        <v>390</v>
      </c>
      <c r="T323" s="90">
        <v>4200</v>
      </c>
      <c r="U323" s="90" t="s">
        <v>378</v>
      </c>
      <c r="V323" s="90" t="s">
        <v>244</v>
      </c>
      <c r="Y323" s="90" t="s">
        <v>389</v>
      </c>
      <c r="Z323" s="90">
        <v>0</v>
      </c>
      <c r="AA323" s="90">
        <v>1</v>
      </c>
      <c r="AB323" s="90">
        <v>1.6198763040858599</v>
      </c>
      <c r="AC323" s="90">
        <v>0.21503100621522001</v>
      </c>
      <c r="AD323" s="90">
        <v>640.57304459328304</v>
      </c>
      <c r="AF323" s="90">
        <v>-1</v>
      </c>
      <c r="AG323" s="90">
        <v>-1</v>
      </c>
      <c r="AH323" s="90">
        <v>-1</v>
      </c>
      <c r="AI323" s="90">
        <v>-1</v>
      </c>
      <c r="AJ323" s="90">
        <v>0</v>
      </c>
      <c r="AM323" s="90" t="s">
        <v>379</v>
      </c>
      <c r="AN323" s="90">
        <v>-1</v>
      </c>
      <c r="AQ323" s="90">
        <v>356</v>
      </c>
      <c r="AR323" s="90" t="s">
        <v>380</v>
      </c>
      <c r="AS323" s="90" t="s">
        <v>246</v>
      </c>
      <c r="AT323" s="90" t="s">
        <v>244</v>
      </c>
      <c r="AU323" s="90">
        <v>175.87190000000001</v>
      </c>
      <c r="AV323" s="90">
        <v>114.44316755825299</v>
      </c>
      <c r="AW323" s="90">
        <v>729.62618593153604</v>
      </c>
      <c r="AX323" s="90">
        <v>0.51952396160000003</v>
      </c>
    </row>
    <row r="324" spans="1:50" x14ac:dyDescent="0.25">
      <c r="A324" s="102">
        <v>830000</v>
      </c>
      <c r="B324" s="102">
        <v>2400000</v>
      </c>
      <c r="C324" s="102">
        <v>2400000</v>
      </c>
      <c r="D324" s="90" t="s">
        <v>374</v>
      </c>
      <c r="E324" s="90" t="s">
        <v>68</v>
      </c>
      <c r="F324" s="90" t="s">
        <v>375</v>
      </c>
      <c r="G324" s="90" t="s">
        <v>376</v>
      </c>
      <c r="H324" s="90">
        <v>0.59</v>
      </c>
      <c r="I324" s="90">
        <v>0.64</v>
      </c>
      <c r="J324" s="90" t="s">
        <v>381</v>
      </c>
      <c r="K324" s="90">
        <v>3.8161360092959999E-2</v>
      </c>
      <c r="L324" s="90">
        <v>3552.9250313555699</v>
      </c>
      <c r="M324" s="90">
        <v>8.9846101347280598</v>
      </c>
      <c r="N324" s="90">
        <v>1.1926649910545599</v>
      </c>
      <c r="O324" s="90">
        <v>0.34286494264621997</v>
      </c>
      <c r="P324" s="90">
        <v>4.5513718193900002E-2</v>
      </c>
      <c r="Q324" s="90">
        <v>135.584451504854</v>
      </c>
      <c r="R324" s="90">
        <v>4200</v>
      </c>
      <c r="S324" s="90" t="s">
        <v>390</v>
      </c>
      <c r="T324" s="90">
        <v>4200</v>
      </c>
      <c r="U324" s="90" t="s">
        <v>382</v>
      </c>
      <c r="V324" s="90" t="s">
        <v>381</v>
      </c>
      <c r="Y324" s="90" t="s">
        <v>389</v>
      </c>
      <c r="Z324" s="90">
        <v>0</v>
      </c>
      <c r="AA324" s="90">
        <v>1</v>
      </c>
      <c r="AB324" s="90">
        <v>0.34286494264621997</v>
      </c>
      <c r="AC324" s="90">
        <v>4.5513718193900002E-2</v>
      </c>
      <c r="AD324" s="90">
        <v>135.58445150485301</v>
      </c>
      <c r="AF324" s="90">
        <v>-1</v>
      </c>
      <c r="AG324" s="90">
        <v>-1</v>
      </c>
      <c r="AH324" s="90">
        <v>-1</v>
      </c>
      <c r="AI324" s="90">
        <v>-1</v>
      </c>
      <c r="AJ324" s="90">
        <v>0</v>
      </c>
      <c r="AM324" s="90" t="s">
        <v>379</v>
      </c>
      <c r="AN324" s="90">
        <v>-1</v>
      </c>
      <c r="AQ324" s="90">
        <v>356</v>
      </c>
      <c r="AR324" s="90" t="s">
        <v>380</v>
      </c>
      <c r="AS324" s="90" t="s">
        <v>246</v>
      </c>
      <c r="AT324" s="90" t="s">
        <v>244</v>
      </c>
      <c r="AU324" s="90">
        <v>175.87190000000001</v>
      </c>
      <c r="AV324" s="90">
        <v>64.115319084338196</v>
      </c>
      <c r="AW324" s="90">
        <v>154.43354517971599</v>
      </c>
      <c r="AX324" s="90">
        <v>0.1099630588</v>
      </c>
    </row>
    <row r="325" spans="1:50" x14ac:dyDescent="0.25">
      <c r="A325" s="102">
        <v>830000</v>
      </c>
      <c r="B325" s="102">
        <v>2400000</v>
      </c>
      <c r="C325" s="102">
        <v>2400000</v>
      </c>
      <c r="D325" s="90" t="s">
        <v>374</v>
      </c>
      <c r="E325" s="90" t="s">
        <v>68</v>
      </c>
      <c r="F325" s="90" t="s">
        <v>375</v>
      </c>
      <c r="G325" s="90" t="s">
        <v>376</v>
      </c>
      <c r="H325" s="90">
        <v>0.59</v>
      </c>
      <c r="I325" s="90">
        <v>0.64</v>
      </c>
      <c r="J325" s="90" t="s">
        <v>381</v>
      </c>
      <c r="K325" s="90">
        <v>0.15052544544442001</v>
      </c>
      <c r="L325" s="90">
        <v>3552.9250313555699</v>
      </c>
      <c r="M325" s="90">
        <v>8.9846101347280598</v>
      </c>
      <c r="N325" s="90">
        <v>1.1926649910545599</v>
      </c>
      <c r="O325" s="90">
        <v>1.3524124426744699</v>
      </c>
      <c r="P325" s="90">
        <v>0.17952642904446001</v>
      </c>
      <c r="Q325" s="90">
        <v>534.80562297545896</v>
      </c>
      <c r="R325" s="90">
        <v>8140</v>
      </c>
      <c r="S325" s="90" t="s">
        <v>386</v>
      </c>
      <c r="T325" s="90">
        <v>8140</v>
      </c>
      <c r="U325" s="90" t="s">
        <v>382</v>
      </c>
      <c r="V325" s="90" t="s">
        <v>381</v>
      </c>
      <c r="Z325" s="90">
        <v>0</v>
      </c>
      <c r="AA325" s="90">
        <v>1</v>
      </c>
      <c r="AB325" s="90">
        <v>1.3524124426744699</v>
      </c>
      <c r="AC325" s="90">
        <v>0.17952642904446001</v>
      </c>
      <c r="AD325" s="90">
        <v>534.80562297545896</v>
      </c>
      <c r="AF325" s="90">
        <v>-1</v>
      </c>
      <c r="AG325" s="90">
        <v>-1</v>
      </c>
      <c r="AH325" s="90">
        <v>-1</v>
      </c>
      <c r="AI325" s="90">
        <v>-1</v>
      </c>
      <c r="AJ325" s="90">
        <v>0</v>
      </c>
      <c r="AM325" s="90" t="s">
        <v>379</v>
      </c>
      <c r="AN325" s="90">
        <v>-1</v>
      </c>
      <c r="AQ325" s="90">
        <v>356</v>
      </c>
      <c r="AR325" s="90" t="s">
        <v>380</v>
      </c>
      <c r="AS325" s="90" t="s">
        <v>246</v>
      </c>
      <c r="AT325" s="90" t="s">
        <v>244</v>
      </c>
      <c r="AU325" s="90">
        <v>175.87190000000001</v>
      </c>
      <c r="AV325" s="90">
        <v>123.971570932468</v>
      </c>
      <c r="AW325" s="90">
        <v>609.15486563140905</v>
      </c>
      <c r="AX325" s="90">
        <v>0.4337434087</v>
      </c>
    </row>
    <row r="326" spans="1:50" x14ac:dyDescent="0.25">
      <c r="A326" s="102">
        <v>830000</v>
      </c>
      <c r="B326" s="102">
        <v>2400000</v>
      </c>
      <c r="C326" s="102">
        <v>2400000</v>
      </c>
      <c r="D326" s="90" t="s">
        <v>374</v>
      </c>
      <c r="E326" s="90" t="s">
        <v>68</v>
      </c>
      <c r="F326" s="90" t="s">
        <v>375</v>
      </c>
      <c r="G326" s="90" t="s">
        <v>376</v>
      </c>
      <c r="H326" s="90">
        <v>0.59</v>
      </c>
      <c r="I326" s="90">
        <v>0.64</v>
      </c>
      <c r="J326" s="90" t="s">
        <v>244</v>
      </c>
      <c r="K326" s="90">
        <v>0.21390972435739</v>
      </c>
      <c r="L326" s="90">
        <v>3552.9250313555699</v>
      </c>
      <c r="M326" s="90">
        <v>8.9846101347280598</v>
      </c>
      <c r="N326" s="90">
        <v>1.1926649910545599</v>
      </c>
      <c r="O326" s="90">
        <v>1.9218954773782899</v>
      </c>
      <c r="P326" s="90">
        <v>0.25512263948718999</v>
      </c>
      <c r="Q326" s="90">
        <v>760.00521411974205</v>
      </c>
      <c r="R326" s="90">
        <v>1410</v>
      </c>
      <c r="S326" s="90" t="s">
        <v>325</v>
      </c>
      <c r="T326" s="90">
        <v>1410</v>
      </c>
      <c r="U326" s="90" t="s">
        <v>378</v>
      </c>
      <c r="V326" s="90" t="s">
        <v>244</v>
      </c>
      <c r="Z326" s="90">
        <v>0</v>
      </c>
      <c r="AA326" s="90">
        <v>1</v>
      </c>
      <c r="AB326" s="90">
        <v>1.9218954773782899</v>
      </c>
      <c r="AC326" s="90">
        <v>0.25512263948718999</v>
      </c>
      <c r="AD326" s="90">
        <v>760.00521411974205</v>
      </c>
      <c r="AF326" s="90">
        <v>-1</v>
      </c>
      <c r="AG326" s="90">
        <v>-1</v>
      </c>
      <c r="AH326" s="90">
        <v>-1</v>
      </c>
      <c r="AI326" s="90">
        <v>-1</v>
      </c>
      <c r="AJ326" s="90">
        <v>0</v>
      </c>
      <c r="AM326" s="90" t="s">
        <v>379</v>
      </c>
      <c r="AN326" s="90">
        <v>-1</v>
      </c>
      <c r="AQ326" s="90">
        <v>356</v>
      </c>
      <c r="AR326" s="90" t="s">
        <v>380</v>
      </c>
      <c r="AS326" s="90" t="s">
        <v>246</v>
      </c>
      <c r="AT326" s="90" t="s">
        <v>244</v>
      </c>
      <c r="AU326" s="90">
        <v>175.87190000000001</v>
      </c>
      <c r="AV326" s="90">
        <v>118.202054145616</v>
      </c>
      <c r="AW326" s="90">
        <v>865.66194182951904</v>
      </c>
      <c r="AX326" s="90">
        <v>0.61638703500000003</v>
      </c>
    </row>
    <row r="327" spans="1:50" x14ac:dyDescent="0.25">
      <c r="A327" s="102">
        <v>830000</v>
      </c>
      <c r="B327" s="102">
        <v>2400000</v>
      </c>
      <c r="C327" s="102">
        <v>2400000</v>
      </c>
      <c r="D327" s="90" t="s">
        <v>374</v>
      </c>
      <c r="E327" s="90" t="s">
        <v>68</v>
      </c>
      <c r="F327" s="90" t="s">
        <v>375</v>
      </c>
      <c r="G327" s="90" t="s">
        <v>376</v>
      </c>
      <c r="H327" s="90">
        <v>0.59</v>
      </c>
      <c r="I327" s="90">
        <v>0.64</v>
      </c>
      <c r="J327" s="90" t="s">
        <v>244</v>
      </c>
      <c r="K327" s="90">
        <v>0.40902739147485001</v>
      </c>
      <c r="L327" s="90">
        <v>3769.57365293564</v>
      </c>
      <c r="M327" s="90">
        <v>11.3312801317694</v>
      </c>
      <c r="N327" s="90">
        <v>1.7170505951625199</v>
      </c>
      <c r="O327" s="90">
        <v>4.63480395436848</v>
      </c>
      <c r="P327" s="90">
        <v>0.70232072596966999</v>
      </c>
      <c r="Q327" s="90">
        <v>1541.8588782326001</v>
      </c>
      <c r="R327" s="90">
        <v>1410</v>
      </c>
      <c r="S327" s="90" t="s">
        <v>325</v>
      </c>
      <c r="T327" s="90">
        <v>1410</v>
      </c>
      <c r="U327" s="90" t="s">
        <v>378</v>
      </c>
      <c r="V327" s="90" t="s">
        <v>244</v>
      </c>
      <c r="Z327" s="90">
        <v>0</v>
      </c>
      <c r="AA327" s="90">
        <v>1</v>
      </c>
      <c r="AB327" s="90">
        <v>4.63480395436848</v>
      </c>
      <c r="AC327" s="90">
        <v>0.70232072596966999</v>
      </c>
      <c r="AD327" s="90">
        <v>1541.8588782326001</v>
      </c>
      <c r="AF327" s="90">
        <v>-1</v>
      </c>
      <c r="AG327" s="90">
        <v>-1</v>
      </c>
      <c r="AH327" s="90">
        <v>-1</v>
      </c>
      <c r="AI327" s="90">
        <v>-1</v>
      </c>
      <c r="AJ327" s="90">
        <v>0</v>
      </c>
      <c r="AM327" s="90" t="s">
        <v>379</v>
      </c>
      <c r="AN327" s="90">
        <v>-1</v>
      </c>
      <c r="AQ327" s="90">
        <v>356</v>
      </c>
      <c r="AR327" s="90" t="s">
        <v>380</v>
      </c>
      <c r="AS327" s="90" t="s">
        <v>246</v>
      </c>
      <c r="AT327" s="90" t="s">
        <v>244</v>
      </c>
      <c r="AU327" s="90">
        <v>175.87190000000001</v>
      </c>
      <c r="AV327" s="90">
        <v>166.211068541727</v>
      </c>
      <c r="AW327" s="90">
        <v>1655.27512612752</v>
      </c>
      <c r="AX327" s="90">
        <v>1.2504938185000001</v>
      </c>
    </row>
    <row r="328" spans="1:50" x14ac:dyDescent="0.25">
      <c r="A328" s="102">
        <v>830000</v>
      </c>
      <c r="B328" s="102">
        <v>2400000</v>
      </c>
      <c r="C328" s="102">
        <v>2400000</v>
      </c>
      <c r="D328" s="90" t="s">
        <v>374</v>
      </c>
      <c r="E328" s="90" t="s">
        <v>68</v>
      </c>
      <c r="F328" s="90" t="s">
        <v>375</v>
      </c>
      <c r="G328" s="90" t="s">
        <v>376</v>
      </c>
      <c r="H328" s="90">
        <v>0.59</v>
      </c>
      <c r="I328" s="90">
        <v>0.64</v>
      </c>
      <c r="J328" s="90" t="s">
        <v>244</v>
      </c>
      <c r="K328" s="90">
        <v>0.20873606207799</v>
      </c>
      <c r="L328" s="90">
        <v>3769.57365293564</v>
      </c>
      <c r="M328" s="90">
        <v>11.3312801317694</v>
      </c>
      <c r="N328" s="90">
        <v>1.7170505951625199</v>
      </c>
      <c r="O328" s="90">
        <v>2.3652467930081502</v>
      </c>
      <c r="P328" s="90">
        <v>0.35841037962290001</v>
      </c>
      <c r="Q328" s="90">
        <v>786.84596002674198</v>
      </c>
      <c r="R328" s="90">
        <v>1300</v>
      </c>
      <c r="S328" s="90" t="s">
        <v>387</v>
      </c>
      <c r="T328" s="90">
        <v>1300</v>
      </c>
      <c r="U328" s="90" t="s">
        <v>378</v>
      </c>
      <c r="V328" s="90" t="s">
        <v>244</v>
      </c>
      <c r="Z328" s="90">
        <v>0</v>
      </c>
      <c r="AA328" s="90">
        <v>1</v>
      </c>
      <c r="AB328" s="90">
        <v>2.3652467930081502</v>
      </c>
      <c r="AC328" s="90">
        <v>0.35841037962290001</v>
      </c>
      <c r="AD328" s="90">
        <v>786.84596002674198</v>
      </c>
      <c r="AF328" s="90">
        <v>-1</v>
      </c>
      <c r="AG328" s="90">
        <v>-1</v>
      </c>
      <c r="AH328" s="90">
        <v>-1</v>
      </c>
      <c r="AI328" s="90">
        <v>-1</v>
      </c>
      <c r="AJ328" s="90">
        <v>0</v>
      </c>
      <c r="AM328" s="90" t="s">
        <v>379</v>
      </c>
      <c r="AN328" s="90">
        <v>-1</v>
      </c>
      <c r="AQ328" s="90">
        <v>356</v>
      </c>
      <c r="AR328" s="90" t="s">
        <v>380</v>
      </c>
      <c r="AS328" s="90" t="s">
        <v>246</v>
      </c>
      <c r="AT328" s="90" t="s">
        <v>244</v>
      </c>
      <c r="AU328" s="90">
        <v>175.87190000000001</v>
      </c>
      <c r="AV328" s="90">
        <v>133.789058432899</v>
      </c>
      <c r="AW328" s="90">
        <v>844.72487340681198</v>
      </c>
      <c r="AX328" s="90">
        <v>0.6381556853</v>
      </c>
    </row>
    <row r="329" spans="1:50" x14ac:dyDescent="0.25">
      <c r="A329" s="102">
        <v>830000</v>
      </c>
      <c r="B329" s="102">
        <v>2400000</v>
      </c>
      <c r="C329" s="102">
        <v>2400000</v>
      </c>
      <c r="D329" s="90" t="s">
        <v>374</v>
      </c>
      <c r="E329" s="90" t="s">
        <v>68</v>
      </c>
      <c r="F329" s="90" t="s">
        <v>375</v>
      </c>
      <c r="G329" s="90" t="s">
        <v>376</v>
      </c>
      <c r="H329" s="90">
        <v>0.59</v>
      </c>
      <c r="I329" s="90">
        <v>0.64</v>
      </c>
      <c r="J329" s="90" t="s">
        <v>381</v>
      </c>
      <c r="K329" s="90">
        <v>3.0406770390850001E-2</v>
      </c>
      <c r="L329" s="90">
        <v>3750.1361160933702</v>
      </c>
      <c r="M329" s="90">
        <v>10.327900290150501</v>
      </c>
      <c r="N329" s="90">
        <v>1.8705883523956801</v>
      </c>
      <c r="O329" s="90">
        <v>0.31403809274227001</v>
      </c>
      <c r="P329" s="90">
        <v>5.6878550527100002E-2</v>
      </c>
      <c r="Q329" s="90">
        <v>114.02952781651101</v>
      </c>
      <c r="R329" s="90">
        <v>1300</v>
      </c>
      <c r="S329" s="90" t="s">
        <v>387</v>
      </c>
      <c r="T329" s="90">
        <v>1300</v>
      </c>
      <c r="U329" s="90" t="s">
        <v>382</v>
      </c>
      <c r="V329" s="90" t="s">
        <v>381</v>
      </c>
      <c r="Z329" s="90">
        <v>0</v>
      </c>
      <c r="AA329" s="90">
        <v>1</v>
      </c>
      <c r="AB329" s="90">
        <v>0.31403809274227001</v>
      </c>
      <c r="AC329" s="90">
        <v>5.6878550527100002E-2</v>
      </c>
      <c r="AD329" s="90">
        <v>114.029527816512</v>
      </c>
      <c r="AF329" s="90">
        <v>-1</v>
      </c>
      <c r="AG329" s="90">
        <v>-1</v>
      </c>
      <c r="AH329" s="90">
        <v>-1</v>
      </c>
      <c r="AI329" s="90">
        <v>-1</v>
      </c>
      <c r="AJ329" s="90">
        <v>0</v>
      </c>
      <c r="AM329" s="90" t="s">
        <v>379</v>
      </c>
      <c r="AN329" s="90">
        <v>-1</v>
      </c>
      <c r="AQ329" s="90">
        <v>356</v>
      </c>
      <c r="AR329" s="90" t="s">
        <v>380</v>
      </c>
      <c r="AS329" s="90" t="s">
        <v>246</v>
      </c>
      <c r="AT329" s="90" t="s">
        <v>244</v>
      </c>
      <c r="AU329" s="90">
        <v>175.87190000000001</v>
      </c>
      <c r="AV329" s="90">
        <v>105.748794652732</v>
      </c>
      <c r="AW329" s="90">
        <v>123.051834040682</v>
      </c>
      <c r="AX329" s="90">
        <v>9.2481368899999999E-2</v>
      </c>
    </row>
    <row r="330" spans="1:50" x14ac:dyDescent="0.25">
      <c r="A330" s="102">
        <v>830000</v>
      </c>
      <c r="B330" s="102">
        <v>2400000</v>
      </c>
      <c r="C330" s="102">
        <v>2400000</v>
      </c>
      <c r="D330" s="90" t="s">
        <v>374</v>
      </c>
      <c r="E330" s="90" t="s">
        <v>68</v>
      </c>
      <c r="F330" s="90" t="s">
        <v>375</v>
      </c>
      <c r="G330" s="90" t="s">
        <v>376</v>
      </c>
      <c r="H330" s="90">
        <v>0.59</v>
      </c>
      <c r="I330" s="90">
        <v>0.64</v>
      </c>
      <c r="J330" s="90" t="s">
        <v>381</v>
      </c>
      <c r="K330" s="90">
        <v>0.13650378613292</v>
      </c>
      <c r="L330" s="90">
        <v>3750.1361160933702</v>
      </c>
      <c r="M330" s="90">
        <v>10.327900290150501</v>
      </c>
      <c r="N330" s="90">
        <v>1.8705883523956801</v>
      </c>
      <c r="O330" s="90">
        <v>1.40979749240892</v>
      </c>
      <c r="P330" s="90">
        <v>0.25534239239815998</v>
      </c>
      <c r="Q330" s="90">
        <v>511.90777836057902</v>
      </c>
      <c r="R330" s="90">
        <v>8140</v>
      </c>
      <c r="S330" s="90" t="s">
        <v>386</v>
      </c>
      <c r="T330" s="90">
        <v>8140</v>
      </c>
      <c r="U330" s="90" t="s">
        <v>382</v>
      </c>
      <c r="V330" s="90" t="s">
        <v>381</v>
      </c>
      <c r="Z330" s="90">
        <v>0</v>
      </c>
      <c r="AA330" s="90">
        <v>1</v>
      </c>
      <c r="AB330" s="90">
        <v>1.40979749240892</v>
      </c>
      <c r="AC330" s="90">
        <v>0.25534239239815998</v>
      </c>
      <c r="AD330" s="90">
        <v>511.90777836057902</v>
      </c>
      <c r="AF330" s="90">
        <v>-1</v>
      </c>
      <c r="AG330" s="90">
        <v>-1</v>
      </c>
      <c r="AH330" s="90">
        <v>-1</v>
      </c>
      <c r="AI330" s="90">
        <v>-1</v>
      </c>
      <c r="AJ330" s="90">
        <v>0</v>
      </c>
      <c r="AM330" s="90" t="s">
        <v>379</v>
      </c>
      <c r="AN330" s="90">
        <v>-1</v>
      </c>
      <c r="AQ330" s="90">
        <v>356</v>
      </c>
      <c r="AR330" s="90" t="s">
        <v>380</v>
      </c>
      <c r="AS330" s="90" t="s">
        <v>246</v>
      </c>
      <c r="AT330" s="90" t="s">
        <v>244</v>
      </c>
      <c r="AU330" s="90">
        <v>175.87190000000001</v>
      </c>
      <c r="AV330" s="90">
        <v>121.933955081395</v>
      </c>
      <c r="AW330" s="90">
        <v>552.41122359395501</v>
      </c>
      <c r="AX330" s="90">
        <v>0.41517256959999999</v>
      </c>
    </row>
    <row r="331" spans="1:50" x14ac:dyDescent="0.25">
      <c r="A331" s="102">
        <v>830000</v>
      </c>
      <c r="B331" s="102">
        <v>2400000</v>
      </c>
      <c r="C331" s="102">
        <v>2400000</v>
      </c>
      <c r="D331" s="90" t="s">
        <v>374</v>
      </c>
      <c r="E331" s="90" t="s">
        <v>68</v>
      </c>
      <c r="F331" s="90" t="s">
        <v>375</v>
      </c>
      <c r="G331" s="90" t="s">
        <v>376</v>
      </c>
      <c r="H331" s="90">
        <v>0.59</v>
      </c>
      <c r="I331" s="90">
        <v>0.64</v>
      </c>
      <c r="J331" s="90" t="s">
        <v>244</v>
      </c>
      <c r="K331" s="90">
        <v>0.20025667662248001</v>
      </c>
      <c r="L331" s="90">
        <v>3750.1361160933702</v>
      </c>
      <c r="M331" s="90">
        <v>10.327900290150501</v>
      </c>
      <c r="N331" s="90">
        <v>1.8705883523956801</v>
      </c>
      <c r="O331" s="90">
        <v>2.0682309885939301</v>
      </c>
      <c r="P331" s="90">
        <v>0.37459780677948001</v>
      </c>
      <c r="Q331" s="90">
        <v>750.98979549080605</v>
      </c>
      <c r="R331" s="90">
        <v>1300</v>
      </c>
      <c r="S331" s="90" t="s">
        <v>387</v>
      </c>
      <c r="T331" s="90">
        <v>1300</v>
      </c>
      <c r="U331" s="90" t="s">
        <v>378</v>
      </c>
      <c r="V331" s="90" t="s">
        <v>244</v>
      </c>
      <c r="Z331" s="90">
        <v>0</v>
      </c>
      <c r="AA331" s="90">
        <v>1</v>
      </c>
      <c r="AB331" s="90">
        <v>2.0682309885939301</v>
      </c>
      <c r="AC331" s="90">
        <v>0.37459780677948001</v>
      </c>
      <c r="AD331" s="90">
        <v>750.98979549080605</v>
      </c>
      <c r="AF331" s="90">
        <v>-1</v>
      </c>
      <c r="AG331" s="90">
        <v>-1</v>
      </c>
      <c r="AH331" s="90">
        <v>-1</v>
      </c>
      <c r="AI331" s="90">
        <v>-1</v>
      </c>
      <c r="AJ331" s="90">
        <v>0</v>
      </c>
      <c r="AM331" s="90" t="s">
        <v>379</v>
      </c>
      <c r="AN331" s="90">
        <v>-1</v>
      </c>
      <c r="AQ331" s="90">
        <v>356</v>
      </c>
      <c r="AR331" s="90" t="s">
        <v>380</v>
      </c>
      <c r="AS331" s="90" t="s">
        <v>246</v>
      </c>
      <c r="AT331" s="90" t="s">
        <v>244</v>
      </c>
      <c r="AU331" s="90">
        <v>175.87190000000001</v>
      </c>
      <c r="AV331" s="90">
        <v>116.77485869027799</v>
      </c>
      <c r="AW331" s="90">
        <v>810.41001791817598</v>
      </c>
      <c r="AX331" s="90">
        <v>0.6090752599</v>
      </c>
    </row>
    <row r="332" spans="1:50" x14ac:dyDescent="0.25">
      <c r="A332" s="102">
        <v>830000</v>
      </c>
      <c r="B332" s="102">
        <v>2400000</v>
      </c>
      <c r="C332" s="102">
        <v>2400000</v>
      </c>
      <c r="D332" s="90" t="s">
        <v>374</v>
      </c>
      <c r="E332" s="90" t="s">
        <v>68</v>
      </c>
      <c r="F332" s="90" t="s">
        <v>375</v>
      </c>
      <c r="G332" s="90" t="s">
        <v>376</v>
      </c>
      <c r="H332" s="90">
        <v>0.59</v>
      </c>
      <c r="I332" s="90">
        <v>0.64</v>
      </c>
      <c r="J332" s="90" t="s">
        <v>381</v>
      </c>
      <c r="K332" s="90">
        <v>4.0892512233E-4</v>
      </c>
      <c r="L332" s="90">
        <v>3750.1361160933702</v>
      </c>
      <c r="M332" s="90">
        <v>10.327900290150501</v>
      </c>
      <c r="N332" s="90">
        <v>1.8705883523956801</v>
      </c>
      <c r="O332" s="90">
        <v>4.2233378896199998E-3</v>
      </c>
      <c r="P332" s="90">
        <v>7.6493057083999998E-4</v>
      </c>
      <c r="Q332" s="90">
        <v>1.5335248700501301</v>
      </c>
      <c r="R332" s="90">
        <v>1300</v>
      </c>
      <c r="S332" s="90" t="s">
        <v>387</v>
      </c>
      <c r="T332" s="90">
        <v>1300</v>
      </c>
      <c r="U332" s="90" t="s">
        <v>382</v>
      </c>
      <c r="V332" s="90" t="s">
        <v>381</v>
      </c>
      <c r="Z332" s="90">
        <v>0</v>
      </c>
      <c r="AA332" s="90">
        <v>1</v>
      </c>
      <c r="AB332" s="90">
        <v>4.2233378896199998E-3</v>
      </c>
      <c r="AC332" s="90">
        <v>7.6493057083999998E-4</v>
      </c>
      <c r="AD332" s="90">
        <v>1.53352487004967</v>
      </c>
      <c r="AF332" s="90">
        <v>-1</v>
      </c>
      <c r="AG332" s="90">
        <v>-1</v>
      </c>
      <c r="AH332" s="90">
        <v>-1</v>
      </c>
      <c r="AI332" s="90">
        <v>-1</v>
      </c>
      <c r="AJ332" s="90">
        <v>0</v>
      </c>
      <c r="AM332" s="90" t="s">
        <v>379</v>
      </c>
      <c r="AN332" s="90">
        <v>-1</v>
      </c>
      <c r="AQ332" s="90">
        <v>356</v>
      </c>
      <c r="AR332" s="90" t="s">
        <v>380</v>
      </c>
      <c r="AS332" s="90" t="s">
        <v>246</v>
      </c>
      <c r="AT332" s="90" t="s">
        <v>244</v>
      </c>
      <c r="AU332" s="90">
        <v>175.87190000000001</v>
      </c>
      <c r="AV332" s="90">
        <v>44.294945306826598</v>
      </c>
      <c r="AW332" s="90">
        <v>1.6548612576056401</v>
      </c>
      <c r="AX332" s="90">
        <v>1.2437347000000001E-3</v>
      </c>
    </row>
    <row r="333" spans="1:50" x14ac:dyDescent="0.25">
      <c r="A333" s="102">
        <v>830000</v>
      </c>
      <c r="B333" s="102">
        <v>2400000</v>
      </c>
      <c r="C333" s="102">
        <v>2400000</v>
      </c>
      <c r="D333" s="90" t="s">
        <v>374</v>
      </c>
      <c r="E333" s="90" t="s">
        <v>68</v>
      </c>
      <c r="F333" s="90" t="s">
        <v>375</v>
      </c>
      <c r="G333" s="90" t="s">
        <v>376</v>
      </c>
      <c r="H333" s="90">
        <v>0.59</v>
      </c>
      <c r="I333" s="90">
        <v>0.64</v>
      </c>
      <c r="J333" s="90" t="s">
        <v>244</v>
      </c>
      <c r="K333" s="90">
        <v>0.24940574423611001</v>
      </c>
      <c r="L333" s="90">
        <v>3750.1361160933702</v>
      </c>
      <c r="M333" s="90">
        <v>10.327900290150501</v>
      </c>
      <c r="N333" s="90">
        <v>1.8705883523956801</v>
      </c>
      <c r="O333" s="90">
        <v>2.5758376582614</v>
      </c>
      <c r="P333" s="90">
        <v>0.46653548018864999</v>
      </c>
      <c r="Q333" s="90">
        <v>935.305489021006</v>
      </c>
      <c r="R333" s="90">
        <v>1300</v>
      </c>
      <c r="S333" s="90" t="s">
        <v>387</v>
      </c>
      <c r="T333" s="90">
        <v>1300</v>
      </c>
      <c r="U333" s="90" t="s">
        <v>378</v>
      </c>
      <c r="V333" s="90" t="s">
        <v>244</v>
      </c>
      <c r="Z333" s="90">
        <v>0</v>
      </c>
      <c r="AA333" s="90">
        <v>1</v>
      </c>
      <c r="AB333" s="90">
        <v>2.5758376582614</v>
      </c>
      <c r="AC333" s="90">
        <v>0.46653548018864999</v>
      </c>
      <c r="AD333" s="90">
        <v>935.305489021006</v>
      </c>
      <c r="AF333" s="90">
        <v>-1</v>
      </c>
      <c r="AG333" s="90">
        <v>-1</v>
      </c>
      <c r="AH333" s="90">
        <v>-1</v>
      </c>
      <c r="AI333" s="90">
        <v>-1</v>
      </c>
      <c r="AJ333" s="90">
        <v>0</v>
      </c>
      <c r="AM333" s="90" t="s">
        <v>379</v>
      </c>
      <c r="AN333" s="90">
        <v>-1</v>
      </c>
      <c r="AQ333" s="90">
        <v>356</v>
      </c>
      <c r="AR333" s="90" t="s">
        <v>380</v>
      </c>
      <c r="AS333" s="90" t="s">
        <v>246</v>
      </c>
      <c r="AT333" s="90" t="s">
        <v>244</v>
      </c>
      <c r="AU333" s="90">
        <v>175.87190000000001</v>
      </c>
      <c r="AV333" s="90">
        <v>128.44840830527301</v>
      </c>
      <c r="AW333" s="90">
        <v>1009.30923784537</v>
      </c>
      <c r="AX333" s="90">
        <v>0.75856081829999999</v>
      </c>
    </row>
    <row r="334" spans="1:50" x14ac:dyDescent="0.25">
      <c r="A334" s="102">
        <v>830000</v>
      </c>
      <c r="B334" s="102">
        <v>2400000</v>
      </c>
      <c r="C334" s="102">
        <v>2400000</v>
      </c>
      <c r="D334" s="90" t="s">
        <v>374</v>
      </c>
      <c r="E334" s="90" t="s">
        <v>68</v>
      </c>
      <c r="F334" s="90" t="s">
        <v>375</v>
      </c>
      <c r="G334" s="90" t="s">
        <v>376</v>
      </c>
      <c r="H334" s="90">
        <v>0.59</v>
      </c>
      <c r="I334" s="90">
        <v>0.64</v>
      </c>
      <c r="J334" s="90" t="s">
        <v>381</v>
      </c>
      <c r="K334" s="90">
        <v>7.8155104811999997E-4</v>
      </c>
      <c r="L334" s="90">
        <v>3750.1361160933702</v>
      </c>
      <c r="M334" s="90">
        <v>10.327900290150501</v>
      </c>
      <c r="N334" s="90">
        <v>1.8705883523956801</v>
      </c>
      <c r="O334" s="90">
        <v>8.0717812966999997E-3</v>
      </c>
      <c r="P334" s="90">
        <v>1.4619602874199999E-3</v>
      </c>
      <c r="Q334" s="90">
        <v>2.9309228121479398</v>
      </c>
      <c r="R334" s="90">
        <v>1300</v>
      </c>
      <c r="S334" s="90" t="s">
        <v>387</v>
      </c>
      <c r="T334" s="90">
        <v>1300</v>
      </c>
      <c r="U334" s="90" t="s">
        <v>382</v>
      </c>
      <c r="V334" s="90" t="s">
        <v>381</v>
      </c>
      <c r="Z334" s="90">
        <v>0</v>
      </c>
      <c r="AA334" s="90">
        <v>1</v>
      </c>
      <c r="AB334" s="90">
        <v>8.0717812966999997E-3</v>
      </c>
      <c r="AC334" s="90">
        <v>1.4619602874199999E-3</v>
      </c>
      <c r="AD334" s="90">
        <v>2.93092281214654</v>
      </c>
      <c r="AF334" s="90">
        <v>-1</v>
      </c>
      <c r="AG334" s="90">
        <v>-1</v>
      </c>
      <c r="AH334" s="90">
        <v>-1</v>
      </c>
      <c r="AI334" s="90">
        <v>-1</v>
      </c>
      <c r="AJ334" s="90">
        <v>0</v>
      </c>
      <c r="AM334" s="90" t="s">
        <v>379</v>
      </c>
      <c r="AN334" s="90">
        <v>-1</v>
      </c>
      <c r="AQ334" s="90">
        <v>356</v>
      </c>
      <c r="AR334" s="90" t="s">
        <v>380</v>
      </c>
      <c r="AS334" s="90" t="s">
        <v>246</v>
      </c>
      <c r="AT334" s="90" t="s">
        <v>244</v>
      </c>
      <c r="AU334" s="90">
        <v>175.87190000000001</v>
      </c>
      <c r="AV334" s="90">
        <v>56.338809038198697</v>
      </c>
      <c r="AW334" s="90">
        <v>3.1628248785406399</v>
      </c>
      <c r="AX334" s="90">
        <v>2.3770663999999999E-3</v>
      </c>
    </row>
    <row r="335" spans="1:50" x14ac:dyDescent="0.25">
      <c r="A335" s="102">
        <v>830000</v>
      </c>
      <c r="B335" s="102">
        <v>2400000</v>
      </c>
      <c r="C335" s="102">
        <v>2400000</v>
      </c>
      <c r="D335" s="90" t="s">
        <v>374</v>
      </c>
      <c r="E335" s="90" t="s">
        <v>68</v>
      </c>
      <c r="F335" s="90" t="s">
        <v>375</v>
      </c>
      <c r="G335" s="90" t="s">
        <v>376</v>
      </c>
      <c r="H335" s="90">
        <v>0.59</v>
      </c>
      <c r="I335" s="90">
        <v>0.64</v>
      </c>
      <c r="J335" s="90" t="s">
        <v>244</v>
      </c>
      <c r="K335" s="90">
        <v>2.0405038038629999E-2</v>
      </c>
      <c r="L335" s="90">
        <v>3761.5557009618501</v>
      </c>
      <c r="M335" s="90">
        <v>11.0123278048905</v>
      </c>
      <c r="N335" s="90">
        <v>1.90039453450717</v>
      </c>
      <c r="O335" s="90">
        <v>0.22470696775273999</v>
      </c>
      <c r="P335" s="90">
        <v>3.8777622765030002E-2</v>
      </c>
      <c r="Q335" s="90">
        <v>76.754687162582201</v>
      </c>
      <c r="R335" s="90">
        <v>1300</v>
      </c>
      <c r="S335" s="90" t="s">
        <v>387</v>
      </c>
      <c r="T335" s="90">
        <v>1300</v>
      </c>
      <c r="U335" s="90" t="s">
        <v>378</v>
      </c>
      <c r="V335" s="90" t="s">
        <v>244</v>
      </c>
      <c r="Z335" s="90">
        <v>0</v>
      </c>
      <c r="AA335" s="90">
        <v>1</v>
      </c>
      <c r="AB335" s="90">
        <v>0.22470696775273999</v>
      </c>
      <c r="AC335" s="90">
        <v>3.8777622765030002E-2</v>
      </c>
      <c r="AD335" s="90">
        <v>331.48363329940702</v>
      </c>
      <c r="AF335" s="90">
        <v>-1</v>
      </c>
      <c r="AG335" s="90">
        <v>-1</v>
      </c>
      <c r="AH335" s="90">
        <v>-1</v>
      </c>
      <c r="AI335" s="90">
        <v>-1</v>
      </c>
      <c r="AJ335" s="90">
        <v>0</v>
      </c>
      <c r="AM335" s="90" t="s">
        <v>379</v>
      </c>
      <c r="AN335" s="90">
        <v>-1</v>
      </c>
      <c r="AQ335" s="90">
        <v>356</v>
      </c>
      <c r="AR335" s="90" t="s">
        <v>380</v>
      </c>
      <c r="AS335" s="90" t="s">
        <v>246</v>
      </c>
      <c r="AT335" s="90" t="s">
        <v>244</v>
      </c>
      <c r="AU335" s="90">
        <v>175.87190000000001</v>
      </c>
      <c r="AV335" s="90">
        <v>78.543594670314306</v>
      </c>
      <c r="AW335" s="90">
        <v>82.576259235977801</v>
      </c>
      <c r="AX335" s="90">
        <v>0.2688431738</v>
      </c>
    </row>
    <row r="336" spans="1:50" x14ac:dyDescent="0.25">
      <c r="A336" s="102">
        <v>830000</v>
      </c>
      <c r="B336" s="102">
        <v>2400000</v>
      </c>
      <c r="C336" s="102">
        <v>2400000</v>
      </c>
      <c r="D336" s="90" t="s">
        <v>374</v>
      </c>
      <c r="E336" s="90" t="s">
        <v>68</v>
      </c>
      <c r="F336" s="90" t="s">
        <v>375</v>
      </c>
      <c r="G336" s="90" t="s">
        <v>376</v>
      </c>
      <c r="H336" s="90">
        <v>0.59</v>
      </c>
      <c r="I336" s="90">
        <v>0.64</v>
      </c>
      <c r="J336" s="90" t="s">
        <v>244</v>
      </c>
      <c r="K336" s="90">
        <v>5.0572200016560001E-2</v>
      </c>
      <c r="L336" s="90">
        <v>3761.5557009618501</v>
      </c>
      <c r="M336" s="90">
        <v>11.0123278048905</v>
      </c>
      <c r="N336" s="90">
        <v>1.90039453450717</v>
      </c>
      <c r="O336" s="90">
        <v>0.55691764439688995</v>
      </c>
      <c r="P336" s="90">
        <v>9.6107132509479998E-2</v>
      </c>
      <c r="Q336" s="90">
        <v>190.23014728248901</v>
      </c>
      <c r="R336" s="90">
        <v>1400</v>
      </c>
      <c r="S336" s="90" t="s">
        <v>324</v>
      </c>
      <c r="T336" s="90">
        <v>1400</v>
      </c>
      <c r="U336" s="90" t="s">
        <v>378</v>
      </c>
      <c r="V336" s="90" t="s">
        <v>244</v>
      </c>
      <c r="Z336" s="90">
        <v>0</v>
      </c>
      <c r="AA336" s="90">
        <v>1</v>
      </c>
      <c r="AB336" s="90">
        <v>0.55691764439688995</v>
      </c>
      <c r="AC336" s="90">
        <v>9.6107132509479998E-2</v>
      </c>
      <c r="AD336" s="90">
        <v>283.67308356423098</v>
      </c>
      <c r="AF336" s="90">
        <v>-1</v>
      </c>
      <c r="AG336" s="90">
        <v>-1</v>
      </c>
      <c r="AH336" s="90">
        <v>-1</v>
      </c>
      <c r="AI336" s="90">
        <v>-1</v>
      </c>
      <c r="AJ336" s="90">
        <v>0</v>
      </c>
      <c r="AM336" s="90" t="s">
        <v>379</v>
      </c>
      <c r="AN336" s="90">
        <v>-1</v>
      </c>
      <c r="AQ336" s="90">
        <v>356</v>
      </c>
      <c r="AR336" s="90" t="s">
        <v>380</v>
      </c>
      <c r="AS336" s="90" t="s">
        <v>246</v>
      </c>
      <c r="AT336" s="90" t="s">
        <v>244</v>
      </c>
      <c r="AU336" s="90">
        <v>175.87190000000001</v>
      </c>
      <c r="AV336" s="90">
        <v>111.575305680787</v>
      </c>
      <c r="AW336" s="90">
        <v>204.65843243193001</v>
      </c>
      <c r="AX336" s="90">
        <v>0.23006738330000001</v>
      </c>
    </row>
    <row r="337" spans="1:50" x14ac:dyDescent="0.25">
      <c r="A337" s="102">
        <v>830000</v>
      </c>
      <c r="B337" s="102">
        <v>2400000</v>
      </c>
      <c r="C337" s="102">
        <v>2400000</v>
      </c>
      <c r="D337" s="90" t="s">
        <v>374</v>
      </c>
      <c r="E337" s="90" t="s">
        <v>68</v>
      </c>
      <c r="F337" s="90" t="s">
        <v>375</v>
      </c>
      <c r="G337" s="90" t="s">
        <v>376</v>
      </c>
      <c r="H337" s="90">
        <v>0.59</v>
      </c>
      <c r="I337" s="90">
        <v>0.64</v>
      </c>
      <c r="J337" s="90" t="s">
        <v>244</v>
      </c>
      <c r="K337" s="90">
        <v>7.8091062743200004E-3</v>
      </c>
      <c r="L337" s="90">
        <v>3761.5557009618501</v>
      </c>
      <c r="M337" s="90">
        <v>11.0123278048905</v>
      </c>
      <c r="N337" s="90">
        <v>1.90039453450717</v>
      </c>
      <c r="O337" s="90">
        <v>8.5996438156109994E-2</v>
      </c>
      <c r="P337" s="90">
        <v>1.4840382883109999E-2</v>
      </c>
      <c r="Q337" s="90">
        <v>29.3743882256117</v>
      </c>
      <c r="R337" s="90">
        <v>1430</v>
      </c>
      <c r="S337" s="90" t="s">
        <v>326</v>
      </c>
      <c r="T337" s="90">
        <v>1430</v>
      </c>
      <c r="U337" s="90" t="s">
        <v>378</v>
      </c>
      <c r="V337" s="90" t="s">
        <v>244</v>
      </c>
      <c r="Z337" s="90">
        <v>0</v>
      </c>
      <c r="AA337" s="90">
        <v>1</v>
      </c>
      <c r="AB337" s="90">
        <v>8.5996438156109994E-2</v>
      </c>
      <c r="AC337" s="90">
        <v>1.4840382883109999E-2</v>
      </c>
      <c r="AD337" s="90">
        <v>29.374388225612101</v>
      </c>
      <c r="AF337" s="90">
        <v>-1</v>
      </c>
      <c r="AG337" s="90">
        <v>-1</v>
      </c>
      <c r="AH337" s="90">
        <v>-1</v>
      </c>
      <c r="AI337" s="90">
        <v>-1</v>
      </c>
      <c r="AJ337" s="90">
        <v>0</v>
      </c>
      <c r="AM337" s="90" t="s">
        <v>379</v>
      </c>
      <c r="AN337" s="90">
        <v>-1</v>
      </c>
      <c r="AQ337" s="90">
        <v>356</v>
      </c>
      <c r="AR337" s="90" t="s">
        <v>380</v>
      </c>
      <c r="AS337" s="90" t="s">
        <v>246</v>
      </c>
      <c r="AT337" s="90" t="s">
        <v>244</v>
      </c>
      <c r="AU337" s="90">
        <v>175.87190000000001</v>
      </c>
      <c r="AV337" s="90">
        <v>48.556064967352299</v>
      </c>
      <c r="AW337" s="90">
        <v>31.602331879464799</v>
      </c>
      <c r="AX337" s="90">
        <v>2.38235103E-2</v>
      </c>
    </row>
    <row r="338" spans="1:50" x14ac:dyDescent="0.25">
      <c r="A338" s="102">
        <v>830000</v>
      </c>
      <c r="B338" s="102">
        <v>2400000</v>
      </c>
      <c r="C338" s="102">
        <v>2400000</v>
      </c>
      <c r="D338" s="90" t="s">
        <v>374</v>
      </c>
      <c r="E338" s="90" t="s">
        <v>68</v>
      </c>
      <c r="F338" s="90" t="s">
        <v>375</v>
      </c>
      <c r="G338" s="90" t="s">
        <v>376</v>
      </c>
      <c r="H338" s="90">
        <v>0.59</v>
      </c>
      <c r="I338" s="90">
        <v>0.64</v>
      </c>
      <c r="J338" s="90" t="s">
        <v>244</v>
      </c>
      <c r="K338" s="90">
        <v>1.508550975955E-2</v>
      </c>
      <c r="L338" s="90">
        <v>3761.5557009618501</v>
      </c>
      <c r="M338" s="90">
        <v>11.0123278048905</v>
      </c>
      <c r="N338" s="90">
        <v>1.90039453450717</v>
      </c>
      <c r="O338" s="90">
        <v>0.16612657857609001</v>
      </c>
      <c r="P338" s="90">
        <v>2.866842029731E-2</v>
      </c>
      <c r="Q338" s="90">
        <v>56.744985237969701</v>
      </c>
      <c r="R338" s="90">
        <v>1300</v>
      </c>
      <c r="S338" s="90" t="s">
        <v>387</v>
      </c>
      <c r="T338" s="90">
        <v>1300</v>
      </c>
      <c r="U338" s="90" t="s">
        <v>378</v>
      </c>
      <c r="V338" s="90" t="s">
        <v>244</v>
      </c>
      <c r="Z338" s="90">
        <v>0</v>
      </c>
      <c r="AA338" s="90">
        <v>1</v>
      </c>
      <c r="AB338" s="90">
        <v>0.16612657857609001</v>
      </c>
      <c r="AC338" s="90">
        <v>2.866842029731E-2</v>
      </c>
      <c r="AD338" s="90">
        <v>56.744985237971598</v>
      </c>
      <c r="AF338" s="90">
        <v>-1</v>
      </c>
      <c r="AG338" s="90">
        <v>-1</v>
      </c>
      <c r="AH338" s="90">
        <v>-1</v>
      </c>
      <c r="AI338" s="90">
        <v>-1</v>
      </c>
      <c r="AJ338" s="90">
        <v>0</v>
      </c>
      <c r="AM338" s="90" t="s">
        <v>379</v>
      </c>
      <c r="AN338" s="90">
        <v>-1</v>
      </c>
      <c r="AQ338" s="90">
        <v>356</v>
      </c>
      <c r="AR338" s="90" t="s">
        <v>380</v>
      </c>
      <c r="AS338" s="90" t="s">
        <v>246</v>
      </c>
      <c r="AT338" s="90" t="s">
        <v>244</v>
      </c>
      <c r="AU338" s="90">
        <v>175.87190000000001</v>
      </c>
      <c r="AV338" s="90">
        <v>58.738877031233102</v>
      </c>
      <c r="AW338" s="90">
        <v>61.048892055635001</v>
      </c>
      <c r="AX338" s="90">
        <v>4.6021885800000002E-2</v>
      </c>
    </row>
    <row r="339" spans="1:50" x14ac:dyDescent="0.25">
      <c r="A339" s="102">
        <v>830000</v>
      </c>
      <c r="B339" s="102">
        <v>2400000</v>
      </c>
      <c r="C339" s="102">
        <v>2400000</v>
      </c>
      <c r="D339" s="90" t="s">
        <v>374</v>
      </c>
      <c r="E339" s="90" t="s">
        <v>68</v>
      </c>
      <c r="F339" s="90" t="s">
        <v>375</v>
      </c>
      <c r="G339" s="90" t="s">
        <v>376</v>
      </c>
      <c r="H339" s="90">
        <v>0.59</v>
      </c>
      <c r="I339" s="90">
        <v>0.64</v>
      </c>
      <c r="J339" s="90" t="s">
        <v>244</v>
      </c>
      <c r="K339" s="90">
        <v>1.3333417118769999E-2</v>
      </c>
      <c r="L339" s="90">
        <v>3479.2192043318701</v>
      </c>
      <c r="M339" s="90">
        <v>9.7515968682342198</v>
      </c>
      <c r="N339" s="90">
        <v>1.70589508875323</v>
      </c>
      <c r="O339" s="90">
        <v>0.13002210861832</v>
      </c>
      <c r="P339" s="90">
        <v>2.2745410779220002E-2</v>
      </c>
      <c r="Q339" s="90">
        <v>46.389880899016298</v>
      </c>
      <c r="R339" s="90">
        <v>1200</v>
      </c>
      <c r="S339" s="90" t="s">
        <v>384</v>
      </c>
      <c r="T339" s="90">
        <v>1200</v>
      </c>
      <c r="U339" s="90" t="s">
        <v>378</v>
      </c>
      <c r="V339" s="90" t="s">
        <v>244</v>
      </c>
      <c r="Z339" s="90">
        <v>0</v>
      </c>
      <c r="AA339" s="90">
        <v>1</v>
      </c>
      <c r="AB339" s="90">
        <v>0.13002210861832</v>
      </c>
      <c r="AC339" s="90">
        <v>2.2745410779220002E-2</v>
      </c>
      <c r="AD339" s="90">
        <v>46.389880899017598</v>
      </c>
      <c r="AF339" s="90">
        <v>-1</v>
      </c>
      <c r="AG339" s="90">
        <v>-1</v>
      </c>
      <c r="AH339" s="90">
        <v>-1</v>
      </c>
      <c r="AI339" s="90">
        <v>-1</v>
      </c>
      <c r="AJ339" s="90">
        <v>0</v>
      </c>
      <c r="AM339" s="90" t="s">
        <v>379</v>
      </c>
      <c r="AN339" s="90">
        <v>-1</v>
      </c>
      <c r="AQ339" s="90">
        <v>356</v>
      </c>
      <c r="AR339" s="90" t="s">
        <v>380</v>
      </c>
      <c r="AS339" s="90" t="s">
        <v>246</v>
      </c>
      <c r="AT339" s="90" t="s">
        <v>244</v>
      </c>
      <c r="AU339" s="90">
        <v>175.87190000000001</v>
      </c>
      <c r="AV339" s="90">
        <v>58.191758419498598</v>
      </c>
      <c r="AW339" s="90">
        <v>53.958424699662302</v>
      </c>
      <c r="AX339" s="90">
        <v>3.7623585500000001E-2</v>
      </c>
    </row>
    <row r="340" spans="1:50" x14ac:dyDescent="0.25">
      <c r="A340" s="102">
        <v>830000</v>
      </c>
      <c r="B340" s="102">
        <v>2400000</v>
      </c>
      <c r="C340" s="102">
        <v>2400000</v>
      </c>
      <c r="D340" s="90" t="s">
        <v>374</v>
      </c>
      <c r="E340" s="90" t="s">
        <v>68</v>
      </c>
      <c r="F340" s="90" t="s">
        <v>375</v>
      </c>
      <c r="G340" s="90" t="s">
        <v>376</v>
      </c>
      <c r="H340" s="90">
        <v>0.59</v>
      </c>
      <c r="I340" s="90">
        <v>0.64</v>
      </c>
      <c r="J340" s="90" t="s">
        <v>389</v>
      </c>
      <c r="K340" s="90">
        <v>3.6780172208929998E-2</v>
      </c>
      <c r="L340" s="90">
        <v>3479.2192043318701</v>
      </c>
      <c r="M340" s="90">
        <v>9.7515968682342198</v>
      </c>
      <c r="N340" s="90">
        <v>1.70589508875323</v>
      </c>
      <c r="O340" s="90">
        <v>0.35866541212571001</v>
      </c>
      <c r="P340" s="90">
        <v>6.2743115134709995E-2</v>
      </c>
      <c r="Q340" s="90">
        <v>127.966281487942</v>
      </c>
      <c r="R340" s="90">
        <v>5400</v>
      </c>
      <c r="S340" s="90" t="s">
        <v>392</v>
      </c>
      <c r="T340" s="90">
        <v>5400</v>
      </c>
      <c r="U340" s="90" t="s">
        <v>378</v>
      </c>
      <c r="V340" s="90" t="s">
        <v>244</v>
      </c>
      <c r="Y340" s="90" t="s">
        <v>389</v>
      </c>
      <c r="Z340" s="90">
        <v>0</v>
      </c>
      <c r="AA340" s="90">
        <v>1</v>
      </c>
      <c r="AB340" s="90">
        <v>0.35866541212571001</v>
      </c>
      <c r="AC340" s="90">
        <v>6.2743115134709995E-2</v>
      </c>
      <c r="AD340" s="90">
        <v>127.966281487942</v>
      </c>
      <c r="AF340" s="90">
        <v>-1</v>
      </c>
      <c r="AG340" s="90">
        <v>-1</v>
      </c>
      <c r="AH340" s="90">
        <v>-1</v>
      </c>
      <c r="AI340" s="90">
        <v>-1</v>
      </c>
      <c r="AJ340" s="90">
        <v>0</v>
      </c>
      <c r="AM340" s="90" t="s">
        <v>379</v>
      </c>
      <c r="AN340" s="90">
        <v>-1</v>
      </c>
      <c r="AQ340" s="90">
        <v>356</v>
      </c>
      <c r="AR340" s="90" t="s">
        <v>380</v>
      </c>
      <c r="AS340" s="90" t="s">
        <v>246</v>
      </c>
      <c r="AT340" s="90" t="s">
        <v>244</v>
      </c>
      <c r="AU340" s="90">
        <v>175.87190000000001</v>
      </c>
      <c r="AV340" s="90">
        <v>65.211147856098407</v>
      </c>
      <c r="AW340" s="90">
        <v>148.844076120685</v>
      </c>
      <c r="AX340" s="90">
        <v>0.1037844943</v>
      </c>
    </row>
    <row r="341" spans="1:50" x14ac:dyDescent="0.25">
      <c r="A341" s="102">
        <v>830000</v>
      </c>
      <c r="B341" s="102">
        <v>2400000</v>
      </c>
      <c r="C341" s="102">
        <v>2400000</v>
      </c>
      <c r="D341" s="90" t="s">
        <v>374</v>
      </c>
      <c r="E341" s="90" t="s">
        <v>68</v>
      </c>
      <c r="F341" s="90" t="s">
        <v>375</v>
      </c>
      <c r="G341" s="90" t="s">
        <v>376</v>
      </c>
      <c r="H341" s="90">
        <v>0.59</v>
      </c>
      <c r="I341" s="90">
        <v>0.64</v>
      </c>
      <c r="J341" s="90" t="s">
        <v>244</v>
      </c>
      <c r="K341" s="90">
        <v>4.1454914797799999E-3</v>
      </c>
      <c r="L341" s="90">
        <v>3479.2192043318701</v>
      </c>
      <c r="M341" s="90">
        <v>9.7515968682342198</v>
      </c>
      <c r="N341" s="90">
        <v>1.70589508875323</v>
      </c>
      <c r="O341" s="90">
        <v>4.0425161731550002E-2</v>
      </c>
      <c r="P341" s="90">
        <v>7.07177355583E-3</v>
      </c>
      <c r="Q341" s="90">
        <v>14.4230735678586</v>
      </c>
      <c r="R341" s="90">
        <v>1210</v>
      </c>
      <c r="S341" s="90" t="s">
        <v>385</v>
      </c>
      <c r="T341" s="90">
        <v>1210</v>
      </c>
      <c r="U341" s="90" t="s">
        <v>378</v>
      </c>
      <c r="V341" s="90" t="s">
        <v>244</v>
      </c>
      <c r="Z341" s="90">
        <v>0</v>
      </c>
      <c r="AA341" s="90">
        <v>1</v>
      </c>
      <c r="AB341" s="90">
        <v>4.0425161731550002E-2</v>
      </c>
      <c r="AC341" s="90">
        <v>7.07177355583E-3</v>
      </c>
      <c r="AD341" s="90">
        <v>14.4230735678599</v>
      </c>
      <c r="AF341" s="90">
        <v>-1</v>
      </c>
      <c r="AG341" s="90">
        <v>-1</v>
      </c>
      <c r="AH341" s="90">
        <v>-1</v>
      </c>
      <c r="AI341" s="90">
        <v>-1</v>
      </c>
      <c r="AJ341" s="90">
        <v>0</v>
      </c>
      <c r="AM341" s="90" t="s">
        <v>379</v>
      </c>
      <c r="AN341" s="90">
        <v>-1</v>
      </c>
      <c r="AQ341" s="90">
        <v>356</v>
      </c>
      <c r="AR341" s="90" t="s">
        <v>380</v>
      </c>
      <c r="AS341" s="90" t="s">
        <v>246</v>
      </c>
      <c r="AT341" s="90" t="s">
        <v>244</v>
      </c>
      <c r="AU341" s="90">
        <v>175.87190000000001</v>
      </c>
      <c r="AV341" s="90">
        <v>19.689425165084302</v>
      </c>
      <c r="AW341" s="90">
        <v>16.776208818969799</v>
      </c>
      <c r="AX341" s="90">
        <v>1.16975455E-2</v>
      </c>
    </row>
    <row r="342" spans="1:50" x14ac:dyDescent="0.25">
      <c r="A342" s="102">
        <v>830000</v>
      </c>
      <c r="B342" s="102">
        <v>2400000</v>
      </c>
      <c r="C342" s="102">
        <v>2400000</v>
      </c>
      <c r="D342" s="90" t="s">
        <v>374</v>
      </c>
      <c r="E342" s="90" t="s">
        <v>68</v>
      </c>
      <c r="F342" s="90" t="s">
        <v>375</v>
      </c>
      <c r="G342" s="90" t="s">
        <v>376</v>
      </c>
      <c r="H342" s="90">
        <v>0.59</v>
      </c>
      <c r="I342" s="90">
        <v>0.64</v>
      </c>
      <c r="J342" s="90" t="s">
        <v>244</v>
      </c>
      <c r="K342" s="90">
        <v>0.14694995055985</v>
      </c>
      <c r="L342" s="90">
        <v>3479.2192043318701</v>
      </c>
      <c r="M342" s="90">
        <v>9.7515968682342198</v>
      </c>
      <c r="N342" s="90">
        <v>1.70589508875323</v>
      </c>
      <c r="O342" s="90">
        <v>1.4329966776666101</v>
      </c>
      <c r="P342" s="90">
        <v>0.25068119895258001</v>
      </c>
      <c r="Q342" s="90">
        <v>511.27109006345302</v>
      </c>
      <c r="R342" s="90">
        <v>1210</v>
      </c>
      <c r="S342" s="90" t="s">
        <v>385</v>
      </c>
      <c r="T342" s="90">
        <v>1210</v>
      </c>
      <c r="U342" s="90" t="s">
        <v>378</v>
      </c>
      <c r="V342" s="90" t="s">
        <v>244</v>
      </c>
      <c r="Z342" s="90">
        <v>0</v>
      </c>
      <c r="AA342" s="90">
        <v>1</v>
      </c>
      <c r="AB342" s="90">
        <v>1.4329966776666101</v>
      </c>
      <c r="AC342" s="90">
        <v>0.25068119895258001</v>
      </c>
      <c r="AD342" s="90">
        <v>511.27109006345302</v>
      </c>
      <c r="AF342" s="90">
        <v>-1</v>
      </c>
      <c r="AG342" s="90">
        <v>-1</v>
      </c>
      <c r="AH342" s="90">
        <v>-1</v>
      </c>
      <c r="AI342" s="90">
        <v>-1</v>
      </c>
      <c r="AJ342" s="90">
        <v>0</v>
      </c>
      <c r="AM342" s="90" t="s">
        <v>379</v>
      </c>
      <c r="AN342" s="90">
        <v>-1</v>
      </c>
      <c r="AQ342" s="90">
        <v>356</v>
      </c>
      <c r="AR342" s="90" t="s">
        <v>380</v>
      </c>
      <c r="AS342" s="90" t="s">
        <v>246</v>
      </c>
      <c r="AT342" s="90" t="s">
        <v>244</v>
      </c>
      <c r="AU342" s="90">
        <v>175.87190000000001</v>
      </c>
      <c r="AV342" s="90">
        <v>95.910074115917197</v>
      </c>
      <c r="AW342" s="90">
        <v>594.68535119449598</v>
      </c>
      <c r="AX342" s="90">
        <v>0.4146561963</v>
      </c>
    </row>
    <row r="343" spans="1:50" x14ac:dyDescent="0.25">
      <c r="A343" s="102">
        <v>830000</v>
      </c>
      <c r="B343" s="102">
        <v>2400000</v>
      </c>
      <c r="C343" s="102">
        <v>2400000</v>
      </c>
      <c r="D343" s="90" t="s">
        <v>374</v>
      </c>
      <c r="E343" s="90" t="s">
        <v>68</v>
      </c>
      <c r="F343" s="90" t="s">
        <v>375</v>
      </c>
      <c r="G343" s="90" t="s">
        <v>376</v>
      </c>
      <c r="H343" s="90">
        <v>0.59</v>
      </c>
      <c r="I343" s="90">
        <v>0.64</v>
      </c>
      <c r="J343" s="90" t="s">
        <v>244</v>
      </c>
      <c r="K343" s="90">
        <v>0.16923200929442</v>
      </c>
      <c r="L343" s="90">
        <v>3479.2192043318701</v>
      </c>
      <c r="M343" s="90">
        <v>9.7515968682342198</v>
      </c>
      <c r="N343" s="90">
        <v>1.70589508875323</v>
      </c>
      <c r="O343" s="90">
        <v>1.65028233184052</v>
      </c>
      <c r="P343" s="90">
        <v>0.2886920535152</v>
      </c>
      <c r="Q343" s="90">
        <v>588.79525672484397</v>
      </c>
      <c r="R343" s="90">
        <v>1210</v>
      </c>
      <c r="S343" s="90" t="s">
        <v>385</v>
      </c>
      <c r="T343" s="90">
        <v>1210</v>
      </c>
      <c r="U343" s="90" t="s">
        <v>378</v>
      </c>
      <c r="V343" s="90" t="s">
        <v>244</v>
      </c>
      <c r="Z343" s="90">
        <v>0</v>
      </c>
      <c r="AA343" s="90">
        <v>1</v>
      </c>
      <c r="AB343" s="90">
        <v>1.65028233184052</v>
      </c>
      <c r="AC343" s="90">
        <v>0.2886920535152</v>
      </c>
      <c r="AD343" s="90">
        <v>588.79525672484397</v>
      </c>
      <c r="AF343" s="90">
        <v>-1</v>
      </c>
      <c r="AG343" s="90">
        <v>-1</v>
      </c>
      <c r="AH343" s="90">
        <v>-1</v>
      </c>
      <c r="AI343" s="90">
        <v>-1</v>
      </c>
      <c r="AJ343" s="90">
        <v>0</v>
      </c>
      <c r="AM343" s="90" t="s">
        <v>379</v>
      </c>
      <c r="AN343" s="90">
        <v>-1</v>
      </c>
      <c r="AQ343" s="90">
        <v>356</v>
      </c>
      <c r="AR343" s="90" t="s">
        <v>380</v>
      </c>
      <c r="AS343" s="90" t="s">
        <v>246</v>
      </c>
      <c r="AT343" s="90" t="s">
        <v>244</v>
      </c>
      <c r="AU343" s="90">
        <v>175.87190000000001</v>
      </c>
      <c r="AV343" s="90">
        <v>104.73630926782801</v>
      </c>
      <c r="AW343" s="90">
        <v>684.85764368881303</v>
      </c>
      <c r="AX343" s="90">
        <v>0.4775306218</v>
      </c>
    </row>
    <row r="344" spans="1:50" x14ac:dyDescent="0.25">
      <c r="A344" s="102">
        <v>830000</v>
      </c>
      <c r="B344" s="102">
        <v>2400000</v>
      </c>
      <c r="C344" s="102">
        <v>2400000</v>
      </c>
      <c r="D344" s="90" t="s">
        <v>374</v>
      </c>
      <c r="E344" s="90" t="s">
        <v>68</v>
      </c>
      <c r="F344" s="90" t="s">
        <v>375</v>
      </c>
      <c r="G344" s="90" t="s">
        <v>376</v>
      </c>
      <c r="H344" s="90">
        <v>0.59</v>
      </c>
      <c r="I344" s="90">
        <v>0.64</v>
      </c>
      <c r="J344" s="90" t="s">
        <v>244</v>
      </c>
      <c r="K344" s="90">
        <v>1.1775461278539999E-2</v>
      </c>
      <c r="L344" s="90">
        <v>3479.2192043318701</v>
      </c>
      <c r="M344" s="90">
        <v>9.7515968682342198</v>
      </c>
      <c r="N344" s="90">
        <v>1.70589508875323</v>
      </c>
      <c r="O344" s="90">
        <v>0.11482955132583</v>
      </c>
      <c r="P344" s="90">
        <v>2.0087701562860001E-2</v>
      </c>
      <c r="Q344" s="90">
        <v>40.969411020166199</v>
      </c>
      <c r="R344" s="90">
        <v>1210</v>
      </c>
      <c r="S344" s="90" t="s">
        <v>385</v>
      </c>
      <c r="T344" s="90">
        <v>1210</v>
      </c>
      <c r="U344" s="90" t="s">
        <v>378</v>
      </c>
      <c r="V344" s="90" t="s">
        <v>244</v>
      </c>
      <c r="Z344" s="90">
        <v>0</v>
      </c>
      <c r="AA344" s="90">
        <v>1</v>
      </c>
      <c r="AB344" s="90">
        <v>0.11482955132583</v>
      </c>
      <c r="AC344" s="90">
        <v>2.0087701562860001E-2</v>
      </c>
      <c r="AD344" s="90">
        <v>40.9694110201672</v>
      </c>
      <c r="AF344" s="90">
        <v>-1</v>
      </c>
      <c r="AG344" s="90">
        <v>-1</v>
      </c>
      <c r="AH344" s="90">
        <v>-1</v>
      </c>
      <c r="AI344" s="90">
        <v>-1</v>
      </c>
      <c r="AJ344" s="90">
        <v>0</v>
      </c>
      <c r="AM344" s="90" t="s">
        <v>379</v>
      </c>
      <c r="AN344" s="90">
        <v>-1</v>
      </c>
      <c r="AQ344" s="90">
        <v>356</v>
      </c>
      <c r="AR344" s="90" t="s">
        <v>380</v>
      </c>
      <c r="AS344" s="90" t="s">
        <v>246</v>
      </c>
      <c r="AT344" s="90" t="s">
        <v>244</v>
      </c>
      <c r="AU344" s="90">
        <v>175.87190000000001</v>
      </c>
      <c r="AV344" s="90">
        <v>56.807116253537203</v>
      </c>
      <c r="AW344" s="90">
        <v>47.653601101787302</v>
      </c>
      <c r="AX344" s="90">
        <v>3.3227421799999997E-2</v>
      </c>
    </row>
    <row r="345" spans="1:50" x14ac:dyDescent="0.25">
      <c r="A345" s="102">
        <v>830000</v>
      </c>
      <c r="B345" s="102">
        <v>2400000</v>
      </c>
      <c r="C345" s="102">
        <v>2400000</v>
      </c>
      <c r="D345" s="90" t="s">
        <v>374</v>
      </c>
      <c r="E345" s="90" t="s">
        <v>68</v>
      </c>
      <c r="F345" s="90" t="s">
        <v>375</v>
      </c>
      <c r="G345" s="90" t="s">
        <v>376</v>
      </c>
      <c r="H345" s="90">
        <v>0.59</v>
      </c>
      <c r="I345" s="90">
        <v>0.64</v>
      </c>
      <c r="J345" s="90" t="s">
        <v>244</v>
      </c>
      <c r="K345" s="90">
        <v>0.23554695168157</v>
      </c>
      <c r="L345" s="90">
        <v>3479.2192043318701</v>
      </c>
      <c r="M345" s="90">
        <v>9.7515968682342198</v>
      </c>
      <c r="N345" s="90">
        <v>1.70589508875323</v>
      </c>
      <c r="O345" s="90">
        <v>2.29695891634015</v>
      </c>
      <c r="P345" s="90">
        <v>0.40181838804439002</v>
      </c>
      <c r="Q345" s="90">
        <v>819.51947781236402</v>
      </c>
      <c r="R345" s="90">
        <v>1300</v>
      </c>
      <c r="S345" s="90" t="s">
        <v>387</v>
      </c>
      <c r="T345" s="90">
        <v>1300</v>
      </c>
      <c r="U345" s="90" t="s">
        <v>378</v>
      </c>
      <c r="V345" s="90" t="s">
        <v>244</v>
      </c>
      <c r="Z345" s="90">
        <v>0</v>
      </c>
      <c r="AA345" s="90">
        <v>1</v>
      </c>
      <c r="AB345" s="90">
        <v>2.29695891634015</v>
      </c>
      <c r="AC345" s="90">
        <v>0.40181838804439002</v>
      </c>
      <c r="AD345" s="90">
        <v>819.51947781236402</v>
      </c>
      <c r="AF345" s="90">
        <v>-1</v>
      </c>
      <c r="AG345" s="90">
        <v>-1</v>
      </c>
      <c r="AH345" s="90">
        <v>-1</v>
      </c>
      <c r="AI345" s="90">
        <v>-1</v>
      </c>
      <c r="AJ345" s="90">
        <v>0</v>
      </c>
      <c r="AM345" s="90" t="s">
        <v>379</v>
      </c>
      <c r="AN345" s="90">
        <v>-1</v>
      </c>
      <c r="AQ345" s="90">
        <v>356</v>
      </c>
      <c r="AR345" s="90" t="s">
        <v>380</v>
      </c>
      <c r="AS345" s="90" t="s">
        <v>246</v>
      </c>
      <c r="AT345" s="90" t="s">
        <v>244</v>
      </c>
      <c r="AU345" s="90">
        <v>175.87190000000001</v>
      </c>
      <c r="AV345" s="90">
        <v>146.71187222923899</v>
      </c>
      <c r="AW345" s="90">
        <v>953.22469418931996</v>
      </c>
      <c r="AX345" s="90">
        <v>0.6646548887</v>
      </c>
    </row>
    <row r="346" spans="1:50" x14ac:dyDescent="0.25">
      <c r="A346" s="102">
        <v>830000</v>
      </c>
      <c r="B346" s="102">
        <v>2400000</v>
      </c>
      <c r="C346" s="102">
        <v>2400000</v>
      </c>
      <c r="D346" s="90" t="s">
        <v>374</v>
      </c>
      <c r="E346" s="90" t="s">
        <v>68</v>
      </c>
      <c r="F346" s="90" t="s">
        <v>375</v>
      </c>
      <c r="G346" s="90" t="s">
        <v>376</v>
      </c>
      <c r="H346" s="90">
        <v>0.59</v>
      </c>
      <c r="I346" s="90">
        <v>0.64</v>
      </c>
      <c r="J346" s="90" t="s">
        <v>244</v>
      </c>
      <c r="K346" s="90">
        <v>0.61776345348380002</v>
      </c>
      <c r="L346" s="90">
        <v>3779.1325310953198</v>
      </c>
      <c r="M346" s="90">
        <v>11.6116997690464</v>
      </c>
      <c r="N346" s="90">
        <v>1.5330342591461601</v>
      </c>
      <c r="O346" s="90">
        <v>7.1732837501432201</v>
      </c>
      <c r="P346" s="90">
        <v>0.94705253823911995</v>
      </c>
      <c r="Q346" s="90">
        <v>2334.6099635824398</v>
      </c>
      <c r="R346" s="90">
        <v>1450</v>
      </c>
      <c r="S346" s="90" t="s">
        <v>391</v>
      </c>
      <c r="T346" s="90">
        <v>1450</v>
      </c>
      <c r="U346" s="90" t="s">
        <v>378</v>
      </c>
      <c r="V346" s="90" t="s">
        <v>244</v>
      </c>
      <c r="Z346" s="90">
        <v>0</v>
      </c>
      <c r="AA346" s="90">
        <v>1</v>
      </c>
      <c r="AB346" s="90">
        <v>7.1732837501432201</v>
      </c>
      <c r="AC346" s="90">
        <v>0.94705253823911995</v>
      </c>
      <c r="AD346" s="90">
        <v>2334.6099635824398</v>
      </c>
      <c r="AF346" s="90">
        <v>-1</v>
      </c>
      <c r="AG346" s="90">
        <v>-1</v>
      </c>
      <c r="AH346" s="90">
        <v>-1</v>
      </c>
      <c r="AI346" s="90">
        <v>-1</v>
      </c>
      <c r="AJ346" s="90">
        <v>0</v>
      </c>
      <c r="AM346" s="90" t="s">
        <v>379</v>
      </c>
      <c r="AN346" s="90">
        <v>-1</v>
      </c>
      <c r="AQ346" s="90">
        <v>356</v>
      </c>
      <c r="AR346" s="90" t="s">
        <v>380</v>
      </c>
      <c r="AS346" s="90" t="s">
        <v>246</v>
      </c>
      <c r="AT346" s="90" t="s">
        <v>244</v>
      </c>
      <c r="AU346" s="90">
        <v>175.87190000000001</v>
      </c>
      <c r="AV346" s="90">
        <v>199.999999970197</v>
      </c>
      <c r="AW346" s="90">
        <v>2499.9999992549401</v>
      </c>
      <c r="AX346" s="90">
        <v>1.8934387376999999</v>
      </c>
    </row>
    <row r="347" spans="1:50" x14ac:dyDescent="0.25">
      <c r="A347" s="102">
        <v>830000</v>
      </c>
      <c r="B347" s="102">
        <v>2400000</v>
      </c>
      <c r="C347" s="102">
        <v>2400000</v>
      </c>
      <c r="D347" s="90" t="s">
        <v>374</v>
      </c>
      <c r="E347" s="90" t="s">
        <v>68</v>
      </c>
      <c r="F347" s="90" t="s">
        <v>375</v>
      </c>
      <c r="G347" s="90" t="s">
        <v>376</v>
      </c>
      <c r="H347" s="90">
        <v>0.59</v>
      </c>
      <c r="I347" s="90">
        <v>0.64</v>
      </c>
      <c r="J347" s="90" t="s">
        <v>244</v>
      </c>
      <c r="K347" s="90">
        <v>0.61776345375996</v>
      </c>
      <c r="L347" s="90">
        <v>3777.8979850190599</v>
      </c>
      <c r="M347" s="90">
        <v>11.607767305589199</v>
      </c>
      <c r="N347" s="90">
        <v>1.5325164546010399</v>
      </c>
      <c r="O347" s="90">
        <v>7.1708544211428498</v>
      </c>
      <c r="P347" s="90">
        <v>0.94673265793830996</v>
      </c>
      <c r="Q347" s="90">
        <v>2333.84730717819</v>
      </c>
      <c r="R347" s="90">
        <v>1410</v>
      </c>
      <c r="S347" s="90" t="s">
        <v>325</v>
      </c>
      <c r="T347" s="90">
        <v>1410</v>
      </c>
      <c r="U347" s="90" t="s">
        <v>378</v>
      </c>
      <c r="V347" s="90" t="s">
        <v>244</v>
      </c>
      <c r="Z347" s="90">
        <v>0</v>
      </c>
      <c r="AA347" s="90">
        <v>1</v>
      </c>
      <c r="AB347" s="90">
        <v>7.1708544211428498</v>
      </c>
      <c r="AC347" s="90">
        <v>0.94673265793830996</v>
      </c>
      <c r="AD347" s="90">
        <v>2333.84730717819</v>
      </c>
      <c r="AF347" s="90">
        <v>-1</v>
      </c>
      <c r="AG347" s="90">
        <v>-1</v>
      </c>
      <c r="AH347" s="90">
        <v>-1</v>
      </c>
      <c r="AI347" s="90">
        <v>-1</v>
      </c>
      <c r="AJ347" s="90">
        <v>0</v>
      </c>
      <c r="AM347" s="90" t="s">
        <v>379</v>
      </c>
      <c r="AN347" s="90">
        <v>-1</v>
      </c>
      <c r="AQ347" s="90">
        <v>356</v>
      </c>
      <c r="AR347" s="90" t="s">
        <v>380</v>
      </c>
      <c r="AS347" s="90" t="s">
        <v>246</v>
      </c>
      <c r="AT347" s="90" t="s">
        <v>244</v>
      </c>
      <c r="AU347" s="90">
        <v>175.87190000000001</v>
      </c>
      <c r="AV347" s="90">
        <v>200.00000001490099</v>
      </c>
      <c r="AW347" s="90">
        <v>2500.0000003725199</v>
      </c>
      <c r="AX347" s="90">
        <v>1.8928202005000001</v>
      </c>
    </row>
    <row r="348" spans="1:50" x14ac:dyDescent="0.25">
      <c r="A348" s="102">
        <v>830000</v>
      </c>
      <c r="B348" s="102">
        <v>2400000</v>
      </c>
      <c r="C348" s="102">
        <v>2400000</v>
      </c>
      <c r="D348" s="90" t="s">
        <v>374</v>
      </c>
      <c r="E348" s="90" t="s">
        <v>68</v>
      </c>
      <c r="F348" s="90" t="s">
        <v>375</v>
      </c>
      <c r="G348" s="90" t="s">
        <v>376</v>
      </c>
      <c r="H348" s="90">
        <v>0.59</v>
      </c>
      <c r="I348" s="90">
        <v>0.64</v>
      </c>
      <c r="J348" s="90" t="s">
        <v>244</v>
      </c>
      <c r="K348" s="90">
        <v>4.0945869764040001E-2</v>
      </c>
      <c r="L348" s="90">
        <v>3817.4301523215699</v>
      </c>
      <c r="M348" s="90">
        <v>9.9298790340724103</v>
      </c>
      <c r="N348" s="90">
        <v>1.3521374183667001</v>
      </c>
      <c r="O348" s="90">
        <v>0.40658753370182998</v>
      </c>
      <c r="P348" s="90">
        <v>5.5364442635530003E-2</v>
      </c>
      <c r="Q348" s="90">
        <v>156.30799785029001</v>
      </c>
      <c r="R348" s="90">
        <v>1200</v>
      </c>
      <c r="S348" s="90" t="s">
        <v>384</v>
      </c>
      <c r="T348" s="90">
        <v>1200</v>
      </c>
      <c r="U348" s="90" t="s">
        <v>378</v>
      </c>
      <c r="V348" s="90" t="s">
        <v>244</v>
      </c>
      <c r="Z348" s="90">
        <v>0</v>
      </c>
      <c r="AA348" s="90">
        <v>1</v>
      </c>
      <c r="AB348" s="90">
        <v>0.40658753370182998</v>
      </c>
      <c r="AC348" s="90">
        <v>5.5364442635530003E-2</v>
      </c>
      <c r="AD348" s="90">
        <v>468.06772797243502</v>
      </c>
      <c r="AF348" s="90">
        <v>-1</v>
      </c>
      <c r="AG348" s="90">
        <v>-1</v>
      </c>
      <c r="AH348" s="90">
        <v>-1</v>
      </c>
      <c r="AI348" s="90">
        <v>-1</v>
      </c>
      <c r="AJ348" s="90">
        <v>0</v>
      </c>
      <c r="AM348" s="90" t="s">
        <v>379</v>
      </c>
      <c r="AN348" s="90">
        <v>-1</v>
      </c>
      <c r="AQ348" s="90">
        <v>356</v>
      </c>
      <c r="AR348" s="90" t="s">
        <v>380</v>
      </c>
      <c r="AS348" s="90" t="s">
        <v>246</v>
      </c>
      <c r="AT348" s="90" t="s">
        <v>244</v>
      </c>
      <c r="AU348" s="90">
        <v>175.87190000000001</v>
      </c>
      <c r="AV348" s="90">
        <v>65.109534604436206</v>
      </c>
      <c r="AW348" s="90">
        <v>165.70205602537101</v>
      </c>
      <c r="AX348" s="90">
        <v>0.37961697319999999</v>
      </c>
    </row>
    <row r="349" spans="1:50" x14ac:dyDescent="0.25">
      <c r="A349" s="102">
        <v>830000</v>
      </c>
      <c r="B349" s="102">
        <v>2400000</v>
      </c>
      <c r="C349" s="102">
        <v>2400000</v>
      </c>
      <c r="D349" s="90" t="s">
        <v>374</v>
      </c>
      <c r="E349" s="90" t="s">
        <v>68</v>
      </c>
      <c r="F349" s="90" t="s">
        <v>375</v>
      </c>
      <c r="G349" s="90" t="s">
        <v>376</v>
      </c>
      <c r="H349" s="90">
        <v>0.59</v>
      </c>
      <c r="I349" s="90">
        <v>0.64</v>
      </c>
      <c r="J349" s="90" t="s">
        <v>244</v>
      </c>
      <c r="K349" s="90">
        <v>0.23274509086874001</v>
      </c>
      <c r="L349" s="90">
        <v>3817.4301523215699</v>
      </c>
      <c r="M349" s="90">
        <v>9.9298790340724103</v>
      </c>
      <c r="N349" s="90">
        <v>1.3521374183667001</v>
      </c>
      <c r="O349" s="90">
        <v>2.3111305981008301</v>
      </c>
      <c r="P349" s="90">
        <v>0.31470334630479002</v>
      </c>
      <c r="Q349" s="90">
        <v>888.48812768717596</v>
      </c>
      <c r="R349" s="90">
        <v>1400</v>
      </c>
      <c r="S349" s="90" t="s">
        <v>324</v>
      </c>
      <c r="T349" s="90">
        <v>1400</v>
      </c>
      <c r="U349" s="90" t="s">
        <v>378</v>
      </c>
      <c r="V349" s="90" t="s">
        <v>244</v>
      </c>
      <c r="Z349" s="90">
        <v>0</v>
      </c>
      <c r="AA349" s="90">
        <v>1</v>
      </c>
      <c r="AB349" s="90">
        <v>2.3111305981008301</v>
      </c>
      <c r="AC349" s="90">
        <v>0.31470334630479002</v>
      </c>
      <c r="AD349" s="90">
        <v>910.80308952084602</v>
      </c>
      <c r="AF349" s="90">
        <v>-1</v>
      </c>
      <c r="AG349" s="90">
        <v>-1</v>
      </c>
      <c r="AH349" s="90">
        <v>-1</v>
      </c>
      <c r="AI349" s="90">
        <v>-1</v>
      </c>
      <c r="AJ349" s="90">
        <v>0</v>
      </c>
      <c r="AM349" s="90" t="s">
        <v>379</v>
      </c>
      <c r="AN349" s="90">
        <v>-1</v>
      </c>
      <c r="AQ349" s="90">
        <v>356</v>
      </c>
      <c r="AR349" s="90" t="s">
        <v>380</v>
      </c>
      <c r="AS349" s="90" t="s">
        <v>246</v>
      </c>
      <c r="AT349" s="90" t="s">
        <v>244</v>
      </c>
      <c r="AU349" s="90">
        <v>175.87190000000001</v>
      </c>
      <c r="AV349" s="90">
        <v>128.279903223014</v>
      </c>
      <c r="AW349" s="90">
        <v>941.88596576425505</v>
      </c>
      <c r="AX349" s="90">
        <v>0.73868863709999999</v>
      </c>
    </row>
    <row r="350" spans="1:50" x14ac:dyDescent="0.25">
      <c r="A350" s="102">
        <v>830000</v>
      </c>
      <c r="B350" s="102">
        <v>2400000</v>
      </c>
      <c r="C350" s="102">
        <v>2400000</v>
      </c>
      <c r="D350" s="90" t="s">
        <v>374</v>
      </c>
      <c r="E350" s="90" t="s">
        <v>68</v>
      </c>
      <c r="F350" s="90" t="s">
        <v>375</v>
      </c>
      <c r="G350" s="90" t="s">
        <v>376</v>
      </c>
      <c r="H350" s="90">
        <v>0.59</v>
      </c>
      <c r="I350" s="90">
        <v>0.64</v>
      </c>
      <c r="J350" s="90" t="s">
        <v>244</v>
      </c>
      <c r="K350" s="90">
        <v>8.2663415257999999E-4</v>
      </c>
      <c r="L350" s="90">
        <v>3817.4301523215699</v>
      </c>
      <c r="M350" s="90">
        <v>9.9298790340724103</v>
      </c>
      <c r="N350" s="90">
        <v>1.3521374183667001</v>
      </c>
      <c r="O350" s="90">
        <v>8.2083771405900008E-3</v>
      </c>
      <c r="P350" s="90">
        <v>1.1177229690000001E-3</v>
      </c>
      <c r="Q350" s="90">
        <v>3.1556181390129501</v>
      </c>
      <c r="R350" s="90">
        <v>1410</v>
      </c>
      <c r="S350" s="90" t="s">
        <v>325</v>
      </c>
      <c r="T350" s="90">
        <v>1410</v>
      </c>
      <c r="U350" s="90" t="s">
        <v>378</v>
      </c>
      <c r="V350" s="90" t="s">
        <v>244</v>
      </c>
      <c r="Z350" s="90">
        <v>0</v>
      </c>
      <c r="AA350" s="90">
        <v>1</v>
      </c>
      <c r="AB350" s="90">
        <v>8.2083771405900008E-3</v>
      </c>
      <c r="AC350" s="90">
        <v>1.1177229690000001E-3</v>
      </c>
      <c r="AD350" s="90">
        <v>3.1556181390131499</v>
      </c>
      <c r="AF350" s="90">
        <v>-1</v>
      </c>
      <c r="AG350" s="90">
        <v>-1</v>
      </c>
      <c r="AH350" s="90">
        <v>-1</v>
      </c>
      <c r="AI350" s="90">
        <v>-1</v>
      </c>
      <c r="AJ350" s="90">
        <v>0</v>
      </c>
      <c r="AM350" s="90" t="s">
        <v>379</v>
      </c>
      <c r="AN350" s="90">
        <v>-1</v>
      </c>
      <c r="AQ350" s="90">
        <v>356</v>
      </c>
      <c r="AR350" s="90" t="s">
        <v>380</v>
      </c>
      <c r="AS350" s="90" t="s">
        <v>246</v>
      </c>
      <c r="AT350" s="90" t="s">
        <v>244</v>
      </c>
      <c r="AU350" s="90">
        <v>175.87190000000001</v>
      </c>
      <c r="AV350" s="90">
        <v>12.7344075300618</v>
      </c>
      <c r="AW350" s="90">
        <v>3.34526972935994</v>
      </c>
      <c r="AX350" s="90">
        <v>2.5593009999999999E-3</v>
      </c>
    </row>
    <row r="351" spans="1:50" x14ac:dyDescent="0.25">
      <c r="A351" s="102">
        <v>830000</v>
      </c>
      <c r="B351" s="102">
        <v>2400000</v>
      </c>
      <c r="C351" s="102">
        <v>2400000</v>
      </c>
      <c r="D351" s="90" t="s">
        <v>374</v>
      </c>
      <c r="E351" s="90" t="s">
        <v>68</v>
      </c>
      <c r="F351" s="90" t="s">
        <v>375</v>
      </c>
      <c r="G351" s="90" t="s">
        <v>376</v>
      </c>
      <c r="H351" s="90">
        <v>0.59</v>
      </c>
      <c r="I351" s="90">
        <v>0.64</v>
      </c>
      <c r="J351" s="90" t="s">
        <v>244</v>
      </c>
      <c r="K351" s="90">
        <v>0.22033020572833001</v>
      </c>
      <c r="L351" s="90">
        <v>3817.4301523215699</v>
      </c>
      <c r="M351" s="90">
        <v>9.9298790340724103</v>
      </c>
      <c r="N351" s="90">
        <v>1.3521374183667001</v>
      </c>
      <c r="O351" s="90">
        <v>2.1878522904346398</v>
      </c>
      <c r="P351" s="90">
        <v>0.29791671556171001</v>
      </c>
      <c r="Q351" s="90">
        <v>841.09517081455795</v>
      </c>
      <c r="R351" s="90">
        <v>1410</v>
      </c>
      <c r="S351" s="90" t="s">
        <v>325</v>
      </c>
      <c r="T351" s="90">
        <v>1410</v>
      </c>
      <c r="U351" s="90" t="s">
        <v>378</v>
      </c>
      <c r="V351" s="90" t="s">
        <v>244</v>
      </c>
      <c r="Z351" s="90">
        <v>0</v>
      </c>
      <c r="AA351" s="90">
        <v>1</v>
      </c>
      <c r="AB351" s="90">
        <v>2.1878522904346398</v>
      </c>
      <c r="AC351" s="90">
        <v>0.29791671556171001</v>
      </c>
      <c r="AD351" s="90">
        <v>976.24239940190898</v>
      </c>
      <c r="AF351" s="90">
        <v>-1</v>
      </c>
      <c r="AG351" s="90">
        <v>-1</v>
      </c>
      <c r="AH351" s="90">
        <v>-1</v>
      </c>
      <c r="AI351" s="90">
        <v>-1</v>
      </c>
      <c r="AJ351" s="90">
        <v>0</v>
      </c>
      <c r="AM351" s="90" t="s">
        <v>379</v>
      </c>
      <c r="AN351" s="90">
        <v>-1</v>
      </c>
      <c r="AQ351" s="90">
        <v>356</v>
      </c>
      <c r="AR351" s="90" t="s">
        <v>380</v>
      </c>
      <c r="AS351" s="90" t="s">
        <v>246</v>
      </c>
      <c r="AT351" s="90" t="s">
        <v>244</v>
      </c>
      <c r="AU351" s="90">
        <v>175.87190000000001</v>
      </c>
      <c r="AV351" s="90">
        <v>123.2214327451</v>
      </c>
      <c r="AW351" s="90">
        <v>891.64470810042098</v>
      </c>
      <c r="AX351" s="90">
        <v>0.79176188110000001</v>
      </c>
    </row>
    <row r="352" spans="1:50" x14ac:dyDescent="0.25">
      <c r="A352" s="102">
        <v>830000</v>
      </c>
      <c r="B352" s="102">
        <v>2400000</v>
      </c>
      <c r="C352" s="102">
        <v>2400000</v>
      </c>
      <c r="D352" s="90" t="s">
        <v>374</v>
      </c>
      <c r="E352" s="90" t="s">
        <v>68</v>
      </c>
      <c r="F352" s="90" t="s">
        <v>375</v>
      </c>
      <c r="G352" s="90" t="s">
        <v>376</v>
      </c>
      <c r="H352" s="90">
        <v>0.59</v>
      </c>
      <c r="I352" s="90">
        <v>0.64</v>
      </c>
      <c r="J352" s="90" t="s">
        <v>244</v>
      </c>
      <c r="K352" s="90">
        <v>8.1685610743999996E-4</v>
      </c>
      <c r="L352" s="90">
        <v>3779.9864986702501</v>
      </c>
      <c r="M352" s="90">
        <v>9.5981039986658594</v>
      </c>
      <c r="N352" s="90">
        <v>1.3949880616693899</v>
      </c>
      <c r="O352" s="90">
        <v>7.8402698711600004E-3</v>
      </c>
      <c r="P352" s="90">
        <v>1.13950451798E-3</v>
      </c>
      <c r="Q352" s="90">
        <v>3.08770505748332</v>
      </c>
      <c r="R352" s="90">
        <v>1400</v>
      </c>
      <c r="S352" s="90" t="s">
        <v>324</v>
      </c>
      <c r="T352" s="90">
        <v>1400</v>
      </c>
      <c r="U352" s="90" t="s">
        <v>378</v>
      </c>
      <c r="V352" s="90" t="s">
        <v>244</v>
      </c>
      <c r="Z352" s="90">
        <v>0</v>
      </c>
      <c r="AA352" s="90">
        <v>1</v>
      </c>
      <c r="AB352" s="90">
        <v>7.8402698711600004E-3</v>
      </c>
      <c r="AC352" s="90">
        <v>1.13950451798E-3</v>
      </c>
      <c r="AD352" s="90">
        <v>3.08770505748282</v>
      </c>
      <c r="AF352" s="90">
        <v>-1</v>
      </c>
      <c r="AG352" s="90">
        <v>-1</v>
      </c>
      <c r="AH352" s="90">
        <v>-1</v>
      </c>
      <c r="AI352" s="90">
        <v>-1</v>
      </c>
      <c r="AJ352" s="90">
        <v>0</v>
      </c>
      <c r="AM352" s="90" t="s">
        <v>379</v>
      </c>
      <c r="AN352" s="90">
        <v>-1</v>
      </c>
      <c r="AQ352" s="90">
        <v>356</v>
      </c>
      <c r="AR352" s="90" t="s">
        <v>380</v>
      </c>
      <c r="AS352" s="90" t="s">
        <v>246</v>
      </c>
      <c r="AT352" s="90" t="s">
        <v>244</v>
      </c>
      <c r="AU352" s="90">
        <v>175.87190000000001</v>
      </c>
      <c r="AV352" s="90">
        <v>102.033187767718</v>
      </c>
      <c r="AW352" s="90">
        <v>3.3056993845737499</v>
      </c>
      <c r="AX352" s="90">
        <v>2.5042214999999998E-3</v>
      </c>
    </row>
    <row r="353" spans="1:50" x14ac:dyDescent="0.25">
      <c r="A353" s="102">
        <v>830000</v>
      </c>
      <c r="B353" s="102">
        <v>2400000</v>
      </c>
      <c r="C353" s="102">
        <v>2400000</v>
      </c>
      <c r="D353" s="90" t="s">
        <v>374</v>
      </c>
      <c r="E353" s="90" t="s">
        <v>68</v>
      </c>
      <c r="F353" s="90" t="s">
        <v>375</v>
      </c>
      <c r="G353" s="90" t="s">
        <v>376</v>
      </c>
      <c r="H353" s="90">
        <v>0.59</v>
      </c>
      <c r="I353" s="90">
        <v>0.64</v>
      </c>
      <c r="J353" s="90" t="s">
        <v>381</v>
      </c>
      <c r="K353" s="90">
        <v>0.10365772484251</v>
      </c>
      <c r="L353" s="90">
        <v>3779.9864986702501</v>
      </c>
      <c r="M353" s="90">
        <v>9.5981039986658594</v>
      </c>
      <c r="N353" s="90">
        <v>1.3949880616693899</v>
      </c>
      <c r="O353" s="90">
        <v>0.99491762330351996</v>
      </c>
      <c r="P353" s="90">
        <v>0.14460128865510999</v>
      </c>
      <c r="Q353" s="90">
        <v>391.82480038757097</v>
      </c>
      <c r="R353" s="90">
        <v>1400</v>
      </c>
      <c r="S353" s="90" t="s">
        <v>324</v>
      </c>
      <c r="T353" s="90">
        <v>1400</v>
      </c>
      <c r="U353" s="90" t="s">
        <v>382</v>
      </c>
      <c r="V353" s="90" t="s">
        <v>381</v>
      </c>
      <c r="Z353" s="90">
        <v>0</v>
      </c>
      <c r="AA353" s="90">
        <v>1</v>
      </c>
      <c r="AB353" s="90">
        <v>0.99491762330351996</v>
      </c>
      <c r="AC353" s="90">
        <v>0.14460128865510999</v>
      </c>
      <c r="AD353" s="90">
        <v>391.82480038757097</v>
      </c>
      <c r="AF353" s="90">
        <v>-1</v>
      </c>
      <c r="AG353" s="90">
        <v>-1</v>
      </c>
      <c r="AH353" s="90">
        <v>-1</v>
      </c>
      <c r="AI353" s="90">
        <v>-1</v>
      </c>
      <c r="AJ353" s="90">
        <v>0</v>
      </c>
      <c r="AM353" s="90" t="s">
        <v>379</v>
      </c>
      <c r="AN353" s="90">
        <v>-1</v>
      </c>
      <c r="AQ353" s="90">
        <v>356</v>
      </c>
      <c r="AR353" s="90" t="s">
        <v>380</v>
      </c>
      <c r="AS353" s="90" t="s">
        <v>246</v>
      </c>
      <c r="AT353" s="90" t="s">
        <v>244</v>
      </c>
      <c r="AU353" s="90">
        <v>175.87190000000001</v>
      </c>
      <c r="AV353" s="90">
        <v>119.650106025287</v>
      </c>
      <c r="AW353" s="90">
        <v>419.48792951029202</v>
      </c>
      <c r="AX353" s="90">
        <v>0.31778167099999999</v>
      </c>
    </row>
    <row r="354" spans="1:50" x14ac:dyDescent="0.25">
      <c r="A354" s="102">
        <v>830000</v>
      </c>
      <c r="B354" s="102">
        <v>2400000</v>
      </c>
      <c r="C354" s="102">
        <v>2400000</v>
      </c>
      <c r="D354" s="90" t="s">
        <v>374</v>
      </c>
      <c r="E354" s="90" t="s">
        <v>68</v>
      </c>
      <c r="F354" s="90" t="s">
        <v>375</v>
      </c>
      <c r="G354" s="90" t="s">
        <v>376</v>
      </c>
      <c r="H354" s="90">
        <v>0.59</v>
      </c>
      <c r="I354" s="90">
        <v>0.64</v>
      </c>
      <c r="J354" s="90" t="s">
        <v>381</v>
      </c>
      <c r="K354" s="90">
        <v>2.1891845443E-4</v>
      </c>
      <c r="L354" s="90">
        <v>3779.9864986702501</v>
      </c>
      <c r="M354" s="90">
        <v>9.5981039986658594</v>
      </c>
      <c r="N354" s="90">
        <v>1.3949880616693899</v>
      </c>
      <c r="O354" s="90">
        <v>2.1012020929200002E-3</v>
      </c>
      <c r="P354" s="90">
        <v>3.0538863041999997E-4</v>
      </c>
      <c r="Q354" s="90">
        <v>0.82750880208539002</v>
      </c>
      <c r="R354" s="90">
        <v>4200</v>
      </c>
      <c r="S354" s="90" t="s">
        <v>390</v>
      </c>
      <c r="T354" s="90">
        <v>4200</v>
      </c>
      <c r="U354" s="90" t="s">
        <v>382</v>
      </c>
      <c r="V354" s="90" t="s">
        <v>381</v>
      </c>
      <c r="Y354" s="90" t="s">
        <v>389</v>
      </c>
      <c r="Z354" s="90">
        <v>0</v>
      </c>
      <c r="AA354" s="90">
        <v>1</v>
      </c>
      <c r="AB354" s="90">
        <v>2.1012020929200002E-3</v>
      </c>
      <c r="AC354" s="90">
        <v>3.0538863041999997E-4</v>
      </c>
      <c r="AD354" s="90">
        <v>0.82750880208577005</v>
      </c>
      <c r="AF354" s="90">
        <v>-1</v>
      </c>
      <c r="AG354" s="90">
        <v>-1</v>
      </c>
      <c r="AH354" s="90">
        <v>-1</v>
      </c>
      <c r="AI354" s="90">
        <v>-1</v>
      </c>
      <c r="AJ354" s="90">
        <v>0</v>
      </c>
      <c r="AM354" s="90" t="s">
        <v>379</v>
      </c>
      <c r="AN354" s="90">
        <v>-1</v>
      </c>
      <c r="AQ354" s="90">
        <v>356</v>
      </c>
      <c r="AR354" s="90" t="s">
        <v>380</v>
      </c>
      <c r="AS354" s="90" t="s">
        <v>246</v>
      </c>
      <c r="AT354" s="90" t="s">
        <v>244</v>
      </c>
      <c r="AU354" s="90">
        <v>175.87190000000001</v>
      </c>
      <c r="AV354" s="90">
        <v>11.682749018859999</v>
      </c>
      <c r="AW354" s="90">
        <v>0.88593155332469997</v>
      </c>
      <c r="AX354" s="90">
        <v>6.7113450000000005E-4</v>
      </c>
    </row>
    <row r="355" spans="1:50" x14ac:dyDescent="0.25">
      <c r="A355" s="102">
        <v>830000</v>
      </c>
      <c r="B355" s="102">
        <v>2400000</v>
      </c>
      <c r="C355" s="102">
        <v>2400000</v>
      </c>
      <c r="D355" s="90" t="s">
        <v>374</v>
      </c>
      <c r="E355" s="90" t="s">
        <v>68</v>
      </c>
      <c r="F355" s="90" t="s">
        <v>375</v>
      </c>
      <c r="G355" s="90" t="s">
        <v>376</v>
      </c>
      <c r="H355" s="90">
        <v>0.59</v>
      </c>
      <c r="I355" s="90">
        <v>0.64</v>
      </c>
      <c r="J355" s="90" t="s">
        <v>244</v>
      </c>
      <c r="K355" s="102">
        <v>5.4134817380000004E-6</v>
      </c>
      <c r="L355" s="90">
        <v>3779.9864986702501</v>
      </c>
      <c r="M355" s="90">
        <v>9.5981039986658594</v>
      </c>
      <c r="N355" s="90">
        <v>1.3949880616693899</v>
      </c>
      <c r="O355" s="90">
        <v>5.1959160709999997E-5</v>
      </c>
      <c r="P355" s="102">
        <v>7.551742396575E-6</v>
      </c>
      <c r="Q355" s="90">
        <v>2.0462887880429999E-2</v>
      </c>
      <c r="R355" s="90">
        <v>8140</v>
      </c>
      <c r="S355" s="90" t="s">
        <v>386</v>
      </c>
      <c r="T355" s="90">
        <v>8140</v>
      </c>
      <c r="U355" s="90" t="s">
        <v>378</v>
      </c>
      <c r="V355" s="90" t="s">
        <v>244</v>
      </c>
      <c r="Z355" s="90">
        <v>0</v>
      </c>
      <c r="AA355" s="90">
        <v>1</v>
      </c>
      <c r="AB355" s="90">
        <v>5.1959160709999997E-5</v>
      </c>
      <c r="AC355" s="102">
        <v>7.551742396575E-6</v>
      </c>
      <c r="AD355" s="90">
        <v>2.0462887879520001E-2</v>
      </c>
      <c r="AF355" s="90">
        <v>-1</v>
      </c>
      <c r="AG355" s="90">
        <v>-1</v>
      </c>
      <c r="AH355" s="90">
        <v>-1</v>
      </c>
      <c r="AI355" s="90">
        <v>-1</v>
      </c>
      <c r="AJ355" s="90">
        <v>0</v>
      </c>
      <c r="AM355" s="90" t="s">
        <v>379</v>
      </c>
      <c r="AN355" s="90">
        <v>-1</v>
      </c>
      <c r="AQ355" s="90">
        <v>356</v>
      </c>
      <c r="AR355" s="90" t="s">
        <v>380</v>
      </c>
      <c r="AS355" s="90" t="s">
        <v>246</v>
      </c>
      <c r="AT355" s="90" t="s">
        <v>244</v>
      </c>
      <c r="AU355" s="90">
        <v>175.87190000000001</v>
      </c>
      <c r="AV355" s="90">
        <v>1.0975461432346201</v>
      </c>
      <c r="AW355" s="90">
        <v>2.1907583337989998E-2</v>
      </c>
      <c r="AX355" s="90">
        <v>1.6595999999999998E-5</v>
      </c>
    </row>
    <row r="356" spans="1:50" x14ac:dyDescent="0.25">
      <c r="A356" s="102">
        <v>830000</v>
      </c>
      <c r="B356" s="102">
        <v>2400000</v>
      </c>
      <c r="C356" s="102">
        <v>2400000</v>
      </c>
      <c r="D356" s="90" t="s">
        <v>374</v>
      </c>
      <c r="E356" s="90" t="s">
        <v>68</v>
      </c>
      <c r="F356" s="90" t="s">
        <v>375</v>
      </c>
      <c r="G356" s="90" t="s">
        <v>376</v>
      </c>
      <c r="H356" s="90">
        <v>0.59</v>
      </c>
      <c r="I356" s="90">
        <v>0.64</v>
      </c>
      <c r="J356" s="90" t="s">
        <v>381</v>
      </c>
      <c r="K356" s="90">
        <v>0.29057048819327003</v>
      </c>
      <c r="L356" s="90">
        <v>3779.9864986702501</v>
      </c>
      <c r="M356" s="90">
        <v>9.5981039986658594</v>
      </c>
      <c r="N356" s="90">
        <v>1.3949880616693899</v>
      </c>
      <c r="O356" s="90">
        <v>2.7889257646221202</v>
      </c>
      <c r="P356" s="90">
        <v>0.40534236210306002</v>
      </c>
      <c r="Q356" s="90">
        <v>1098.3525222825799</v>
      </c>
      <c r="R356" s="90">
        <v>8140</v>
      </c>
      <c r="S356" s="90" t="s">
        <v>386</v>
      </c>
      <c r="T356" s="90">
        <v>8140</v>
      </c>
      <c r="U356" s="90" t="s">
        <v>382</v>
      </c>
      <c r="V356" s="90" t="s">
        <v>381</v>
      </c>
      <c r="Z356" s="90">
        <v>0</v>
      </c>
      <c r="AA356" s="90">
        <v>1</v>
      </c>
      <c r="AB356" s="90">
        <v>2.7889257646221202</v>
      </c>
      <c r="AC356" s="90">
        <v>0.40534236210306002</v>
      </c>
      <c r="AD356" s="90">
        <v>1098.3525222825799</v>
      </c>
      <c r="AF356" s="90">
        <v>-1</v>
      </c>
      <c r="AG356" s="90">
        <v>-1</v>
      </c>
      <c r="AH356" s="90">
        <v>-1</v>
      </c>
      <c r="AI356" s="90">
        <v>-1</v>
      </c>
      <c r="AJ356" s="90">
        <v>0</v>
      </c>
      <c r="AM356" s="90" t="s">
        <v>379</v>
      </c>
      <c r="AN356" s="90">
        <v>-1</v>
      </c>
      <c r="AQ356" s="90">
        <v>356</v>
      </c>
      <c r="AR356" s="90" t="s">
        <v>380</v>
      </c>
      <c r="AS356" s="90" t="s">
        <v>246</v>
      </c>
      <c r="AT356" s="90" t="s">
        <v>244</v>
      </c>
      <c r="AU356" s="90">
        <v>175.87190000000001</v>
      </c>
      <c r="AV356" s="90">
        <v>149.186704200473</v>
      </c>
      <c r="AW356" s="90">
        <v>1175.8970463048399</v>
      </c>
      <c r="AX356" s="90">
        <v>0.89079685509999995</v>
      </c>
    </row>
    <row r="357" spans="1:50" x14ac:dyDescent="0.25">
      <c r="A357" s="102">
        <v>830000</v>
      </c>
      <c r="B357" s="102">
        <v>2400000</v>
      </c>
      <c r="C357" s="102">
        <v>2400000</v>
      </c>
      <c r="D357" s="90" t="s">
        <v>374</v>
      </c>
      <c r="E357" s="90" t="s">
        <v>68</v>
      </c>
      <c r="F357" s="90" t="s">
        <v>375</v>
      </c>
      <c r="G357" s="90" t="s">
        <v>376</v>
      </c>
      <c r="H357" s="90">
        <v>0.59</v>
      </c>
      <c r="I357" s="90">
        <v>0.64</v>
      </c>
      <c r="J357" s="90" t="s">
        <v>244</v>
      </c>
      <c r="K357" s="90">
        <v>9.0980037266349997E-2</v>
      </c>
      <c r="L357" s="90">
        <v>3779.9864986702501</v>
      </c>
      <c r="M357" s="90">
        <v>9.5981039986658594</v>
      </c>
      <c r="N357" s="90">
        <v>1.3949880616693899</v>
      </c>
      <c r="O357" s="90">
        <v>0.87323585948496996</v>
      </c>
      <c r="P357" s="90">
        <v>0.12691606583680001</v>
      </c>
      <c r="Q357" s="90">
        <v>343.90331251533797</v>
      </c>
      <c r="R357" s="90">
        <v>1300</v>
      </c>
      <c r="S357" s="90" t="s">
        <v>387</v>
      </c>
      <c r="T357" s="90">
        <v>1300</v>
      </c>
      <c r="U357" s="90" t="s">
        <v>378</v>
      </c>
      <c r="V357" s="90" t="s">
        <v>244</v>
      </c>
      <c r="Z357" s="90">
        <v>0</v>
      </c>
      <c r="AA357" s="90">
        <v>1</v>
      </c>
      <c r="AB357" s="90">
        <v>0.87323585948496996</v>
      </c>
      <c r="AC357" s="90">
        <v>0.12691606583680001</v>
      </c>
      <c r="AD357" s="90">
        <v>343.90331251533797</v>
      </c>
      <c r="AF357" s="90">
        <v>-1</v>
      </c>
      <c r="AG357" s="90">
        <v>-1</v>
      </c>
      <c r="AH357" s="90">
        <v>-1</v>
      </c>
      <c r="AI357" s="90">
        <v>-1</v>
      </c>
      <c r="AJ357" s="90">
        <v>0</v>
      </c>
      <c r="AM357" s="90" t="s">
        <v>379</v>
      </c>
      <c r="AN357" s="90">
        <v>-1</v>
      </c>
      <c r="AQ357" s="90">
        <v>356</v>
      </c>
      <c r="AR357" s="90" t="s">
        <v>380</v>
      </c>
      <c r="AS357" s="90" t="s">
        <v>246</v>
      </c>
      <c r="AT357" s="90" t="s">
        <v>244</v>
      </c>
      <c r="AU357" s="90">
        <v>175.87190000000001</v>
      </c>
      <c r="AV357" s="90">
        <v>101.924167297728</v>
      </c>
      <c r="AW357" s="90">
        <v>368.18314812153898</v>
      </c>
      <c r="AX357" s="90">
        <v>0.27891590630000002</v>
      </c>
    </row>
    <row r="358" spans="1:50" x14ac:dyDescent="0.25">
      <c r="A358" s="102">
        <v>830000</v>
      </c>
      <c r="B358" s="102">
        <v>2400000</v>
      </c>
      <c r="C358" s="102">
        <v>2400000</v>
      </c>
      <c r="D358" s="90" t="s">
        <v>374</v>
      </c>
      <c r="E358" s="90" t="s">
        <v>68</v>
      </c>
      <c r="F358" s="90" t="s">
        <v>375</v>
      </c>
      <c r="G358" s="90" t="s">
        <v>376</v>
      </c>
      <c r="H358" s="90">
        <v>0.59</v>
      </c>
      <c r="I358" s="90">
        <v>0.64</v>
      </c>
      <c r="J358" s="90" t="s">
        <v>381</v>
      </c>
      <c r="K358" s="90">
        <v>9.5917914667999996E-4</v>
      </c>
      <c r="L358" s="90">
        <v>3779.9864986702501</v>
      </c>
      <c r="M358" s="90">
        <v>9.5981039986658594</v>
      </c>
      <c r="N358" s="90">
        <v>1.3949880616693899</v>
      </c>
      <c r="O358" s="90">
        <v>9.2063012031899996E-3</v>
      </c>
      <c r="P358" s="90">
        <v>1.33804345862E-3</v>
      </c>
      <c r="Q358" s="90">
        <v>3.6256842242602301</v>
      </c>
      <c r="R358" s="90">
        <v>1300</v>
      </c>
      <c r="S358" s="90" t="s">
        <v>387</v>
      </c>
      <c r="T358" s="90">
        <v>1300</v>
      </c>
      <c r="U358" s="90" t="s">
        <v>382</v>
      </c>
      <c r="V358" s="90" t="s">
        <v>381</v>
      </c>
      <c r="Z358" s="90">
        <v>0</v>
      </c>
      <c r="AA358" s="90">
        <v>1</v>
      </c>
      <c r="AB358" s="90">
        <v>9.2063012031899996E-3</v>
      </c>
      <c r="AC358" s="90">
        <v>1.33804345862E-3</v>
      </c>
      <c r="AD358" s="90">
        <v>3.6256842242616099</v>
      </c>
      <c r="AF358" s="90">
        <v>-1</v>
      </c>
      <c r="AG358" s="90">
        <v>-1</v>
      </c>
      <c r="AH358" s="90">
        <v>-1</v>
      </c>
      <c r="AI358" s="90">
        <v>-1</v>
      </c>
      <c r="AJ358" s="90">
        <v>0</v>
      </c>
      <c r="AM358" s="90" t="s">
        <v>379</v>
      </c>
      <c r="AN358" s="90">
        <v>-1</v>
      </c>
      <c r="AQ358" s="90">
        <v>356</v>
      </c>
      <c r="AR358" s="90" t="s">
        <v>380</v>
      </c>
      <c r="AS358" s="90" t="s">
        <v>246</v>
      </c>
      <c r="AT358" s="90" t="s">
        <v>244</v>
      </c>
      <c r="AU358" s="90">
        <v>175.87190000000001</v>
      </c>
      <c r="AV358" s="90">
        <v>84.115095310079795</v>
      </c>
      <c r="AW358" s="90">
        <v>3.88166028997962</v>
      </c>
      <c r="AX358" s="90">
        <v>2.9405387000000002E-3</v>
      </c>
    </row>
    <row r="359" spans="1:50" x14ac:dyDescent="0.25">
      <c r="A359" s="102">
        <v>830000</v>
      </c>
      <c r="B359" s="102">
        <v>2400000</v>
      </c>
      <c r="C359" s="102">
        <v>2400000</v>
      </c>
      <c r="D359" s="90" t="s">
        <v>374</v>
      </c>
      <c r="E359" s="90" t="s">
        <v>68</v>
      </c>
      <c r="F359" s="90" t="s">
        <v>375</v>
      </c>
      <c r="G359" s="90" t="s">
        <v>376</v>
      </c>
      <c r="H359" s="90">
        <v>0.59</v>
      </c>
      <c r="I359" s="90">
        <v>0.64</v>
      </c>
      <c r="J359" s="90" t="s">
        <v>244</v>
      </c>
      <c r="K359" s="90">
        <v>2.896869173269E-2</v>
      </c>
      <c r="L359" s="90">
        <v>3779.9864986702501</v>
      </c>
      <c r="M359" s="90">
        <v>9.5981039986658594</v>
      </c>
      <c r="N359" s="90">
        <v>1.3949880616693899</v>
      </c>
      <c r="O359" s="90">
        <v>0.27804451595569002</v>
      </c>
      <c r="P359" s="90">
        <v>4.0410979129290002E-2</v>
      </c>
      <c r="Q359" s="90">
        <v>109.50126363372701</v>
      </c>
      <c r="R359" s="90">
        <v>1300</v>
      </c>
      <c r="S359" s="90" t="s">
        <v>387</v>
      </c>
      <c r="T359" s="90">
        <v>1300</v>
      </c>
      <c r="U359" s="90" t="s">
        <v>378</v>
      </c>
      <c r="V359" s="90" t="s">
        <v>244</v>
      </c>
      <c r="Z359" s="90">
        <v>0</v>
      </c>
      <c r="AA359" s="90">
        <v>1</v>
      </c>
      <c r="AB359" s="90">
        <v>0.27804451595569002</v>
      </c>
      <c r="AC359" s="90">
        <v>4.0410979129290002E-2</v>
      </c>
      <c r="AD359" s="90">
        <v>109.50126363372701</v>
      </c>
      <c r="AF359" s="90">
        <v>-1</v>
      </c>
      <c r="AG359" s="90">
        <v>-1</v>
      </c>
      <c r="AH359" s="90">
        <v>-1</v>
      </c>
      <c r="AI359" s="90">
        <v>-1</v>
      </c>
      <c r="AJ359" s="90">
        <v>0</v>
      </c>
      <c r="AM359" s="90" t="s">
        <v>379</v>
      </c>
      <c r="AN359" s="90">
        <v>-1</v>
      </c>
      <c r="AQ359" s="90">
        <v>356</v>
      </c>
      <c r="AR359" s="90" t="s">
        <v>380</v>
      </c>
      <c r="AS359" s="90" t="s">
        <v>246</v>
      </c>
      <c r="AT359" s="90" t="s">
        <v>244</v>
      </c>
      <c r="AU359" s="90">
        <v>175.87190000000001</v>
      </c>
      <c r="AV359" s="90">
        <v>45.087365129265301</v>
      </c>
      <c r="AW359" s="90">
        <v>117.23213618698099</v>
      </c>
      <c r="AX359" s="90">
        <v>8.8808810700000004E-2</v>
      </c>
    </row>
    <row r="360" spans="1:50" x14ac:dyDescent="0.25">
      <c r="A360" s="102">
        <v>830000</v>
      </c>
      <c r="B360" s="102">
        <v>2400000</v>
      </c>
      <c r="C360" s="102">
        <v>2400000</v>
      </c>
      <c r="D360" s="90" t="s">
        <v>374</v>
      </c>
      <c r="E360" s="90" t="s">
        <v>68</v>
      </c>
      <c r="F360" s="90" t="s">
        <v>375</v>
      </c>
      <c r="G360" s="90" t="s">
        <v>376</v>
      </c>
      <c r="H360" s="90">
        <v>0.59</v>
      </c>
      <c r="I360" s="90">
        <v>0.64</v>
      </c>
      <c r="J360" s="90" t="s">
        <v>381</v>
      </c>
      <c r="K360" s="90">
        <v>1.6474103306000001E-4</v>
      </c>
      <c r="L360" s="90">
        <v>3779.9864986702501</v>
      </c>
      <c r="M360" s="90">
        <v>9.5981039986658594</v>
      </c>
      <c r="N360" s="90">
        <v>1.3949880616693899</v>
      </c>
      <c r="O360" s="90">
        <v>1.5812015681599999E-3</v>
      </c>
      <c r="P360" s="90">
        <v>2.2981177438E-4</v>
      </c>
      <c r="Q360" s="90">
        <v>0.62271888074756998</v>
      </c>
      <c r="R360" s="90">
        <v>1300</v>
      </c>
      <c r="S360" s="90" t="s">
        <v>387</v>
      </c>
      <c r="T360" s="90">
        <v>1300</v>
      </c>
      <c r="U360" s="90" t="s">
        <v>382</v>
      </c>
      <c r="V360" s="90" t="s">
        <v>381</v>
      </c>
      <c r="Z360" s="90">
        <v>0</v>
      </c>
      <c r="AA360" s="90">
        <v>1</v>
      </c>
      <c r="AB360" s="90">
        <v>1.5812015681599999E-3</v>
      </c>
      <c r="AC360" s="90">
        <v>2.2981177438E-4</v>
      </c>
      <c r="AD360" s="90">
        <v>0.62271888074824999</v>
      </c>
      <c r="AF360" s="90">
        <v>-1</v>
      </c>
      <c r="AG360" s="90">
        <v>-1</v>
      </c>
      <c r="AH360" s="90">
        <v>-1</v>
      </c>
      <c r="AI360" s="90">
        <v>-1</v>
      </c>
      <c r="AJ360" s="90">
        <v>0</v>
      </c>
      <c r="AM360" s="90" t="s">
        <v>379</v>
      </c>
      <c r="AN360" s="90">
        <v>-1</v>
      </c>
      <c r="AQ360" s="90">
        <v>356</v>
      </c>
      <c r="AR360" s="90" t="s">
        <v>380</v>
      </c>
      <c r="AS360" s="90" t="s">
        <v>246</v>
      </c>
      <c r="AT360" s="90" t="s">
        <v>244</v>
      </c>
      <c r="AU360" s="90">
        <v>175.87190000000001</v>
      </c>
      <c r="AV360" s="90">
        <v>17.847534478645699</v>
      </c>
      <c r="AW360" s="90">
        <v>0.66668330767645001</v>
      </c>
      <c r="AX360" s="90">
        <v>5.0504369999999996E-4</v>
      </c>
    </row>
    <row r="361" spans="1:50" x14ac:dyDescent="0.25">
      <c r="A361" s="102">
        <v>830000</v>
      </c>
      <c r="B361" s="102">
        <v>2400000</v>
      </c>
      <c r="C361" s="102">
        <v>2400000</v>
      </c>
      <c r="D361" s="90" t="s">
        <v>374</v>
      </c>
      <c r="E361" s="90" t="s">
        <v>68</v>
      </c>
      <c r="F361" s="90" t="s">
        <v>375</v>
      </c>
      <c r="G361" s="90" t="s">
        <v>376</v>
      </c>
      <c r="H361" s="90">
        <v>0.59</v>
      </c>
      <c r="I361" s="90">
        <v>0.64</v>
      </c>
      <c r="J361" s="90" t="s">
        <v>244</v>
      </c>
      <c r="K361" s="90">
        <v>0.10142140343273</v>
      </c>
      <c r="L361" s="90">
        <v>3779.9864986702501</v>
      </c>
      <c r="M361" s="90">
        <v>9.5981039986658594</v>
      </c>
      <c r="N361" s="90">
        <v>1.3949880616693899</v>
      </c>
      <c r="O361" s="90">
        <v>0.97345317783802998</v>
      </c>
      <c r="P361" s="90">
        <v>0.14148164698641999</v>
      </c>
      <c r="Q361" s="90">
        <v>383.37153565192699</v>
      </c>
      <c r="R361" s="90">
        <v>1410</v>
      </c>
      <c r="S361" s="90" t="s">
        <v>325</v>
      </c>
      <c r="T361" s="90">
        <v>1410</v>
      </c>
      <c r="U361" s="90" t="s">
        <v>378</v>
      </c>
      <c r="V361" s="90" t="s">
        <v>244</v>
      </c>
      <c r="Z361" s="90">
        <v>0</v>
      </c>
      <c r="AA361" s="90">
        <v>1</v>
      </c>
      <c r="AB361" s="90">
        <v>0.97345317783802998</v>
      </c>
      <c r="AC361" s="90">
        <v>0.14148164698641999</v>
      </c>
      <c r="AD361" s="90">
        <v>383.37153565192699</v>
      </c>
      <c r="AF361" s="90">
        <v>-1</v>
      </c>
      <c r="AG361" s="90">
        <v>-1</v>
      </c>
      <c r="AH361" s="90">
        <v>-1</v>
      </c>
      <c r="AI361" s="90">
        <v>-1</v>
      </c>
      <c r="AJ361" s="90">
        <v>0</v>
      </c>
      <c r="AM361" s="90" t="s">
        <v>379</v>
      </c>
      <c r="AN361" s="90">
        <v>-1</v>
      </c>
      <c r="AQ361" s="90">
        <v>356</v>
      </c>
      <c r="AR361" s="90" t="s">
        <v>380</v>
      </c>
      <c r="AS361" s="90" t="s">
        <v>246</v>
      </c>
      <c r="AT361" s="90" t="s">
        <v>244</v>
      </c>
      <c r="AU361" s="90">
        <v>175.87190000000001</v>
      </c>
      <c r="AV361" s="90">
        <v>117.84096050922101</v>
      </c>
      <c r="AW361" s="90">
        <v>410.43785785058299</v>
      </c>
      <c r="AX361" s="90">
        <v>0.31092581969999999</v>
      </c>
    </row>
    <row r="362" spans="1:50" x14ac:dyDescent="0.25">
      <c r="A362" s="102">
        <v>830000</v>
      </c>
      <c r="B362" s="102">
        <v>2400000</v>
      </c>
      <c r="C362" s="102">
        <v>2400000</v>
      </c>
      <c r="D362" s="90" t="s">
        <v>374</v>
      </c>
      <c r="E362" s="90" t="s">
        <v>68</v>
      </c>
      <c r="F362" s="90" t="s">
        <v>375</v>
      </c>
      <c r="G362" s="90" t="s">
        <v>376</v>
      </c>
      <c r="H362" s="90">
        <v>0.59</v>
      </c>
      <c r="I362" s="90">
        <v>0.64</v>
      </c>
      <c r="J362" s="90" t="s">
        <v>381</v>
      </c>
      <c r="K362" s="90">
        <v>2.5037409837360001E-2</v>
      </c>
      <c r="L362" s="90">
        <v>3749.6178227435298</v>
      </c>
      <c r="M362" s="90">
        <v>9.1118742840489908</v>
      </c>
      <c r="N362" s="90">
        <v>1.29799284323793</v>
      </c>
      <c r="O362" s="90">
        <v>0.22813773083624</v>
      </c>
      <c r="P362" s="90">
        <v>3.2498378782110003E-2</v>
      </c>
      <c r="Q362" s="90">
        <v>93.880718161503097</v>
      </c>
      <c r="R362" s="90">
        <v>1300</v>
      </c>
      <c r="S362" s="90" t="s">
        <v>387</v>
      </c>
      <c r="T362" s="90">
        <v>1300</v>
      </c>
      <c r="U362" s="90" t="s">
        <v>382</v>
      </c>
      <c r="V362" s="90" t="s">
        <v>381</v>
      </c>
      <c r="Z362" s="90">
        <v>0</v>
      </c>
      <c r="AA362" s="90">
        <v>1</v>
      </c>
      <c r="AB362" s="90">
        <v>0.22813773083624</v>
      </c>
      <c r="AC362" s="90">
        <v>3.2498378782110003E-2</v>
      </c>
      <c r="AD362" s="90">
        <v>93.880718161504205</v>
      </c>
      <c r="AF362" s="90">
        <v>-1</v>
      </c>
      <c r="AG362" s="90">
        <v>-1</v>
      </c>
      <c r="AH362" s="90">
        <v>-1</v>
      </c>
      <c r="AI362" s="90">
        <v>-1</v>
      </c>
      <c r="AJ362" s="90">
        <v>0</v>
      </c>
      <c r="AM362" s="90" t="s">
        <v>379</v>
      </c>
      <c r="AN362" s="90">
        <v>-1</v>
      </c>
      <c r="AQ362" s="90">
        <v>356</v>
      </c>
      <c r="AR362" s="90" t="s">
        <v>380</v>
      </c>
      <c r="AS362" s="90" t="s">
        <v>246</v>
      </c>
      <c r="AT362" s="90" t="s">
        <v>244</v>
      </c>
      <c r="AU362" s="90">
        <v>175.87190000000001</v>
      </c>
      <c r="AV362" s="90">
        <v>104.07373410380301</v>
      </c>
      <c r="AW362" s="90">
        <v>101.322802800586</v>
      </c>
      <c r="AX362" s="90">
        <v>7.6140079599999994E-2</v>
      </c>
    </row>
    <row r="363" spans="1:50" x14ac:dyDescent="0.25">
      <c r="A363" s="102">
        <v>830000</v>
      </c>
      <c r="B363" s="102">
        <v>2400000</v>
      </c>
      <c r="C363" s="102">
        <v>2400000</v>
      </c>
      <c r="D363" s="90" t="s">
        <v>374</v>
      </c>
      <c r="E363" s="90" t="s">
        <v>68</v>
      </c>
      <c r="F363" s="90" t="s">
        <v>375</v>
      </c>
      <c r="G363" s="90" t="s">
        <v>376</v>
      </c>
      <c r="H363" s="90">
        <v>0.59</v>
      </c>
      <c r="I363" s="90">
        <v>0.64</v>
      </c>
      <c r="J363" s="90" t="s">
        <v>244</v>
      </c>
      <c r="K363" s="90">
        <v>2.1719848154000002E-3</v>
      </c>
      <c r="L363" s="90">
        <v>3749.6178227435298</v>
      </c>
      <c r="M363" s="90">
        <v>9.1118742840489908</v>
      </c>
      <c r="N363" s="90">
        <v>1.29799284323793</v>
      </c>
      <c r="O363" s="90">
        <v>1.9790852584789999E-2</v>
      </c>
      <c r="P363" s="90">
        <v>2.8192207460100002E-3</v>
      </c>
      <c r="Q363" s="90">
        <v>8.1441129745559095</v>
      </c>
      <c r="R363" s="90">
        <v>1400</v>
      </c>
      <c r="S363" s="90" t="s">
        <v>324</v>
      </c>
      <c r="T363" s="90">
        <v>1400</v>
      </c>
      <c r="U363" s="90" t="s">
        <v>378</v>
      </c>
      <c r="V363" s="90" t="s">
        <v>244</v>
      </c>
      <c r="Z363" s="90">
        <v>0</v>
      </c>
      <c r="AA363" s="90">
        <v>1</v>
      </c>
      <c r="AB363" s="90">
        <v>1.9790852584789999E-2</v>
      </c>
      <c r="AC363" s="90">
        <v>2.8192207460100002E-3</v>
      </c>
      <c r="AD363" s="90">
        <v>8.1441129745557994</v>
      </c>
      <c r="AF363" s="90">
        <v>-1</v>
      </c>
      <c r="AG363" s="90">
        <v>-1</v>
      </c>
      <c r="AH363" s="90">
        <v>-1</v>
      </c>
      <c r="AI363" s="90">
        <v>-1</v>
      </c>
      <c r="AJ363" s="90">
        <v>0</v>
      </c>
      <c r="AM363" s="90" t="s">
        <v>379</v>
      </c>
      <c r="AN363" s="90">
        <v>-1</v>
      </c>
      <c r="AQ363" s="90">
        <v>356</v>
      </c>
      <c r="AR363" s="90" t="s">
        <v>380</v>
      </c>
      <c r="AS363" s="90" t="s">
        <v>246</v>
      </c>
      <c r="AT363" s="90" t="s">
        <v>244</v>
      </c>
      <c r="AU363" s="90">
        <v>175.87190000000001</v>
      </c>
      <c r="AV363" s="90">
        <v>100.39206044422301</v>
      </c>
      <c r="AW363" s="90">
        <v>8.7897106995606809</v>
      </c>
      <c r="AX363" s="90">
        <v>6.6051199999999999E-3</v>
      </c>
    </row>
    <row r="364" spans="1:50" x14ac:dyDescent="0.25">
      <c r="A364" s="102">
        <v>830000</v>
      </c>
      <c r="B364" s="102">
        <v>2400000</v>
      </c>
      <c r="C364" s="102">
        <v>2400000</v>
      </c>
      <c r="D364" s="90" t="s">
        <v>374</v>
      </c>
      <c r="E364" s="90" t="s">
        <v>68</v>
      </c>
      <c r="F364" s="90" t="s">
        <v>375</v>
      </c>
      <c r="G364" s="90" t="s">
        <v>376</v>
      </c>
      <c r="H364" s="90">
        <v>0.59</v>
      </c>
      <c r="I364" s="90">
        <v>0.64</v>
      </c>
      <c r="J364" s="90" t="s">
        <v>381</v>
      </c>
      <c r="K364" s="90">
        <v>4.7263780000420003E-2</v>
      </c>
      <c r="L364" s="90">
        <v>3749.6178227435298</v>
      </c>
      <c r="M364" s="90">
        <v>9.1118742840489908</v>
      </c>
      <c r="N364" s="90">
        <v>1.29799284323793</v>
      </c>
      <c r="O364" s="90">
        <v>0.43066162155283999</v>
      </c>
      <c r="P364" s="90">
        <v>6.1348048184919998E-2</v>
      </c>
      <c r="Q364" s="90">
        <v>177.22111185982999</v>
      </c>
      <c r="R364" s="90">
        <v>1400</v>
      </c>
      <c r="S364" s="90" t="s">
        <v>324</v>
      </c>
      <c r="T364" s="90">
        <v>1400</v>
      </c>
      <c r="U364" s="90" t="s">
        <v>382</v>
      </c>
      <c r="V364" s="90" t="s">
        <v>381</v>
      </c>
      <c r="Z364" s="90">
        <v>0</v>
      </c>
      <c r="AA364" s="90">
        <v>1</v>
      </c>
      <c r="AB364" s="90">
        <v>0.43066162155283999</v>
      </c>
      <c r="AC364" s="90">
        <v>6.1348048184919998E-2</v>
      </c>
      <c r="AD364" s="90">
        <v>177.22111185982899</v>
      </c>
      <c r="AF364" s="90">
        <v>-1</v>
      </c>
      <c r="AG364" s="90">
        <v>-1</v>
      </c>
      <c r="AH364" s="90">
        <v>-1</v>
      </c>
      <c r="AI364" s="90">
        <v>-1</v>
      </c>
      <c r="AJ364" s="90">
        <v>0</v>
      </c>
      <c r="AM364" s="90" t="s">
        <v>379</v>
      </c>
      <c r="AN364" s="90">
        <v>-1</v>
      </c>
      <c r="AQ364" s="90">
        <v>356</v>
      </c>
      <c r="AR364" s="90" t="s">
        <v>380</v>
      </c>
      <c r="AS364" s="90" t="s">
        <v>246</v>
      </c>
      <c r="AT364" s="90" t="s">
        <v>244</v>
      </c>
      <c r="AU364" s="90">
        <v>175.87190000000001</v>
      </c>
      <c r="AV364" s="90">
        <v>107.818448791466</v>
      </c>
      <c r="AW364" s="90">
        <v>191.269731641627</v>
      </c>
      <c r="AX364" s="90">
        <v>0.14373163980000001</v>
      </c>
    </row>
    <row r="365" spans="1:50" x14ac:dyDescent="0.25">
      <c r="A365" s="102">
        <v>830000</v>
      </c>
      <c r="B365" s="102">
        <v>2400000</v>
      </c>
      <c r="C365" s="102">
        <v>2400000</v>
      </c>
      <c r="D365" s="90" t="s">
        <v>374</v>
      </c>
      <c r="E365" s="90" t="s">
        <v>68</v>
      </c>
      <c r="F365" s="90" t="s">
        <v>375</v>
      </c>
      <c r="G365" s="90" t="s">
        <v>376</v>
      </c>
      <c r="H365" s="90">
        <v>0.59</v>
      </c>
      <c r="I365" s="90">
        <v>0.64</v>
      </c>
      <c r="J365" s="90" t="s">
        <v>381</v>
      </c>
      <c r="K365" s="90">
        <v>0.30031411464865998</v>
      </c>
      <c r="L365" s="90">
        <v>3749.6178227435298</v>
      </c>
      <c r="M365" s="90">
        <v>9.1118742840489908</v>
      </c>
      <c r="N365" s="90">
        <v>1.29799284323793</v>
      </c>
      <c r="O365" s="90">
        <v>2.73642445840408</v>
      </c>
      <c r="P365" s="90">
        <v>0.38980557153729001</v>
      </c>
      <c r="Q365" s="90">
        <v>1126.06315670806</v>
      </c>
      <c r="R365" s="90">
        <v>8140</v>
      </c>
      <c r="S365" s="90" t="s">
        <v>386</v>
      </c>
      <c r="T365" s="90">
        <v>8140</v>
      </c>
      <c r="U365" s="90" t="s">
        <v>382</v>
      </c>
      <c r="V365" s="90" t="s">
        <v>381</v>
      </c>
      <c r="Z365" s="90">
        <v>0</v>
      </c>
      <c r="AA365" s="90">
        <v>1</v>
      </c>
      <c r="AB365" s="90">
        <v>2.73642445840408</v>
      </c>
      <c r="AC365" s="90">
        <v>0.38980557153729001</v>
      </c>
      <c r="AD365" s="90">
        <v>1126.06315670806</v>
      </c>
      <c r="AF365" s="90">
        <v>-1</v>
      </c>
      <c r="AG365" s="90">
        <v>-1</v>
      </c>
      <c r="AH365" s="90">
        <v>-1</v>
      </c>
      <c r="AI365" s="90">
        <v>-1</v>
      </c>
      <c r="AJ365" s="90">
        <v>0</v>
      </c>
      <c r="AM365" s="90" t="s">
        <v>379</v>
      </c>
      <c r="AN365" s="90">
        <v>-1</v>
      </c>
      <c r="AQ365" s="90">
        <v>356</v>
      </c>
      <c r="AR365" s="90" t="s">
        <v>380</v>
      </c>
      <c r="AS365" s="90" t="s">
        <v>246</v>
      </c>
      <c r="AT365" s="90" t="s">
        <v>244</v>
      </c>
      <c r="AU365" s="90">
        <v>175.87190000000001</v>
      </c>
      <c r="AV365" s="90">
        <v>148.52475096188601</v>
      </c>
      <c r="AW365" s="90">
        <v>1215.3281036033</v>
      </c>
      <c r="AX365" s="90">
        <v>0.91327101109999997</v>
      </c>
    </row>
    <row r="366" spans="1:50" x14ac:dyDescent="0.25">
      <c r="A366" s="102">
        <v>830000</v>
      </c>
      <c r="B366" s="102">
        <v>2400000</v>
      </c>
      <c r="C366" s="102">
        <v>2400000</v>
      </c>
      <c r="D366" s="90" t="s">
        <v>374</v>
      </c>
      <c r="E366" s="90" t="s">
        <v>68</v>
      </c>
      <c r="F366" s="90" t="s">
        <v>375</v>
      </c>
      <c r="G366" s="90" t="s">
        <v>376</v>
      </c>
      <c r="H366" s="90">
        <v>0.59</v>
      </c>
      <c r="I366" s="90">
        <v>0.64</v>
      </c>
      <c r="J366" s="90" t="s">
        <v>244</v>
      </c>
      <c r="K366" s="90">
        <v>3.582991648271E-2</v>
      </c>
      <c r="L366" s="90">
        <v>3749.6178227435298</v>
      </c>
      <c r="M366" s="90">
        <v>9.1118742840489908</v>
      </c>
      <c r="N366" s="90">
        <v>1.29799284323793</v>
      </c>
      <c r="O366" s="90">
        <v>0.32647769459845</v>
      </c>
      <c r="P366" s="90">
        <v>4.6506975168369998E-2</v>
      </c>
      <c r="Q366" s="90">
        <v>134.34849343099299</v>
      </c>
      <c r="R366" s="90">
        <v>1410</v>
      </c>
      <c r="S366" s="90" t="s">
        <v>325</v>
      </c>
      <c r="T366" s="90">
        <v>1410</v>
      </c>
      <c r="U366" s="90" t="s">
        <v>378</v>
      </c>
      <c r="V366" s="90" t="s">
        <v>244</v>
      </c>
      <c r="Z366" s="90">
        <v>0</v>
      </c>
      <c r="AA366" s="90">
        <v>1</v>
      </c>
      <c r="AB366" s="90">
        <v>0.32647769459845</v>
      </c>
      <c r="AC366" s="90">
        <v>4.6506975168369998E-2</v>
      </c>
      <c r="AD366" s="90">
        <v>134.34849343099199</v>
      </c>
      <c r="AF366" s="90">
        <v>-1</v>
      </c>
      <c r="AG366" s="90">
        <v>-1</v>
      </c>
      <c r="AH366" s="90">
        <v>-1</v>
      </c>
      <c r="AI366" s="90">
        <v>-1</v>
      </c>
      <c r="AJ366" s="90">
        <v>0</v>
      </c>
      <c r="AM366" s="90" t="s">
        <v>379</v>
      </c>
      <c r="AN366" s="90">
        <v>-1</v>
      </c>
      <c r="AQ366" s="90">
        <v>356</v>
      </c>
      <c r="AR366" s="90" t="s">
        <v>380</v>
      </c>
      <c r="AS366" s="90" t="s">
        <v>246</v>
      </c>
      <c r="AT366" s="90" t="s">
        <v>244</v>
      </c>
      <c r="AU366" s="90">
        <v>175.87190000000001</v>
      </c>
      <c r="AV366" s="90">
        <v>48.730341118992797</v>
      </c>
      <c r="AW366" s="90">
        <v>144.99852763212201</v>
      </c>
      <c r="AX366" s="90">
        <v>0.1089606597</v>
      </c>
    </row>
    <row r="367" spans="1:50" x14ac:dyDescent="0.25">
      <c r="A367" s="102">
        <v>830000</v>
      </c>
      <c r="B367" s="102">
        <v>2400000</v>
      </c>
      <c r="C367" s="102">
        <v>2400000</v>
      </c>
      <c r="D367" s="90" t="s">
        <v>374</v>
      </c>
      <c r="E367" s="90" t="s">
        <v>68</v>
      </c>
      <c r="F367" s="90" t="s">
        <v>375</v>
      </c>
      <c r="G367" s="90" t="s">
        <v>376</v>
      </c>
      <c r="H367" s="90">
        <v>0.59</v>
      </c>
      <c r="I367" s="90">
        <v>0.64</v>
      </c>
      <c r="J367" s="90" t="s">
        <v>244</v>
      </c>
      <c r="K367" s="90">
        <v>6.0610893131439997E-2</v>
      </c>
      <c r="L367" s="90">
        <v>3749.6178227435298</v>
      </c>
      <c r="M367" s="90">
        <v>9.1118742840489908</v>
      </c>
      <c r="N367" s="90">
        <v>1.29799284323793</v>
      </c>
      <c r="O367" s="90">
        <v>0.55227883845765002</v>
      </c>
      <c r="P367" s="90">
        <v>7.8672505506869994E-2</v>
      </c>
      <c r="Q367" s="90">
        <v>227.267685138069</v>
      </c>
      <c r="R367" s="90">
        <v>1300</v>
      </c>
      <c r="S367" s="90" t="s">
        <v>387</v>
      </c>
      <c r="T367" s="90">
        <v>1300</v>
      </c>
      <c r="U367" s="90" t="s">
        <v>378</v>
      </c>
      <c r="V367" s="90" t="s">
        <v>244</v>
      </c>
      <c r="Z367" s="90">
        <v>0</v>
      </c>
      <c r="AA367" s="90">
        <v>1</v>
      </c>
      <c r="AB367" s="90">
        <v>0.55227883845765002</v>
      </c>
      <c r="AC367" s="90">
        <v>7.8672505506869994E-2</v>
      </c>
      <c r="AD367" s="90">
        <v>227.267685138068</v>
      </c>
      <c r="AF367" s="90">
        <v>-1</v>
      </c>
      <c r="AG367" s="90">
        <v>-1</v>
      </c>
      <c r="AH367" s="90">
        <v>-1</v>
      </c>
      <c r="AI367" s="90">
        <v>-1</v>
      </c>
      <c r="AJ367" s="90">
        <v>0</v>
      </c>
      <c r="AM367" s="90" t="s">
        <v>379</v>
      </c>
      <c r="AN367" s="90">
        <v>-1</v>
      </c>
      <c r="AQ367" s="90">
        <v>356</v>
      </c>
      <c r="AR367" s="90" t="s">
        <v>380</v>
      </c>
      <c r="AS367" s="90" t="s">
        <v>246</v>
      </c>
      <c r="AT367" s="90" t="s">
        <v>244</v>
      </c>
      <c r="AU367" s="90">
        <v>175.87190000000001</v>
      </c>
      <c r="AV367" s="90">
        <v>109.83107832315601</v>
      </c>
      <c r="AW367" s="90">
        <v>245.283582136386</v>
      </c>
      <c r="AX367" s="90">
        <v>0.18432091249999999</v>
      </c>
    </row>
    <row r="368" spans="1:50" x14ac:dyDescent="0.25">
      <c r="A368" s="102">
        <v>830000</v>
      </c>
      <c r="B368" s="102">
        <v>2400000</v>
      </c>
      <c r="C368" s="102">
        <v>2400000</v>
      </c>
      <c r="D368" s="90" t="s">
        <v>374</v>
      </c>
      <c r="E368" s="90" t="s">
        <v>68</v>
      </c>
      <c r="F368" s="90" t="s">
        <v>375</v>
      </c>
      <c r="G368" s="90" t="s">
        <v>376</v>
      </c>
      <c r="H368" s="90">
        <v>0.59</v>
      </c>
      <c r="I368" s="90">
        <v>0.64</v>
      </c>
      <c r="J368" s="90" t="s">
        <v>381</v>
      </c>
      <c r="K368" s="90">
        <v>2.1696155774999998E-3</v>
      </c>
      <c r="L368" s="90">
        <v>3749.6178227435298</v>
      </c>
      <c r="M368" s="90">
        <v>9.1118742840489908</v>
      </c>
      <c r="N368" s="90">
        <v>1.29799284323793</v>
      </c>
      <c r="O368" s="90">
        <v>1.9769264386909999E-2</v>
      </c>
      <c r="P368" s="90">
        <v>2.81614549217E-3</v>
      </c>
      <c r="Q368" s="90">
        <v>8.1352292379035003</v>
      </c>
      <c r="R368" s="90">
        <v>1300</v>
      </c>
      <c r="S368" s="90" t="s">
        <v>387</v>
      </c>
      <c r="T368" s="90">
        <v>1300</v>
      </c>
      <c r="U368" s="90" t="s">
        <v>382</v>
      </c>
      <c r="V368" s="90" t="s">
        <v>381</v>
      </c>
      <c r="Z368" s="90">
        <v>0</v>
      </c>
      <c r="AA368" s="90">
        <v>1</v>
      </c>
      <c r="AB368" s="90">
        <v>1.9769264386909999E-2</v>
      </c>
      <c r="AC368" s="90">
        <v>2.81614549217E-3</v>
      </c>
      <c r="AD368" s="90">
        <v>8.1352292379025997</v>
      </c>
      <c r="AF368" s="90">
        <v>-1</v>
      </c>
      <c r="AG368" s="90">
        <v>-1</v>
      </c>
      <c r="AH368" s="90">
        <v>-1</v>
      </c>
      <c r="AI368" s="90">
        <v>-1</v>
      </c>
      <c r="AJ368" s="90">
        <v>0</v>
      </c>
      <c r="AM368" s="90" t="s">
        <v>379</v>
      </c>
      <c r="AN368" s="90">
        <v>-1</v>
      </c>
      <c r="AQ368" s="90">
        <v>356</v>
      </c>
      <c r="AR368" s="90" t="s">
        <v>380</v>
      </c>
      <c r="AS368" s="90" t="s">
        <v>246</v>
      </c>
      <c r="AT368" s="90" t="s">
        <v>244</v>
      </c>
      <c r="AU368" s="90">
        <v>175.87190000000001</v>
      </c>
      <c r="AV368" s="90">
        <v>100.390674990775</v>
      </c>
      <c r="AW368" s="90">
        <v>8.7801227339520906</v>
      </c>
      <c r="AX368" s="90">
        <v>6.5979150000000002E-3</v>
      </c>
    </row>
    <row r="369" spans="1:50" x14ac:dyDescent="0.25">
      <c r="A369" s="102">
        <v>830000</v>
      </c>
      <c r="B369" s="102">
        <v>2400000</v>
      </c>
      <c r="C369" s="102">
        <v>2400000</v>
      </c>
      <c r="D369" s="90" t="s">
        <v>374</v>
      </c>
      <c r="E369" s="90" t="s">
        <v>68</v>
      </c>
      <c r="F369" s="90" t="s">
        <v>375</v>
      </c>
      <c r="G369" s="90" t="s">
        <v>376</v>
      </c>
      <c r="H369" s="90">
        <v>0.59</v>
      </c>
      <c r="I369" s="90">
        <v>0.64</v>
      </c>
      <c r="J369" s="90" t="s">
        <v>244</v>
      </c>
      <c r="K369" s="90">
        <v>0.10158760708877999</v>
      </c>
      <c r="L369" s="90">
        <v>3769.1017858895998</v>
      </c>
      <c r="M369" s="90">
        <v>11.6969045114585</v>
      </c>
      <c r="N369" s="90">
        <v>1.66902372716789</v>
      </c>
      <c r="O369" s="90">
        <v>1.1882605396650401</v>
      </c>
      <c r="P369" s="90">
        <v>0.16955212661738001</v>
      </c>
      <c r="Q369" s="90">
        <v>382.894031302575</v>
      </c>
      <c r="R369" s="90">
        <v>1300</v>
      </c>
      <c r="S369" s="90" t="s">
        <v>387</v>
      </c>
      <c r="T369" s="90">
        <v>1300</v>
      </c>
      <c r="U369" s="90" t="s">
        <v>378</v>
      </c>
      <c r="V369" s="90" t="s">
        <v>244</v>
      </c>
      <c r="Z369" s="90">
        <v>0</v>
      </c>
      <c r="AA369" s="90">
        <v>1</v>
      </c>
      <c r="AB369" s="90">
        <v>1.1882605396650401</v>
      </c>
      <c r="AC369" s="90">
        <v>0.16955212661738001</v>
      </c>
      <c r="AD369" s="90">
        <v>382.894031302575</v>
      </c>
      <c r="AF369" s="90">
        <v>-1</v>
      </c>
      <c r="AG369" s="90">
        <v>-1</v>
      </c>
      <c r="AH369" s="90">
        <v>-1</v>
      </c>
      <c r="AI369" s="90">
        <v>-1</v>
      </c>
      <c r="AJ369" s="90">
        <v>0</v>
      </c>
      <c r="AM369" s="90" t="s">
        <v>379</v>
      </c>
      <c r="AN369" s="90">
        <v>-1</v>
      </c>
      <c r="AQ369" s="90">
        <v>356</v>
      </c>
      <c r="AR369" s="90" t="s">
        <v>380</v>
      </c>
      <c r="AS369" s="90" t="s">
        <v>246</v>
      </c>
      <c r="AT369" s="90" t="s">
        <v>244</v>
      </c>
      <c r="AU369" s="90">
        <v>175.87190000000001</v>
      </c>
      <c r="AV369" s="90">
        <v>116.45283190188201</v>
      </c>
      <c r="AW369" s="90">
        <v>411.11046018347901</v>
      </c>
      <c r="AX369" s="90">
        <v>0.31053854930000002</v>
      </c>
    </row>
    <row r="370" spans="1:50" x14ac:dyDescent="0.25">
      <c r="A370" s="102">
        <v>830000</v>
      </c>
      <c r="B370" s="102">
        <v>2400000</v>
      </c>
      <c r="C370" s="102">
        <v>2400000</v>
      </c>
      <c r="D370" s="90" t="s">
        <v>374</v>
      </c>
      <c r="E370" s="90" t="s">
        <v>68</v>
      </c>
      <c r="F370" s="90" t="s">
        <v>375</v>
      </c>
      <c r="G370" s="90" t="s">
        <v>376</v>
      </c>
      <c r="H370" s="90">
        <v>0.59</v>
      </c>
      <c r="I370" s="90">
        <v>0.64</v>
      </c>
      <c r="J370" s="90" t="s">
        <v>244</v>
      </c>
      <c r="K370" s="90">
        <v>3.3101158298020003E-2</v>
      </c>
      <c r="L370" s="90">
        <v>3769.1017858895998</v>
      </c>
      <c r="M370" s="90">
        <v>11.6969045114585</v>
      </c>
      <c r="N370" s="90">
        <v>1.66902372716789</v>
      </c>
      <c r="O370" s="90">
        <v>0.38718108783069999</v>
      </c>
      <c r="P370" s="90">
        <v>5.5246618596140003E-2</v>
      </c>
      <c r="Q370" s="90">
        <v>124.761634856111</v>
      </c>
      <c r="R370" s="90">
        <v>1400</v>
      </c>
      <c r="S370" s="90" t="s">
        <v>324</v>
      </c>
      <c r="T370" s="90">
        <v>1400</v>
      </c>
      <c r="U370" s="90" t="s">
        <v>378</v>
      </c>
      <c r="V370" s="90" t="s">
        <v>244</v>
      </c>
      <c r="Z370" s="90">
        <v>0</v>
      </c>
      <c r="AA370" s="90">
        <v>1</v>
      </c>
      <c r="AB370" s="90">
        <v>0.38718108783069999</v>
      </c>
      <c r="AC370" s="90">
        <v>5.5246618596140003E-2</v>
      </c>
      <c r="AD370" s="90">
        <v>124.761634856111</v>
      </c>
      <c r="AF370" s="90">
        <v>-1</v>
      </c>
      <c r="AG370" s="90">
        <v>-1</v>
      </c>
      <c r="AH370" s="90">
        <v>-1</v>
      </c>
      <c r="AI370" s="90">
        <v>-1</v>
      </c>
      <c r="AJ370" s="90">
        <v>0</v>
      </c>
      <c r="AM370" s="90" t="s">
        <v>379</v>
      </c>
      <c r="AN370" s="90">
        <v>-1</v>
      </c>
      <c r="AQ370" s="90">
        <v>356</v>
      </c>
      <c r="AR370" s="90" t="s">
        <v>380</v>
      </c>
      <c r="AS370" s="90" t="s">
        <v>246</v>
      </c>
      <c r="AT370" s="90" t="s">
        <v>244</v>
      </c>
      <c r="AU370" s="90">
        <v>175.87190000000001</v>
      </c>
      <c r="AV370" s="90">
        <v>105.389371304683</v>
      </c>
      <c r="AW370" s="90">
        <v>133.955635047253</v>
      </c>
      <c r="AX370" s="90">
        <v>0.1011854297</v>
      </c>
    </row>
    <row r="371" spans="1:50" x14ac:dyDescent="0.25">
      <c r="A371" s="102">
        <v>830000</v>
      </c>
      <c r="B371" s="102">
        <v>2400000</v>
      </c>
      <c r="C371" s="102">
        <v>2400000</v>
      </c>
      <c r="D371" s="90" t="s">
        <v>374</v>
      </c>
      <c r="E371" s="90" t="s">
        <v>68</v>
      </c>
      <c r="F371" s="90" t="s">
        <v>375</v>
      </c>
      <c r="G371" s="90" t="s">
        <v>376</v>
      </c>
      <c r="H371" s="90">
        <v>0.59</v>
      </c>
      <c r="I371" s="90">
        <v>0.64</v>
      </c>
      <c r="J371" s="90" t="s">
        <v>244</v>
      </c>
      <c r="K371" s="90">
        <v>0.48307468839617002</v>
      </c>
      <c r="L371" s="90">
        <v>3769.1017858895998</v>
      </c>
      <c r="M371" s="90">
        <v>11.6969045114585</v>
      </c>
      <c r="N371" s="90">
        <v>1.66902372716789</v>
      </c>
      <c r="O371" s="90">
        <v>5.65047850207264</v>
      </c>
      <c r="P371" s="90">
        <v>0.80626311692744002</v>
      </c>
      <c r="Q371" s="90">
        <v>1820.75767075207</v>
      </c>
      <c r="R371" s="90">
        <v>1450</v>
      </c>
      <c r="S371" s="90" t="s">
        <v>391</v>
      </c>
      <c r="T371" s="90">
        <v>1450</v>
      </c>
      <c r="U371" s="90" t="s">
        <v>378</v>
      </c>
      <c r="V371" s="90" t="s">
        <v>244</v>
      </c>
      <c r="Z371" s="90">
        <v>0</v>
      </c>
      <c r="AA371" s="90">
        <v>1</v>
      </c>
      <c r="AB371" s="90">
        <v>5.65047850207264</v>
      </c>
      <c r="AC371" s="90">
        <v>0.80626311692744002</v>
      </c>
      <c r="AD371" s="90">
        <v>1820.75767075207</v>
      </c>
      <c r="AF371" s="90">
        <v>-1</v>
      </c>
      <c r="AG371" s="90">
        <v>-1</v>
      </c>
      <c r="AH371" s="90">
        <v>-1</v>
      </c>
      <c r="AI371" s="90">
        <v>-1</v>
      </c>
      <c r="AJ371" s="90">
        <v>0</v>
      </c>
      <c r="AM371" s="90" t="s">
        <v>379</v>
      </c>
      <c r="AN371" s="90">
        <v>-1</v>
      </c>
      <c r="AQ371" s="90">
        <v>356</v>
      </c>
      <c r="AR371" s="90" t="s">
        <v>380</v>
      </c>
      <c r="AS371" s="90" t="s">
        <v>246</v>
      </c>
      <c r="AT371" s="90" t="s">
        <v>244</v>
      </c>
      <c r="AU371" s="90">
        <v>175.87190000000001</v>
      </c>
      <c r="AV371" s="90">
        <v>178.220088618445</v>
      </c>
      <c r="AW371" s="90">
        <v>1954.9339052349201</v>
      </c>
      <c r="AX371" s="90">
        <v>1.4766891085</v>
      </c>
    </row>
    <row r="372" spans="1:50" x14ac:dyDescent="0.25">
      <c r="A372" s="102">
        <v>830000</v>
      </c>
      <c r="B372" s="102">
        <v>2400000</v>
      </c>
      <c r="C372" s="102">
        <v>2400000</v>
      </c>
      <c r="D372" s="90" t="s">
        <v>374</v>
      </c>
      <c r="E372" s="90" t="s">
        <v>68</v>
      </c>
      <c r="F372" s="90" t="s">
        <v>375</v>
      </c>
      <c r="G372" s="90" t="s">
        <v>376</v>
      </c>
      <c r="H372" s="90">
        <v>0.59</v>
      </c>
      <c r="I372" s="90">
        <v>0.64</v>
      </c>
      <c r="J372" s="90" t="s">
        <v>244</v>
      </c>
      <c r="K372" s="90">
        <v>5.3445697863700001E-2</v>
      </c>
      <c r="L372" s="90">
        <v>3775.4490399398601</v>
      </c>
      <c r="M372" s="90">
        <v>10.715049529922601</v>
      </c>
      <c r="N372" s="90">
        <v>1.47135991130282</v>
      </c>
      <c r="O372" s="90">
        <v>0.57267329977088</v>
      </c>
      <c r="P372" s="90">
        <v>7.8637857268249997E-2</v>
      </c>
      <c r="Q372" s="90">
        <v>201.78150868844099</v>
      </c>
      <c r="R372" s="90">
        <v>1300</v>
      </c>
      <c r="S372" s="90" t="s">
        <v>387</v>
      </c>
      <c r="T372" s="90">
        <v>1300</v>
      </c>
      <c r="U372" s="90" t="s">
        <v>378</v>
      </c>
      <c r="V372" s="90" t="s">
        <v>244</v>
      </c>
      <c r="Z372" s="90">
        <v>0</v>
      </c>
      <c r="AA372" s="90">
        <v>1</v>
      </c>
      <c r="AB372" s="90">
        <v>0.57267329977088</v>
      </c>
      <c r="AC372" s="90">
        <v>7.8637857268249997E-2</v>
      </c>
      <c r="AD372" s="90">
        <v>201.78150868844099</v>
      </c>
      <c r="AF372" s="90">
        <v>-1</v>
      </c>
      <c r="AG372" s="90">
        <v>-1</v>
      </c>
      <c r="AH372" s="90">
        <v>-1</v>
      </c>
      <c r="AI372" s="90">
        <v>-1</v>
      </c>
      <c r="AJ372" s="90">
        <v>0</v>
      </c>
      <c r="AM372" s="90" t="s">
        <v>379</v>
      </c>
      <c r="AN372" s="90">
        <v>-1</v>
      </c>
      <c r="AQ372" s="90">
        <v>356</v>
      </c>
      <c r="AR372" s="90" t="s">
        <v>380</v>
      </c>
      <c r="AS372" s="90" t="s">
        <v>246</v>
      </c>
      <c r="AT372" s="90" t="s">
        <v>244</v>
      </c>
      <c r="AU372" s="90">
        <v>175.87190000000001</v>
      </c>
      <c r="AV372" s="90">
        <v>79.208095938254203</v>
      </c>
      <c r="AW372" s="90">
        <v>216.287065649384</v>
      </c>
      <c r="AX372" s="90">
        <v>0.1636508586</v>
      </c>
    </row>
    <row r="373" spans="1:50" x14ac:dyDescent="0.25">
      <c r="A373" s="102">
        <v>830000</v>
      </c>
      <c r="B373" s="102">
        <v>2400000</v>
      </c>
      <c r="C373" s="102">
        <v>2400000</v>
      </c>
      <c r="D373" s="90" t="s">
        <v>374</v>
      </c>
      <c r="E373" s="90" t="s">
        <v>68</v>
      </c>
      <c r="F373" s="90" t="s">
        <v>375</v>
      </c>
      <c r="G373" s="90" t="s">
        <v>376</v>
      </c>
      <c r="H373" s="90">
        <v>0.59</v>
      </c>
      <c r="I373" s="90">
        <v>0.64</v>
      </c>
      <c r="J373" s="90" t="s">
        <v>381</v>
      </c>
      <c r="K373" s="90">
        <v>3.3510835973000002E-3</v>
      </c>
      <c r="L373" s="90">
        <v>3775.4490399398601</v>
      </c>
      <c r="M373" s="90">
        <v>10.715049529922601</v>
      </c>
      <c r="N373" s="90">
        <v>1.47135991130282</v>
      </c>
      <c r="O373" s="90">
        <v>3.5907026723980003E-2</v>
      </c>
      <c r="P373" s="90">
        <v>4.9306500644900001E-3</v>
      </c>
      <c r="Q373" s="90">
        <v>12.6518453501845</v>
      </c>
      <c r="R373" s="90">
        <v>1300</v>
      </c>
      <c r="S373" s="90" t="s">
        <v>387</v>
      </c>
      <c r="T373" s="90">
        <v>1300</v>
      </c>
      <c r="U373" s="90" t="s">
        <v>382</v>
      </c>
      <c r="V373" s="90" t="s">
        <v>381</v>
      </c>
      <c r="Z373" s="90">
        <v>0</v>
      </c>
      <c r="AA373" s="90">
        <v>1</v>
      </c>
      <c r="AB373" s="90">
        <v>3.5907026723980003E-2</v>
      </c>
      <c r="AC373" s="90">
        <v>4.9306500644900001E-3</v>
      </c>
      <c r="AD373" s="90">
        <v>12.651845350184701</v>
      </c>
      <c r="AF373" s="90">
        <v>-1</v>
      </c>
      <c r="AG373" s="90">
        <v>-1</v>
      </c>
      <c r="AH373" s="90">
        <v>-1</v>
      </c>
      <c r="AI373" s="90">
        <v>-1</v>
      </c>
      <c r="AJ373" s="90">
        <v>0</v>
      </c>
      <c r="AM373" s="90" t="s">
        <v>379</v>
      </c>
      <c r="AN373" s="90">
        <v>-1</v>
      </c>
      <c r="AQ373" s="90">
        <v>356</v>
      </c>
      <c r="AR373" s="90" t="s">
        <v>380</v>
      </c>
      <c r="AS373" s="90" t="s">
        <v>246</v>
      </c>
      <c r="AT373" s="90" t="s">
        <v>244</v>
      </c>
      <c r="AU373" s="90">
        <v>175.87190000000001</v>
      </c>
      <c r="AV373" s="90">
        <v>16.807260940098399</v>
      </c>
      <c r="AW373" s="90">
        <v>13.561354177733</v>
      </c>
      <c r="AX373" s="90">
        <v>1.02610262E-2</v>
      </c>
    </row>
    <row r="374" spans="1:50" x14ac:dyDescent="0.25">
      <c r="A374" s="102">
        <v>830000</v>
      </c>
      <c r="B374" s="102">
        <v>2400000</v>
      </c>
      <c r="C374" s="102">
        <v>2400000</v>
      </c>
      <c r="D374" s="90" t="s">
        <v>374</v>
      </c>
      <c r="E374" s="90" t="s">
        <v>68</v>
      </c>
      <c r="F374" s="90" t="s">
        <v>375</v>
      </c>
      <c r="G374" s="90" t="s">
        <v>376</v>
      </c>
      <c r="H374" s="90">
        <v>0.59</v>
      </c>
      <c r="I374" s="90">
        <v>0.64</v>
      </c>
      <c r="J374" s="90" t="s">
        <v>244</v>
      </c>
      <c r="K374" s="90">
        <v>1.301289623464E-2</v>
      </c>
      <c r="L374" s="90">
        <v>3775.4490399398601</v>
      </c>
      <c r="M374" s="90">
        <v>10.715049529922601</v>
      </c>
      <c r="N374" s="90">
        <v>1.47135991130282</v>
      </c>
      <c r="O374" s="90">
        <v>0.13943382768193999</v>
      </c>
      <c r="P374" s="90">
        <v>1.9146653849589999E-2</v>
      </c>
      <c r="Q374" s="90">
        <v>49.129526595919998</v>
      </c>
      <c r="R374" s="90">
        <v>1400</v>
      </c>
      <c r="S374" s="90" t="s">
        <v>324</v>
      </c>
      <c r="T374" s="90">
        <v>1400</v>
      </c>
      <c r="U374" s="90" t="s">
        <v>378</v>
      </c>
      <c r="V374" s="90" t="s">
        <v>244</v>
      </c>
      <c r="Z374" s="90">
        <v>0</v>
      </c>
      <c r="AA374" s="90">
        <v>1</v>
      </c>
      <c r="AB374" s="90">
        <v>0.13943382768193999</v>
      </c>
      <c r="AC374" s="90">
        <v>1.9146653849589999E-2</v>
      </c>
      <c r="AD374" s="90">
        <v>49.129526595918797</v>
      </c>
      <c r="AF374" s="90">
        <v>-1</v>
      </c>
      <c r="AG374" s="90">
        <v>-1</v>
      </c>
      <c r="AH374" s="90">
        <v>-1</v>
      </c>
      <c r="AI374" s="90">
        <v>-1</v>
      </c>
      <c r="AJ374" s="90">
        <v>0</v>
      </c>
      <c r="AM374" s="90" t="s">
        <v>379</v>
      </c>
      <c r="AN374" s="90">
        <v>-1</v>
      </c>
      <c r="AQ374" s="90">
        <v>356</v>
      </c>
      <c r="AR374" s="90" t="s">
        <v>380</v>
      </c>
      <c r="AS374" s="90" t="s">
        <v>246</v>
      </c>
      <c r="AT374" s="90" t="s">
        <v>244</v>
      </c>
      <c r="AU374" s="90">
        <v>175.87190000000001</v>
      </c>
      <c r="AV374" s="90">
        <v>69.101657404124396</v>
      </c>
      <c r="AW374" s="90">
        <v>52.661322701188702</v>
      </c>
      <c r="AX374" s="90">
        <v>3.9845520400000001E-2</v>
      </c>
    </row>
    <row r="375" spans="1:50" x14ac:dyDescent="0.25">
      <c r="A375" s="102">
        <v>830000</v>
      </c>
      <c r="B375" s="102">
        <v>2400000</v>
      </c>
      <c r="C375" s="102">
        <v>2400000</v>
      </c>
      <c r="D375" s="90" t="s">
        <v>374</v>
      </c>
      <c r="E375" s="90" t="s">
        <v>68</v>
      </c>
      <c r="F375" s="90" t="s">
        <v>375</v>
      </c>
      <c r="G375" s="90" t="s">
        <v>376</v>
      </c>
      <c r="H375" s="90">
        <v>0.59</v>
      </c>
      <c r="I375" s="90">
        <v>0.64</v>
      </c>
      <c r="J375" s="90" t="s">
        <v>381</v>
      </c>
      <c r="K375" s="90">
        <v>3.4560499998480002E-2</v>
      </c>
      <c r="L375" s="90">
        <v>3775.4490399398601</v>
      </c>
      <c r="M375" s="90">
        <v>10.715049529922601</v>
      </c>
      <c r="N375" s="90">
        <v>1.47135991130282</v>
      </c>
      <c r="O375" s="90">
        <v>0.37031746926268</v>
      </c>
      <c r="P375" s="90">
        <v>5.0850934212349999E-2</v>
      </c>
      <c r="Q375" s="90">
        <v>130.48140653912901</v>
      </c>
      <c r="R375" s="90">
        <v>1400</v>
      </c>
      <c r="S375" s="90" t="s">
        <v>324</v>
      </c>
      <c r="T375" s="90">
        <v>1400</v>
      </c>
      <c r="U375" s="90" t="s">
        <v>382</v>
      </c>
      <c r="V375" s="90" t="s">
        <v>381</v>
      </c>
      <c r="Z375" s="90">
        <v>0</v>
      </c>
      <c r="AA375" s="90">
        <v>1</v>
      </c>
      <c r="AB375" s="90">
        <v>0.37031746926268</v>
      </c>
      <c r="AC375" s="90">
        <v>5.0850934212349999E-2</v>
      </c>
      <c r="AD375" s="90">
        <v>130.481406539131</v>
      </c>
      <c r="AF375" s="90">
        <v>-1</v>
      </c>
      <c r="AG375" s="90">
        <v>-1</v>
      </c>
      <c r="AH375" s="90">
        <v>-1</v>
      </c>
      <c r="AI375" s="90">
        <v>-1</v>
      </c>
      <c r="AJ375" s="90">
        <v>0</v>
      </c>
      <c r="AM375" s="90" t="s">
        <v>379</v>
      </c>
      <c r="AN375" s="90">
        <v>-1</v>
      </c>
      <c r="AQ375" s="90">
        <v>356</v>
      </c>
      <c r="AR375" s="90" t="s">
        <v>380</v>
      </c>
      <c r="AS375" s="90" t="s">
        <v>246</v>
      </c>
      <c r="AT375" s="90" t="s">
        <v>244</v>
      </c>
      <c r="AU375" s="90">
        <v>175.87190000000001</v>
      </c>
      <c r="AV375" s="90">
        <v>93.659041509706597</v>
      </c>
      <c r="AW375" s="90">
        <v>139.86138138023301</v>
      </c>
      <c r="AX375" s="90">
        <v>0.10582433619999999</v>
      </c>
    </row>
    <row r="376" spans="1:50" x14ac:dyDescent="0.25">
      <c r="A376" s="102">
        <v>830000</v>
      </c>
      <c r="B376" s="102">
        <v>2400000</v>
      </c>
      <c r="C376" s="102">
        <v>2400000</v>
      </c>
      <c r="D376" s="90" t="s">
        <v>374</v>
      </c>
      <c r="E376" s="90" t="s">
        <v>68</v>
      </c>
      <c r="F376" s="90" t="s">
        <v>375</v>
      </c>
      <c r="G376" s="90" t="s">
        <v>376</v>
      </c>
      <c r="H376" s="90">
        <v>0.59</v>
      </c>
      <c r="I376" s="90">
        <v>0.64</v>
      </c>
      <c r="J376" s="90" t="s">
        <v>381</v>
      </c>
      <c r="K376" s="90">
        <v>0.17792443407739</v>
      </c>
      <c r="L376" s="90">
        <v>3775.4490399398601</v>
      </c>
      <c r="M376" s="90">
        <v>10.715049529922601</v>
      </c>
      <c r="N376" s="90">
        <v>1.47135991130282</v>
      </c>
      <c r="O376" s="90">
        <v>1.9064691237227001</v>
      </c>
      <c r="P376" s="90">
        <v>0.26179087954271002</v>
      </c>
      <c r="Q376" s="90">
        <v>671.74463381932901</v>
      </c>
      <c r="R376" s="90">
        <v>8140</v>
      </c>
      <c r="S376" s="90" t="s">
        <v>386</v>
      </c>
      <c r="T376" s="90">
        <v>8140</v>
      </c>
      <c r="U376" s="90" t="s">
        <v>382</v>
      </c>
      <c r="V376" s="90" t="s">
        <v>381</v>
      </c>
      <c r="Z376" s="90">
        <v>0</v>
      </c>
      <c r="AA376" s="90">
        <v>1</v>
      </c>
      <c r="AB376" s="90">
        <v>1.9064691237227001</v>
      </c>
      <c r="AC376" s="90">
        <v>0.26179087954271002</v>
      </c>
      <c r="AD376" s="90">
        <v>671.74463381932901</v>
      </c>
      <c r="AF376" s="90">
        <v>-1</v>
      </c>
      <c r="AG376" s="90">
        <v>-1</v>
      </c>
      <c r="AH376" s="90">
        <v>-1</v>
      </c>
      <c r="AI376" s="90">
        <v>-1</v>
      </c>
      <c r="AJ376" s="90">
        <v>0</v>
      </c>
      <c r="AM376" s="90" t="s">
        <v>379</v>
      </c>
      <c r="AN376" s="90">
        <v>-1</v>
      </c>
      <c r="AQ376" s="90">
        <v>356</v>
      </c>
      <c r="AR376" s="90" t="s">
        <v>380</v>
      </c>
      <c r="AS376" s="90" t="s">
        <v>246</v>
      </c>
      <c r="AT376" s="90" t="s">
        <v>244</v>
      </c>
      <c r="AU376" s="90">
        <v>175.87190000000001</v>
      </c>
      <c r="AV376" s="90">
        <v>129.33210800491901</v>
      </c>
      <c r="AW376" s="90">
        <v>720.03463874797399</v>
      </c>
      <c r="AX376" s="90">
        <v>0.54480505580000005</v>
      </c>
    </row>
    <row r="377" spans="1:50" x14ac:dyDescent="0.25">
      <c r="A377" s="102">
        <v>830000</v>
      </c>
      <c r="B377" s="102">
        <v>2400000</v>
      </c>
      <c r="C377" s="102">
        <v>2400000</v>
      </c>
      <c r="D377" s="90" t="s">
        <v>374</v>
      </c>
      <c r="E377" s="90" t="s">
        <v>68</v>
      </c>
      <c r="F377" s="90" t="s">
        <v>375</v>
      </c>
      <c r="G377" s="90" t="s">
        <v>376</v>
      </c>
      <c r="H377" s="90">
        <v>0.59</v>
      </c>
      <c r="I377" s="90">
        <v>0.64</v>
      </c>
      <c r="J377" s="90" t="s">
        <v>244</v>
      </c>
      <c r="K377" s="90">
        <v>0.33362093583646002</v>
      </c>
      <c r="L377" s="90">
        <v>3775.4490399398601</v>
      </c>
      <c r="M377" s="90">
        <v>10.715049529922601</v>
      </c>
      <c r="N377" s="90">
        <v>1.47135991130282</v>
      </c>
      <c r="O377" s="90">
        <v>3.5747648517068402</v>
      </c>
      <c r="P377" s="90">
        <v>0.49087647056110001</v>
      </c>
      <c r="Q377" s="90">
        <v>1259.56884190761</v>
      </c>
      <c r="R377" s="90">
        <v>1450</v>
      </c>
      <c r="S377" s="90" t="s">
        <v>391</v>
      </c>
      <c r="T377" s="90">
        <v>1450</v>
      </c>
      <c r="U377" s="90" t="s">
        <v>378</v>
      </c>
      <c r="V377" s="90" t="s">
        <v>244</v>
      </c>
      <c r="Z377" s="90">
        <v>0</v>
      </c>
      <c r="AA377" s="90">
        <v>1</v>
      </c>
      <c r="AB377" s="90">
        <v>3.5747648517068402</v>
      </c>
      <c r="AC377" s="90">
        <v>0.49087647056110001</v>
      </c>
      <c r="AD377" s="90">
        <v>1259.56884190761</v>
      </c>
      <c r="AF377" s="90">
        <v>-1</v>
      </c>
      <c r="AG377" s="90">
        <v>-1</v>
      </c>
      <c r="AH377" s="90">
        <v>-1</v>
      </c>
      <c r="AI377" s="90">
        <v>-1</v>
      </c>
      <c r="AJ377" s="90">
        <v>0</v>
      </c>
      <c r="AM377" s="90" t="s">
        <v>379</v>
      </c>
      <c r="AN377" s="90">
        <v>-1</v>
      </c>
      <c r="AQ377" s="90">
        <v>356</v>
      </c>
      <c r="AR377" s="90" t="s">
        <v>380</v>
      </c>
      <c r="AS377" s="90" t="s">
        <v>246</v>
      </c>
      <c r="AT377" s="90" t="s">
        <v>244</v>
      </c>
      <c r="AU377" s="90">
        <v>175.87190000000001</v>
      </c>
      <c r="AV377" s="90">
        <v>148.27573917152799</v>
      </c>
      <c r="AW377" s="90">
        <v>1350.1160268368801</v>
      </c>
      <c r="AX377" s="90">
        <v>1.0215481281000001</v>
      </c>
    </row>
    <row r="378" spans="1:50" x14ac:dyDescent="0.25">
      <c r="A378" s="102">
        <v>830000</v>
      </c>
      <c r="B378" s="102">
        <v>2400000</v>
      </c>
      <c r="C378" s="102">
        <v>2400000</v>
      </c>
      <c r="D378" s="90" t="s">
        <v>374</v>
      </c>
      <c r="E378" s="90" t="s">
        <v>68</v>
      </c>
      <c r="F378" s="90" t="s">
        <v>375</v>
      </c>
      <c r="G378" s="90" t="s">
        <v>376</v>
      </c>
      <c r="H378" s="90">
        <v>0.59</v>
      </c>
      <c r="I378" s="90">
        <v>0.64</v>
      </c>
      <c r="J378" s="90" t="s">
        <v>381</v>
      </c>
      <c r="K378" s="90">
        <v>1.8479061289600001E-3</v>
      </c>
      <c r="L378" s="90">
        <v>3775.4490399398601</v>
      </c>
      <c r="M378" s="90">
        <v>10.715049529922601</v>
      </c>
      <c r="N378" s="90">
        <v>1.47135991130282</v>
      </c>
      <c r="O378" s="90">
        <v>1.9800405698500001E-2</v>
      </c>
      <c r="P378" s="90">
        <v>2.7189349980099998E-3</v>
      </c>
      <c r="Q378" s="90">
        <v>6.9766754204999</v>
      </c>
      <c r="R378" s="90">
        <v>1450</v>
      </c>
      <c r="S378" s="90" t="s">
        <v>391</v>
      </c>
      <c r="T378" s="90">
        <v>1450</v>
      </c>
      <c r="U378" s="90" t="s">
        <v>382</v>
      </c>
      <c r="V378" s="90" t="s">
        <v>381</v>
      </c>
      <c r="Z378" s="90">
        <v>0</v>
      </c>
      <c r="AA378" s="90">
        <v>1</v>
      </c>
      <c r="AB378" s="90">
        <v>1.9800405698500001E-2</v>
      </c>
      <c r="AC378" s="90">
        <v>2.7189349980099998E-3</v>
      </c>
      <c r="AD378" s="90">
        <v>6.9766754205008397</v>
      </c>
      <c r="AF378" s="90">
        <v>-1</v>
      </c>
      <c r="AG378" s="90">
        <v>-1</v>
      </c>
      <c r="AH378" s="90">
        <v>-1</v>
      </c>
      <c r="AI378" s="90">
        <v>-1</v>
      </c>
      <c r="AJ378" s="90">
        <v>0</v>
      </c>
      <c r="AM378" s="90" t="s">
        <v>379</v>
      </c>
      <c r="AN378" s="90">
        <v>-1</v>
      </c>
      <c r="AQ378" s="90">
        <v>356</v>
      </c>
      <c r="AR378" s="90" t="s">
        <v>380</v>
      </c>
      <c r="AS378" s="90" t="s">
        <v>246</v>
      </c>
      <c r="AT378" s="90" t="s">
        <v>244</v>
      </c>
      <c r="AU378" s="90">
        <v>175.87190000000001</v>
      </c>
      <c r="AV378" s="90">
        <v>85.106034680829495</v>
      </c>
      <c r="AW378" s="90">
        <v>7.47821078599533</v>
      </c>
      <c r="AX378" s="90">
        <v>5.6582930999999996E-3</v>
      </c>
    </row>
    <row r="379" spans="1:50" x14ac:dyDescent="0.25">
      <c r="A379" s="102">
        <v>830000</v>
      </c>
      <c r="B379" s="102">
        <v>2400000</v>
      </c>
      <c r="C379" s="102">
        <v>2400000</v>
      </c>
      <c r="D379" s="90" t="s">
        <v>374</v>
      </c>
      <c r="E379" s="90" t="s">
        <v>68</v>
      </c>
      <c r="F379" s="90" t="s">
        <v>375</v>
      </c>
      <c r="G379" s="90" t="s">
        <v>376</v>
      </c>
      <c r="H379" s="90">
        <v>0.59</v>
      </c>
      <c r="I379" s="90">
        <v>0.64</v>
      </c>
      <c r="J379" s="90" t="s">
        <v>381</v>
      </c>
      <c r="K379" s="90">
        <v>2.8474618120000001E-5</v>
      </c>
      <c r="L379" s="90">
        <v>3707.3769272067798</v>
      </c>
      <c r="M379" s="90">
        <v>9.6629750552156697</v>
      </c>
      <c r="N379" s="90">
        <v>1.62943679997128</v>
      </c>
      <c r="O379" s="90">
        <v>2.7514952468E-4</v>
      </c>
      <c r="P379" s="90">
        <v>4.6397590639999999E-5</v>
      </c>
      <c r="Q379" s="90">
        <v>0.10556614226247001</v>
      </c>
      <c r="R379" s="90">
        <v>1400</v>
      </c>
      <c r="S379" s="90" t="s">
        <v>324</v>
      </c>
      <c r="T379" s="90">
        <v>1400</v>
      </c>
      <c r="U379" s="90" t="s">
        <v>382</v>
      </c>
      <c r="V379" s="90" t="s">
        <v>381</v>
      </c>
      <c r="Z379" s="90">
        <v>0</v>
      </c>
      <c r="AA379" s="90">
        <v>1</v>
      </c>
      <c r="AB379" s="90">
        <v>2.7514952468E-4</v>
      </c>
      <c r="AC379" s="90">
        <v>4.6397590639999999E-5</v>
      </c>
      <c r="AD379" s="90">
        <v>0.10556614226084</v>
      </c>
      <c r="AF379" s="90">
        <v>-1</v>
      </c>
      <c r="AG379" s="90">
        <v>-1</v>
      </c>
      <c r="AH379" s="90">
        <v>-1</v>
      </c>
      <c r="AI379" s="90">
        <v>-1</v>
      </c>
      <c r="AJ379" s="90">
        <v>0</v>
      </c>
      <c r="AM379" s="90" t="s">
        <v>379</v>
      </c>
      <c r="AN379" s="90">
        <v>-1</v>
      </c>
      <c r="AQ379" s="90">
        <v>356</v>
      </c>
      <c r="AR379" s="90" t="s">
        <v>380</v>
      </c>
      <c r="AS379" s="90" t="s">
        <v>246</v>
      </c>
      <c r="AT379" s="90" t="s">
        <v>244</v>
      </c>
      <c r="AU379" s="90">
        <v>175.87190000000001</v>
      </c>
      <c r="AV379" s="90">
        <v>2.2622351535290601</v>
      </c>
      <c r="AW379" s="90">
        <v>0.11523269124894001</v>
      </c>
      <c r="AX379" s="90">
        <v>8.5617299999999998E-5</v>
      </c>
    </row>
    <row r="380" spans="1:50" x14ac:dyDescent="0.25">
      <c r="A380" s="102">
        <v>830000</v>
      </c>
      <c r="B380" s="102">
        <v>2400000</v>
      </c>
      <c r="C380" s="102">
        <v>2400000</v>
      </c>
      <c r="D380" s="90" t="s">
        <v>374</v>
      </c>
      <c r="E380" s="90" t="s">
        <v>68</v>
      </c>
      <c r="F380" s="90" t="s">
        <v>375</v>
      </c>
      <c r="G380" s="90" t="s">
        <v>376</v>
      </c>
      <c r="H380" s="90">
        <v>0.59</v>
      </c>
      <c r="I380" s="90">
        <v>0.64</v>
      </c>
      <c r="J380" s="90" t="s">
        <v>381</v>
      </c>
      <c r="K380" s="90">
        <v>4.2061341982519998E-2</v>
      </c>
      <c r="L380" s="90">
        <v>3707.3769272067798</v>
      </c>
      <c r="M380" s="90">
        <v>9.6629750552156697</v>
      </c>
      <c r="N380" s="90">
        <v>1.62943679997128</v>
      </c>
      <c r="O380" s="90">
        <v>0.40643769836602001</v>
      </c>
      <c r="P380" s="90">
        <v>6.8536298482499994E-2</v>
      </c>
      <c r="Q380" s="90">
        <v>155.93724879336301</v>
      </c>
      <c r="R380" s="90">
        <v>4200</v>
      </c>
      <c r="S380" s="90" t="s">
        <v>390</v>
      </c>
      <c r="T380" s="90">
        <v>4200</v>
      </c>
      <c r="U380" s="90" t="s">
        <v>382</v>
      </c>
      <c r="V380" s="90" t="s">
        <v>381</v>
      </c>
      <c r="Y380" s="90" t="s">
        <v>389</v>
      </c>
      <c r="Z380" s="90">
        <v>0</v>
      </c>
      <c r="AA380" s="90">
        <v>1</v>
      </c>
      <c r="AB380" s="90">
        <v>0.40643769836602001</v>
      </c>
      <c r="AC380" s="90">
        <v>6.8536298482499994E-2</v>
      </c>
      <c r="AD380" s="90">
        <v>155.93724879336401</v>
      </c>
      <c r="AF380" s="90">
        <v>-1</v>
      </c>
      <c r="AG380" s="90">
        <v>-1</v>
      </c>
      <c r="AH380" s="90">
        <v>-1</v>
      </c>
      <c r="AI380" s="90">
        <v>-1</v>
      </c>
      <c r="AJ380" s="90">
        <v>0</v>
      </c>
      <c r="AM380" s="90" t="s">
        <v>379</v>
      </c>
      <c r="AN380" s="90">
        <v>-1</v>
      </c>
      <c r="AQ380" s="90">
        <v>356</v>
      </c>
      <c r="AR380" s="90" t="s">
        <v>380</v>
      </c>
      <c r="AS380" s="90" t="s">
        <v>246</v>
      </c>
      <c r="AT380" s="90" t="s">
        <v>244</v>
      </c>
      <c r="AU380" s="90">
        <v>175.87190000000001</v>
      </c>
      <c r="AV380" s="90">
        <v>106.851434190489</v>
      </c>
      <c r="AW380" s="90">
        <v>170.21621193674099</v>
      </c>
      <c r="AX380" s="90">
        <v>0.12646978819999999</v>
      </c>
    </row>
    <row r="381" spans="1:50" x14ac:dyDescent="0.25">
      <c r="A381" s="102">
        <v>830000</v>
      </c>
      <c r="B381" s="102">
        <v>2400000</v>
      </c>
      <c r="C381" s="102">
        <v>2400000</v>
      </c>
      <c r="D381" s="90" t="s">
        <v>374</v>
      </c>
      <c r="E381" s="90" t="s">
        <v>68</v>
      </c>
      <c r="F381" s="90" t="s">
        <v>375</v>
      </c>
      <c r="G381" s="90" t="s">
        <v>376</v>
      </c>
      <c r="H381" s="90">
        <v>0.59</v>
      </c>
      <c r="I381" s="90">
        <v>0.64</v>
      </c>
      <c r="J381" s="90" t="s">
        <v>381</v>
      </c>
      <c r="K381" s="90">
        <v>0.23896295678415</v>
      </c>
      <c r="L381" s="90">
        <v>3707.3769272067798</v>
      </c>
      <c r="M381" s="90">
        <v>9.6629750552156697</v>
      </c>
      <c r="N381" s="90">
        <v>1.62943679997128</v>
      </c>
      <c r="O381" s="90">
        <v>2.3090930905258702</v>
      </c>
      <c r="P381" s="90">
        <v>0.38937503561404002</v>
      </c>
      <c r="Q381" s="90">
        <v>885.92575243868805</v>
      </c>
      <c r="R381" s="90">
        <v>8140</v>
      </c>
      <c r="S381" s="90" t="s">
        <v>386</v>
      </c>
      <c r="T381" s="90">
        <v>8140</v>
      </c>
      <c r="U381" s="90" t="s">
        <v>382</v>
      </c>
      <c r="V381" s="90" t="s">
        <v>381</v>
      </c>
      <c r="Z381" s="90">
        <v>0</v>
      </c>
      <c r="AA381" s="90">
        <v>1</v>
      </c>
      <c r="AB381" s="90">
        <v>2.3090930905258702</v>
      </c>
      <c r="AC381" s="90">
        <v>0.38937503561404002</v>
      </c>
      <c r="AD381" s="90">
        <v>885.92575243868805</v>
      </c>
      <c r="AF381" s="90">
        <v>-1</v>
      </c>
      <c r="AG381" s="90">
        <v>-1</v>
      </c>
      <c r="AH381" s="90">
        <v>-1</v>
      </c>
      <c r="AI381" s="90">
        <v>-1</v>
      </c>
      <c r="AJ381" s="90">
        <v>0</v>
      </c>
      <c r="AM381" s="90" t="s">
        <v>379</v>
      </c>
      <c r="AN381" s="90">
        <v>-1</v>
      </c>
      <c r="AQ381" s="90">
        <v>356</v>
      </c>
      <c r="AR381" s="90" t="s">
        <v>380</v>
      </c>
      <c r="AS381" s="90" t="s">
        <v>246</v>
      </c>
      <c r="AT381" s="90" t="s">
        <v>244</v>
      </c>
      <c r="AU381" s="90">
        <v>175.87190000000001</v>
      </c>
      <c r="AV381" s="90">
        <v>140.36457385806099</v>
      </c>
      <c r="AW381" s="90">
        <v>967.04877637765298</v>
      </c>
      <c r="AX381" s="90">
        <v>0.71851237020000003</v>
      </c>
    </row>
    <row r="382" spans="1:50" x14ac:dyDescent="0.25">
      <c r="A382" s="102">
        <v>830000</v>
      </c>
      <c r="B382" s="102">
        <v>2400000</v>
      </c>
      <c r="C382" s="102">
        <v>2400000</v>
      </c>
      <c r="D382" s="90" t="s">
        <v>374</v>
      </c>
      <c r="E382" s="90" t="s">
        <v>68</v>
      </c>
      <c r="F382" s="90" t="s">
        <v>375</v>
      </c>
      <c r="G382" s="90" t="s">
        <v>376</v>
      </c>
      <c r="H382" s="90">
        <v>0.59</v>
      </c>
      <c r="I382" s="90">
        <v>0.64</v>
      </c>
      <c r="J382" s="90" t="s">
        <v>244</v>
      </c>
      <c r="K382" s="90">
        <v>0.33602169145071997</v>
      </c>
      <c r="L382" s="90">
        <v>3707.3769272067798</v>
      </c>
      <c r="M382" s="90">
        <v>9.6629750552156697</v>
      </c>
      <c r="N382" s="90">
        <v>1.62943679997128</v>
      </c>
      <c r="O382" s="90">
        <v>3.2469692224997302</v>
      </c>
      <c r="P382" s="90">
        <v>0.54752610963839998</v>
      </c>
      <c r="Q382" s="90">
        <v>1245.7590659254099</v>
      </c>
      <c r="R382" s="90">
        <v>1300</v>
      </c>
      <c r="S382" s="90" t="s">
        <v>387</v>
      </c>
      <c r="T382" s="90">
        <v>1300</v>
      </c>
      <c r="U382" s="90" t="s">
        <v>378</v>
      </c>
      <c r="V382" s="90" t="s">
        <v>244</v>
      </c>
      <c r="Z382" s="90">
        <v>0</v>
      </c>
      <c r="AA382" s="90">
        <v>1</v>
      </c>
      <c r="AB382" s="90">
        <v>3.2469692224997302</v>
      </c>
      <c r="AC382" s="90">
        <v>0.54752610963839998</v>
      </c>
      <c r="AD382" s="90">
        <v>1245.7590659254099</v>
      </c>
      <c r="AF382" s="90">
        <v>-1</v>
      </c>
      <c r="AG382" s="90">
        <v>-1</v>
      </c>
      <c r="AH382" s="90">
        <v>-1</v>
      </c>
      <c r="AI382" s="90">
        <v>-1</v>
      </c>
      <c r="AJ382" s="90">
        <v>0</v>
      </c>
      <c r="AM382" s="90" t="s">
        <v>379</v>
      </c>
      <c r="AN382" s="90">
        <v>-1</v>
      </c>
      <c r="AQ382" s="90">
        <v>356</v>
      </c>
      <c r="AR382" s="90" t="s">
        <v>380</v>
      </c>
      <c r="AS382" s="90" t="s">
        <v>246</v>
      </c>
      <c r="AT382" s="90" t="s">
        <v>244</v>
      </c>
      <c r="AU382" s="90">
        <v>175.87190000000001</v>
      </c>
      <c r="AV382" s="90">
        <v>154.49856670488401</v>
      </c>
      <c r="AW382" s="90">
        <v>1359.8315401130701</v>
      </c>
      <c r="AX382" s="90">
        <v>1.0103479852999999</v>
      </c>
    </row>
    <row r="383" spans="1:50" x14ac:dyDescent="0.25">
      <c r="A383" s="102">
        <v>830000</v>
      </c>
      <c r="B383" s="102">
        <v>2400000</v>
      </c>
      <c r="C383" s="102">
        <v>2400000</v>
      </c>
      <c r="D383" s="90" t="s">
        <v>374</v>
      </c>
      <c r="E383" s="90" t="s">
        <v>68</v>
      </c>
      <c r="F383" s="90" t="s">
        <v>375</v>
      </c>
      <c r="G383" s="90" t="s">
        <v>376</v>
      </c>
      <c r="H383" s="90">
        <v>0.59</v>
      </c>
      <c r="I383" s="90">
        <v>0.64</v>
      </c>
      <c r="J383" s="90" t="s">
        <v>381</v>
      </c>
      <c r="K383" s="90">
        <v>6.8898890142000003E-4</v>
      </c>
      <c r="L383" s="90">
        <v>3707.3769272067798</v>
      </c>
      <c r="M383" s="90">
        <v>9.6629750552156697</v>
      </c>
      <c r="N383" s="90">
        <v>1.62943679997128</v>
      </c>
      <c r="O383" s="90">
        <v>6.6576825677399998E-3</v>
      </c>
      <c r="P383" s="90">
        <v>1.1226638707399999E-3</v>
      </c>
      <c r="Q383" s="90">
        <v>2.5543415562260501</v>
      </c>
      <c r="R383" s="90">
        <v>1300</v>
      </c>
      <c r="S383" s="90" t="s">
        <v>387</v>
      </c>
      <c r="T383" s="90">
        <v>1300</v>
      </c>
      <c r="U383" s="90" t="s">
        <v>382</v>
      </c>
      <c r="V383" s="90" t="s">
        <v>381</v>
      </c>
      <c r="Z383" s="90">
        <v>0</v>
      </c>
      <c r="AA383" s="90">
        <v>1</v>
      </c>
      <c r="AB383" s="90">
        <v>6.6576825677399998E-3</v>
      </c>
      <c r="AC383" s="90">
        <v>1.1226638707399999E-3</v>
      </c>
      <c r="AD383" s="90">
        <v>2.5543415562277398</v>
      </c>
      <c r="AF383" s="90">
        <v>-1</v>
      </c>
      <c r="AG383" s="90">
        <v>-1</v>
      </c>
      <c r="AH383" s="90">
        <v>-1</v>
      </c>
      <c r="AI383" s="90">
        <v>-1</v>
      </c>
      <c r="AJ383" s="90">
        <v>0</v>
      </c>
      <c r="AM383" s="90" t="s">
        <v>379</v>
      </c>
      <c r="AN383" s="90">
        <v>-1</v>
      </c>
      <c r="AQ383" s="90">
        <v>356</v>
      </c>
      <c r="AR383" s="90" t="s">
        <v>380</v>
      </c>
      <c r="AS383" s="90" t="s">
        <v>246</v>
      </c>
      <c r="AT383" s="90" t="s">
        <v>244</v>
      </c>
      <c r="AU383" s="90">
        <v>175.87190000000001</v>
      </c>
      <c r="AV383" s="90">
        <v>101.01613831569399</v>
      </c>
      <c r="AW383" s="90">
        <v>2.7882391606756798</v>
      </c>
      <c r="AX383" s="90">
        <v>2.0716477000000001E-3</v>
      </c>
    </row>
    <row r="384" spans="1:50" x14ac:dyDescent="0.25">
      <c r="A384" s="102">
        <v>830000</v>
      </c>
      <c r="B384" s="102">
        <v>2400000</v>
      </c>
      <c r="C384" s="102">
        <v>2400000</v>
      </c>
      <c r="D384" s="90" t="s">
        <v>374</v>
      </c>
      <c r="E384" s="90" t="s">
        <v>68</v>
      </c>
      <c r="F384" s="90" t="s">
        <v>375</v>
      </c>
      <c r="G384" s="90" t="s">
        <v>376</v>
      </c>
      <c r="H384" s="90">
        <v>0.59</v>
      </c>
      <c r="I384" s="90">
        <v>0.64</v>
      </c>
      <c r="J384" s="90" t="s">
        <v>389</v>
      </c>
      <c r="K384" s="90">
        <v>0.55484154075904002</v>
      </c>
      <c r="L384" s="90">
        <v>3122.4039788564701</v>
      </c>
      <c r="M384" s="90">
        <v>6.1087629574768298</v>
      </c>
      <c r="N384" s="90">
        <v>0.83306758789324997</v>
      </c>
      <c r="O384" s="90">
        <v>3.3893954514581899</v>
      </c>
      <c r="P384" s="90">
        <v>0.46222050402310999</v>
      </c>
      <c r="Q384" s="90">
        <v>1732.43943450088</v>
      </c>
      <c r="R384" s="90">
        <v>4200</v>
      </c>
      <c r="S384" s="90" t="s">
        <v>390</v>
      </c>
      <c r="T384" s="90">
        <v>4200</v>
      </c>
      <c r="U384" s="90" t="s">
        <v>378</v>
      </c>
      <c r="V384" s="90" t="s">
        <v>244</v>
      </c>
      <c r="Y384" s="90" t="s">
        <v>389</v>
      </c>
      <c r="Z384" s="90">
        <v>0</v>
      </c>
      <c r="AA384" s="90">
        <v>1</v>
      </c>
      <c r="AB384" s="90">
        <v>3.3893954514581899</v>
      </c>
      <c r="AC384" s="90">
        <v>0.46222050402310999</v>
      </c>
      <c r="AD384" s="90">
        <v>1928.9070655810899</v>
      </c>
      <c r="AF384" s="90">
        <v>-1</v>
      </c>
      <c r="AG384" s="90">
        <v>-1</v>
      </c>
      <c r="AH384" s="90">
        <v>-1</v>
      </c>
      <c r="AI384" s="90">
        <v>-1</v>
      </c>
      <c r="AJ384" s="90">
        <v>0</v>
      </c>
      <c r="AM384" s="90" t="s">
        <v>379</v>
      </c>
      <c r="AN384" s="90">
        <v>-1</v>
      </c>
      <c r="AQ384" s="90">
        <v>356</v>
      </c>
      <c r="AR384" s="90" t="s">
        <v>380</v>
      </c>
      <c r="AS384" s="90" t="s">
        <v>246</v>
      </c>
      <c r="AT384" s="90" t="s">
        <v>244</v>
      </c>
      <c r="AU384" s="90">
        <v>175.87190000000001</v>
      </c>
      <c r="AV384" s="90">
        <v>189.82929620056899</v>
      </c>
      <c r="AW384" s="90">
        <v>2245.36405263503</v>
      </c>
      <c r="AX384" s="90">
        <v>1.564401513</v>
      </c>
    </row>
    <row r="385" spans="1:50" x14ac:dyDescent="0.25">
      <c r="A385" s="102">
        <v>830000</v>
      </c>
      <c r="B385" s="102">
        <v>2400000</v>
      </c>
      <c r="C385" s="102">
        <v>2400000</v>
      </c>
      <c r="D385" s="90" t="s">
        <v>374</v>
      </c>
      <c r="E385" s="90" t="s">
        <v>68</v>
      </c>
      <c r="F385" s="90" t="s">
        <v>375</v>
      </c>
      <c r="G385" s="90" t="s">
        <v>376</v>
      </c>
      <c r="H385" s="90">
        <v>0.59</v>
      </c>
      <c r="I385" s="90">
        <v>0.64</v>
      </c>
      <c r="J385" s="90" t="s">
        <v>244</v>
      </c>
      <c r="K385" s="90">
        <v>0.48682261518385</v>
      </c>
      <c r="L385" s="90">
        <v>3783.8090208048302</v>
      </c>
      <c r="M385" s="90">
        <v>11.6254551144582</v>
      </c>
      <c r="N385" s="90">
        <v>1.53485638481041</v>
      </c>
      <c r="O385" s="90">
        <v>5.6595344615230596</v>
      </c>
      <c r="P385" s="90">
        <v>0.74720279918502996</v>
      </c>
      <c r="Q385" s="90">
        <v>1842.0438028644501</v>
      </c>
      <c r="R385" s="90">
        <v>1450</v>
      </c>
      <c r="S385" s="90" t="s">
        <v>391</v>
      </c>
      <c r="T385" s="90">
        <v>1450</v>
      </c>
      <c r="U385" s="90" t="s">
        <v>378</v>
      </c>
      <c r="V385" s="90" t="s">
        <v>244</v>
      </c>
      <c r="Z385" s="90">
        <v>0</v>
      </c>
      <c r="AA385" s="90">
        <v>1</v>
      </c>
      <c r="AB385" s="90">
        <v>5.6595344615230596</v>
      </c>
      <c r="AC385" s="90">
        <v>0.74720279918502996</v>
      </c>
      <c r="AD385" s="90">
        <v>2337.4989289734299</v>
      </c>
      <c r="AF385" s="90">
        <v>-1</v>
      </c>
      <c r="AG385" s="90">
        <v>-1</v>
      </c>
      <c r="AH385" s="90">
        <v>-1</v>
      </c>
      <c r="AI385" s="90">
        <v>-1</v>
      </c>
      <c r="AJ385" s="90">
        <v>0</v>
      </c>
      <c r="AM385" s="90" t="s">
        <v>379</v>
      </c>
      <c r="AN385" s="90">
        <v>-1</v>
      </c>
      <c r="AQ385" s="90">
        <v>356</v>
      </c>
      <c r="AR385" s="90" t="s">
        <v>380</v>
      </c>
      <c r="AS385" s="90" t="s">
        <v>246</v>
      </c>
      <c r="AT385" s="90" t="s">
        <v>244</v>
      </c>
      <c r="AU385" s="90">
        <v>175.87190000000001</v>
      </c>
      <c r="AV385" s="90">
        <v>181.31049504547701</v>
      </c>
      <c r="AW385" s="90">
        <v>1970.10122682633</v>
      </c>
      <c r="AX385" s="90">
        <v>1.8957817752999999</v>
      </c>
    </row>
    <row r="386" spans="1:50" x14ac:dyDescent="0.25">
      <c r="A386" s="102">
        <v>830000</v>
      </c>
      <c r="B386" s="102">
        <v>2400000</v>
      </c>
      <c r="C386" s="102">
        <v>2400000</v>
      </c>
      <c r="D386" s="90" t="s">
        <v>374</v>
      </c>
      <c r="E386" s="90" t="s">
        <v>68</v>
      </c>
      <c r="F386" s="90" t="s">
        <v>375</v>
      </c>
      <c r="G386" s="90" t="s">
        <v>376</v>
      </c>
      <c r="H386" s="90">
        <v>0.59</v>
      </c>
      <c r="I386" s="90">
        <v>0.64</v>
      </c>
      <c r="J386" s="90" t="s">
        <v>244</v>
      </c>
      <c r="K386" s="90">
        <v>2.6615612841300001E-3</v>
      </c>
      <c r="L386" s="90">
        <v>3780.5622874805299</v>
      </c>
      <c r="M386" s="90">
        <v>11.056997262834299</v>
      </c>
      <c r="N386" s="90">
        <v>1.45738493902526</v>
      </c>
      <c r="O386" s="90">
        <v>2.942887583352E-2</v>
      </c>
      <c r="P386" s="90">
        <v>3.87891932978E-3</v>
      </c>
      <c r="Q386" s="90">
        <v>10.062198216611399</v>
      </c>
      <c r="R386" s="90">
        <v>1400</v>
      </c>
      <c r="S386" s="90" t="s">
        <v>324</v>
      </c>
      <c r="T386" s="90">
        <v>1400</v>
      </c>
      <c r="U386" s="90" t="s">
        <v>378</v>
      </c>
      <c r="V386" s="90" t="s">
        <v>244</v>
      </c>
      <c r="Z386" s="90">
        <v>0</v>
      </c>
      <c r="AA386" s="90">
        <v>1</v>
      </c>
      <c r="AB386" s="90">
        <v>2.942887583352E-2</v>
      </c>
      <c r="AC386" s="90">
        <v>3.87891932978E-3</v>
      </c>
      <c r="AD386" s="90">
        <v>10.062198216612501</v>
      </c>
      <c r="AF386" s="90">
        <v>-1</v>
      </c>
      <c r="AG386" s="90">
        <v>-1</v>
      </c>
      <c r="AH386" s="90">
        <v>-1</v>
      </c>
      <c r="AI386" s="90">
        <v>-1</v>
      </c>
      <c r="AJ386" s="90">
        <v>0</v>
      </c>
      <c r="AM386" s="90" t="s">
        <v>379</v>
      </c>
      <c r="AN386" s="90">
        <v>-1</v>
      </c>
      <c r="AQ386" s="90">
        <v>356</v>
      </c>
      <c r="AR386" s="90" t="s">
        <v>380</v>
      </c>
      <c r="AS386" s="90" t="s">
        <v>246</v>
      </c>
      <c r="AT386" s="90" t="s">
        <v>244</v>
      </c>
      <c r="AU386" s="90">
        <v>175.87190000000001</v>
      </c>
      <c r="AV386" s="90">
        <v>117.369193594324</v>
      </c>
      <c r="AW386" s="90">
        <v>10.7709563763059</v>
      </c>
      <c r="AX386" s="90">
        <v>8.1607447E-3</v>
      </c>
    </row>
    <row r="387" spans="1:50" x14ac:dyDescent="0.25">
      <c r="A387" s="102">
        <v>830000</v>
      </c>
      <c r="B387" s="102">
        <v>2400000</v>
      </c>
      <c r="C387" s="102">
        <v>2400000</v>
      </c>
      <c r="D387" s="90" t="s">
        <v>374</v>
      </c>
      <c r="E387" s="90" t="s">
        <v>68</v>
      </c>
      <c r="F387" s="90" t="s">
        <v>375</v>
      </c>
      <c r="G387" s="90" t="s">
        <v>376</v>
      </c>
      <c r="H387" s="90">
        <v>0.59</v>
      </c>
      <c r="I387" s="90">
        <v>0.64</v>
      </c>
      <c r="J387" s="90" t="s">
        <v>381</v>
      </c>
      <c r="K387" s="90">
        <v>5.1201386131020002E-2</v>
      </c>
      <c r="L387" s="90">
        <v>3780.5622874805299</v>
      </c>
      <c r="M387" s="90">
        <v>11.056997262834299</v>
      </c>
      <c r="N387" s="90">
        <v>1.45738493902526</v>
      </c>
      <c r="O387" s="90">
        <v>0.56613358630403998</v>
      </c>
      <c r="P387" s="90">
        <v>7.4620129004570004E-2</v>
      </c>
      <c r="Q387" s="90">
        <v>193.570029473674</v>
      </c>
      <c r="R387" s="90">
        <v>1400</v>
      </c>
      <c r="S387" s="90" t="s">
        <v>324</v>
      </c>
      <c r="T387" s="90">
        <v>1400</v>
      </c>
      <c r="U387" s="90" t="s">
        <v>382</v>
      </c>
      <c r="V387" s="90" t="s">
        <v>381</v>
      </c>
      <c r="Z387" s="90">
        <v>0</v>
      </c>
      <c r="AA387" s="90">
        <v>1</v>
      </c>
      <c r="AB387" s="90">
        <v>0.56613358630403998</v>
      </c>
      <c r="AC387" s="90">
        <v>7.4620129004570004E-2</v>
      </c>
      <c r="AD387" s="90">
        <v>193.570029473674</v>
      </c>
      <c r="AF387" s="90">
        <v>-1</v>
      </c>
      <c r="AG387" s="90">
        <v>-1</v>
      </c>
      <c r="AH387" s="90">
        <v>-1</v>
      </c>
      <c r="AI387" s="90">
        <v>-1</v>
      </c>
      <c r="AJ387" s="90">
        <v>0</v>
      </c>
      <c r="AM387" s="90" t="s">
        <v>379</v>
      </c>
      <c r="AN387" s="90">
        <v>-1</v>
      </c>
      <c r="AQ387" s="90">
        <v>356</v>
      </c>
      <c r="AR387" s="90" t="s">
        <v>380</v>
      </c>
      <c r="AS387" s="90" t="s">
        <v>246</v>
      </c>
      <c r="AT387" s="90" t="s">
        <v>244</v>
      </c>
      <c r="AU387" s="90">
        <v>175.87190000000001</v>
      </c>
      <c r="AV387" s="90">
        <v>108.473220510007</v>
      </c>
      <c r="AW387" s="90">
        <v>207.20465830011301</v>
      </c>
      <c r="AX387" s="90">
        <v>0.15699110259999999</v>
      </c>
    </row>
    <row r="388" spans="1:50" x14ac:dyDescent="0.25">
      <c r="A388" s="102">
        <v>830000</v>
      </c>
      <c r="B388" s="102">
        <v>2400000</v>
      </c>
      <c r="C388" s="102">
        <v>2400000</v>
      </c>
      <c r="D388" s="90" t="s">
        <v>374</v>
      </c>
      <c r="E388" s="90" t="s">
        <v>68</v>
      </c>
      <c r="F388" s="90" t="s">
        <v>375</v>
      </c>
      <c r="G388" s="90" t="s">
        <v>376</v>
      </c>
      <c r="H388" s="90">
        <v>0.59</v>
      </c>
      <c r="I388" s="90">
        <v>0.64</v>
      </c>
      <c r="J388" s="90" t="s">
        <v>381</v>
      </c>
      <c r="K388" s="90">
        <v>0.12158987999317</v>
      </c>
      <c r="L388" s="90">
        <v>3780.5622874805299</v>
      </c>
      <c r="M388" s="90">
        <v>11.056997262834299</v>
      </c>
      <c r="N388" s="90">
        <v>1.45738493902526</v>
      </c>
      <c r="O388" s="90">
        <v>1.3444189702728799</v>
      </c>
      <c r="P388" s="90">
        <v>0.17720325983994001</v>
      </c>
      <c r="Q388" s="90">
        <v>459.678114841477</v>
      </c>
      <c r="R388" s="90">
        <v>8140</v>
      </c>
      <c r="S388" s="90" t="s">
        <v>386</v>
      </c>
      <c r="T388" s="90">
        <v>8140</v>
      </c>
      <c r="U388" s="90" t="s">
        <v>382</v>
      </c>
      <c r="V388" s="90" t="s">
        <v>381</v>
      </c>
      <c r="Z388" s="90">
        <v>0</v>
      </c>
      <c r="AA388" s="90">
        <v>1</v>
      </c>
      <c r="AB388" s="90">
        <v>1.3444189702728799</v>
      </c>
      <c r="AC388" s="90">
        <v>0.17720325983994001</v>
      </c>
      <c r="AD388" s="90">
        <v>459.678114841477</v>
      </c>
      <c r="AF388" s="90">
        <v>-1</v>
      </c>
      <c r="AG388" s="90">
        <v>-1</v>
      </c>
      <c r="AH388" s="90">
        <v>-1</v>
      </c>
      <c r="AI388" s="90">
        <v>-1</v>
      </c>
      <c r="AJ388" s="90">
        <v>0</v>
      </c>
      <c r="AM388" s="90" t="s">
        <v>379</v>
      </c>
      <c r="AN388" s="90">
        <v>-1</v>
      </c>
      <c r="AQ388" s="90">
        <v>356</v>
      </c>
      <c r="AR388" s="90" t="s">
        <v>380</v>
      </c>
      <c r="AS388" s="90" t="s">
        <v>246</v>
      </c>
      <c r="AT388" s="90" t="s">
        <v>244</v>
      </c>
      <c r="AU388" s="90">
        <v>175.87190000000001</v>
      </c>
      <c r="AV388" s="90">
        <v>119.759222487633</v>
      </c>
      <c r="AW388" s="90">
        <v>492.05678674922098</v>
      </c>
      <c r="AX388" s="90">
        <v>0.37281274520000002</v>
      </c>
    </row>
    <row r="389" spans="1:50" x14ac:dyDescent="0.25">
      <c r="A389" s="102">
        <v>830000</v>
      </c>
      <c r="B389" s="102">
        <v>2400000</v>
      </c>
      <c r="C389" s="102">
        <v>2400000</v>
      </c>
      <c r="D389" s="90" t="s">
        <v>374</v>
      </c>
      <c r="E389" s="90" t="s">
        <v>68</v>
      </c>
      <c r="F389" s="90" t="s">
        <v>375</v>
      </c>
      <c r="G389" s="90" t="s">
        <v>376</v>
      </c>
      <c r="H389" s="90">
        <v>0.59</v>
      </c>
      <c r="I389" s="90">
        <v>0.64</v>
      </c>
      <c r="J389" s="90" t="s">
        <v>244</v>
      </c>
      <c r="K389" s="90">
        <v>0.44231062628258999</v>
      </c>
      <c r="L389" s="90">
        <v>3780.5622874805299</v>
      </c>
      <c r="M389" s="90">
        <v>11.056997262834299</v>
      </c>
      <c r="N389" s="90">
        <v>1.45738493902526</v>
      </c>
      <c r="O389" s="90">
        <v>4.8906273841292203</v>
      </c>
      <c r="P389" s="90">
        <v>0.64461684511507999</v>
      </c>
      <c r="Q389" s="90">
        <v>1672.18287307588</v>
      </c>
      <c r="R389" s="90">
        <v>1450</v>
      </c>
      <c r="S389" s="90" t="s">
        <v>391</v>
      </c>
      <c r="T389" s="90">
        <v>1450</v>
      </c>
      <c r="U389" s="90" t="s">
        <v>378</v>
      </c>
      <c r="V389" s="90" t="s">
        <v>244</v>
      </c>
      <c r="Z389" s="90">
        <v>0</v>
      </c>
      <c r="AA389" s="90">
        <v>1</v>
      </c>
      <c r="AB389" s="90">
        <v>4.8906273841292203</v>
      </c>
      <c r="AC389" s="90">
        <v>0.64461684511507999</v>
      </c>
      <c r="AD389" s="90">
        <v>1672.18287307588</v>
      </c>
      <c r="AF389" s="90">
        <v>-1</v>
      </c>
      <c r="AG389" s="90">
        <v>-1</v>
      </c>
      <c r="AH389" s="90">
        <v>-1</v>
      </c>
      <c r="AI389" s="90">
        <v>-1</v>
      </c>
      <c r="AJ389" s="90">
        <v>0</v>
      </c>
      <c r="AM389" s="90" t="s">
        <v>379</v>
      </c>
      <c r="AN389" s="90">
        <v>-1</v>
      </c>
      <c r="AQ389" s="90">
        <v>356</v>
      </c>
      <c r="AR389" s="90" t="s">
        <v>380</v>
      </c>
      <c r="AS389" s="90" t="s">
        <v>246</v>
      </c>
      <c r="AT389" s="90" t="s">
        <v>244</v>
      </c>
      <c r="AU389" s="90">
        <v>175.87190000000001</v>
      </c>
      <c r="AV389" s="90">
        <v>171.463005468717</v>
      </c>
      <c r="AW389" s="90">
        <v>1789.9675986674899</v>
      </c>
      <c r="AX389" s="90">
        <v>1.3561904891000001</v>
      </c>
    </row>
    <row r="390" spans="1:50" x14ac:dyDescent="0.25">
      <c r="A390" s="102">
        <v>830000</v>
      </c>
      <c r="B390" s="102">
        <v>2400000</v>
      </c>
      <c r="C390" s="102">
        <v>2400000</v>
      </c>
      <c r="D390" s="90" t="s">
        <v>374</v>
      </c>
      <c r="E390" s="90" t="s">
        <v>68</v>
      </c>
      <c r="F390" s="90" t="s">
        <v>375</v>
      </c>
      <c r="G390" s="90" t="s">
        <v>376</v>
      </c>
      <c r="H390" s="90">
        <v>0.59</v>
      </c>
      <c r="I390" s="90">
        <v>0.64</v>
      </c>
      <c r="J390" s="90" t="s">
        <v>244</v>
      </c>
      <c r="K390" s="90">
        <v>9.8820943668379999E-2</v>
      </c>
      <c r="L390" s="90">
        <v>3746.2716023406301</v>
      </c>
      <c r="M390" s="90">
        <v>10.7786323867861</v>
      </c>
      <c r="N390" s="90">
        <v>2.0768542518767799</v>
      </c>
      <c r="O390" s="90">
        <v>1.0651546239168499</v>
      </c>
      <c r="P390" s="90">
        <v>0.20523669703215999</v>
      </c>
      <c r="Q390" s="90">
        <v>370.21009498138102</v>
      </c>
      <c r="R390" s="90">
        <v>1300</v>
      </c>
      <c r="S390" s="90" t="s">
        <v>387</v>
      </c>
      <c r="T390" s="90">
        <v>1300</v>
      </c>
      <c r="U390" s="90" t="s">
        <v>378</v>
      </c>
      <c r="V390" s="90" t="s">
        <v>244</v>
      </c>
      <c r="Z390" s="90">
        <v>0</v>
      </c>
      <c r="AA390" s="90">
        <v>1</v>
      </c>
      <c r="AB390" s="90">
        <v>1.0651546239168499</v>
      </c>
      <c r="AC390" s="90">
        <v>0.20523669703215999</v>
      </c>
      <c r="AD390" s="90">
        <v>370.21009498137897</v>
      </c>
      <c r="AF390" s="90">
        <v>-1</v>
      </c>
      <c r="AG390" s="90">
        <v>-1</v>
      </c>
      <c r="AH390" s="90">
        <v>-1</v>
      </c>
      <c r="AI390" s="90">
        <v>-1</v>
      </c>
      <c r="AJ390" s="90">
        <v>0</v>
      </c>
      <c r="AM390" s="90" t="s">
        <v>379</v>
      </c>
      <c r="AN390" s="90">
        <v>-1</v>
      </c>
      <c r="AQ390" s="90">
        <v>356</v>
      </c>
      <c r="AR390" s="90" t="s">
        <v>380</v>
      </c>
      <c r="AS390" s="90" t="s">
        <v>246</v>
      </c>
      <c r="AT390" s="90" t="s">
        <v>244</v>
      </c>
      <c r="AU390" s="90">
        <v>175.87190000000001</v>
      </c>
      <c r="AV390" s="90">
        <v>116.042525439065</v>
      </c>
      <c r="AW390" s="90">
        <v>399.914170552038</v>
      </c>
      <c r="AX390" s="90">
        <v>0.30025149629999998</v>
      </c>
    </row>
    <row r="391" spans="1:50" x14ac:dyDescent="0.25">
      <c r="A391" s="102">
        <v>830000</v>
      </c>
      <c r="B391" s="102">
        <v>2400000</v>
      </c>
      <c r="C391" s="102">
        <v>2400000</v>
      </c>
      <c r="D391" s="90" t="s">
        <v>374</v>
      </c>
      <c r="E391" s="90" t="s">
        <v>68</v>
      </c>
      <c r="F391" s="90" t="s">
        <v>375</v>
      </c>
      <c r="G391" s="90" t="s">
        <v>376</v>
      </c>
      <c r="H391" s="90">
        <v>0.59</v>
      </c>
      <c r="I391" s="90">
        <v>0.64</v>
      </c>
      <c r="J391" s="90" t="s">
        <v>244</v>
      </c>
      <c r="K391" s="90">
        <v>0.14832254190673999</v>
      </c>
      <c r="L391" s="90">
        <v>3746.2716023406301</v>
      </c>
      <c r="M391" s="90">
        <v>10.7786323867861</v>
      </c>
      <c r="N391" s="90">
        <v>2.0768542518767799</v>
      </c>
      <c r="O391" s="90">
        <v>1.59871415388646</v>
      </c>
      <c r="P391" s="90">
        <v>0.30804430180817999</v>
      </c>
      <c r="Q391" s="90">
        <v>555.65652673220495</v>
      </c>
      <c r="R391" s="90">
        <v>1300</v>
      </c>
      <c r="S391" s="90" t="s">
        <v>387</v>
      </c>
      <c r="T391" s="90">
        <v>1300</v>
      </c>
      <c r="U391" s="90" t="s">
        <v>378</v>
      </c>
      <c r="V391" s="90" t="s">
        <v>244</v>
      </c>
      <c r="Z391" s="90">
        <v>0</v>
      </c>
      <c r="AA391" s="90">
        <v>1</v>
      </c>
      <c r="AB391" s="90">
        <v>1.59871415388646</v>
      </c>
      <c r="AC391" s="90">
        <v>0.30804430180817999</v>
      </c>
      <c r="AD391" s="90">
        <v>555.65652673220495</v>
      </c>
      <c r="AF391" s="90">
        <v>-1</v>
      </c>
      <c r="AG391" s="90">
        <v>-1</v>
      </c>
      <c r="AH391" s="90">
        <v>-1</v>
      </c>
      <c r="AI391" s="90">
        <v>-1</v>
      </c>
      <c r="AJ391" s="90">
        <v>0</v>
      </c>
      <c r="AM391" s="90" t="s">
        <v>379</v>
      </c>
      <c r="AN391" s="90">
        <v>-1</v>
      </c>
      <c r="AQ391" s="90">
        <v>356</v>
      </c>
      <c r="AR391" s="90" t="s">
        <v>380</v>
      </c>
      <c r="AS391" s="90" t="s">
        <v>246</v>
      </c>
      <c r="AT391" s="90" t="s">
        <v>244</v>
      </c>
      <c r="AU391" s="90">
        <v>175.87190000000001</v>
      </c>
      <c r="AV391" s="90">
        <v>124.047670796034</v>
      </c>
      <c r="AW391" s="90">
        <v>600.24003130199299</v>
      </c>
      <c r="AX391" s="90">
        <v>0.4506541174</v>
      </c>
    </row>
    <row r="392" spans="1:50" x14ac:dyDescent="0.25">
      <c r="A392" s="102">
        <v>830000</v>
      </c>
      <c r="B392" s="102">
        <v>2400000</v>
      </c>
      <c r="C392" s="102">
        <v>2400000</v>
      </c>
      <c r="D392" s="90" t="s">
        <v>374</v>
      </c>
      <c r="E392" s="90" t="s">
        <v>68</v>
      </c>
      <c r="F392" s="90" t="s">
        <v>375</v>
      </c>
      <c r="G392" s="90" t="s">
        <v>376</v>
      </c>
      <c r="H392" s="90">
        <v>0.59</v>
      </c>
      <c r="I392" s="90">
        <v>0.64</v>
      </c>
      <c r="J392" s="90" t="s">
        <v>244</v>
      </c>
      <c r="K392" s="90">
        <v>0.35311062280845001</v>
      </c>
      <c r="L392" s="90">
        <v>3746.2716023406301</v>
      </c>
      <c r="M392" s="90">
        <v>10.7786323867861</v>
      </c>
      <c r="N392" s="90">
        <v>2.0768542518767799</v>
      </c>
      <c r="O392" s="90">
        <v>3.8060495951214199</v>
      </c>
      <c r="P392" s="90">
        <v>0.73335929836258995</v>
      </c>
      <c r="Q392" s="90">
        <v>1322.8482987121099</v>
      </c>
      <c r="R392" s="90">
        <v>1300</v>
      </c>
      <c r="S392" s="90" t="s">
        <v>387</v>
      </c>
      <c r="T392" s="90">
        <v>1300</v>
      </c>
      <c r="U392" s="90" t="s">
        <v>378</v>
      </c>
      <c r="V392" s="90" t="s">
        <v>244</v>
      </c>
      <c r="Z392" s="90">
        <v>0</v>
      </c>
      <c r="AA392" s="90">
        <v>1</v>
      </c>
      <c r="AB392" s="90">
        <v>3.8060495951214199</v>
      </c>
      <c r="AC392" s="90">
        <v>0.73335929836258995</v>
      </c>
      <c r="AD392" s="90">
        <v>1322.8482987121099</v>
      </c>
      <c r="AF392" s="90">
        <v>-1</v>
      </c>
      <c r="AG392" s="90">
        <v>-1</v>
      </c>
      <c r="AH392" s="90">
        <v>-1</v>
      </c>
      <c r="AI392" s="90">
        <v>-1</v>
      </c>
      <c r="AJ392" s="90">
        <v>0</v>
      </c>
      <c r="AM392" s="90" t="s">
        <v>379</v>
      </c>
      <c r="AN392" s="90">
        <v>-1</v>
      </c>
      <c r="AQ392" s="90">
        <v>356</v>
      </c>
      <c r="AR392" s="90" t="s">
        <v>380</v>
      </c>
      <c r="AS392" s="90" t="s">
        <v>246</v>
      </c>
      <c r="AT392" s="90" t="s">
        <v>244</v>
      </c>
      <c r="AU392" s="90">
        <v>175.87190000000001</v>
      </c>
      <c r="AV392" s="90">
        <v>157.19875198133701</v>
      </c>
      <c r="AW392" s="90">
        <v>1428.98799173004</v>
      </c>
      <c r="AX392" s="90">
        <v>1.0728696663999999</v>
      </c>
    </row>
    <row r="393" spans="1:50" x14ac:dyDescent="0.25">
      <c r="A393" s="102">
        <v>830000</v>
      </c>
      <c r="B393" s="102">
        <v>2400000</v>
      </c>
      <c r="C393" s="102">
        <v>2400000</v>
      </c>
      <c r="D393" s="90" t="s">
        <v>374</v>
      </c>
      <c r="E393" s="90" t="s">
        <v>68</v>
      </c>
      <c r="F393" s="90" t="s">
        <v>375</v>
      </c>
      <c r="G393" s="90" t="s">
        <v>376</v>
      </c>
      <c r="H393" s="90">
        <v>0.59</v>
      </c>
      <c r="I393" s="90">
        <v>0.64</v>
      </c>
      <c r="J393" s="90" t="s">
        <v>244</v>
      </c>
      <c r="K393" s="90">
        <v>1.7509345399400002E-2</v>
      </c>
      <c r="L393" s="90">
        <v>3746.2716023406301</v>
      </c>
      <c r="M393" s="90">
        <v>10.7786323867861</v>
      </c>
      <c r="N393" s="90">
        <v>2.0768542518767799</v>
      </c>
      <c r="O393" s="90">
        <v>0.18872679739338999</v>
      </c>
      <c r="P393" s="90">
        <v>3.6364358440320002E-2</v>
      </c>
      <c r="Q393" s="90">
        <v>65.594763445345805</v>
      </c>
      <c r="R393" s="90">
        <v>1300</v>
      </c>
      <c r="S393" s="90" t="s">
        <v>387</v>
      </c>
      <c r="T393" s="90">
        <v>1300</v>
      </c>
      <c r="U393" s="90" t="s">
        <v>378</v>
      </c>
      <c r="V393" s="90" t="s">
        <v>244</v>
      </c>
      <c r="Z393" s="90">
        <v>0</v>
      </c>
      <c r="AA393" s="90">
        <v>1</v>
      </c>
      <c r="AB393" s="90">
        <v>0.18872679739338999</v>
      </c>
      <c r="AC393" s="90">
        <v>3.6364358440320002E-2</v>
      </c>
      <c r="AD393" s="90">
        <v>65.594763445344995</v>
      </c>
      <c r="AF393" s="90">
        <v>-1</v>
      </c>
      <c r="AG393" s="90">
        <v>-1</v>
      </c>
      <c r="AH393" s="90">
        <v>-1</v>
      </c>
      <c r="AI393" s="90">
        <v>-1</v>
      </c>
      <c r="AJ393" s="90">
        <v>0</v>
      </c>
      <c r="AM393" s="90" t="s">
        <v>379</v>
      </c>
      <c r="AN393" s="90">
        <v>-1</v>
      </c>
      <c r="AQ393" s="90">
        <v>356</v>
      </c>
      <c r="AR393" s="90" t="s">
        <v>380</v>
      </c>
      <c r="AS393" s="90" t="s">
        <v>246</v>
      </c>
      <c r="AT393" s="90" t="s">
        <v>244</v>
      </c>
      <c r="AU393" s="90">
        <v>175.87190000000001</v>
      </c>
      <c r="AV393" s="90">
        <v>102.865655519014</v>
      </c>
      <c r="AW393" s="90">
        <v>70.857806881580998</v>
      </c>
      <c r="AX393" s="90">
        <v>5.3199321500000001E-2</v>
      </c>
    </row>
    <row r="394" spans="1:50" x14ac:dyDescent="0.25">
      <c r="A394" s="102">
        <v>830000</v>
      </c>
      <c r="B394" s="102">
        <v>2400000</v>
      </c>
      <c r="C394" s="102">
        <v>2400000</v>
      </c>
      <c r="D394" s="90" t="s">
        <v>374</v>
      </c>
      <c r="E394" s="90" t="s">
        <v>68</v>
      </c>
      <c r="F394" s="90" t="s">
        <v>375</v>
      </c>
      <c r="G394" s="90" t="s">
        <v>376</v>
      </c>
      <c r="H394" s="90">
        <v>0.59</v>
      </c>
      <c r="I394" s="90">
        <v>0.64</v>
      </c>
      <c r="J394" s="90" t="s">
        <v>244</v>
      </c>
      <c r="K394" s="90">
        <v>0.61776345373694996</v>
      </c>
      <c r="L394" s="90">
        <v>3756.4692924648498</v>
      </c>
      <c r="M394" s="90">
        <v>10.806427154124901</v>
      </c>
      <c r="N394" s="90">
        <v>2.0820300370317799</v>
      </c>
      <c r="O394" s="90">
        <v>6.6758157612890097</v>
      </c>
      <c r="P394" s="90">
        <v>1.28620206646083</v>
      </c>
      <c r="Q394" s="90">
        <v>2320.60944396989</v>
      </c>
      <c r="R394" s="90">
        <v>1300</v>
      </c>
      <c r="S394" s="90" t="s">
        <v>387</v>
      </c>
      <c r="T394" s="90">
        <v>1300</v>
      </c>
      <c r="U394" s="90" t="s">
        <v>378</v>
      </c>
      <c r="V394" s="90" t="s">
        <v>244</v>
      </c>
      <c r="Z394" s="90">
        <v>0</v>
      </c>
      <c r="AA394" s="90">
        <v>1</v>
      </c>
      <c r="AB394" s="90">
        <v>6.6758157612890097</v>
      </c>
      <c r="AC394" s="90">
        <v>1.28620206646083</v>
      </c>
      <c r="AD394" s="90">
        <v>2320.60944396989</v>
      </c>
      <c r="AF394" s="90">
        <v>-1</v>
      </c>
      <c r="AG394" s="90">
        <v>-1</v>
      </c>
      <c r="AH394" s="90">
        <v>-1</v>
      </c>
      <c r="AI394" s="90">
        <v>-1</v>
      </c>
      <c r="AJ394" s="90">
        <v>0</v>
      </c>
      <c r="AM394" s="90" t="s">
        <v>379</v>
      </c>
      <c r="AN394" s="90">
        <v>-1</v>
      </c>
      <c r="AQ394" s="90">
        <v>356</v>
      </c>
      <c r="AR394" s="90" t="s">
        <v>380</v>
      </c>
      <c r="AS394" s="90" t="s">
        <v>246</v>
      </c>
      <c r="AT394" s="90" t="s">
        <v>244</v>
      </c>
      <c r="AU394" s="90">
        <v>175.87190000000001</v>
      </c>
      <c r="AV394" s="90">
        <v>200.00000001117499</v>
      </c>
      <c r="AW394" s="90">
        <v>2500.00000027939</v>
      </c>
      <c r="AX394" s="90">
        <v>1.8820838961999999</v>
      </c>
    </row>
    <row r="395" spans="1:50" x14ac:dyDescent="0.25">
      <c r="A395" s="102">
        <v>830000</v>
      </c>
      <c r="B395" s="102">
        <v>2400000</v>
      </c>
      <c r="C395" s="102">
        <v>2400000</v>
      </c>
      <c r="D395" s="90" t="s">
        <v>374</v>
      </c>
      <c r="E395" s="90" t="s">
        <v>68</v>
      </c>
      <c r="F395" s="90" t="s">
        <v>375</v>
      </c>
      <c r="G395" s="90" t="s">
        <v>376</v>
      </c>
      <c r="H395" s="90">
        <v>0.59</v>
      </c>
      <c r="I395" s="90">
        <v>0.64</v>
      </c>
      <c r="J395" s="90" t="s">
        <v>244</v>
      </c>
      <c r="K395" s="90">
        <v>3.2711089696900002E-3</v>
      </c>
      <c r="L395" s="90">
        <v>2219.9004176418098</v>
      </c>
      <c r="M395" s="90">
        <v>5.8536609132079498</v>
      </c>
      <c r="N395" s="90">
        <v>0.92371232190231001</v>
      </c>
      <c r="O395" s="90">
        <v>1.9147962718720001E-2</v>
      </c>
      <c r="P395" s="90">
        <v>3.0215636615800001E-3</v>
      </c>
      <c r="Q395" s="90">
        <v>7.2615361679689201</v>
      </c>
      <c r="R395" s="90">
        <v>1200</v>
      </c>
      <c r="S395" s="90" t="s">
        <v>384</v>
      </c>
      <c r="T395" s="90">
        <v>1200</v>
      </c>
      <c r="U395" s="90" t="s">
        <v>378</v>
      </c>
      <c r="V395" s="90" t="s">
        <v>244</v>
      </c>
      <c r="Z395" s="90">
        <v>0</v>
      </c>
      <c r="AA395" s="90">
        <v>1</v>
      </c>
      <c r="AB395" s="90">
        <v>1.9147962718720001E-2</v>
      </c>
      <c r="AC395" s="90">
        <v>3.0215636615800001E-3</v>
      </c>
      <c r="AD395" s="90">
        <v>29.9366064209676</v>
      </c>
      <c r="AF395" s="90">
        <v>-1</v>
      </c>
      <c r="AG395" s="90">
        <v>-1</v>
      </c>
      <c r="AH395" s="90">
        <v>-1</v>
      </c>
      <c r="AI395" s="90">
        <v>-1</v>
      </c>
      <c r="AJ395" s="90">
        <v>0</v>
      </c>
      <c r="AM395" s="90" t="s">
        <v>379</v>
      </c>
      <c r="AN395" s="90">
        <v>-1</v>
      </c>
      <c r="AQ395" s="90">
        <v>356</v>
      </c>
      <c r="AR395" s="90" t="s">
        <v>380</v>
      </c>
      <c r="AS395" s="90" t="s">
        <v>246</v>
      </c>
      <c r="AT395" s="90" t="s">
        <v>244</v>
      </c>
      <c r="AU395" s="90">
        <v>175.87190000000001</v>
      </c>
      <c r="AV395" s="90">
        <v>30.614166188975499</v>
      </c>
      <c r="AW395" s="90">
        <v>13.2377083423639</v>
      </c>
      <c r="AX395" s="90">
        <v>2.4279486100000001E-2</v>
      </c>
    </row>
    <row r="396" spans="1:50" x14ac:dyDescent="0.25">
      <c r="A396" s="102">
        <v>830000</v>
      </c>
      <c r="B396" s="102">
        <v>2400000</v>
      </c>
      <c r="C396" s="102">
        <v>2400000</v>
      </c>
      <c r="D396" s="90" t="s">
        <v>374</v>
      </c>
      <c r="E396" s="90" t="s">
        <v>68</v>
      </c>
      <c r="F396" s="90" t="s">
        <v>375</v>
      </c>
      <c r="G396" s="90" t="s">
        <v>376</v>
      </c>
      <c r="H396" s="90">
        <v>0.59</v>
      </c>
      <c r="I396" s="90">
        <v>0.64</v>
      </c>
      <c r="J396" s="90" t="s">
        <v>389</v>
      </c>
      <c r="K396" s="90">
        <v>3.0908283237849998E-2</v>
      </c>
      <c r="L396" s="90">
        <v>2219.9004176418098</v>
      </c>
      <c r="M396" s="90">
        <v>5.8536609132079498</v>
      </c>
      <c r="N396" s="90">
        <v>0.92371232190231001</v>
      </c>
      <c r="O396" s="90">
        <v>0.18092660948378</v>
      </c>
      <c r="P396" s="90">
        <v>2.8550362075649999E-2</v>
      </c>
      <c r="Q396" s="90">
        <v>68.613310868303401</v>
      </c>
      <c r="R396" s="90">
        <v>5400</v>
      </c>
      <c r="S396" s="90" t="s">
        <v>392</v>
      </c>
      <c r="T396" s="90">
        <v>5400</v>
      </c>
      <c r="U396" s="90" t="s">
        <v>378</v>
      </c>
      <c r="V396" s="90" t="s">
        <v>244</v>
      </c>
      <c r="Y396" s="90" t="s">
        <v>389</v>
      </c>
      <c r="Z396" s="90">
        <v>0</v>
      </c>
      <c r="AA396" s="90">
        <v>1</v>
      </c>
      <c r="AB396" s="90">
        <v>0.18092660948378</v>
      </c>
      <c r="AC396" s="90">
        <v>2.8550362075649999E-2</v>
      </c>
      <c r="AD396" s="90">
        <v>516.12808778377905</v>
      </c>
      <c r="AF396" s="90">
        <v>-1</v>
      </c>
      <c r="AG396" s="90">
        <v>-1</v>
      </c>
      <c r="AH396" s="90">
        <v>-1</v>
      </c>
      <c r="AI396" s="90">
        <v>-1</v>
      </c>
      <c r="AJ396" s="90">
        <v>0</v>
      </c>
      <c r="AM396" s="90" t="s">
        <v>379</v>
      </c>
      <c r="AN396" s="90">
        <v>-1</v>
      </c>
      <c r="AQ396" s="90">
        <v>356</v>
      </c>
      <c r="AR396" s="90" t="s">
        <v>380</v>
      </c>
      <c r="AS396" s="90" t="s">
        <v>246</v>
      </c>
      <c r="AT396" s="90" t="s">
        <v>244</v>
      </c>
      <c r="AU396" s="90">
        <v>175.87190000000001</v>
      </c>
      <c r="AV396" s="90">
        <v>74.4503104322376</v>
      </c>
      <c r="AW396" s="90">
        <v>125.08138452646899</v>
      </c>
      <c r="AX396" s="90">
        <v>0.41859536720000001</v>
      </c>
    </row>
    <row r="397" spans="1:50" x14ac:dyDescent="0.25">
      <c r="A397" s="102">
        <v>830000</v>
      </c>
      <c r="B397" s="102">
        <v>2400000</v>
      </c>
      <c r="C397" s="102">
        <v>2400000</v>
      </c>
      <c r="D397" s="90" t="s">
        <v>374</v>
      </c>
      <c r="E397" s="90" t="s">
        <v>68</v>
      </c>
      <c r="F397" s="90" t="s">
        <v>375</v>
      </c>
      <c r="G397" s="90" t="s">
        <v>376</v>
      </c>
      <c r="H397" s="90">
        <v>0.59</v>
      </c>
      <c r="I397" s="90">
        <v>0.64</v>
      </c>
      <c r="J397" s="90" t="s">
        <v>244</v>
      </c>
      <c r="K397" s="90">
        <v>9.2066948427760004E-2</v>
      </c>
      <c r="L397" s="90">
        <v>2219.9004176418098</v>
      </c>
      <c r="M397" s="90">
        <v>5.8536609132079498</v>
      </c>
      <c r="N397" s="90">
        <v>0.92371232190231001</v>
      </c>
      <c r="O397" s="90">
        <v>0.53892869740994997</v>
      </c>
      <c r="P397" s="90">
        <v>8.5043374702669997E-2</v>
      </c>
      <c r="Q397" s="90">
        <v>204.37945726580901</v>
      </c>
      <c r="R397" s="90">
        <v>1210</v>
      </c>
      <c r="S397" s="90" t="s">
        <v>385</v>
      </c>
      <c r="T397" s="90">
        <v>1210</v>
      </c>
      <c r="U397" s="90" t="s">
        <v>378</v>
      </c>
      <c r="V397" s="90" t="s">
        <v>244</v>
      </c>
      <c r="Z397" s="90">
        <v>0</v>
      </c>
      <c r="AA397" s="90">
        <v>1</v>
      </c>
      <c r="AB397" s="90">
        <v>0.53892869740994997</v>
      </c>
      <c r="AC397" s="90">
        <v>8.5043374702669997E-2</v>
      </c>
      <c r="AD397" s="90">
        <v>350.49761467377198</v>
      </c>
      <c r="AF397" s="90">
        <v>-1</v>
      </c>
      <c r="AG397" s="90">
        <v>-1</v>
      </c>
      <c r="AH397" s="90">
        <v>-1</v>
      </c>
      <c r="AI397" s="90">
        <v>-1</v>
      </c>
      <c r="AJ397" s="90">
        <v>0</v>
      </c>
      <c r="AM397" s="90" t="s">
        <v>379</v>
      </c>
      <c r="AN397" s="90">
        <v>-1</v>
      </c>
      <c r="AQ397" s="90">
        <v>356</v>
      </c>
      <c r="AR397" s="90" t="s">
        <v>380</v>
      </c>
      <c r="AS397" s="90" t="s">
        <v>246</v>
      </c>
      <c r="AT397" s="90" t="s">
        <v>244</v>
      </c>
      <c r="AU397" s="90">
        <v>175.87190000000001</v>
      </c>
      <c r="AV397" s="90">
        <v>81.151788613588195</v>
      </c>
      <c r="AW397" s="90">
        <v>372.58172153568302</v>
      </c>
      <c r="AX397" s="90">
        <v>0.28426408330000003</v>
      </c>
    </row>
    <row r="398" spans="1:50" x14ac:dyDescent="0.25">
      <c r="A398" s="102">
        <v>830000</v>
      </c>
      <c r="B398" s="102">
        <v>2400000</v>
      </c>
      <c r="C398" s="102">
        <v>2400000</v>
      </c>
      <c r="D398" s="90" t="s">
        <v>374</v>
      </c>
      <c r="E398" s="90" t="s">
        <v>68</v>
      </c>
      <c r="F398" s="90" t="s">
        <v>375</v>
      </c>
      <c r="G398" s="90" t="s">
        <v>376</v>
      </c>
      <c r="H398" s="90">
        <v>0.59</v>
      </c>
      <c r="I398" s="90">
        <v>0.64</v>
      </c>
      <c r="J398" s="90" t="s">
        <v>244</v>
      </c>
      <c r="K398" s="90">
        <v>5.080676745091E-2</v>
      </c>
      <c r="L398" s="90">
        <v>2219.9004176418098</v>
      </c>
      <c r="M398" s="90">
        <v>5.8536609132079498</v>
      </c>
      <c r="N398" s="90">
        <v>0.92371232190231001</v>
      </c>
      <c r="O398" s="90">
        <v>0.29740558875385997</v>
      </c>
      <c r="P398" s="90">
        <v>4.6930837130430003E-2</v>
      </c>
      <c r="Q398" s="90">
        <v>112.785964283314</v>
      </c>
      <c r="R398" s="90">
        <v>1300</v>
      </c>
      <c r="S398" s="90" t="s">
        <v>387</v>
      </c>
      <c r="T398" s="90">
        <v>1300</v>
      </c>
      <c r="U398" s="90" t="s">
        <v>378</v>
      </c>
      <c r="V398" s="90" t="s">
        <v>244</v>
      </c>
      <c r="Z398" s="90">
        <v>0</v>
      </c>
      <c r="AA398" s="90">
        <v>1</v>
      </c>
      <c r="AB398" s="90">
        <v>0.29740558875385997</v>
      </c>
      <c r="AC398" s="90">
        <v>4.6930837130430003E-2</v>
      </c>
      <c r="AD398" s="90">
        <v>112.78596428331301</v>
      </c>
      <c r="AF398" s="90">
        <v>-1</v>
      </c>
      <c r="AG398" s="90">
        <v>-1</v>
      </c>
      <c r="AH398" s="90">
        <v>-1</v>
      </c>
      <c r="AI398" s="90">
        <v>-1</v>
      </c>
      <c r="AJ398" s="90">
        <v>0</v>
      </c>
      <c r="AM398" s="90" t="s">
        <v>379</v>
      </c>
      <c r="AN398" s="90">
        <v>-1</v>
      </c>
      <c r="AQ398" s="90">
        <v>356</v>
      </c>
      <c r="AR398" s="90" t="s">
        <v>380</v>
      </c>
      <c r="AS398" s="90" t="s">
        <v>246</v>
      </c>
      <c r="AT398" s="90" t="s">
        <v>244</v>
      </c>
      <c r="AU398" s="90">
        <v>175.87190000000001</v>
      </c>
      <c r="AV398" s="90">
        <v>57.619421702880501</v>
      </c>
      <c r="AW398" s="90">
        <v>205.607693160113</v>
      </c>
      <c r="AX398" s="90">
        <v>9.1472801500000006E-2</v>
      </c>
    </row>
    <row r="399" spans="1:50" x14ac:dyDescent="0.25">
      <c r="A399" s="102">
        <v>830000</v>
      </c>
      <c r="B399" s="102">
        <v>2400000</v>
      </c>
      <c r="C399" s="102">
        <v>2400000</v>
      </c>
      <c r="D399" s="90" t="s">
        <v>374</v>
      </c>
      <c r="E399" s="90" t="s">
        <v>68</v>
      </c>
      <c r="F399" s="90" t="s">
        <v>375</v>
      </c>
      <c r="G399" s="90" t="s">
        <v>376</v>
      </c>
      <c r="H399" s="90">
        <v>0.59</v>
      </c>
      <c r="I399" s="90">
        <v>0.64</v>
      </c>
      <c r="J399" s="90" t="s">
        <v>244</v>
      </c>
      <c r="K399" s="90">
        <v>9.1387341304269995E-2</v>
      </c>
      <c r="L399" s="90">
        <v>3752.9178034962802</v>
      </c>
      <c r="M399" s="90">
        <v>10.797052919565999</v>
      </c>
      <c r="N399" s="90">
        <v>2.0803219525729801</v>
      </c>
      <c r="O399" s="90">
        <v>0.98671396024072999</v>
      </c>
      <c r="P399" s="90">
        <v>0.19011509230257001</v>
      </c>
      <c r="Q399" s="90">
        <v>342.96918019501601</v>
      </c>
      <c r="R399" s="90">
        <v>1300</v>
      </c>
      <c r="S399" s="90" t="s">
        <v>387</v>
      </c>
      <c r="T399" s="90">
        <v>1300</v>
      </c>
      <c r="U399" s="90" t="s">
        <v>378</v>
      </c>
      <c r="V399" s="90" t="s">
        <v>244</v>
      </c>
      <c r="Z399" s="90">
        <v>0</v>
      </c>
      <c r="AA399" s="90">
        <v>1</v>
      </c>
      <c r="AB399" s="90">
        <v>0.98671396024072999</v>
      </c>
      <c r="AC399" s="90">
        <v>0.19011509230257001</v>
      </c>
      <c r="AD399" s="90">
        <v>342.96918019501499</v>
      </c>
      <c r="AF399" s="90">
        <v>-1</v>
      </c>
      <c r="AG399" s="90">
        <v>-1</v>
      </c>
      <c r="AH399" s="90">
        <v>-1</v>
      </c>
      <c r="AI399" s="90">
        <v>-1</v>
      </c>
      <c r="AJ399" s="90">
        <v>0</v>
      </c>
      <c r="AM399" s="90" t="s">
        <v>379</v>
      </c>
      <c r="AN399" s="90">
        <v>-1</v>
      </c>
      <c r="AQ399" s="90">
        <v>356</v>
      </c>
      <c r="AR399" s="90" t="s">
        <v>380</v>
      </c>
      <c r="AS399" s="90" t="s">
        <v>246</v>
      </c>
      <c r="AT399" s="90" t="s">
        <v>244</v>
      </c>
      <c r="AU399" s="90">
        <v>175.87190000000001</v>
      </c>
      <c r="AV399" s="90">
        <v>114.816288019526</v>
      </c>
      <c r="AW399" s="90">
        <v>369.83144908327603</v>
      </c>
      <c r="AX399" s="90">
        <v>0.278158297</v>
      </c>
    </row>
    <row r="400" spans="1:50" x14ac:dyDescent="0.25">
      <c r="A400" s="102">
        <v>830000</v>
      </c>
      <c r="B400" s="102">
        <v>2400000</v>
      </c>
      <c r="C400" s="102">
        <v>2400000</v>
      </c>
      <c r="D400" s="90" t="s">
        <v>374</v>
      </c>
      <c r="E400" s="90" t="s">
        <v>68</v>
      </c>
      <c r="F400" s="90" t="s">
        <v>375</v>
      </c>
      <c r="G400" s="90" t="s">
        <v>376</v>
      </c>
      <c r="H400" s="90">
        <v>0.59</v>
      </c>
      <c r="I400" s="90">
        <v>0.64</v>
      </c>
      <c r="J400" s="90" t="s">
        <v>244</v>
      </c>
      <c r="K400" s="90">
        <v>0.52637611211047997</v>
      </c>
      <c r="L400" s="90">
        <v>3752.9178034962802</v>
      </c>
      <c r="M400" s="90">
        <v>10.797052919565999</v>
      </c>
      <c r="N400" s="90">
        <v>2.0803219525729801</v>
      </c>
      <c r="O400" s="90">
        <v>5.68331073805237</v>
      </c>
      <c r="P400" s="90">
        <v>1.09503178133346</v>
      </c>
      <c r="Q400" s="90">
        <v>1975.4462824745999</v>
      </c>
      <c r="R400" s="90">
        <v>1300</v>
      </c>
      <c r="S400" s="90" t="s">
        <v>387</v>
      </c>
      <c r="T400" s="90">
        <v>1300</v>
      </c>
      <c r="U400" s="90" t="s">
        <v>378</v>
      </c>
      <c r="V400" s="90" t="s">
        <v>244</v>
      </c>
      <c r="Z400" s="90">
        <v>0</v>
      </c>
      <c r="AA400" s="90">
        <v>1</v>
      </c>
      <c r="AB400" s="90">
        <v>5.68331073805237</v>
      </c>
      <c r="AC400" s="90">
        <v>1.09503178133346</v>
      </c>
      <c r="AD400" s="90">
        <v>1975.4462824745999</v>
      </c>
      <c r="AF400" s="90">
        <v>-1</v>
      </c>
      <c r="AG400" s="90">
        <v>-1</v>
      </c>
      <c r="AH400" s="90">
        <v>-1</v>
      </c>
      <c r="AI400" s="90">
        <v>-1</v>
      </c>
      <c r="AJ400" s="90">
        <v>0</v>
      </c>
      <c r="AM400" s="90" t="s">
        <v>379</v>
      </c>
      <c r="AN400" s="90">
        <v>-1</v>
      </c>
      <c r="AQ400" s="90">
        <v>356</v>
      </c>
      <c r="AR400" s="90" t="s">
        <v>380</v>
      </c>
      <c r="AS400" s="90" t="s">
        <v>246</v>
      </c>
      <c r="AT400" s="90" t="s">
        <v>244</v>
      </c>
      <c r="AU400" s="90">
        <v>175.87190000000001</v>
      </c>
      <c r="AV400" s="90">
        <v>185.229772067624</v>
      </c>
      <c r="AW400" s="90">
        <v>2130.1685498922602</v>
      </c>
      <c r="AX400" s="90">
        <v>1.6021462145000001</v>
      </c>
    </row>
    <row r="401" spans="1:50" x14ac:dyDescent="0.25">
      <c r="A401" s="102">
        <v>830000</v>
      </c>
      <c r="B401" s="102">
        <v>2400000</v>
      </c>
      <c r="C401" s="102">
        <v>2400000</v>
      </c>
      <c r="D401" s="90" t="s">
        <v>374</v>
      </c>
      <c r="E401" s="90" t="s">
        <v>68</v>
      </c>
      <c r="F401" s="90" t="s">
        <v>375</v>
      </c>
      <c r="G401" s="90" t="s">
        <v>376</v>
      </c>
      <c r="H401" s="90">
        <v>0.59</v>
      </c>
      <c r="I401" s="90">
        <v>0.64</v>
      </c>
      <c r="J401" s="90" t="s">
        <v>244</v>
      </c>
      <c r="K401" s="102">
        <v>7.9884795110000006E-6</v>
      </c>
      <c r="L401" s="90">
        <v>3773.95615007585</v>
      </c>
      <c r="M401" s="90">
        <v>9.2763505199023104</v>
      </c>
      <c r="N401" s="90">
        <v>1.6033885367308101</v>
      </c>
      <c r="O401" s="90">
        <v>7.4103936059999998E-5</v>
      </c>
      <c r="P401" s="90">
        <v>1.280863647E-5</v>
      </c>
      <c r="Q401" s="90">
        <v>3.0148171380289999E-2</v>
      </c>
      <c r="R401" s="90">
        <v>1300</v>
      </c>
      <c r="S401" s="90" t="s">
        <v>387</v>
      </c>
      <c r="T401" s="90">
        <v>1300</v>
      </c>
      <c r="U401" s="90" t="s">
        <v>378</v>
      </c>
      <c r="V401" s="90" t="s">
        <v>244</v>
      </c>
      <c r="Z401" s="90">
        <v>0</v>
      </c>
      <c r="AA401" s="90">
        <v>1</v>
      </c>
      <c r="AB401" s="90">
        <v>7.4103936059999998E-5</v>
      </c>
      <c r="AC401" s="90">
        <v>1.280863647E-5</v>
      </c>
      <c r="AD401" s="90">
        <v>3.0148171380489999E-2</v>
      </c>
      <c r="AF401" s="90">
        <v>-1</v>
      </c>
      <c r="AG401" s="90">
        <v>-1</v>
      </c>
      <c r="AH401" s="90">
        <v>-1</v>
      </c>
      <c r="AI401" s="90">
        <v>-1</v>
      </c>
      <c r="AJ401" s="90">
        <v>0</v>
      </c>
      <c r="AM401" s="90" t="s">
        <v>379</v>
      </c>
      <c r="AN401" s="90">
        <v>-1</v>
      </c>
      <c r="AQ401" s="90">
        <v>356</v>
      </c>
      <c r="AR401" s="90" t="s">
        <v>380</v>
      </c>
      <c r="AS401" s="90" t="s">
        <v>246</v>
      </c>
      <c r="AT401" s="90" t="s">
        <v>244</v>
      </c>
      <c r="AU401" s="90">
        <v>175.87190000000001</v>
      </c>
      <c r="AV401" s="90">
        <v>2.01697415749139</v>
      </c>
      <c r="AW401" s="90">
        <v>3.2328229614509998E-2</v>
      </c>
      <c r="AX401" s="90">
        <v>2.44511E-5</v>
      </c>
    </row>
    <row r="402" spans="1:50" x14ac:dyDescent="0.25">
      <c r="A402" s="102">
        <v>830000</v>
      </c>
      <c r="B402" s="102">
        <v>2400000</v>
      </c>
      <c r="C402" s="102">
        <v>2400000</v>
      </c>
      <c r="D402" s="90" t="s">
        <v>374</v>
      </c>
      <c r="E402" s="90" t="s">
        <v>68</v>
      </c>
      <c r="F402" s="90" t="s">
        <v>375</v>
      </c>
      <c r="G402" s="90" t="s">
        <v>376</v>
      </c>
      <c r="H402" s="90">
        <v>0.59</v>
      </c>
      <c r="I402" s="90">
        <v>0.64</v>
      </c>
      <c r="J402" s="90" t="s">
        <v>244</v>
      </c>
      <c r="K402" s="90">
        <v>0.17697783654143001</v>
      </c>
      <c r="L402" s="90">
        <v>3773.95615007585</v>
      </c>
      <c r="M402" s="90">
        <v>9.2763505199023104</v>
      </c>
      <c r="N402" s="90">
        <v>1.6033885367308101</v>
      </c>
      <c r="O402" s="90">
        <v>1.6417084460123299</v>
      </c>
      <c r="P402" s="90">
        <v>0.28376423436595</v>
      </c>
      <c r="Q402" s="90">
        <v>667.90659464267105</v>
      </c>
      <c r="R402" s="90">
        <v>1300</v>
      </c>
      <c r="S402" s="90" t="s">
        <v>387</v>
      </c>
      <c r="T402" s="90">
        <v>1300</v>
      </c>
      <c r="U402" s="90" t="s">
        <v>378</v>
      </c>
      <c r="V402" s="90" t="s">
        <v>244</v>
      </c>
      <c r="Z402" s="90">
        <v>0</v>
      </c>
      <c r="AA402" s="90">
        <v>1</v>
      </c>
      <c r="AB402" s="90">
        <v>1.6417084460123299</v>
      </c>
      <c r="AC402" s="90">
        <v>0.28376423436595</v>
      </c>
      <c r="AD402" s="90">
        <v>667.90659464267105</v>
      </c>
      <c r="AF402" s="90">
        <v>-1</v>
      </c>
      <c r="AG402" s="90">
        <v>-1</v>
      </c>
      <c r="AH402" s="90">
        <v>-1</v>
      </c>
      <c r="AI402" s="90">
        <v>-1</v>
      </c>
      <c r="AJ402" s="90">
        <v>0</v>
      </c>
      <c r="AM402" s="90" t="s">
        <v>379</v>
      </c>
      <c r="AN402" s="90">
        <v>-1</v>
      </c>
      <c r="AQ402" s="90">
        <v>356</v>
      </c>
      <c r="AR402" s="90" t="s">
        <v>380</v>
      </c>
      <c r="AS402" s="90" t="s">
        <v>246</v>
      </c>
      <c r="AT402" s="90" t="s">
        <v>244</v>
      </c>
      <c r="AU402" s="90">
        <v>175.87190000000001</v>
      </c>
      <c r="AV402" s="90">
        <v>109.626575427378</v>
      </c>
      <c r="AW402" s="90">
        <v>716.20389443016597</v>
      </c>
      <c r="AX402" s="90">
        <v>0.54169229090000004</v>
      </c>
    </row>
    <row r="403" spans="1:50" x14ac:dyDescent="0.25">
      <c r="A403" s="102">
        <v>830000</v>
      </c>
      <c r="B403" s="102">
        <v>2400000</v>
      </c>
      <c r="C403" s="102">
        <v>2400000</v>
      </c>
      <c r="D403" s="90" t="s">
        <v>374</v>
      </c>
      <c r="E403" s="90" t="s">
        <v>68</v>
      </c>
      <c r="F403" s="90" t="s">
        <v>375</v>
      </c>
      <c r="G403" s="90" t="s">
        <v>376</v>
      </c>
      <c r="H403" s="90">
        <v>0.59</v>
      </c>
      <c r="I403" s="90">
        <v>0.64</v>
      </c>
      <c r="J403" s="90" t="s">
        <v>244</v>
      </c>
      <c r="K403" s="90">
        <v>0.24696413640951001</v>
      </c>
      <c r="L403" s="90">
        <v>3773.95615007585</v>
      </c>
      <c r="M403" s="90">
        <v>9.2763505199023104</v>
      </c>
      <c r="N403" s="90">
        <v>1.6033885367308101</v>
      </c>
      <c r="O403" s="90">
        <v>2.2909258951796301</v>
      </c>
      <c r="P403" s="90">
        <v>0.39597946530264</v>
      </c>
      <c r="Q403" s="90">
        <v>932.03182145085998</v>
      </c>
      <c r="R403" s="90">
        <v>1300</v>
      </c>
      <c r="S403" s="90" t="s">
        <v>387</v>
      </c>
      <c r="T403" s="90">
        <v>1300</v>
      </c>
      <c r="U403" s="90" t="s">
        <v>378</v>
      </c>
      <c r="V403" s="90" t="s">
        <v>244</v>
      </c>
      <c r="Z403" s="90">
        <v>0</v>
      </c>
      <c r="AA403" s="90">
        <v>1</v>
      </c>
      <c r="AB403" s="90">
        <v>2.2909258951796301</v>
      </c>
      <c r="AC403" s="90">
        <v>0.39597946530264</v>
      </c>
      <c r="AD403" s="90">
        <v>932.03182145085998</v>
      </c>
      <c r="AF403" s="90">
        <v>-1</v>
      </c>
      <c r="AG403" s="90">
        <v>-1</v>
      </c>
      <c r="AH403" s="90">
        <v>-1</v>
      </c>
      <c r="AI403" s="90">
        <v>-1</v>
      </c>
      <c r="AJ403" s="90">
        <v>0</v>
      </c>
      <c r="AM403" s="90" t="s">
        <v>379</v>
      </c>
      <c r="AN403" s="90">
        <v>-1</v>
      </c>
      <c r="AQ403" s="90">
        <v>356</v>
      </c>
      <c r="AR403" s="90" t="s">
        <v>380</v>
      </c>
      <c r="AS403" s="90" t="s">
        <v>246</v>
      </c>
      <c r="AT403" s="90" t="s">
        <v>244</v>
      </c>
      <c r="AU403" s="90">
        <v>175.87190000000001</v>
      </c>
      <c r="AV403" s="90">
        <v>139.921483245193</v>
      </c>
      <c r="AW403" s="90">
        <v>999.42840153131397</v>
      </c>
      <c r="AX403" s="90">
        <v>0.75590577569999995</v>
      </c>
    </row>
    <row r="404" spans="1:50" x14ac:dyDescent="0.25">
      <c r="A404" s="102">
        <v>830000</v>
      </c>
      <c r="B404" s="102">
        <v>2400000</v>
      </c>
      <c r="C404" s="102">
        <v>2400000</v>
      </c>
      <c r="D404" s="90" t="s">
        <v>374</v>
      </c>
      <c r="E404" s="90" t="s">
        <v>68</v>
      </c>
      <c r="F404" s="90" t="s">
        <v>375</v>
      </c>
      <c r="G404" s="90" t="s">
        <v>376</v>
      </c>
      <c r="H404" s="90">
        <v>0.59</v>
      </c>
      <c r="I404" s="90">
        <v>0.64</v>
      </c>
      <c r="J404" s="90" t="s">
        <v>244</v>
      </c>
      <c r="K404" s="90">
        <v>0.19381349237553</v>
      </c>
      <c r="L404" s="90">
        <v>3773.95615007585</v>
      </c>
      <c r="M404" s="90">
        <v>9.2763505199023104</v>
      </c>
      <c r="N404" s="90">
        <v>1.6033885367308101</v>
      </c>
      <c r="O404" s="90">
        <v>1.7978818907618499</v>
      </c>
      <c r="P404" s="90">
        <v>0.31075833193869001</v>
      </c>
      <c r="Q404" s="90">
        <v>731.44362151832104</v>
      </c>
      <c r="R404" s="90">
        <v>1300</v>
      </c>
      <c r="S404" s="90" t="s">
        <v>387</v>
      </c>
      <c r="T404" s="90">
        <v>1300</v>
      </c>
      <c r="U404" s="90" t="s">
        <v>378</v>
      </c>
      <c r="V404" s="90" t="s">
        <v>244</v>
      </c>
      <c r="Z404" s="90">
        <v>0</v>
      </c>
      <c r="AA404" s="90">
        <v>1</v>
      </c>
      <c r="AB404" s="90">
        <v>1.7978818907618499</v>
      </c>
      <c r="AC404" s="90">
        <v>0.31075833193869001</v>
      </c>
      <c r="AD404" s="90">
        <v>731.44362151832104</v>
      </c>
      <c r="AF404" s="90">
        <v>-1</v>
      </c>
      <c r="AG404" s="90">
        <v>-1</v>
      </c>
      <c r="AH404" s="90">
        <v>-1</v>
      </c>
      <c r="AI404" s="90">
        <v>-1</v>
      </c>
      <c r="AJ404" s="90">
        <v>0</v>
      </c>
      <c r="AM404" s="90" t="s">
        <v>379</v>
      </c>
      <c r="AN404" s="90">
        <v>-1</v>
      </c>
      <c r="AQ404" s="90">
        <v>356</v>
      </c>
      <c r="AR404" s="90" t="s">
        <v>380</v>
      </c>
      <c r="AS404" s="90" t="s">
        <v>246</v>
      </c>
      <c r="AT404" s="90" t="s">
        <v>244</v>
      </c>
      <c r="AU404" s="90">
        <v>175.87190000000001</v>
      </c>
      <c r="AV404" s="90">
        <v>160.369529914037</v>
      </c>
      <c r="AW404" s="90">
        <v>784.33537636769802</v>
      </c>
      <c r="AX404" s="90">
        <v>0.59322272629999995</v>
      </c>
    </row>
    <row r="405" spans="1:50" x14ac:dyDescent="0.25">
      <c r="A405" s="102">
        <v>830000</v>
      </c>
      <c r="B405" s="102">
        <v>2400000</v>
      </c>
      <c r="C405" s="102">
        <v>2400000</v>
      </c>
      <c r="D405" s="90" t="s">
        <v>374</v>
      </c>
      <c r="E405" s="90" t="s">
        <v>68</v>
      </c>
      <c r="F405" s="90" t="s">
        <v>375</v>
      </c>
      <c r="G405" s="90" t="s">
        <v>376</v>
      </c>
      <c r="H405" s="90">
        <v>0.59</v>
      </c>
      <c r="I405" s="90">
        <v>0.64</v>
      </c>
      <c r="J405" s="90" t="s">
        <v>244</v>
      </c>
      <c r="K405" s="90">
        <v>0.57913198658616005</v>
      </c>
      <c r="L405" s="90">
        <v>3752.2321464822298</v>
      </c>
      <c r="M405" s="90">
        <v>10.794972646832999</v>
      </c>
      <c r="N405" s="90">
        <v>2.0799086134848701</v>
      </c>
      <c r="O405" s="90">
        <v>6.2517139541037903</v>
      </c>
      <c r="P405" s="90">
        <v>1.20454160724517</v>
      </c>
      <c r="Q405" s="90">
        <v>2173.0376571247298</v>
      </c>
      <c r="R405" s="90">
        <v>1300</v>
      </c>
      <c r="S405" s="90" t="s">
        <v>387</v>
      </c>
      <c r="T405" s="90">
        <v>1300</v>
      </c>
      <c r="U405" s="90" t="s">
        <v>378</v>
      </c>
      <c r="V405" s="90" t="s">
        <v>244</v>
      </c>
      <c r="Z405" s="90">
        <v>0</v>
      </c>
      <c r="AA405" s="90">
        <v>1</v>
      </c>
      <c r="AB405" s="90">
        <v>6.2517139541037903</v>
      </c>
      <c r="AC405" s="90">
        <v>1.20454160724517</v>
      </c>
      <c r="AD405" s="90">
        <v>2173.0376571247298</v>
      </c>
      <c r="AF405" s="90">
        <v>-1</v>
      </c>
      <c r="AG405" s="90">
        <v>-1</v>
      </c>
      <c r="AH405" s="90">
        <v>-1</v>
      </c>
      <c r="AI405" s="90">
        <v>-1</v>
      </c>
      <c r="AJ405" s="90">
        <v>0</v>
      </c>
      <c r="AM405" s="90" t="s">
        <v>379</v>
      </c>
      <c r="AN405" s="90">
        <v>-1</v>
      </c>
      <c r="AQ405" s="90">
        <v>356</v>
      </c>
      <c r="AR405" s="90" t="s">
        <v>380</v>
      </c>
      <c r="AS405" s="90" t="s">
        <v>246</v>
      </c>
      <c r="AT405" s="90" t="s">
        <v>244</v>
      </c>
      <c r="AU405" s="90">
        <v>175.87190000000001</v>
      </c>
      <c r="AV405" s="90">
        <v>193.757153325709</v>
      </c>
      <c r="AW405" s="90">
        <v>2343.6639993335002</v>
      </c>
      <c r="AX405" s="90">
        <v>1.7623987486999999</v>
      </c>
    </row>
    <row r="406" spans="1:50" x14ac:dyDescent="0.25">
      <c r="A406" s="102">
        <v>830000</v>
      </c>
      <c r="B406" s="102">
        <v>2400000</v>
      </c>
      <c r="C406" s="102">
        <v>2400000</v>
      </c>
      <c r="D406" s="90" t="s">
        <v>374</v>
      </c>
      <c r="E406" s="90" t="s">
        <v>68</v>
      </c>
      <c r="F406" s="90" t="s">
        <v>375</v>
      </c>
      <c r="G406" s="90" t="s">
        <v>376</v>
      </c>
      <c r="H406" s="90">
        <v>0.59</v>
      </c>
      <c r="I406" s="90">
        <v>0.64</v>
      </c>
      <c r="J406" s="90" t="s">
        <v>244</v>
      </c>
      <c r="K406" s="90">
        <v>3.8631467127769999E-2</v>
      </c>
      <c r="L406" s="90">
        <v>3752.2321464822298</v>
      </c>
      <c r="M406" s="90">
        <v>10.794972646832999</v>
      </c>
      <c r="N406" s="90">
        <v>2.0799086134848701</v>
      </c>
      <c r="O406" s="90">
        <v>0.41702563095133</v>
      </c>
      <c r="P406" s="90">
        <v>8.0349921230609994E-2</v>
      </c>
      <c r="Q406" s="90">
        <v>144.95423282259699</v>
      </c>
      <c r="R406" s="90">
        <v>1300</v>
      </c>
      <c r="S406" s="90" t="s">
        <v>387</v>
      </c>
      <c r="T406" s="90">
        <v>1300</v>
      </c>
      <c r="U406" s="90" t="s">
        <v>378</v>
      </c>
      <c r="V406" s="90" t="s">
        <v>244</v>
      </c>
      <c r="Z406" s="90">
        <v>0</v>
      </c>
      <c r="AA406" s="90">
        <v>1</v>
      </c>
      <c r="AB406" s="90">
        <v>0.41702563095133</v>
      </c>
      <c r="AC406" s="90">
        <v>8.0349921230609994E-2</v>
      </c>
      <c r="AD406" s="90">
        <v>144.95423282259799</v>
      </c>
      <c r="AF406" s="90">
        <v>-1</v>
      </c>
      <c r="AG406" s="90">
        <v>-1</v>
      </c>
      <c r="AH406" s="90">
        <v>-1</v>
      </c>
      <c r="AI406" s="90">
        <v>-1</v>
      </c>
      <c r="AJ406" s="90">
        <v>0</v>
      </c>
      <c r="AM406" s="90" t="s">
        <v>379</v>
      </c>
      <c r="AN406" s="90">
        <v>-1</v>
      </c>
      <c r="AQ406" s="90">
        <v>356</v>
      </c>
      <c r="AR406" s="90" t="s">
        <v>380</v>
      </c>
      <c r="AS406" s="90" t="s">
        <v>246</v>
      </c>
      <c r="AT406" s="90" t="s">
        <v>244</v>
      </c>
      <c r="AU406" s="90">
        <v>175.87190000000001</v>
      </c>
      <c r="AV406" s="90">
        <v>106.264033392998</v>
      </c>
      <c r="AW406" s="90">
        <v>156.33600085275799</v>
      </c>
      <c r="AX406" s="90">
        <v>0.1175622326</v>
      </c>
    </row>
    <row r="407" spans="1:50" x14ac:dyDescent="0.25">
      <c r="A407" s="102">
        <v>830000</v>
      </c>
      <c r="B407" s="102">
        <v>2400000</v>
      </c>
      <c r="C407" s="102">
        <v>2400000</v>
      </c>
      <c r="D407" s="90" t="s">
        <v>374</v>
      </c>
      <c r="E407" s="90" t="s">
        <v>68</v>
      </c>
      <c r="F407" s="90" t="s">
        <v>375</v>
      </c>
      <c r="G407" s="90" t="s">
        <v>376</v>
      </c>
      <c r="H407" s="90">
        <v>0.59</v>
      </c>
      <c r="I407" s="90">
        <v>0.64</v>
      </c>
      <c r="J407" s="90" t="s">
        <v>381</v>
      </c>
      <c r="K407" s="90">
        <v>1.7740100767050002E-2</v>
      </c>
      <c r="L407" s="90">
        <v>3755.4184641216698</v>
      </c>
      <c r="M407" s="90">
        <v>10.271476387542601</v>
      </c>
      <c r="N407" s="90">
        <v>1.8412700597071501</v>
      </c>
      <c r="O407" s="90">
        <v>0.18221702614141999</v>
      </c>
      <c r="P407" s="90">
        <v>3.2664316398560003E-2</v>
      </c>
      <c r="Q407" s="90">
        <v>66.6215019759737</v>
      </c>
      <c r="R407" s="90">
        <v>1300</v>
      </c>
      <c r="S407" s="90" t="s">
        <v>387</v>
      </c>
      <c r="T407" s="90">
        <v>1300</v>
      </c>
      <c r="U407" s="90" t="s">
        <v>382</v>
      </c>
      <c r="V407" s="90" t="s">
        <v>381</v>
      </c>
      <c r="Z407" s="90">
        <v>0</v>
      </c>
      <c r="AA407" s="90">
        <v>1</v>
      </c>
      <c r="AB407" s="90">
        <v>0.18221702614141999</v>
      </c>
      <c r="AC407" s="90">
        <v>3.2664316398560003E-2</v>
      </c>
      <c r="AD407" s="90">
        <v>66.621501975975207</v>
      </c>
      <c r="AF407" s="90">
        <v>-1</v>
      </c>
      <c r="AG407" s="90">
        <v>-1</v>
      </c>
      <c r="AH407" s="90">
        <v>-1</v>
      </c>
      <c r="AI407" s="90">
        <v>-1</v>
      </c>
      <c r="AJ407" s="90">
        <v>0</v>
      </c>
      <c r="AM407" s="90" t="s">
        <v>379</v>
      </c>
      <c r="AN407" s="90">
        <v>-1</v>
      </c>
      <c r="AQ407" s="90">
        <v>356</v>
      </c>
      <c r="AR407" s="90" t="s">
        <v>380</v>
      </c>
      <c r="AS407" s="90" t="s">
        <v>246</v>
      </c>
      <c r="AT407" s="90" t="s">
        <v>244</v>
      </c>
      <c r="AU407" s="90">
        <v>175.87190000000001</v>
      </c>
      <c r="AV407" s="90">
        <v>103.25091684822</v>
      </c>
      <c r="AW407" s="90">
        <v>71.791640723177295</v>
      </c>
      <c r="AX407" s="90">
        <v>5.4032037300000002E-2</v>
      </c>
    </row>
    <row r="408" spans="1:50" x14ac:dyDescent="0.25">
      <c r="A408" s="102">
        <v>830000</v>
      </c>
      <c r="B408" s="102">
        <v>2400000</v>
      </c>
      <c r="C408" s="102">
        <v>2400000</v>
      </c>
      <c r="D408" s="90" t="s">
        <v>374</v>
      </c>
      <c r="E408" s="90" t="s">
        <v>68</v>
      </c>
      <c r="F408" s="90" t="s">
        <v>375</v>
      </c>
      <c r="G408" s="90" t="s">
        <v>376</v>
      </c>
      <c r="H408" s="90">
        <v>0.59</v>
      </c>
      <c r="I408" s="90">
        <v>0.64</v>
      </c>
      <c r="J408" s="90" t="s">
        <v>381</v>
      </c>
      <c r="K408" s="90">
        <v>0.15732684411514999</v>
      </c>
      <c r="L408" s="90">
        <v>3755.4184641216698</v>
      </c>
      <c r="M408" s="90">
        <v>10.271476387542601</v>
      </c>
      <c r="N408" s="90">
        <v>1.8412700597071501</v>
      </c>
      <c r="O408" s="90">
        <v>1.6159789644554601</v>
      </c>
      <c r="P408" s="90">
        <v>0.28968120765744998</v>
      </c>
      <c r="Q408" s="90">
        <v>590.82813529205998</v>
      </c>
      <c r="R408" s="90">
        <v>8140</v>
      </c>
      <c r="S408" s="90" t="s">
        <v>386</v>
      </c>
      <c r="T408" s="90">
        <v>8140</v>
      </c>
      <c r="U408" s="90" t="s">
        <v>382</v>
      </c>
      <c r="V408" s="90" t="s">
        <v>381</v>
      </c>
      <c r="Z408" s="90">
        <v>0</v>
      </c>
      <c r="AA408" s="90">
        <v>1</v>
      </c>
      <c r="AB408" s="90">
        <v>1.6159789644554601</v>
      </c>
      <c r="AC408" s="90">
        <v>0.28968120765744998</v>
      </c>
      <c r="AD408" s="90">
        <v>590.82813529205998</v>
      </c>
      <c r="AF408" s="90">
        <v>-1</v>
      </c>
      <c r="AG408" s="90">
        <v>-1</v>
      </c>
      <c r="AH408" s="90">
        <v>-1</v>
      </c>
      <c r="AI408" s="90">
        <v>-1</v>
      </c>
      <c r="AJ408" s="90">
        <v>0</v>
      </c>
      <c r="AM408" s="90" t="s">
        <v>379</v>
      </c>
      <c r="AN408" s="90">
        <v>-1</v>
      </c>
      <c r="AQ408" s="90">
        <v>356</v>
      </c>
      <c r="AR408" s="90" t="s">
        <v>380</v>
      </c>
      <c r="AS408" s="90" t="s">
        <v>246</v>
      </c>
      <c r="AT408" s="90" t="s">
        <v>244</v>
      </c>
      <c r="AU408" s="90">
        <v>175.87190000000001</v>
      </c>
      <c r="AV408" s="90">
        <v>125.24808596742599</v>
      </c>
      <c r="AW408" s="90">
        <v>636.67914952335502</v>
      </c>
      <c r="AX408" s="90">
        <v>0.47917934740000001</v>
      </c>
    </row>
    <row r="409" spans="1:50" x14ac:dyDescent="0.25">
      <c r="A409" s="102">
        <v>830000</v>
      </c>
      <c r="B409" s="102">
        <v>2400000</v>
      </c>
      <c r="C409" s="102">
        <v>2400000</v>
      </c>
      <c r="D409" s="90" t="s">
        <v>374</v>
      </c>
      <c r="E409" s="90" t="s">
        <v>68</v>
      </c>
      <c r="F409" s="90" t="s">
        <v>375</v>
      </c>
      <c r="G409" s="90" t="s">
        <v>376</v>
      </c>
      <c r="H409" s="90">
        <v>0.59</v>
      </c>
      <c r="I409" s="90">
        <v>0.64</v>
      </c>
      <c r="J409" s="90" t="s">
        <v>244</v>
      </c>
      <c r="K409" s="90">
        <v>0.44050379328689998</v>
      </c>
      <c r="L409" s="90">
        <v>3755.4184641216698</v>
      </c>
      <c r="M409" s="90">
        <v>10.271476387542601</v>
      </c>
      <c r="N409" s="90">
        <v>1.8412700597071501</v>
      </c>
      <c r="O409" s="90">
        <v>4.5246243113693803</v>
      </c>
      <c r="P409" s="90">
        <v>0.81108644576660005</v>
      </c>
      <c r="Q409" s="90">
        <v>1654.2760788252599</v>
      </c>
      <c r="R409" s="90">
        <v>1300</v>
      </c>
      <c r="S409" s="90" t="s">
        <v>387</v>
      </c>
      <c r="T409" s="90">
        <v>1300</v>
      </c>
      <c r="U409" s="90" t="s">
        <v>378</v>
      </c>
      <c r="V409" s="90" t="s">
        <v>244</v>
      </c>
      <c r="Z409" s="90">
        <v>0</v>
      </c>
      <c r="AA409" s="90">
        <v>1</v>
      </c>
      <c r="AB409" s="90">
        <v>4.5246243113693803</v>
      </c>
      <c r="AC409" s="90">
        <v>0.81108644576660005</v>
      </c>
      <c r="AD409" s="90">
        <v>1654.2760788252599</v>
      </c>
      <c r="AF409" s="90">
        <v>-1</v>
      </c>
      <c r="AG409" s="90">
        <v>-1</v>
      </c>
      <c r="AH409" s="90">
        <v>-1</v>
      </c>
      <c r="AI409" s="90">
        <v>-1</v>
      </c>
      <c r="AJ409" s="90">
        <v>0</v>
      </c>
      <c r="AM409" s="90" t="s">
        <v>379</v>
      </c>
      <c r="AN409" s="90">
        <v>-1</v>
      </c>
      <c r="AQ409" s="90">
        <v>356</v>
      </c>
      <c r="AR409" s="90" t="s">
        <v>380</v>
      </c>
      <c r="AS409" s="90" t="s">
        <v>246</v>
      </c>
      <c r="AT409" s="90" t="s">
        <v>244</v>
      </c>
      <c r="AU409" s="90">
        <v>175.87190000000001</v>
      </c>
      <c r="AV409" s="90">
        <v>171.33489710878899</v>
      </c>
      <c r="AW409" s="90">
        <v>1782.65560495465</v>
      </c>
      <c r="AX409" s="90">
        <v>1.3416675415999999</v>
      </c>
    </row>
    <row r="410" spans="1:50" x14ac:dyDescent="0.25">
      <c r="A410" s="102">
        <v>830000</v>
      </c>
      <c r="B410" s="102">
        <v>2400000</v>
      </c>
      <c r="C410" s="102">
        <v>2400000</v>
      </c>
      <c r="D410" s="90" t="s">
        <v>374</v>
      </c>
      <c r="E410" s="90" t="s">
        <v>68</v>
      </c>
      <c r="F410" s="90" t="s">
        <v>375</v>
      </c>
      <c r="G410" s="90" t="s">
        <v>376</v>
      </c>
      <c r="H410" s="90">
        <v>0.59</v>
      </c>
      <c r="I410" s="90">
        <v>0.64</v>
      </c>
      <c r="J410" s="90" t="s">
        <v>381</v>
      </c>
      <c r="K410" s="90">
        <v>2.1927156368800002E-3</v>
      </c>
      <c r="L410" s="90">
        <v>3755.4184641216698</v>
      </c>
      <c r="M410" s="90">
        <v>10.271476387542601</v>
      </c>
      <c r="N410" s="90">
        <v>1.8412700597071501</v>
      </c>
      <c r="O410" s="90">
        <v>2.2522426888800001E-2</v>
      </c>
      <c r="P410" s="90">
        <v>4.0373816516299996E-3</v>
      </c>
      <c r="Q410" s="90">
        <v>8.2345647893074698</v>
      </c>
      <c r="R410" s="90">
        <v>1300</v>
      </c>
      <c r="S410" s="90" t="s">
        <v>387</v>
      </c>
      <c r="T410" s="90">
        <v>1300</v>
      </c>
      <c r="U410" s="90" t="s">
        <v>382</v>
      </c>
      <c r="V410" s="90" t="s">
        <v>381</v>
      </c>
      <c r="Z410" s="90">
        <v>0</v>
      </c>
      <c r="AA410" s="90">
        <v>1</v>
      </c>
      <c r="AB410" s="90">
        <v>2.2522426888800001E-2</v>
      </c>
      <c r="AC410" s="90">
        <v>4.0373816516299996E-3</v>
      </c>
      <c r="AD410" s="90">
        <v>8.2345647893066101</v>
      </c>
      <c r="AF410" s="90">
        <v>-1</v>
      </c>
      <c r="AG410" s="90">
        <v>-1</v>
      </c>
      <c r="AH410" s="90">
        <v>-1</v>
      </c>
      <c r="AI410" s="90">
        <v>-1</v>
      </c>
      <c r="AJ410" s="90">
        <v>0</v>
      </c>
      <c r="AM410" s="90" t="s">
        <v>379</v>
      </c>
      <c r="AN410" s="90">
        <v>-1</v>
      </c>
      <c r="AQ410" s="90">
        <v>356</v>
      </c>
      <c r="AR410" s="90" t="s">
        <v>380</v>
      </c>
      <c r="AS410" s="90" t="s">
        <v>246</v>
      </c>
      <c r="AT410" s="90" t="s">
        <v>244</v>
      </c>
      <c r="AU410" s="90">
        <v>175.87190000000001</v>
      </c>
      <c r="AV410" s="90">
        <v>100.412291276782</v>
      </c>
      <c r="AW410" s="90">
        <v>8.8736053576037808</v>
      </c>
      <c r="AX410" s="90">
        <v>6.6784790999999998E-3</v>
      </c>
    </row>
    <row r="411" spans="1:50" x14ac:dyDescent="0.25">
      <c r="A411" s="102">
        <v>830000</v>
      </c>
      <c r="B411" s="102">
        <v>2400000</v>
      </c>
      <c r="C411" s="102">
        <v>2400000</v>
      </c>
      <c r="D411" s="90" t="s">
        <v>374</v>
      </c>
      <c r="E411" s="90" t="s">
        <v>68</v>
      </c>
      <c r="F411" s="90" t="s">
        <v>375</v>
      </c>
      <c r="G411" s="90" t="s">
        <v>376</v>
      </c>
      <c r="H411" s="90">
        <v>0.59</v>
      </c>
      <c r="I411" s="90">
        <v>0.64</v>
      </c>
      <c r="J411" s="90" t="s">
        <v>244</v>
      </c>
      <c r="K411" s="90">
        <v>7.076538356249E-2</v>
      </c>
      <c r="L411" s="90">
        <v>3743.3596721940398</v>
      </c>
      <c r="M411" s="90">
        <v>10.2908025122089</v>
      </c>
      <c r="N411" s="90">
        <v>1.4518250528602199</v>
      </c>
      <c r="O411" s="90">
        <v>0.72823258694231996</v>
      </c>
      <c r="P411" s="90">
        <v>0.10273895673128</v>
      </c>
      <c r="Q411" s="90">
        <v>264.90028301517498</v>
      </c>
      <c r="R411" s="90">
        <v>1400</v>
      </c>
      <c r="S411" s="90" t="s">
        <v>324</v>
      </c>
      <c r="T411" s="90">
        <v>1400</v>
      </c>
      <c r="U411" s="90" t="s">
        <v>378</v>
      </c>
      <c r="V411" s="90" t="s">
        <v>244</v>
      </c>
      <c r="Z411" s="90">
        <v>0</v>
      </c>
      <c r="AA411" s="90">
        <v>1</v>
      </c>
      <c r="AB411" s="90">
        <v>0.72823258694231996</v>
      </c>
      <c r="AC411" s="90">
        <v>0.10273895673128</v>
      </c>
      <c r="AD411" s="90">
        <v>328.16009836434398</v>
      </c>
      <c r="AF411" s="90">
        <v>-1</v>
      </c>
      <c r="AG411" s="90">
        <v>-1</v>
      </c>
      <c r="AH411" s="90">
        <v>-1</v>
      </c>
      <c r="AI411" s="90">
        <v>-1</v>
      </c>
      <c r="AJ411" s="90">
        <v>0</v>
      </c>
      <c r="AM411" s="90" t="s">
        <v>379</v>
      </c>
      <c r="AN411" s="90">
        <v>-1</v>
      </c>
      <c r="AQ411" s="90">
        <v>356</v>
      </c>
      <c r="AR411" s="90" t="s">
        <v>380</v>
      </c>
      <c r="AS411" s="90" t="s">
        <v>246</v>
      </c>
      <c r="AT411" s="90" t="s">
        <v>244</v>
      </c>
      <c r="AU411" s="90">
        <v>175.87190000000001</v>
      </c>
      <c r="AV411" s="90">
        <v>68.395622995184794</v>
      </c>
      <c r="AW411" s="90">
        <v>286.37734695347098</v>
      </c>
      <c r="AX411" s="90">
        <v>0.26614768719999998</v>
      </c>
    </row>
    <row r="412" spans="1:50" x14ac:dyDescent="0.25">
      <c r="A412" s="102">
        <v>830000</v>
      </c>
      <c r="B412" s="102">
        <v>2400000</v>
      </c>
      <c r="C412" s="102">
        <v>2400000</v>
      </c>
      <c r="D412" s="90" t="s">
        <v>374</v>
      </c>
      <c r="E412" s="90" t="s">
        <v>68</v>
      </c>
      <c r="F412" s="90" t="s">
        <v>375</v>
      </c>
      <c r="G412" s="90" t="s">
        <v>376</v>
      </c>
      <c r="H412" s="90">
        <v>0.59</v>
      </c>
      <c r="I412" s="90">
        <v>0.64</v>
      </c>
      <c r="J412" s="90" t="s">
        <v>244</v>
      </c>
      <c r="K412" s="90">
        <v>0.15211905462122</v>
      </c>
      <c r="L412" s="90">
        <v>3743.3596721940398</v>
      </c>
      <c r="M412" s="90">
        <v>10.2908025122089</v>
      </c>
      <c r="N412" s="90">
        <v>1.4518250528602199</v>
      </c>
      <c r="O412" s="90">
        <v>1.5654271494509</v>
      </c>
      <c r="P412" s="90">
        <v>0.22085025451650001</v>
      </c>
      <c r="Q412" s="90">
        <v>569.43633444136105</v>
      </c>
      <c r="R412" s="90">
        <v>1430</v>
      </c>
      <c r="S412" s="90" t="s">
        <v>326</v>
      </c>
      <c r="T412" s="90">
        <v>1430</v>
      </c>
      <c r="U412" s="90" t="s">
        <v>378</v>
      </c>
      <c r="V412" s="90" t="s">
        <v>244</v>
      </c>
      <c r="Z412" s="90">
        <v>0</v>
      </c>
      <c r="AA412" s="90">
        <v>1</v>
      </c>
      <c r="AB412" s="90">
        <v>1.5654271494509</v>
      </c>
      <c r="AC412" s="90">
        <v>0.22085025451650001</v>
      </c>
      <c r="AD412" s="90">
        <v>649.53386077350797</v>
      </c>
      <c r="AF412" s="90">
        <v>-1</v>
      </c>
      <c r="AG412" s="90">
        <v>-1</v>
      </c>
      <c r="AH412" s="90">
        <v>-1</v>
      </c>
      <c r="AI412" s="90">
        <v>-1</v>
      </c>
      <c r="AJ412" s="90">
        <v>0</v>
      </c>
      <c r="AM412" s="90" t="s">
        <v>379</v>
      </c>
      <c r="AN412" s="90">
        <v>-1</v>
      </c>
      <c r="AQ412" s="90">
        <v>356</v>
      </c>
      <c r="AR412" s="90" t="s">
        <v>380</v>
      </c>
      <c r="AS412" s="90" t="s">
        <v>246</v>
      </c>
      <c r="AT412" s="90" t="s">
        <v>244</v>
      </c>
      <c r="AU412" s="90">
        <v>175.87190000000001</v>
      </c>
      <c r="AV412" s="90">
        <v>102.84705838594201</v>
      </c>
      <c r="AW412" s="90">
        <v>615.603973163305</v>
      </c>
      <c r="AX412" s="90">
        <v>0.52679145240000003</v>
      </c>
    </row>
    <row r="413" spans="1:50" x14ac:dyDescent="0.25">
      <c r="A413" s="102">
        <v>830000</v>
      </c>
      <c r="B413" s="102">
        <v>2400000</v>
      </c>
      <c r="C413" s="102">
        <v>2400000</v>
      </c>
      <c r="D413" s="90" t="s">
        <v>374</v>
      </c>
      <c r="E413" s="90" t="s">
        <v>68</v>
      </c>
      <c r="F413" s="90" t="s">
        <v>375</v>
      </c>
      <c r="G413" s="90" t="s">
        <v>376</v>
      </c>
      <c r="H413" s="90">
        <v>0.59</v>
      </c>
      <c r="I413" s="90">
        <v>0.64</v>
      </c>
      <c r="J413" s="90" t="s">
        <v>244</v>
      </c>
      <c r="K413" s="90">
        <v>1.4162160080500001E-2</v>
      </c>
      <c r="L413" s="90">
        <v>3743.3596721940398</v>
      </c>
      <c r="M413" s="90">
        <v>10.2908025122089</v>
      </c>
      <c r="N413" s="90">
        <v>1.4518250528602199</v>
      </c>
      <c r="O413" s="90">
        <v>0.14573999253473</v>
      </c>
      <c r="P413" s="90">
        <v>2.0560978807489999E-2</v>
      </c>
      <c r="Q413" s="90">
        <v>53.014058916507402</v>
      </c>
      <c r="R413" s="90">
        <v>1300</v>
      </c>
      <c r="S413" s="90" t="s">
        <v>387</v>
      </c>
      <c r="T413" s="90">
        <v>1300</v>
      </c>
      <c r="U413" s="90" t="s">
        <v>378</v>
      </c>
      <c r="V413" s="90" t="s">
        <v>244</v>
      </c>
      <c r="Z413" s="90">
        <v>0</v>
      </c>
      <c r="AA413" s="90">
        <v>1</v>
      </c>
      <c r="AB413" s="90">
        <v>0.14573999253473</v>
      </c>
      <c r="AC413" s="90">
        <v>2.0560978807489999E-2</v>
      </c>
      <c r="AD413" s="90">
        <v>58.045325240931902</v>
      </c>
      <c r="AF413" s="90">
        <v>-1</v>
      </c>
      <c r="AG413" s="90">
        <v>-1</v>
      </c>
      <c r="AH413" s="90">
        <v>-1</v>
      </c>
      <c r="AI413" s="90">
        <v>-1</v>
      </c>
      <c r="AJ413" s="90">
        <v>0</v>
      </c>
      <c r="AM413" s="90" t="s">
        <v>379</v>
      </c>
      <c r="AN413" s="90">
        <v>-1</v>
      </c>
      <c r="AQ413" s="90">
        <v>356</v>
      </c>
      <c r="AR413" s="90" t="s">
        <v>380</v>
      </c>
      <c r="AS413" s="90" t="s">
        <v>246</v>
      </c>
      <c r="AT413" s="90" t="s">
        <v>244</v>
      </c>
      <c r="AU413" s="90">
        <v>175.87190000000001</v>
      </c>
      <c r="AV413" s="90">
        <v>45.316194991721602</v>
      </c>
      <c r="AW413" s="90">
        <v>57.312228476835699</v>
      </c>
      <c r="AX413" s="90">
        <v>4.7076500600000001E-2</v>
      </c>
    </row>
    <row r="414" spans="1:50" x14ac:dyDescent="0.25">
      <c r="A414" s="102">
        <v>830000</v>
      </c>
      <c r="B414" s="102">
        <v>2400000</v>
      </c>
      <c r="C414" s="102">
        <v>2400000</v>
      </c>
      <c r="D414" s="90" t="s">
        <v>374</v>
      </c>
      <c r="E414" s="90" t="s">
        <v>68</v>
      </c>
      <c r="F414" s="90" t="s">
        <v>375</v>
      </c>
      <c r="G414" s="90" t="s">
        <v>376</v>
      </c>
      <c r="H414" s="90">
        <v>0.59</v>
      </c>
      <c r="I414" s="90">
        <v>0.64</v>
      </c>
      <c r="J414" s="90" t="s">
        <v>244</v>
      </c>
      <c r="K414" s="90">
        <v>0.35627262057158998</v>
      </c>
      <c r="L414" s="90">
        <v>3783.8090206638699</v>
      </c>
      <c r="M414" s="90">
        <v>11.6254551140252</v>
      </c>
      <c r="N414" s="90">
        <v>1.5348563847532299</v>
      </c>
      <c r="O414" s="90">
        <v>4.1418313588111504</v>
      </c>
      <c r="P414" s="90">
        <v>0.54682730639707</v>
      </c>
      <c r="Q414" s="90">
        <v>1348.06755553434</v>
      </c>
      <c r="R414" s="90">
        <v>1400</v>
      </c>
      <c r="S414" s="90" t="s">
        <v>324</v>
      </c>
      <c r="T414" s="90">
        <v>1400</v>
      </c>
      <c r="U414" s="90" t="s">
        <v>378</v>
      </c>
      <c r="V414" s="90" t="s">
        <v>244</v>
      </c>
      <c r="Z414" s="90">
        <v>0</v>
      </c>
      <c r="AA414" s="90">
        <v>1</v>
      </c>
      <c r="AB414" s="90">
        <v>4.1418313588111504</v>
      </c>
      <c r="AC414" s="90">
        <v>0.54682730639707</v>
      </c>
      <c r="AD414" s="90">
        <v>1418.6003603532599</v>
      </c>
      <c r="AF414" s="90">
        <v>-1</v>
      </c>
      <c r="AG414" s="90">
        <v>-1</v>
      </c>
      <c r="AH414" s="90">
        <v>-1</v>
      </c>
      <c r="AI414" s="90">
        <v>-1</v>
      </c>
      <c r="AJ414" s="90">
        <v>0</v>
      </c>
      <c r="AM414" s="90" t="s">
        <v>379</v>
      </c>
      <c r="AN414" s="90">
        <v>-1</v>
      </c>
      <c r="AQ414" s="90">
        <v>356</v>
      </c>
      <c r="AR414" s="90" t="s">
        <v>380</v>
      </c>
      <c r="AS414" s="90" t="s">
        <v>246</v>
      </c>
      <c r="AT414" s="90" t="s">
        <v>244</v>
      </c>
      <c r="AU414" s="90">
        <v>175.87190000000001</v>
      </c>
      <c r="AV414" s="90">
        <v>155.75669104550801</v>
      </c>
      <c r="AW414" s="90">
        <v>1441.78414268541</v>
      </c>
      <c r="AX414" s="90">
        <v>1.1505274618000001</v>
      </c>
    </row>
    <row r="415" spans="1:50" x14ac:dyDescent="0.25">
      <c r="A415" s="102">
        <v>830000</v>
      </c>
      <c r="B415" s="102">
        <v>2400000</v>
      </c>
      <c r="C415" s="102">
        <v>2400000</v>
      </c>
      <c r="D415" s="90" t="s">
        <v>374</v>
      </c>
      <c r="E415" s="90" t="s">
        <v>68</v>
      </c>
      <c r="F415" s="90" t="s">
        <v>375</v>
      </c>
      <c r="G415" s="90" t="s">
        <v>376</v>
      </c>
      <c r="H415" s="90">
        <v>0.59</v>
      </c>
      <c r="I415" s="90">
        <v>0.64</v>
      </c>
      <c r="J415" s="90" t="s">
        <v>244</v>
      </c>
      <c r="K415" s="90">
        <v>0.20634679196589001</v>
      </c>
      <c r="L415" s="90">
        <v>3783.8090206638699</v>
      </c>
      <c r="M415" s="90">
        <v>11.6254551140252</v>
      </c>
      <c r="N415" s="90">
        <v>1.5348563847532299</v>
      </c>
      <c r="O415" s="90">
        <v>2.39887536792263</v>
      </c>
      <c r="P415" s="90">
        <v>0.31671269112220002</v>
      </c>
      <c r="Q415" s="90">
        <v>780.77685282561299</v>
      </c>
      <c r="R415" s="90">
        <v>1410</v>
      </c>
      <c r="S415" s="90" t="s">
        <v>325</v>
      </c>
      <c r="T415" s="90">
        <v>1410</v>
      </c>
      <c r="U415" s="90" t="s">
        <v>378</v>
      </c>
      <c r="V415" s="90" t="s">
        <v>244</v>
      </c>
      <c r="Z415" s="90">
        <v>0</v>
      </c>
      <c r="AA415" s="90">
        <v>1</v>
      </c>
      <c r="AB415" s="90">
        <v>2.39887536792263</v>
      </c>
      <c r="AC415" s="90">
        <v>0.31671269112220002</v>
      </c>
      <c r="AD415" s="90">
        <v>829.305848740275</v>
      </c>
      <c r="AF415" s="90">
        <v>-1</v>
      </c>
      <c r="AG415" s="90">
        <v>-1</v>
      </c>
      <c r="AH415" s="90">
        <v>-1</v>
      </c>
      <c r="AI415" s="90">
        <v>-1</v>
      </c>
      <c r="AJ415" s="90">
        <v>0</v>
      </c>
      <c r="AM415" s="90" t="s">
        <v>379</v>
      </c>
      <c r="AN415" s="90">
        <v>-1</v>
      </c>
      <c r="AQ415" s="90">
        <v>356</v>
      </c>
      <c r="AR415" s="90" t="s">
        <v>380</v>
      </c>
      <c r="AS415" s="90" t="s">
        <v>246</v>
      </c>
      <c r="AT415" s="90" t="s">
        <v>244</v>
      </c>
      <c r="AU415" s="90">
        <v>175.87190000000001</v>
      </c>
      <c r="AV415" s="90">
        <v>129.47844749252599</v>
      </c>
      <c r="AW415" s="90">
        <v>835.05584030882596</v>
      </c>
      <c r="AX415" s="90">
        <v>0.67259192919999999</v>
      </c>
    </row>
    <row r="416" spans="1:50" x14ac:dyDescent="0.25">
      <c r="A416" s="102">
        <v>830000</v>
      </c>
      <c r="B416" s="102">
        <v>2400000</v>
      </c>
      <c r="C416" s="102">
        <v>2400000</v>
      </c>
      <c r="D416" s="90" t="s">
        <v>374</v>
      </c>
      <c r="E416" s="90" t="s">
        <v>68</v>
      </c>
      <c r="F416" s="90" t="s">
        <v>375</v>
      </c>
      <c r="G416" s="90" t="s">
        <v>376</v>
      </c>
      <c r="H416" s="90">
        <v>0.59</v>
      </c>
      <c r="I416" s="90">
        <v>0.64</v>
      </c>
      <c r="J416" s="90" t="s">
        <v>244</v>
      </c>
      <c r="K416" s="90">
        <v>2.2218998658749999E-2</v>
      </c>
      <c r="L416" s="90">
        <v>3783.8090206638699</v>
      </c>
      <c r="M416" s="90">
        <v>11.6254551140252</v>
      </c>
      <c r="N416" s="90">
        <v>1.5348563847532299</v>
      </c>
      <c r="O416" s="90">
        <v>0.25830597158591001</v>
      </c>
      <c r="P416" s="90">
        <v>3.4102971954209998E-2</v>
      </c>
      <c r="Q416" s="90">
        <v>84.072447555108099</v>
      </c>
      <c r="R416" s="90">
        <v>1450</v>
      </c>
      <c r="S416" s="90" t="s">
        <v>391</v>
      </c>
      <c r="T416" s="90">
        <v>1450</v>
      </c>
      <c r="U416" s="90" t="s">
        <v>378</v>
      </c>
      <c r="V416" s="90" t="s">
        <v>244</v>
      </c>
      <c r="Z416" s="90">
        <v>0</v>
      </c>
      <c r="AA416" s="90">
        <v>1</v>
      </c>
      <c r="AB416" s="90">
        <v>0.25830597158591001</v>
      </c>
      <c r="AC416" s="90">
        <v>3.4102971954209998E-2</v>
      </c>
      <c r="AD416" s="90">
        <v>89.592720054055206</v>
      </c>
      <c r="AF416" s="90">
        <v>-1</v>
      </c>
      <c r="AG416" s="90">
        <v>-1</v>
      </c>
      <c r="AH416" s="90">
        <v>-1</v>
      </c>
      <c r="AI416" s="90">
        <v>-1</v>
      </c>
      <c r="AJ416" s="90">
        <v>0</v>
      </c>
      <c r="AM416" s="90" t="s">
        <v>379</v>
      </c>
      <c r="AN416" s="90">
        <v>-1</v>
      </c>
      <c r="AQ416" s="90">
        <v>356</v>
      </c>
      <c r="AR416" s="90" t="s">
        <v>380</v>
      </c>
      <c r="AS416" s="90" t="s">
        <v>246</v>
      </c>
      <c r="AT416" s="90" t="s">
        <v>244</v>
      </c>
      <c r="AU416" s="90">
        <v>175.87190000000001</v>
      </c>
      <c r="AV416" s="90">
        <v>99.6041794748662</v>
      </c>
      <c r="AW416" s="90">
        <v>89.917097421471397</v>
      </c>
      <c r="AX416" s="90">
        <v>7.2662384499999996E-2</v>
      </c>
    </row>
    <row r="417" spans="1:50" x14ac:dyDescent="0.25">
      <c r="A417" s="102">
        <v>830000</v>
      </c>
      <c r="B417" s="102">
        <v>2400000</v>
      </c>
      <c r="C417" s="102">
        <v>2400000</v>
      </c>
      <c r="D417" s="90" t="s">
        <v>374</v>
      </c>
      <c r="E417" s="90" t="s">
        <v>68</v>
      </c>
      <c r="F417" s="90" t="s">
        <v>375</v>
      </c>
      <c r="G417" s="90" t="s">
        <v>376</v>
      </c>
      <c r="H417" s="90">
        <v>0.59</v>
      </c>
      <c r="I417" s="90">
        <v>0.64</v>
      </c>
      <c r="J417" s="90" t="s">
        <v>244</v>
      </c>
      <c r="K417" s="90">
        <v>0.15214714131389001</v>
      </c>
      <c r="L417" s="90">
        <v>3752.2321467617899</v>
      </c>
      <c r="M417" s="90">
        <v>10.7949726476373</v>
      </c>
      <c r="N417" s="90">
        <v>2.0799086136398302</v>
      </c>
      <c r="O417" s="90">
        <v>1.6424242288997299</v>
      </c>
      <c r="P417" s="90">
        <v>0.31645214975945002</v>
      </c>
      <c r="Q417" s="90">
        <v>570.89139467591394</v>
      </c>
      <c r="R417" s="90">
        <v>1300</v>
      </c>
      <c r="S417" s="90" t="s">
        <v>387</v>
      </c>
      <c r="T417" s="90">
        <v>1300</v>
      </c>
      <c r="U417" s="90" t="s">
        <v>378</v>
      </c>
      <c r="V417" s="90" t="s">
        <v>244</v>
      </c>
      <c r="Z417" s="90">
        <v>0</v>
      </c>
      <c r="AA417" s="90">
        <v>1</v>
      </c>
      <c r="AB417" s="90">
        <v>1.6424242288997299</v>
      </c>
      <c r="AC417" s="90">
        <v>0.31645214975945002</v>
      </c>
      <c r="AD417" s="90">
        <v>570.89139467591394</v>
      </c>
      <c r="AF417" s="90">
        <v>-1</v>
      </c>
      <c r="AG417" s="90">
        <v>-1</v>
      </c>
      <c r="AH417" s="90">
        <v>-1</v>
      </c>
      <c r="AI417" s="90">
        <v>-1</v>
      </c>
      <c r="AJ417" s="90">
        <v>0</v>
      </c>
      <c r="AM417" s="90" t="s">
        <v>379</v>
      </c>
      <c r="AN417" s="90">
        <v>-1</v>
      </c>
      <c r="AQ417" s="90">
        <v>356</v>
      </c>
      <c r="AR417" s="90" t="s">
        <v>380</v>
      </c>
      <c r="AS417" s="90" t="s">
        <v>246</v>
      </c>
      <c r="AT417" s="90" t="s">
        <v>244</v>
      </c>
      <c r="AU417" s="90">
        <v>175.87190000000001</v>
      </c>
      <c r="AV417" s="90">
        <v>122.665083418107</v>
      </c>
      <c r="AW417" s="90">
        <v>615.71763597594304</v>
      </c>
      <c r="AX417" s="90">
        <v>0.46301005249999999</v>
      </c>
    </row>
    <row r="418" spans="1:50" x14ac:dyDescent="0.25">
      <c r="A418" s="102">
        <v>830000</v>
      </c>
      <c r="B418" s="102">
        <v>2400000</v>
      </c>
      <c r="C418" s="102">
        <v>2400000</v>
      </c>
      <c r="D418" s="90" t="s">
        <v>374</v>
      </c>
      <c r="E418" s="90" t="s">
        <v>68</v>
      </c>
      <c r="F418" s="90" t="s">
        <v>375</v>
      </c>
      <c r="G418" s="90" t="s">
        <v>376</v>
      </c>
      <c r="H418" s="90">
        <v>0.59</v>
      </c>
      <c r="I418" s="90">
        <v>0.64</v>
      </c>
      <c r="J418" s="90" t="s">
        <v>244</v>
      </c>
      <c r="K418" s="90">
        <v>0.45298438485760001</v>
      </c>
      <c r="L418" s="90">
        <v>3752.2321467617899</v>
      </c>
      <c r="M418" s="90">
        <v>10.7949726476373</v>
      </c>
      <c r="N418" s="90">
        <v>2.0799086136398302</v>
      </c>
      <c r="O418" s="90">
        <v>4.88995404434473</v>
      </c>
      <c r="P418" s="90">
        <v>0.94216612390968002</v>
      </c>
      <c r="Q418" s="90">
        <v>1699.70257084383</v>
      </c>
      <c r="R418" s="90">
        <v>1300</v>
      </c>
      <c r="S418" s="90" t="s">
        <v>387</v>
      </c>
      <c r="T418" s="90">
        <v>1300</v>
      </c>
      <c r="U418" s="90" t="s">
        <v>378</v>
      </c>
      <c r="V418" s="90" t="s">
        <v>244</v>
      </c>
      <c r="Z418" s="90">
        <v>0</v>
      </c>
      <c r="AA418" s="90">
        <v>1</v>
      </c>
      <c r="AB418" s="90">
        <v>4.88995404434473</v>
      </c>
      <c r="AC418" s="90">
        <v>0.94216612390968002</v>
      </c>
      <c r="AD418" s="90">
        <v>1699.70257084383</v>
      </c>
      <c r="AF418" s="90">
        <v>-1</v>
      </c>
      <c r="AG418" s="90">
        <v>-1</v>
      </c>
      <c r="AH418" s="90">
        <v>-1</v>
      </c>
      <c r="AI418" s="90">
        <v>-1</v>
      </c>
      <c r="AJ418" s="90">
        <v>0</v>
      </c>
      <c r="AM418" s="90" t="s">
        <v>379</v>
      </c>
      <c r="AN418" s="90">
        <v>-1</v>
      </c>
      <c r="AQ418" s="90">
        <v>356</v>
      </c>
      <c r="AR418" s="90" t="s">
        <v>380</v>
      </c>
      <c r="AS418" s="90" t="s">
        <v>246</v>
      </c>
      <c r="AT418" s="90" t="s">
        <v>244</v>
      </c>
      <c r="AU418" s="90">
        <v>175.87190000000001</v>
      </c>
      <c r="AV418" s="90">
        <v>173.09690671946399</v>
      </c>
      <c r="AW418" s="90">
        <v>1833.16276710792</v>
      </c>
      <c r="AX418" s="90">
        <v>1.3785097898000001</v>
      </c>
    </row>
    <row r="419" spans="1:50" x14ac:dyDescent="0.25">
      <c r="A419" s="102">
        <v>830000</v>
      </c>
      <c r="B419" s="102">
        <v>2400000</v>
      </c>
      <c r="C419" s="102">
        <v>2400000</v>
      </c>
      <c r="D419" s="90" t="s">
        <v>374</v>
      </c>
      <c r="E419" s="90" t="s">
        <v>68</v>
      </c>
      <c r="F419" s="90" t="s">
        <v>375</v>
      </c>
      <c r="G419" s="90" t="s">
        <v>376</v>
      </c>
      <c r="H419" s="90">
        <v>0.59</v>
      </c>
      <c r="I419" s="90">
        <v>0.64</v>
      </c>
      <c r="J419" s="90" t="s">
        <v>244</v>
      </c>
      <c r="K419" s="90">
        <v>1.2631927634479999E-2</v>
      </c>
      <c r="L419" s="90">
        <v>3752.2321467617899</v>
      </c>
      <c r="M419" s="90">
        <v>10.7949726476373</v>
      </c>
      <c r="N419" s="90">
        <v>2.0799086136398302</v>
      </c>
      <c r="O419" s="90">
        <v>0.13636131330123999</v>
      </c>
      <c r="P419" s="90">
        <v>2.6273255093840001E-2</v>
      </c>
      <c r="Q419" s="90">
        <v>47.3979249456983</v>
      </c>
      <c r="R419" s="90">
        <v>1300</v>
      </c>
      <c r="S419" s="90" t="s">
        <v>387</v>
      </c>
      <c r="T419" s="90">
        <v>1300</v>
      </c>
      <c r="U419" s="90" t="s">
        <v>378</v>
      </c>
      <c r="V419" s="90" t="s">
        <v>244</v>
      </c>
      <c r="Z419" s="90">
        <v>0</v>
      </c>
      <c r="AA419" s="90">
        <v>1</v>
      </c>
      <c r="AB419" s="90">
        <v>0.13636131330123999</v>
      </c>
      <c r="AC419" s="90">
        <v>2.6273255093840001E-2</v>
      </c>
      <c r="AD419" s="90">
        <v>47.397924945696801</v>
      </c>
      <c r="AF419" s="90">
        <v>-1</v>
      </c>
      <c r="AG419" s="90">
        <v>-1</v>
      </c>
      <c r="AH419" s="90">
        <v>-1</v>
      </c>
      <c r="AI419" s="90">
        <v>-1</v>
      </c>
      <c r="AJ419" s="90">
        <v>0</v>
      </c>
      <c r="AM419" s="90" t="s">
        <v>379</v>
      </c>
      <c r="AN419" s="90">
        <v>-1</v>
      </c>
      <c r="AQ419" s="90">
        <v>356</v>
      </c>
      <c r="AR419" s="90" t="s">
        <v>380</v>
      </c>
      <c r="AS419" s="90" t="s">
        <v>246</v>
      </c>
      <c r="AT419" s="90" t="s">
        <v>244</v>
      </c>
      <c r="AU419" s="90">
        <v>175.87190000000001</v>
      </c>
      <c r="AV419" s="90">
        <v>102.020358485191</v>
      </c>
      <c r="AW419" s="90">
        <v>51.119597474922003</v>
      </c>
      <c r="AX419" s="90">
        <v>3.8441139499999999E-2</v>
      </c>
    </row>
    <row r="420" spans="1:50" x14ac:dyDescent="0.25">
      <c r="A420" s="102">
        <v>830000</v>
      </c>
      <c r="B420" s="102">
        <v>2400000</v>
      </c>
      <c r="C420" s="102">
        <v>2400000</v>
      </c>
      <c r="D420" s="90" t="s">
        <v>374</v>
      </c>
      <c r="E420" s="90" t="s">
        <v>68</v>
      </c>
      <c r="F420" s="90" t="s">
        <v>375</v>
      </c>
      <c r="G420" s="90" t="s">
        <v>376</v>
      </c>
      <c r="H420" s="90">
        <v>0.59</v>
      </c>
      <c r="I420" s="90">
        <v>0.64</v>
      </c>
      <c r="J420" s="90" t="s">
        <v>244</v>
      </c>
      <c r="K420" s="90">
        <v>0.22978431741391001</v>
      </c>
      <c r="L420" s="90">
        <v>3780.56027944158</v>
      </c>
      <c r="M420" s="90">
        <v>11.615912471890001</v>
      </c>
      <c r="N420" s="90">
        <v>1.53359216609481</v>
      </c>
      <c r="O420" s="90">
        <v>2.6691545184930399</v>
      </c>
      <c r="P420" s="90">
        <v>0.35239542907742</v>
      </c>
      <c r="Q420" s="90">
        <v>868.71346325364402</v>
      </c>
      <c r="R420" s="90">
        <v>1410</v>
      </c>
      <c r="S420" s="90" t="s">
        <v>325</v>
      </c>
      <c r="T420" s="90">
        <v>1410</v>
      </c>
      <c r="U420" s="90" t="s">
        <v>378</v>
      </c>
      <c r="V420" s="90" t="s">
        <v>244</v>
      </c>
      <c r="Z420" s="90">
        <v>0</v>
      </c>
      <c r="AA420" s="90">
        <v>1</v>
      </c>
      <c r="AB420" s="90">
        <v>2.6691545184930399</v>
      </c>
      <c r="AC420" s="90">
        <v>0.35239542907742</v>
      </c>
      <c r="AD420" s="90">
        <v>868.71346325364402</v>
      </c>
      <c r="AF420" s="90">
        <v>-1</v>
      </c>
      <c r="AG420" s="90">
        <v>-1</v>
      </c>
      <c r="AH420" s="90">
        <v>-1</v>
      </c>
      <c r="AI420" s="90">
        <v>-1</v>
      </c>
      <c r="AJ420" s="90">
        <v>0</v>
      </c>
      <c r="AM420" s="90" t="s">
        <v>379</v>
      </c>
      <c r="AN420" s="90">
        <v>-1</v>
      </c>
      <c r="AQ420" s="90">
        <v>356</v>
      </c>
      <c r="AR420" s="90" t="s">
        <v>380</v>
      </c>
      <c r="AS420" s="90" t="s">
        <v>246</v>
      </c>
      <c r="AT420" s="90" t="s">
        <v>244</v>
      </c>
      <c r="AU420" s="90">
        <v>175.87190000000001</v>
      </c>
      <c r="AV420" s="90">
        <v>137.19772467000001</v>
      </c>
      <c r="AW420" s="90">
        <v>929.90414069329995</v>
      </c>
      <c r="AX420" s="90">
        <v>0.70455268709999996</v>
      </c>
    </row>
    <row r="421" spans="1:50" x14ac:dyDescent="0.25">
      <c r="A421" s="102">
        <v>830000</v>
      </c>
      <c r="B421" s="102">
        <v>2400000</v>
      </c>
      <c r="C421" s="102">
        <v>2400000</v>
      </c>
      <c r="D421" s="90" t="s">
        <v>374</v>
      </c>
      <c r="E421" s="90" t="s">
        <v>68</v>
      </c>
      <c r="F421" s="90" t="s">
        <v>375</v>
      </c>
      <c r="G421" s="90" t="s">
        <v>376</v>
      </c>
      <c r="H421" s="90">
        <v>0.59</v>
      </c>
      <c r="I421" s="90">
        <v>0.64</v>
      </c>
      <c r="J421" s="90" t="s">
        <v>244</v>
      </c>
      <c r="K421" s="90">
        <v>0.38797913639207998</v>
      </c>
      <c r="L421" s="90">
        <v>3780.56027944158</v>
      </c>
      <c r="M421" s="90">
        <v>11.615912471890001</v>
      </c>
      <c r="N421" s="90">
        <v>1.53359216609481</v>
      </c>
      <c r="O421" s="90">
        <v>4.5067316892499001</v>
      </c>
      <c r="P421" s="90">
        <v>0.59500176417911999</v>
      </c>
      <c r="Q421" s="90">
        <v>1466.7785122959399</v>
      </c>
      <c r="R421" s="90">
        <v>1430</v>
      </c>
      <c r="S421" s="90" t="s">
        <v>326</v>
      </c>
      <c r="T421" s="90">
        <v>1430</v>
      </c>
      <c r="U421" s="90" t="s">
        <v>378</v>
      </c>
      <c r="V421" s="90" t="s">
        <v>244</v>
      </c>
      <c r="Z421" s="90">
        <v>0</v>
      </c>
      <c r="AA421" s="90">
        <v>1</v>
      </c>
      <c r="AB421" s="90">
        <v>4.5067316892499001</v>
      </c>
      <c r="AC421" s="90">
        <v>0.59500176417911999</v>
      </c>
      <c r="AD421" s="90">
        <v>1466.7785122959399</v>
      </c>
      <c r="AF421" s="90">
        <v>-1</v>
      </c>
      <c r="AG421" s="90">
        <v>-1</v>
      </c>
      <c r="AH421" s="90">
        <v>-1</v>
      </c>
      <c r="AI421" s="90">
        <v>-1</v>
      </c>
      <c r="AJ421" s="90">
        <v>0</v>
      </c>
      <c r="AM421" s="90" t="s">
        <v>379</v>
      </c>
      <c r="AN421" s="90">
        <v>-1</v>
      </c>
      <c r="AQ421" s="90">
        <v>356</v>
      </c>
      <c r="AR421" s="90" t="s">
        <v>380</v>
      </c>
      <c r="AS421" s="90" t="s">
        <v>246</v>
      </c>
      <c r="AT421" s="90" t="s">
        <v>244</v>
      </c>
      <c r="AU421" s="90">
        <v>175.87190000000001</v>
      </c>
      <c r="AV421" s="90">
        <v>162.80539343116399</v>
      </c>
      <c r="AW421" s="90">
        <v>1570.09585986549</v>
      </c>
      <c r="AX421" s="90">
        <v>1.1896013887000001</v>
      </c>
    </row>
    <row r="422" spans="1:50" x14ac:dyDescent="0.25">
      <c r="A422" s="102">
        <v>830000</v>
      </c>
      <c r="B422" s="102">
        <v>2400000</v>
      </c>
      <c r="C422" s="102">
        <v>2400000</v>
      </c>
      <c r="D422" s="90" t="s">
        <v>374</v>
      </c>
      <c r="E422" s="90" t="s">
        <v>68</v>
      </c>
      <c r="F422" s="90" t="s">
        <v>375</v>
      </c>
      <c r="G422" s="90" t="s">
        <v>376</v>
      </c>
      <c r="H422" s="90">
        <v>0.59</v>
      </c>
      <c r="I422" s="90">
        <v>0.64</v>
      </c>
      <c r="J422" s="90" t="s">
        <v>244</v>
      </c>
      <c r="K422" s="90">
        <v>0.15641842876836001</v>
      </c>
      <c r="L422" s="90">
        <v>3746.4515509402499</v>
      </c>
      <c r="M422" s="90">
        <v>11.8787099802384</v>
      </c>
      <c r="N422" s="90">
        <v>2.0781284775914202</v>
      </c>
      <c r="O422" s="90">
        <v>1.85804915090403</v>
      </c>
      <c r="P422" s="90">
        <v>0.32505759124365002</v>
      </c>
      <c r="Q422" s="90">
        <v>586.01406505489001</v>
      </c>
      <c r="R422" s="90">
        <v>1300</v>
      </c>
      <c r="S422" s="90" t="s">
        <v>387</v>
      </c>
      <c r="T422" s="90">
        <v>1300</v>
      </c>
      <c r="U422" s="90" t="s">
        <v>378</v>
      </c>
      <c r="V422" s="90" t="s">
        <v>244</v>
      </c>
      <c r="Z422" s="90">
        <v>0</v>
      </c>
      <c r="AA422" s="90">
        <v>1</v>
      </c>
      <c r="AB422" s="90">
        <v>1.85804915090403</v>
      </c>
      <c r="AC422" s="90">
        <v>0.32505759124365002</v>
      </c>
      <c r="AD422" s="90">
        <v>586.01406505489001</v>
      </c>
      <c r="AF422" s="90">
        <v>-1</v>
      </c>
      <c r="AG422" s="90">
        <v>-1</v>
      </c>
      <c r="AH422" s="90">
        <v>-1</v>
      </c>
      <c r="AI422" s="90">
        <v>-1</v>
      </c>
      <c r="AJ422" s="90">
        <v>0</v>
      </c>
      <c r="AM422" s="90" t="s">
        <v>379</v>
      </c>
      <c r="AN422" s="90">
        <v>-1</v>
      </c>
      <c r="AQ422" s="90">
        <v>356</v>
      </c>
      <c r="AR422" s="90" t="s">
        <v>380</v>
      </c>
      <c r="AS422" s="90" t="s">
        <v>246</v>
      </c>
      <c r="AT422" s="90" t="s">
        <v>244</v>
      </c>
      <c r="AU422" s="90">
        <v>175.87190000000001</v>
      </c>
      <c r="AV422" s="90">
        <v>127.938331289801</v>
      </c>
      <c r="AW422" s="90">
        <v>633.002923042985</v>
      </c>
      <c r="AX422" s="90">
        <v>0.4752749919</v>
      </c>
    </row>
    <row r="423" spans="1:50" x14ac:dyDescent="0.25">
      <c r="A423" s="102">
        <v>830000</v>
      </c>
      <c r="B423" s="102">
        <v>2400000</v>
      </c>
      <c r="C423" s="102">
        <v>2400000</v>
      </c>
      <c r="D423" s="90" t="s">
        <v>374</v>
      </c>
      <c r="E423" s="90" t="s">
        <v>68</v>
      </c>
      <c r="F423" s="90" t="s">
        <v>375</v>
      </c>
      <c r="G423" s="90" t="s">
        <v>376</v>
      </c>
      <c r="H423" s="90">
        <v>0.59</v>
      </c>
      <c r="I423" s="90">
        <v>0.64</v>
      </c>
      <c r="J423" s="90" t="s">
        <v>244</v>
      </c>
      <c r="K423" s="90">
        <v>1.56225893241E-2</v>
      </c>
      <c r="L423" s="90">
        <v>3746.4515509402499</v>
      </c>
      <c r="M423" s="90">
        <v>11.8787099802384</v>
      </c>
      <c r="N423" s="90">
        <v>2.0781284775914202</v>
      </c>
      <c r="O423" s="90">
        <v>0.18557620772138</v>
      </c>
      <c r="P423" s="90">
        <v>3.246574776813E-2</v>
      </c>
      <c r="Q423" s="90">
        <v>58.529274002988302</v>
      </c>
      <c r="R423" s="90">
        <v>1400</v>
      </c>
      <c r="S423" s="90" t="s">
        <v>324</v>
      </c>
      <c r="T423" s="90">
        <v>1400</v>
      </c>
      <c r="U423" s="90" t="s">
        <v>378</v>
      </c>
      <c r="V423" s="90" t="s">
        <v>244</v>
      </c>
      <c r="Z423" s="90">
        <v>0</v>
      </c>
      <c r="AA423" s="90">
        <v>1</v>
      </c>
      <c r="AB423" s="90">
        <v>0.18557620772138</v>
      </c>
      <c r="AC423" s="90">
        <v>3.246574776813E-2</v>
      </c>
      <c r="AD423" s="90">
        <v>58.529274002989801</v>
      </c>
      <c r="AF423" s="90">
        <v>-1</v>
      </c>
      <c r="AG423" s="90">
        <v>-1</v>
      </c>
      <c r="AH423" s="90">
        <v>-1</v>
      </c>
      <c r="AI423" s="90">
        <v>-1</v>
      </c>
      <c r="AJ423" s="90">
        <v>0</v>
      </c>
      <c r="AM423" s="90" t="s">
        <v>379</v>
      </c>
      <c r="AN423" s="90">
        <v>-1</v>
      </c>
      <c r="AQ423" s="90">
        <v>356</v>
      </c>
      <c r="AR423" s="90" t="s">
        <v>380</v>
      </c>
      <c r="AS423" s="90" t="s">
        <v>246</v>
      </c>
      <c r="AT423" s="90" t="s">
        <v>244</v>
      </c>
      <c r="AU423" s="90">
        <v>175.87190000000001</v>
      </c>
      <c r="AV423" s="90">
        <v>41.8344579150057</v>
      </c>
      <c r="AW423" s="90">
        <v>63.222375940765602</v>
      </c>
      <c r="AX423" s="90">
        <v>4.74689976E-2</v>
      </c>
    </row>
    <row r="424" spans="1:50" x14ac:dyDescent="0.25">
      <c r="A424" s="102">
        <v>830000</v>
      </c>
      <c r="B424" s="102">
        <v>2400000</v>
      </c>
      <c r="C424" s="102">
        <v>2400000</v>
      </c>
      <c r="D424" s="90" t="s">
        <v>374</v>
      </c>
      <c r="E424" s="90" t="s">
        <v>68</v>
      </c>
      <c r="F424" s="90" t="s">
        <v>375</v>
      </c>
      <c r="G424" s="90" t="s">
        <v>376</v>
      </c>
      <c r="H424" s="90">
        <v>0.59</v>
      </c>
      <c r="I424" s="90">
        <v>0.64</v>
      </c>
      <c r="J424" s="90" t="s">
        <v>244</v>
      </c>
      <c r="K424" s="90">
        <v>0.22496862536678</v>
      </c>
      <c r="L424" s="90">
        <v>3746.4515509402499</v>
      </c>
      <c r="M424" s="90">
        <v>11.8787099802384</v>
      </c>
      <c r="N424" s="90">
        <v>2.0781284775914202</v>
      </c>
      <c r="O424" s="90">
        <v>2.6723370553849302</v>
      </c>
      <c r="P424" s="90">
        <v>0.4675137069393</v>
      </c>
      <c r="Q424" s="90">
        <v>842.83405541828097</v>
      </c>
      <c r="R424" s="90">
        <v>1450</v>
      </c>
      <c r="S424" s="90" t="s">
        <v>391</v>
      </c>
      <c r="T424" s="90">
        <v>1450</v>
      </c>
      <c r="U424" s="90" t="s">
        <v>378</v>
      </c>
      <c r="V424" s="90" t="s">
        <v>244</v>
      </c>
      <c r="Z424" s="90">
        <v>0</v>
      </c>
      <c r="AA424" s="90">
        <v>1</v>
      </c>
      <c r="AB424" s="90">
        <v>2.6723370553849302</v>
      </c>
      <c r="AC424" s="90">
        <v>0.4675137069393</v>
      </c>
      <c r="AD424" s="90">
        <v>842.83405541828097</v>
      </c>
      <c r="AF424" s="90">
        <v>-1</v>
      </c>
      <c r="AG424" s="90">
        <v>-1</v>
      </c>
      <c r="AH424" s="90">
        <v>-1</v>
      </c>
      <c r="AI424" s="90">
        <v>-1</v>
      </c>
      <c r="AJ424" s="90">
        <v>0</v>
      </c>
      <c r="AM424" s="90" t="s">
        <v>379</v>
      </c>
      <c r="AN424" s="90">
        <v>-1</v>
      </c>
      <c r="AQ424" s="90">
        <v>356</v>
      </c>
      <c r="AR424" s="90" t="s">
        <v>380</v>
      </c>
      <c r="AS424" s="90" t="s">
        <v>246</v>
      </c>
      <c r="AT424" s="90" t="s">
        <v>244</v>
      </c>
      <c r="AU424" s="90">
        <v>175.87190000000001</v>
      </c>
      <c r="AV424" s="90">
        <v>171.77466432095</v>
      </c>
      <c r="AW424" s="90">
        <v>910.415726404064</v>
      </c>
      <c r="AX424" s="90">
        <v>0.6835637108</v>
      </c>
    </row>
    <row r="425" spans="1:50" x14ac:dyDescent="0.25">
      <c r="A425" s="102">
        <v>830000</v>
      </c>
      <c r="B425" s="102">
        <v>2400000</v>
      </c>
      <c r="C425" s="102">
        <v>2400000</v>
      </c>
      <c r="D425" s="90" t="s">
        <v>374</v>
      </c>
      <c r="E425" s="90" t="s">
        <v>68</v>
      </c>
      <c r="F425" s="90" t="s">
        <v>375</v>
      </c>
      <c r="G425" s="90" t="s">
        <v>376</v>
      </c>
      <c r="H425" s="90">
        <v>0.59</v>
      </c>
      <c r="I425" s="90">
        <v>0.64</v>
      </c>
      <c r="J425" s="90" t="s">
        <v>244</v>
      </c>
      <c r="K425" s="90">
        <v>0.22075381041577999</v>
      </c>
      <c r="L425" s="90">
        <v>3746.4515509402499</v>
      </c>
      <c r="M425" s="90">
        <v>11.8787099802384</v>
      </c>
      <c r="N425" s="90">
        <v>2.0781284775914202</v>
      </c>
      <c r="O425" s="90">
        <v>2.6222704909616001</v>
      </c>
      <c r="P425" s="90">
        <v>0.45875477996184999</v>
      </c>
      <c r="Q425" s="90">
        <v>827.04345540817303</v>
      </c>
      <c r="R425" s="90">
        <v>1300</v>
      </c>
      <c r="S425" s="90" t="s">
        <v>387</v>
      </c>
      <c r="T425" s="90">
        <v>1300</v>
      </c>
      <c r="U425" s="90" t="s">
        <v>378</v>
      </c>
      <c r="V425" s="90" t="s">
        <v>244</v>
      </c>
      <c r="Z425" s="90">
        <v>0</v>
      </c>
      <c r="AA425" s="90">
        <v>1</v>
      </c>
      <c r="AB425" s="90">
        <v>2.6222704909616001</v>
      </c>
      <c r="AC425" s="90">
        <v>0.45875477996184999</v>
      </c>
      <c r="AD425" s="90">
        <v>827.04345540817303</v>
      </c>
      <c r="AF425" s="90">
        <v>-1</v>
      </c>
      <c r="AG425" s="90">
        <v>-1</v>
      </c>
      <c r="AH425" s="90">
        <v>-1</v>
      </c>
      <c r="AI425" s="90">
        <v>-1</v>
      </c>
      <c r="AJ425" s="90">
        <v>0</v>
      </c>
      <c r="AM425" s="90" t="s">
        <v>379</v>
      </c>
      <c r="AN425" s="90">
        <v>-1</v>
      </c>
      <c r="AQ425" s="90">
        <v>356</v>
      </c>
      <c r="AR425" s="90" t="s">
        <v>380</v>
      </c>
      <c r="AS425" s="90" t="s">
        <v>246</v>
      </c>
      <c r="AT425" s="90" t="s">
        <v>244</v>
      </c>
      <c r="AU425" s="90">
        <v>175.87190000000001</v>
      </c>
      <c r="AV425" s="90">
        <v>120.86155790727599</v>
      </c>
      <c r="AW425" s="90">
        <v>893.35897545037506</v>
      </c>
      <c r="AX425" s="90">
        <v>0.67075706030000004</v>
      </c>
    </row>
    <row r="426" spans="1:50" x14ac:dyDescent="0.25">
      <c r="A426" s="102">
        <v>830000</v>
      </c>
      <c r="B426" s="102">
        <v>2400000</v>
      </c>
      <c r="C426" s="102">
        <v>2400000</v>
      </c>
      <c r="D426" s="90" t="s">
        <v>374</v>
      </c>
      <c r="E426" s="90" t="s">
        <v>68</v>
      </c>
      <c r="F426" s="90" t="s">
        <v>375</v>
      </c>
      <c r="G426" s="90" t="s">
        <v>376</v>
      </c>
      <c r="H426" s="90">
        <v>0.59</v>
      </c>
      <c r="I426" s="90">
        <v>0.64</v>
      </c>
      <c r="J426" s="90" t="s">
        <v>244</v>
      </c>
      <c r="K426" s="90">
        <v>0.58620460568324995</v>
      </c>
      <c r="L426" s="90">
        <v>3746.8570137084198</v>
      </c>
      <c r="M426" s="90">
        <v>10.7802651997605</v>
      </c>
      <c r="N426" s="90">
        <v>2.07716287497631</v>
      </c>
      <c r="O426" s="90">
        <v>6.3194411105865997</v>
      </c>
      <c r="P426" s="90">
        <v>1.2176424440653899</v>
      </c>
      <c r="Q426" s="90">
        <v>2196.42483827249</v>
      </c>
      <c r="R426" s="90">
        <v>1300</v>
      </c>
      <c r="S426" s="90" t="s">
        <v>387</v>
      </c>
      <c r="T426" s="90">
        <v>1300</v>
      </c>
      <c r="U426" s="90" t="s">
        <v>378</v>
      </c>
      <c r="V426" s="90" t="s">
        <v>244</v>
      </c>
      <c r="Z426" s="90">
        <v>0</v>
      </c>
      <c r="AA426" s="90">
        <v>1</v>
      </c>
      <c r="AB426" s="90">
        <v>6.3194411105865997</v>
      </c>
      <c r="AC426" s="90">
        <v>1.2176424440653899</v>
      </c>
      <c r="AD426" s="90">
        <v>2196.42483827249</v>
      </c>
      <c r="AF426" s="90">
        <v>-1</v>
      </c>
      <c r="AG426" s="90">
        <v>-1</v>
      </c>
      <c r="AH426" s="90">
        <v>-1</v>
      </c>
      <c r="AI426" s="90">
        <v>-1</v>
      </c>
      <c r="AJ426" s="90">
        <v>0</v>
      </c>
      <c r="AM426" s="90" t="s">
        <v>379</v>
      </c>
      <c r="AN426" s="90">
        <v>-1</v>
      </c>
      <c r="AQ426" s="90">
        <v>356</v>
      </c>
      <c r="AR426" s="90" t="s">
        <v>380</v>
      </c>
      <c r="AS426" s="90" t="s">
        <v>246</v>
      </c>
      <c r="AT426" s="90" t="s">
        <v>244</v>
      </c>
      <c r="AU426" s="90">
        <v>175.87190000000001</v>
      </c>
      <c r="AV426" s="90">
        <v>194.93967115667101</v>
      </c>
      <c r="AW426" s="90">
        <v>2372.2858733497501</v>
      </c>
      <c r="AX426" s="90">
        <v>1.7813664544000001</v>
      </c>
    </row>
    <row r="427" spans="1:50" x14ac:dyDescent="0.25">
      <c r="A427" s="102">
        <v>830000</v>
      </c>
      <c r="B427" s="102">
        <v>2400000</v>
      </c>
      <c r="C427" s="102">
        <v>2400000</v>
      </c>
      <c r="D427" s="90" t="s">
        <v>374</v>
      </c>
      <c r="E427" s="90" t="s">
        <v>68</v>
      </c>
      <c r="F427" s="90" t="s">
        <v>375</v>
      </c>
      <c r="G427" s="90" t="s">
        <v>376</v>
      </c>
      <c r="H427" s="90">
        <v>0.59</v>
      </c>
      <c r="I427" s="90">
        <v>0.64</v>
      </c>
      <c r="J427" s="90" t="s">
        <v>244</v>
      </c>
      <c r="K427" s="90">
        <v>3.1558848007659998E-2</v>
      </c>
      <c r="L427" s="90">
        <v>3746.8570137084198</v>
      </c>
      <c r="M427" s="90">
        <v>10.7802651997605</v>
      </c>
      <c r="N427" s="90">
        <v>2.07716287497631</v>
      </c>
      <c r="O427" s="90">
        <v>0.34021275092158998</v>
      </c>
      <c r="P427" s="90">
        <v>6.5552867458539998E-2</v>
      </c>
      <c r="Q427" s="90">
        <v>118.24649100208801</v>
      </c>
      <c r="R427" s="90">
        <v>1300</v>
      </c>
      <c r="S427" s="90" t="s">
        <v>387</v>
      </c>
      <c r="T427" s="90">
        <v>1300</v>
      </c>
      <c r="U427" s="90" t="s">
        <v>378</v>
      </c>
      <c r="V427" s="90" t="s">
        <v>244</v>
      </c>
      <c r="Z427" s="90">
        <v>0</v>
      </c>
      <c r="AA427" s="90">
        <v>1</v>
      </c>
      <c r="AB427" s="90">
        <v>0.34021275092158998</v>
      </c>
      <c r="AC427" s="90">
        <v>6.5552867458539998E-2</v>
      </c>
      <c r="AD427" s="90">
        <v>118.24649100208801</v>
      </c>
      <c r="AF427" s="90">
        <v>-1</v>
      </c>
      <c r="AG427" s="90">
        <v>-1</v>
      </c>
      <c r="AH427" s="90">
        <v>-1</v>
      </c>
      <c r="AI427" s="90">
        <v>-1</v>
      </c>
      <c r="AJ427" s="90">
        <v>0</v>
      </c>
      <c r="AM427" s="90" t="s">
        <v>379</v>
      </c>
      <c r="AN427" s="90">
        <v>-1</v>
      </c>
      <c r="AQ427" s="90">
        <v>356</v>
      </c>
      <c r="AR427" s="90" t="s">
        <v>380</v>
      </c>
      <c r="AS427" s="90" t="s">
        <v>246</v>
      </c>
      <c r="AT427" s="90" t="s">
        <v>244</v>
      </c>
      <c r="AU427" s="90">
        <v>175.87190000000001</v>
      </c>
      <c r="AV427" s="90">
        <v>105.15680129241601</v>
      </c>
      <c r="AW427" s="90">
        <v>127.714126743376</v>
      </c>
      <c r="AX427" s="90">
        <v>9.5901452600000006E-2</v>
      </c>
    </row>
    <row r="428" spans="1:50" x14ac:dyDescent="0.25">
      <c r="A428" s="102">
        <v>830000</v>
      </c>
      <c r="B428" s="102">
        <v>2400000</v>
      </c>
      <c r="C428" s="102">
        <v>2400000</v>
      </c>
      <c r="D428" s="90" t="s">
        <v>374</v>
      </c>
      <c r="E428" s="90" t="s">
        <v>68</v>
      </c>
      <c r="F428" s="90" t="s">
        <v>375</v>
      </c>
      <c r="G428" s="90" t="s">
        <v>376</v>
      </c>
      <c r="H428" s="90">
        <v>0.59</v>
      </c>
      <c r="I428" s="90">
        <v>0.64</v>
      </c>
      <c r="J428" s="90" t="s">
        <v>244</v>
      </c>
      <c r="K428" s="90">
        <v>0.25983340244897002</v>
      </c>
      <c r="L428" s="90">
        <v>3737.4428956297802</v>
      </c>
      <c r="M428" s="90">
        <v>10.105497719988399</v>
      </c>
      <c r="N428" s="90">
        <v>1.4229258151341899</v>
      </c>
      <c r="O428" s="90">
        <v>2.6257458560249498</v>
      </c>
      <c r="P428" s="90">
        <v>0.36972365597880003</v>
      </c>
      <c r="Q428" s="90">
        <v>971.11250403023996</v>
      </c>
      <c r="R428" s="90">
        <v>1200</v>
      </c>
      <c r="S428" s="90" t="s">
        <v>384</v>
      </c>
      <c r="T428" s="90">
        <v>1200</v>
      </c>
      <c r="U428" s="90" t="s">
        <v>378</v>
      </c>
      <c r="V428" s="90" t="s">
        <v>244</v>
      </c>
      <c r="Z428" s="90">
        <v>0</v>
      </c>
      <c r="AA428" s="90">
        <v>1</v>
      </c>
      <c r="AB428" s="90">
        <v>2.6257458560249498</v>
      </c>
      <c r="AC428" s="90">
        <v>0.36972365597880003</v>
      </c>
      <c r="AD428" s="90">
        <v>971.11250403023996</v>
      </c>
      <c r="AF428" s="90">
        <v>-1</v>
      </c>
      <c r="AG428" s="90">
        <v>-1</v>
      </c>
      <c r="AH428" s="90">
        <v>-1</v>
      </c>
      <c r="AI428" s="90">
        <v>-1</v>
      </c>
      <c r="AJ428" s="90">
        <v>0</v>
      </c>
      <c r="AM428" s="90" t="s">
        <v>379</v>
      </c>
      <c r="AN428" s="90">
        <v>-1</v>
      </c>
      <c r="AQ428" s="90">
        <v>356</v>
      </c>
      <c r="AR428" s="90" t="s">
        <v>380</v>
      </c>
      <c r="AS428" s="90" t="s">
        <v>246</v>
      </c>
      <c r="AT428" s="90" t="s">
        <v>244</v>
      </c>
      <c r="AU428" s="90">
        <v>175.87190000000001</v>
      </c>
      <c r="AV428" s="90">
        <v>167.206842858626</v>
      </c>
      <c r="AW428" s="90">
        <v>1051.5084734546799</v>
      </c>
      <c r="AX428" s="90">
        <v>0.78760138199999996</v>
      </c>
    </row>
    <row r="429" spans="1:50" x14ac:dyDescent="0.25">
      <c r="A429" s="102">
        <v>830000</v>
      </c>
      <c r="B429" s="102">
        <v>2400000</v>
      </c>
      <c r="C429" s="102">
        <v>2400000</v>
      </c>
      <c r="D429" s="90" t="s">
        <v>374</v>
      </c>
      <c r="E429" s="90" t="s">
        <v>68</v>
      </c>
      <c r="F429" s="90" t="s">
        <v>375</v>
      </c>
      <c r="G429" s="90" t="s">
        <v>376</v>
      </c>
      <c r="H429" s="90">
        <v>0.59</v>
      </c>
      <c r="I429" s="90">
        <v>0.64</v>
      </c>
      <c r="J429" s="90" t="s">
        <v>244</v>
      </c>
      <c r="K429" s="90">
        <v>3.683297195554E-2</v>
      </c>
      <c r="L429" s="90">
        <v>3737.4428956297802</v>
      </c>
      <c r="M429" s="90">
        <v>10.105497719988399</v>
      </c>
      <c r="N429" s="90">
        <v>1.4229258151341899</v>
      </c>
      <c r="O429" s="90">
        <v>0.37221551411715997</v>
      </c>
      <c r="P429" s="90">
        <v>5.2410586643660002E-2</v>
      </c>
      <c r="Q429" s="90">
        <v>137.66112936018601</v>
      </c>
      <c r="R429" s="90">
        <v>1400</v>
      </c>
      <c r="S429" s="90" t="s">
        <v>324</v>
      </c>
      <c r="T429" s="90">
        <v>1400</v>
      </c>
      <c r="U429" s="90" t="s">
        <v>378</v>
      </c>
      <c r="V429" s="90" t="s">
        <v>244</v>
      </c>
      <c r="Z429" s="90">
        <v>0</v>
      </c>
      <c r="AA429" s="90">
        <v>1</v>
      </c>
      <c r="AB429" s="90">
        <v>0.37221551411715997</v>
      </c>
      <c r="AC429" s="90">
        <v>5.2410586643660002E-2</v>
      </c>
      <c r="AD429" s="90">
        <v>137.66112936018499</v>
      </c>
      <c r="AF429" s="90">
        <v>-1</v>
      </c>
      <c r="AG429" s="90">
        <v>-1</v>
      </c>
      <c r="AH429" s="90">
        <v>-1</v>
      </c>
      <c r="AI429" s="90">
        <v>-1</v>
      </c>
      <c r="AJ429" s="90">
        <v>0</v>
      </c>
      <c r="AM429" s="90" t="s">
        <v>379</v>
      </c>
      <c r="AN429" s="90">
        <v>-1</v>
      </c>
      <c r="AQ429" s="90">
        <v>356</v>
      </c>
      <c r="AR429" s="90" t="s">
        <v>380</v>
      </c>
      <c r="AS429" s="90" t="s">
        <v>246</v>
      </c>
      <c r="AT429" s="90" t="s">
        <v>244</v>
      </c>
      <c r="AU429" s="90">
        <v>175.87190000000001</v>
      </c>
      <c r="AV429" s="90">
        <v>51.200140278415802</v>
      </c>
      <c r="AW429" s="90">
        <v>149.05774911437899</v>
      </c>
      <c r="AX429" s="90">
        <v>0.11164730690000001</v>
      </c>
    </row>
    <row r="430" spans="1:50" x14ac:dyDescent="0.25">
      <c r="A430" s="102">
        <v>830000</v>
      </c>
      <c r="B430" s="102">
        <v>2400000</v>
      </c>
      <c r="C430" s="102">
        <v>2400000</v>
      </c>
      <c r="D430" s="90" t="s">
        <v>374</v>
      </c>
      <c r="E430" s="90" t="s">
        <v>68</v>
      </c>
      <c r="F430" s="90" t="s">
        <v>375</v>
      </c>
      <c r="G430" s="90" t="s">
        <v>376</v>
      </c>
      <c r="H430" s="90">
        <v>0.59</v>
      </c>
      <c r="I430" s="90">
        <v>0.64</v>
      </c>
      <c r="J430" s="90" t="s">
        <v>244</v>
      </c>
      <c r="K430" s="90">
        <v>0.1097984757429</v>
      </c>
      <c r="L430" s="90">
        <v>3737.4428956297802</v>
      </c>
      <c r="M430" s="90">
        <v>10.105497719988399</v>
      </c>
      <c r="N430" s="90">
        <v>1.4229258151341899</v>
      </c>
      <c r="O430" s="90">
        <v>1.10956824627807</v>
      </c>
      <c r="P430" s="90">
        <v>0.15623508559695001</v>
      </c>
      <c r="Q430" s="90">
        <v>410.36553311628097</v>
      </c>
      <c r="R430" s="90">
        <v>1410</v>
      </c>
      <c r="S430" s="90" t="s">
        <v>325</v>
      </c>
      <c r="T430" s="90">
        <v>1410</v>
      </c>
      <c r="U430" s="90" t="s">
        <v>378</v>
      </c>
      <c r="V430" s="90" t="s">
        <v>244</v>
      </c>
      <c r="Z430" s="90">
        <v>0</v>
      </c>
      <c r="AA430" s="90">
        <v>1</v>
      </c>
      <c r="AB430" s="90">
        <v>1.10956824627807</v>
      </c>
      <c r="AC430" s="90">
        <v>0.15623508559695001</v>
      </c>
      <c r="AD430" s="90">
        <v>410.36553311628097</v>
      </c>
      <c r="AF430" s="90">
        <v>-1</v>
      </c>
      <c r="AG430" s="90">
        <v>-1</v>
      </c>
      <c r="AH430" s="90">
        <v>-1</v>
      </c>
      <c r="AI430" s="90">
        <v>-1</v>
      </c>
      <c r="AJ430" s="90">
        <v>0</v>
      </c>
      <c r="AM430" s="90" t="s">
        <v>379</v>
      </c>
      <c r="AN430" s="90">
        <v>-1</v>
      </c>
      <c r="AQ430" s="90">
        <v>356</v>
      </c>
      <c r="AR430" s="90" t="s">
        <v>380</v>
      </c>
      <c r="AS430" s="90" t="s">
        <v>246</v>
      </c>
      <c r="AT430" s="90" t="s">
        <v>244</v>
      </c>
      <c r="AU430" s="90">
        <v>175.87190000000001</v>
      </c>
      <c r="AV430" s="90">
        <v>84.946054595443997</v>
      </c>
      <c r="AW430" s="90">
        <v>444.33866672988302</v>
      </c>
      <c r="AX430" s="90">
        <v>0.33281876170000002</v>
      </c>
    </row>
    <row r="431" spans="1:50" x14ac:dyDescent="0.25">
      <c r="A431" s="102">
        <v>830000</v>
      </c>
      <c r="B431" s="102">
        <v>2400000</v>
      </c>
      <c r="C431" s="102">
        <v>2400000</v>
      </c>
      <c r="D431" s="90" t="s">
        <v>374</v>
      </c>
      <c r="E431" s="90" t="s">
        <v>68</v>
      </c>
      <c r="F431" s="90" t="s">
        <v>375</v>
      </c>
      <c r="G431" s="90" t="s">
        <v>376</v>
      </c>
      <c r="H431" s="90">
        <v>0.59</v>
      </c>
      <c r="I431" s="90">
        <v>0.64</v>
      </c>
      <c r="J431" s="90" t="s">
        <v>244</v>
      </c>
      <c r="K431" s="90">
        <v>0.13369883183117001</v>
      </c>
      <c r="L431" s="90">
        <v>3737.4428956297802</v>
      </c>
      <c r="M431" s="90">
        <v>10.105497719988399</v>
      </c>
      <c r="N431" s="90">
        <v>1.4229258151341899</v>
      </c>
      <c r="O431" s="90">
        <v>1.351093240235</v>
      </c>
      <c r="P431" s="90">
        <v>0.19024351926585001</v>
      </c>
      <c r="Q431" s="90">
        <v>499.691749181408</v>
      </c>
      <c r="R431" s="90">
        <v>1210</v>
      </c>
      <c r="S431" s="90" t="s">
        <v>385</v>
      </c>
      <c r="T431" s="90">
        <v>1210</v>
      </c>
      <c r="U431" s="90" t="s">
        <v>378</v>
      </c>
      <c r="V431" s="90" t="s">
        <v>244</v>
      </c>
      <c r="Z431" s="90">
        <v>0</v>
      </c>
      <c r="AA431" s="90">
        <v>1</v>
      </c>
      <c r="AB431" s="90">
        <v>1.351093240235</v>
      </c>
      <c r="AC431" s="90">
        <v>0.19024351926585001</v>
      </c>
      <c r="AD431" s="90">
        <v>499.691749181408</v>
      </c>
      <c r="AF431" s="90">
        <v>-1</v>
      </c>
      <c r="AG431" s="90">
        <v>-1</v>
      </c>
      <c r="AH431" s="90">
        <v>-1</v>
      </c>
      <c r="AI431" s="90">
        <v>-1</v>
      </c>
      <c r="AJ431" s="90">
        <v>0</v>
      </c>
      <c r="AM431" s="90" t="s">
        <v>379</v>
      </c>
      <c r="AN431" s="90">
        <v>-1</v>
      </c>
      <c r="AQ431" s="90">
        <v>356</v>
      </c>
      <c r="AR431" s="90" t="s">
        <v>380</v>
      </c>
      <c r="AS431" s="90" t="s">
        <v>246</v>
      </c>
      <c r="AT431" s="90" t="s">
        <v>244</v>
      </c>
      <c r="AU431" s="90">
        <v>175.87190000000001</v>
      </c>
      <c r="AV431" s="90">
        <v>110.87102869252</v>
      </c>
      <c r="AW431" s="90">
        <v>541.05997626334704</v>
      </c>
      <c r="AX431" s="90">
        <v>0.40526500339999999</v>
      </c>
    </row>
    <row r="432" spans="1:50" x14ac:dyDescent="0.25">
      <c r="A432" s="102">
        <v>830000</v>
      </c>
      <c r="B432" s="102">
        <v>2400000</v>
      </c>
      <c r="C432" s="102">
        <v>2400000</v>
      </c>
      <c r="D432" s="90" t="s">
        <v>374</v>
      </c>
      <c r="E432" s="90" t="s">
        <v>68</v>
      </c>
      <c r="F432" s="90" t="s">
        <v>375</v>
      </c>
      <c r="G432" s="90" t="s">
        <v>376</v>
      </c>
      <c r="H432" s="90">
        <v>0.59</v>
      </c>
      <c r="I432" s="90">
        <v>0.64</v>
      </c>
      <c r="J432" s="90" t="s">
        <v>244</v>
      </c>
      <c r="K432" s="90">
        <v>7.666439486828E-2</v>
      </c>
      <c r="L432" s="90">
        <v>3737.4428956297802</v>
      </c>
      <c r="M432" s="90">
        <v>10.105497719988399</v>
      </c>
      <c r="N432" s="90">
        <v>1.4229258151341899</v>
      </c>
      <c r="O432" s="90">
        <v>0.77473186754573997</v>
      </c>
      <c r="P432" s="90">
        <v>0.10908774655972001</v>
      </c>
      <c r="Q432" s="90">
        <v>286.52879794822798</v>
      </c>
      <c r="R432" s="90">
        <v>1430</v>
      </c>
      <c r="S432" s="90" t="s">
        <v>326</v>
      </c>
      <c r="T432" s="90">
        <v>1430</v>
      </c>
      <c r="U432" s="90" t="s">
        <v>378</v>
      </c>
      <c r="V432" s="90" t="s">
        <v>244</v>
      </c>
      <c r="Z432" s="90">
        <v>0</v>
      </c>
      <c r="AA432" s="90">
        <v>1</v>
      </c>
      <c r="AB432" s="90">
        <v>0.77473186754573997</v>
      </c>
      <c r="AC432" s="90">
        <v>0.10908774655972001</v>
      </c>
      <c r="AD432" s="90">
        <v>286.52879794822599</v>
      </c>
      <c r="AF432" s="90">
        <v>-1</v>
      </c>
      <c r="AG432" s="90">
        <v>-1</v>
      </c>
      <c r="AH432" s="90">
        <v>-1</v>
      </c>
      <c r="AI432" s="90">
        <v>-1</v>
      </c>
      <c r="AJ432" s="90">
        <v>0</v>
      </c>
      <c r="AM432" s="90" t="s">
        <v>379</v>
      </c>
      <c r="AN432" s="90">
        <v>-1</v>
      </c>
      <c r="AQ432" s="90">
        <v>356</v>
      </c>
      <c r="AR432" s="90" t="s">
        <v>380</v>
      </c>
      <c r="AS432" s="90" t="s">
        <v>246</v>
      </c>
      <c r="AT432" s="90" t="s">
        <v>244</v>
      </c>
      <c r="AU432" s="90">
        <v>175.87190000000001</v>
      </c>
      <c r="AV432" s="90">
        <v>70.498796737439406</v>
      </c>
      <c r="AW432" s="90">
        <v>310.24979874212698</v>
      </c>
      <c r="AX432" s="90">
        <v>0.23238345329999999</v>
      </c>
    </row>
    <row r="433" spans="1:50" x14ac:dyDescent="0.25">
      <c r="A433" s="102">
        <v>830000</v>
      </c>
      <c r="B433" s="102">
        <v>2400000</v>
      </c>
      <c r="C433" s="102">
        <v>2400000</v>
      </c>
      <c r="D433" s="90" t="s">
        <v>374</v>
      </c>
      <c r="E433" s="90" t="s">
        <v>68</v>
      </c>
      <c r="F433" s="90" t="s">
        <v>375</v>
      </c>
      <c r="G433" s="90" t="s">
        <v>376</v>
      </c>
      <c r="H433" s="90">
        <v>0.59</v>
      </c>
      <c r="I433" s="90">
        <v>0.64</v>
      </c>
      <c r="J433" s="90" t="s">
        <v>244</v>
      </c>
      <c r="K433" s="90">
        <v>9.3537677500999999E-4</v>
      </c>
      <c r="L433" s="90">
        <v>3737.4428956297802</v>
      </c>
      <c r="M433" s="90">
        <v>10.105497719988399</v>
      </c>
      <c r="N433" s="90">
        <v>1.4229258151341899</v>
      </c>
      <c r="O433" s="90">
        <v>9.4524478672000003E-3</v>
      </c>
      <c r="P433" s="90">
        <v>1.3309717600399999E-3</v>
      </c>
      <c r="Q433" s="90">
        <v>3.49591728250196</v>
      </c>
      <c r="R433" s="90">
        <v>1210</v>
      </c>
      <c r="S433" s="90" t="s">
        <v>385</v>
      </c>
      <c r="T433" s="90">
        <v>1210</v>
      </c>
      <c r="U433" s="90" t="s">
        <v>378</v>
      </c>
      <c r="V433" s="90" t="s">
        <v>244</v>
      </c>
      <c r="Z433" s="90">
        <v>0</v>
      </c>
      <c r="AA433" s="90">
        <v>1</v>
      </c>
      <c r="AB433" s="90">
        <v>9.4524478672000003E-3</v>
      </c>
      <c r="AC433" s="90">
        <v>1.3309717600399999E-3</v>
      </c>
      <c r="AD433" s="90">
        <v>3.4959172825001201</v>
      </c>
      <c r="AF433" s="90">
        <v>-1</v>
      </c>
      <c r="AG433" s="90">
        <v>-1</v>
      </c>
      <c r="AH433" s="90">
        <v>-1</v>
      </c>
      <c r="AI433" s="90">
        <v>-1</v>
      </c>
      <c r="AJ433" s="90">
        <v>0</v>
      </c>
      <c r="AM433" s="90" t="s">
        <v>379</v>
      </c>
      <c r="AN433" s="90">
        <v>-1</v>
      </c>
      <c r="AQ433" s="90">
        <v>356</v>
      </c>
      <c r="AR433" s="90" t="s">
        <v>380</v>
      </c>
      <c r="AS433" s="90" t="s">
        <v>246</v>
      </c>
      <c r="AT433" s="90" t="s">
        <v>244</v>
      </c>
      <c r="AU433" s="90">
        <v>175.87190000000001</v>
      </c>
      <c r="AV433" s="90">
        <v>27.226335626634</v>
      </c>
      <c r="AW433" s="90">
        <v>3.78533550931507</v>
      </c>
      <c r="AX433" s="90">
        <v>2.8352937999999999E-3</v>
      </c>
    </row>
    <row r="434" spans="1:50" x14ac:dyDescent="0.25">
      <c r="A434" s="102">
        <v>830000</v>
      </c>
      <c r="B434" s="102">
        <v>2400000</v>
      </c>
      <c r="C434" s="102">
        <v>2400000</v>
      </c>
      <c r="D434" s="90" t="s">
        <v>374</v>
      </c>
      <c r="E434" s="90" t="s">
        <v>68</v>
      </c>
      <c r="F434" s="90" t="s">
        <v>375</v>
      </c>
      <c r="G434" s="90" t="s">
        <v>376</v>
      </c>
      <c r="H434" s="90">
        <v>0.59</v>
      </c>
      <c r="I434" s="90">
        <v>0.64</v>
      </c>
      <c r="J434" s="90" t="s">
        <v>389</v>
      </c>
      <c r="K434" s="90">
        <v>5.8887136814149997E-2</v>
      </c>
      <c r="L434" s="90">
        <v>2072.81703920574</v>
      </c>
      <c r="M434" s="90">
        <v>5.2698873341219299</v>
      </c>
      <c r="N434" s="90">
        <v>0.77855761883112995</v>
      </c>
      <c r="O434" s="90">
        <v>0.31032857643959999</v>
      </c>
      <c r="P434" s="90">
        <v>4.5847029017810001E-2</v>
      </c>
      <c r="Q434" s="90">
        <v>122.062260578414</v>
      </c>
      <c r="R434" s="90">
        <v>5400</v>
      </c>
      <c r="S434" s="90" t="s">
        <v>392</v>
      </c>
      <c r="T434" s="90">
        <v>5400</v>
      </c>
      <c r="U434" s="90" t="s">
        <v>378</v>
      </c>
      <c r="V434" s="90" t="s">
        <v>244</v>
      </c>
      <c r="Y434" s="90" t="s">
        <v>389</v>
      </c>
      <c r="Z434" s="90">
        <v>0</v>
      </c>
      <c r="AA434" s="90">
        <v>1</v>
      </c>
      <c r="AB434" s="90">
        <v>0.31032857643959999</v>
      </c>
      <c r="AC434" s="90">
        <v>4.5847029017810001E-2</v>
      </c>
      <c r="AD434" s="90">
        <v>529.12657346110302</v>
      </c>
      <c r="AF434" s="90">
        <v>-1</v>
      </c>
      <c r="AG434" s="90">
        <v>-1</v>
      </c>
      <c r="AH434" s="90">
        <v>-1</v>
      </c>
      <c r="AI434" s="90">
        <v>-1</v>
      </c>
      <c r="AJ434" s="90">
        <v>0</v>
      </c>
      <c r="AM434" s="90" t="s">
        <v>379</v>
      </c>
      <c r="AN434" s="90">
        <v>-1</v>
      </c>
      <c r="AQ434" s="90">
        <v>356</v>
      </c>
      <c r="AR434" s="90" t="s">
        <v>380</v>
      </c>
      <c r="AS434" s="90" t="s">
        <v>246</v>
      </c>
      <c r="AT434" s="90" t="s">
        <v>244</v>
      </c>
      <c r="AU434" s="90">
        <v>175.87190000000001</v>
      </c>
      <c r="AV434" s="90">
        <v>64.778370230266106</v>
      </c>
      <c r="AW434" s="90">
        <v>238.307787813099</v>
      </c>
      <c r="AX434" s="90">
        <v>0.42913752919999998</v>
      </c>
    </row>
    <row r="435" spans="1:50" x14ac:dyDescent="0.25">
      <c r="A435" s="102">
        <v>830000</v>
      </c>
      <c r="B435" s="102">
        <v>2400000</v>
      </c>
      <c r="C435" s="102">
        <v>2400000</v>
      </c>
      <c r="D435" s="90" t="s">
        <v>374</v>
      </c>
      <c r="E435" s="90" t="s">
        <v>68</v>
      </c>
      <c r="F435" s="90" t="s">
        <v>375</v>
      </c>
      <c r="G435" s="90" t="s">
        <v>376</v>
      </c>
      <c r="H435" s="90">
        <v>0.59</v>
      </c>
      <c r="I435" s="90">
        <v>0.64</v>
      </c>
      <c r="J435" s="90" t="s">
        <v>244</v>
      </c>
      <c r="K435" s="90">
        <v>8.8169226138210002E-2</v>
      </c>
      <c r="L435" s="90">
        <v>2072.81703920574</v>
      </c>
      <c r="M435" s="90">
        <v>5.2698873341219299</v>
      </c>
      <c r="N435" s="90">
        <v>0.77855761883112995</v>
      </c>
      <c r="O435" s="90">
        <v>0.46464188808509999</v>
      </c>
      <c r="P435" s="90">
        <v>6.8644822756350005E-2</v>
      </c>
      <c r="Q435" s="90">
        <v>182.758674272874</v>
      </c>
      <c r="R435" s="90">
        <v>1210</v>
      </c>
      <c r="S435" s="90" t="s">
        <v>385</v>
      </c>
      <c r="T435" s="90">
        <v>1210</v>
      </c>
      <c r="U435" s="90" t="s">
        <v>378</v>
      </c>
      <c r="V435" s="90" t="s">
        <v>244</v>
      </c>
      <c r="Z435" s="90">
        <v>0</v>
      </c>
      <c r="AA435" s="90">
        <v>1</v>
      </c>
      <c r="AB435" s="90">
        <v>0.46464188808509999</v>
      </c>
      <c r="AC435" s="90">
        <v>6.8644822756350005E-2</v>
      </c>
      <c r="AD435" s="90">
        <v>301.49647815248898</v>
      </c>
      <c r="AF435" s="90">
        <v>-1</v>
      </c>
      <c r="AG435" s="90">
        <v>-1</v>
      </c>
      <c r="AH435" s="90">
        <v>-1</v>
      </c>
      <c r="AI435" s="90">
        <v>-1</v>
      </c>
      <c r="AJ435" s="90">
        <v>0</v>
      </c>
      <c r="AM435" s="90" t="s">
        <v>379</v>
      </c>
      <c r="AN435" s="90">
        <v>-1</v>
      </c>
      <c r="AQ435" s="90">
        <v>356</v>
      </c>
      <c r="AR435" s="90" t="s">
        <v>380</v>
      </c>
      <c r="AS435" s="90" t="s">
        <v>246</v>
      </c>
      <c r="AT435" s="90" t="s">
        <v>244</v>
      </c>
      <c r="AU435" s="90">
        <v>175.87190000000001</v>
      </c>
      <c r="AV435" s="90">
        <v>82.717731904500695</v>
      </c>
      <c r="AW435" s="90">
        <v>356.80819905547003</v>
      </c>
      <c r="AX435" s="90">
        <v>0.24452269109999999</v>
      </c>
    </row>
    <row r="436" spans="1:50" x14ac:dyDescent="0.25">
      <c r="A436" s="102">
        <v>830000</v>
      </c>
      <c r="B436" s="102">
        <v>2400000</v>
      </c>
      <c r="C436" s="102">
        <v>2400000</v>
      </c>
      <c r="D436" s="90" t="s">
        <v>374</v>
      </c>
      <c r="E436" s="90" t="s">
        <v>68</v>
      </c>
      <c r="F436" s="90" t="s">
        <v>375</v>
      </c>
      <c r="G436" s="90" t="s">
        <v>376</v>
      </c>
      <c r="H436" s="90">
        <v>0.59</v>
      </c>
      <c r="I436" s="90">
        <v>0.64</v>
      </c>
      <c r="J436" s="90" t="s">
        <v>244</v>
      </c>
      <c r="K436" s="90">
        <v>0.17402667056785001</v>
      </c>
      <c r="L436" s="90">
        <v>3772.5504468180702</v>
      </c>
      <c r="M436" s="90">
        <v>8.6581349508299699</v>
      </c>
      <c r="N436" s="90">
        <v>1.1692963229364699</v>
      </c>
      <c r="O436" s="90">
        <v>1.50674639882011</v>
      </c>
      <c r="P436" s="90">
        <v>0.20348874598785999</v>
      </c>
      <c r="Q436" s="90">
        <v>656.52439380901797</v>
      </c>
      <c r="R436" s="90">
        <v>1400</v>
      </c>
      <c r="S436" s="90" t="s">
        <v>324</v>
      </c>
      <c r="T436" s="90">
        <v>1400</v>
      </c>
      <c r="U436" s="90" t="s">
        <v>378</v>
      </c>
      <c r="V436" s="90" t="s">
        <v>244</v>
      </c>
      <c r="Z436" s="90">
        <v>0</v>
      </c>
      <c r="AA436" s="90">
        <v>1</v>
      </c>
      <c r="AB436" s="90">
        <v>1.50674639882011</v>
      </c>
      <c r="AC436" s="90">
        <v>0.20348874598785999</v>
      </c>
      <c r="AD436" s="90">
        <v>656.52439380901797</v>
      </c>
      <c r="AF436" s="90">
        <v>-1</v>
      </c>
      <c r="AG436" s="90">
        <v>-1</v>
      </c>
      <c r="AH436" s="90">
        <v>-1</v>
      </c>
      <c r="AI436" s="90">
        <v>-1</v>
      </c>
      <c r="AJ436" s="90">
        <v>0</v>
      </c>
      <c r="AM436" s="90" t="s">
        <v>379</v>
      </c>
      <c r="AN436" s="90">
        <v>-1</v>
      </c>
      <c r="AQ436" s="90">
        <v>356</v>
      </c>
      <c r="AR436" s="90" t="s">
        <v>380</v>
      </c>
      <c r="AS436" s="90" t="s">
        <v>246</v>
      </c>
      <c r="AT436" s="90" t="s">
        <v>244</v>
      </c>
      <c r="AU436" s="90">
        <v>175.87190000000001</v>
      </c>
      <c r="AV436" s="90">
        <v>117.394822454017</v>
      </c>
      <c r="AW436" s="90">
        <v>704.26094945641</v>
      </c>
      <c r="AX436" s="90">
        <v>0.5324609844</v>
      </c>
    </row>
    <row r="437" spans="1:50" x14ac:dyDescent="0.25">
      <c r="A437" s="102">
        <v>830000</v>
      </c>
      <c r="B437" s="102">
        <v>2400000</v>
      </c>
      <c r="C437" s="102">
        <v>2400000</v>
      </c>
      <c r="D437" s="90" t="s">
        <v>374</v>
      </c>
      <c r="E437" s="90" t="s">
        <v>68</v>
      </c>
      <c r="F437" s="90" t="s">
        <v>375</v>
      </c>
      <c r="G437" s="90" t="s">
        <v>376</v>
      </c>
      <c r="H437" s="90">
        <v>0.59</v>
      </c>
      <c r="I437" s="90">
        <v>0.64</v>
      </c>
      <c r="J437" s="90" t="s">
        <v>244</v>
      </c>
      <c r="K437" s="90">
        <v>2.590011427109E-2</v>
      </c>
      <c r="L437" s="90">
        <v>3772.5504468180702</v>
      </c>
      <c r="M437" s="90">
        <v>8.6581349508299699</v>
      </c>
      <c r="N437" s="90">
        <v>1.1692963229364699</v>
      </c>
      <c r="O437" s="90">
        <v>0.22424668460103001</v>
      </c>
      <c r="P437" s="90">
        <v>3.028490838082E-2</v>
      </c>
      <c r="Q437" s="90">
        <v>97.709487666047195</v>
      </c>
      <c r="R437" s="90">
        <v>1410</v>
      </c>
      <c r="S437" s="90" t="s">
        <v>325</v>
      </c>
      <c r="T437" s="90">
        <v>1410</v>
      </c>
      <c r="U437" s="90" t="s">
        <v>378</v>
      </c>
      <c r="V437" s="90" t="s">
        <v>244</v>
      </c>
      <c r="Z437" s="90">
        <v>0</v>
      </c>
      <c r="AA437" s="90">
        <v>1</v>
      </c>
      <c r="AB437" s="90">
        <v>0.22424668460103001</v>
      </c>
      <c r="AC437" s="90">
        <v>3.028490838082E-2</v>
      </c>
      <c r="AD437" s="90">
        <v>97.709487666045305</v>
      </c>
      <c r="AF437" s="90">
        <v>-1</v>
      </c>
      <c r="AG437" s="90">
        <v>-1</v>
      </c>
      <c r="AH437" s="90">
        <v>-1</v>
      </c>
      <c r="AI437" s="90">
        <v>-1</v>
      </c>
      <c r="AJ437" s="90">
        <v>0</v>
      </c>
      <c r="AM437" s="90" t="s">
        <v>379</v>
      </c>
      <c r="AN437" s="90">
        <v>-1</v>
      </c>
      <c r="AQ437" s="90">
        <v>356</v>
      </c>
      <c r="AR437" s="90" t="s">
        <v>380</v>
      </c>
      <c r="AS437" s="90" t="s">
        <v>246</v>
      </c>
      <c r="AT437" s="90" t="s">
        <v>244</v>
      </c>
      <c r="AU437" s="90">
        <v>175.87190000000001</v>
      </c>
      <c r="AV437" s="90">
        <v>89.311057811176397</v>
      </c>
      <c r="AW437" s="90">
        <v>104.81404377886</v>
      </c>
      <c r="AX437" s="90">
        <v>7.9245326599999999E-2</v>
      </c>
    </row>
    <row r="438" spans="1:50" x14ac:dyDescent="0.25">
      <c r="A438" s="102">
        <v>830000</v>
      </c>
      <c r="B438" s="102">
        <v>2400000</v>
      </c>
      <c r="C438" s="102">
        <v>2400000</v>
      </c>
      <c r="D438" s="90" t="s">
        <v>374</v>
      </c>
      <c r="E438" s="90" t="s">
        <v>68</v>
      </c>
      <c r="F438" s="90" t="s">
        <v>375</v>
      </c>
      <c r="G438" s="90" t="s">
        <v>376</v>
      </c>
      <c r="H438" s="90">
        <v>0.59</v>
      </c>
      <c r="I438" s="90">
        <v>0.64</v>
      </c>
      <c r="J438" s="90" t="s">
        <v>244</v>
      </c>
      <c r="K438" s="90">
        <v>0.10603790486825999</v>
      </c>
      <c r="L438" s="90">
        <v>3772.5504468180702</v>
      </c>
      <c r="M438" s="90">
        <v>8.6581349508299699</v>
      </c>
      <c r="N438" s="90">
        <v>1.1692963229364699</v>
      </c>
      <c r="O438" s="90">
        <v>0.91809049025274003</v>
      </c>
      <c r="P438" s="90">
        <v>0.12398973225435</v>
      </c>
      <c r="Q438" s="90">
        <v>400.03334539043999</v>
      </c>
      <c r="R438" s="90">
        <v>1410</v>
      </c>
      <c r="S438" s="90" t="s">
        <v>325</v>
      </c>
      <c r="T438" s="90">
        <v>1410</v>
      </c>
      <c r="U438" s="90" t="s">
        <v>378</v>
      </c>
      <c r="V438" s="90" t="s">
        <v>244</v>
      </c>
      <c r="Z438" s="90">
        <v>0</v>
      </c>
      <c r="AA438" s="90">
        <v>1</v>
      </c>
      <c r="AB438" s="90">
        <v>0.91809049025274003</v>
      </c>
      <c r="AC438" s="90">
        <v>0.12398973225435</v>
      </c>
      <c r="AD438" s="90">
        <v>400.03334539043999</v>
      </c>
      <c r="AF438" s="90">
        <v>-1</v>
      </c>
      <c r="AG438" s="90">
        <v>-1</v>
      </c>
      <c r="AH438" s="90">
        <v>-1</v>
      </c>
      <c r="AI438" s="90">
        <v>-1</v>
      </c>
      <c r="AJ438" s="90">
        <v>0</v>
      </c>
      <c r="AM438" s="90" t="s">
        <v>379</v>
      </c>
      <c r="AN438" s="90">
        <v>-1</v>
      </c>
      <c r="AQ438" s="90">
        <v>356</v>
      </c>
      <c r="AR438" s="90" t="s">
        <v>380</v>
      </c>
      <c r="AS438" s="90" t="s">
        <v>246</v>
      </c>
      <c r="AT438" s="90" t="s">
        <v>244</v>
      </c>
      <c r="AU438" s="90">
        <v>175.87190000000001</v>
      </c>
      <c r="AV438" s="90">
        <v>117.174059062312</v>
      </c>
      <c r="AW438" s="90">
        <v>429.12017633399302</v>
      </c>
      <c r="AX438" s="90">
        <v>0.32443904740000001</v>
      </c>
    </row>
    <row r="439" spans="1:50" x14ac:dyDescent="0.25">
      <c r="A439" s="102">
        <v>830000</v>
      </c>
      <c r="B439" s="102">
        <v>2400000</v>
      </c>
      <c r="C439" s="102">
        <v>2400000</v>
      </c>
      <c r="D439" s="90" t="s">
        <v>374</v>
      </c>
      <c r="E439" s="90" t="s">
        <v>68</v>
      </c>
      <c r="F439" s="90" t="s">
        <v>375</v>
      </c>
      <c r="G439" s="90" t="s">
        <v>376</v>
      </c>
      <c r="H439" s="90">
        <v>0.59</v>
      </c>
      <c r="I439" s="90">
        <v>0.64</v>
      </c>
      <c r="J439" s="90" t="s">
        <v>381</v>
      </c>
      <c r="K439" s="90">
        <v>3.7922246872770002E-2</v>
      </c>
      <c r="L439" s="90">
        <v>3769.5135110357301</v>
      </c>
      <c r="M439" s="90">
        <v>9.8738789786154104</v>
      </c>
      <c r="N439" s="90">
        <v>1.4111544705928301</v>
      </c>
      <c r="O439" s="90">
        <v>0.37443967621892998</v>
      </c>
      <c r="P439" s="90">
        <v>5.3514148209429999E-2</v>
      </c>
      <c r="Q439" s="90">
        <v>142.94842195575001</v>
      </c>
      <c r="R439" s="90">
        <v>1300</v>
      </c>
      <c r="S439" s="90" t="s">
        <v>387</v>
      </c>
      <c r="T439" s="90">
        <v>1300</v>
      </c>
      <c r="U439" s="90" t="s">
        <v>382</v>
      </c>
      <c r="V439" s="90" t="s">
        <v>381</v>
      </c>
      <c r="Z439" s="90">
        <v>0</v>
      </c>
      <c r="AA439" s="90">
        <v>1</v>
      </c>
      <c r="AB439" s="90">
        <v>0.37443967621892998</v>
      </c>
      <c r="AC439" s="90">
        <v>5.3514148209429999E-2</v>
      </c>
      <c r="AD439" s="90">
        <v>142.94842195574901</v>
      </c>
      <c r="AF439" s="90">
        <v>-1</v>
      </c>
      <c r="AG439" s="90">
        <v>-1</v>
      </c>
      <c r="AH439" s="90">
        <v>-1</v>
      </c>
      <c r="AI439" s="90">
        <v>-1</v>
      </c>
      <c r="AJ439" s="90">
        <v>0</v>
      </c>
      <c r="AM439" s="90" t="s">
        <v>379</v>
      </c>
      <c r="AN439" s="90">
        <v>-1</v>
      </c>
      <c r="AQ439" s="90">
        <v>356</v>
      </c>
      <c r="AR439" s="90" t="s">
        <v>380</v>
      </c>
      <c r="AS439" s="90" t="s">
        <v>246</v>
      </c>
      <c r="AT439" s="90" t="s">
        <v>244</v>
      </c>
      <c r="AU439" s="90">
        <v>175.87190000000001</v>
      </c>
      <c r="AV439" s="90">
        <v>106.08698955382</v>
      </c>
      <c r="AW439" s="90">
        <v>153.46588830891901</v>
      </c>
      <c r="AX439" s="90">
        <v>0.1159354598</v>
      </c>
    </row>
    <row r="440" spans="1:50" x14ac:dyDescent="0.25">
      <c r="A440" s="102">
        <v>830000</v>
      </c>
      <c r="B440" s="102">
        <v>2400000</v>
      </c>
      <c r="C440" s="102">
        <v>2400000</v>
      </c>
      <c r="D440" s="90" t="s">
        <v>374</v>
      </c>
      <c r="E440" s="90" t="s">
        <v>68</v>
      </c>
      <c r="F440" s="90" t="s">
        <v>375</v>
      </c>
      <c r="G440" s="90" t="s">
        <v>376</v>
      </c>
      <c r="H440" s="90">
        <v>0.59</v>
      </c>
      <c r="I440" s="90">
        <v>0.64</v>
      </c>
      <c r="J440" s="90" t="s">
        <v>244</v>
      </c>
      <c r="K440" s="90">
        <v>2.16922378307E-3</v>
      </c>
      <c r="L440" s="90">
        <v>3769.5135110357301</v>
      </c>
      <c r="M440" s="90">
        <v>9.8738789786154104</v>
      </c>
      <c r="N440" s="90">
        <v>1.4111544705928301</v>
      </c>
      <c r="O440" s="90">
        <v>2.1418653111599999E-2</v>
      </c>
      <c r="P440" s="90">
        <v>3.0611098392000001E-3</v>
      </c>
      <c r="Q440" s="90">
        <v>8.1769183587574794</v>
      </c>
      <c r="R440" s="90">
        <v>1400</v>
      </c>
      <c r="S440" s="90" t="s">
        <v>324</v>
      </c>
      <c r="T440" s="90">
        <v>1400</v>
      </c>
      <c r="U440" s="90" t="s">
        <v>378</v>
      </c>
      <c r="V440" s="90" t="s">
        <v>244</v>
      </c>
      <c r="Z440" s="90">
        <v>0</v>
      </c>
      <c r="AA440" s="90">
        <v>1</v>
      </c>
      <c r="AB440" s="90">
        <v>2.1418653111599999E-2</v>
      </c>
      <c r="AC440" s="90">
        <v>3.0611098392000001E-3</v>
      </c>
      <c r="AD440" s="90">
        <v>8.1769183587569092</v>
      </c>
      <c r="AF440" s="90">
        <v>-1</v>
      </c>
      <c r="AG440" s="90">
        <v>-1</v>
      </c>
      <c r="AH440" s="90">
        <v>-1</v>
      </c>
      <c r="AI440" s="90">
        <v>-1</v>
      </c>
      <c r="AJ440" s="90">
        <v>0</v>
      </c>
      <c r="AM440" s="90" t="s">
        <v>379</v>
      </c>
      <c r="AN440" s="90">
        <v>-1</v>
      </c>
      <c r="AQ440" s="90">
        <v>356</v>
      </c>
      <c r="AR440" s="90" t="s">
        <v>380</v>
      </c>
      <c r="AS440" s="90" t="s">
        <v>246</v>
      </c>
      <c r="AT440" s="90" t="s">
        <v>244</v>
      </c>
      <c r="AU440" s="90">
        <v>175.87190000000001</v>
      </c>
      <c r="AV440" s="90">
        <v>100.391274776854</v>
      </c>
      <c r="AW440" s="90">
        <v>8.7785371981552291</v>
      </c>
      <c r="AX440" s="90">
        <v>6.6317262000000002E-3</v>
      </c>
    </row>
    <row r="441" spans="1:50" x14ac:dyDescent="0.25">
      <c r="A441" s="102">
        <v>830000</v>
      </c>
      <c r="B441" s="102">
        <v>2400000</v>
      </c>
      <c r="C441" s="102">
        <v>2400000</v>
      </c>
      <c r="D441" s="90" t="s">
        <v>374</v>
      </c>
      <c r="E441" s="90" t="s">
        <v>68</v>
      </c>
      <c r="F441" s="90" t="s">
        <v>375</v>
      </c>
      <c r="G441" s="90" t="s">
        <v>376</v>
      </c>
      <c r="H441" s="90">
        <v>0.59</v>
      </c>
      <c r="I441" s="90">
        <v>0.64</v>
      </c>
      <c r="J441" s="90" t="s">
        <v>381</v>
      </c>
      <c r="K441" s="90">
        <v>6.9315923343789998E-2</v>
      </c>
      <c r="L441" s="90">
        <v>3769.5135110357301</v>
      </c>
      <c r="M441" s="90">
        <v>9.8738789786154104</v>
      </c>
      <c r="N441" s="90">
        <v>1.4111544705928301</v>
      </c>
      <c r="O441" s="90">
        <v>0.68441703838761003</v>
      </c>
      <c r="P441" s="90">
        <v>9.7815475109859995E-2</v>
      </c>
      <c r="Q441" s="90">
        <v>261.28730957435198</v>
      </c>
      <c r="R441" s="90">
        <v>1400</v>
      </c>
      <c r="S441" s="90" t="s">
        <v>324</v>
      </c>
      <c r="T441" s="90">
        <v>1400</v>
      </c>
      <c r="U441" s="90" t="s">
        <v>382</v>
      </c>
      <c r="V441" s="90" t="s">
        <v>381</v>
      </c>
      <c r="Z441" s="90">
        <v>0</v>
      </c>
      <c r="AA441" s="90">
        <v>1</v>
      </c>
      <c r="AB441" s="90">
        <v>0.68441703838761003</v>
      </c>
      <c r="AC441" s="90">
        <v>9.7815475109859995E-2</v>
      </c>
      <c r="AD441" s="90">
        <v>261.287309574353</v>
      </c>
      <c r="AF441" s="90">
        <v>-1</v>
      </c>
      <c r="AG441" s="90">
        <v>-1</v>
      </c>
      <c r="AH441" s="90">
        <v>-1</v>
      </c>
      <c r="AI441" s="90">
        <v>-1</v>
      </c>
      <c r="AJ441" s="90">
        <v>0</v>
      </c>
      <c r="AM441" s="90" t="s">
        <v>379</v>
      </c>
      <c r="AN441" s="90">
        <v>-1</v>
      </c>
      <c r="AQ441" s="90">
        <v>356</v>
      </c>
      <c r="AR441" s="90" t="s">
        <v>380</v>
      </c>
      <c r="AS441" s="90" t="s">
        <v>246</v>
      </c>
      <c r="AT441" s="90" t="s">
        <v>244</v>
      </c>
      <c r="AU441" s="90">
        <v>175.87190000000001</v>
      </c>
      <c r="AV441" s="90">
        <v>111.071592567536</v>
      </c>
      <c r="AW441" s="90">
        <v>280.511589558423</v>
      </c>
      <c r="AX441" s="90">
        <v>0.2119118488</v>
      </c>
    </row>
    <row r="442" spans="1:50" x14ac:dyDescent="0.25">
      <c r="A442" s="102">
        <v>830000</v>
      </c>
      <c r="B442" s="102">
        <v>2400000</v>
      </c>
      <c r="C442" s="102">
        <v>2400000</v>
      </c>
      <c r="D442" s="90" t="s">
        <v>374</v>
      </c>
      <c r="E442" s="90" t="s">
        <v>68</v>
      </c>
      <c r="F442" s="90" t="s">
        <v>375</v>
      </c>
      <c r="G442" s="90" t="s">
        <v>376</v>
      </c>
      <c r="H442" s="90">
        <v>0.59</v>
      </c>
      <c r="I442" s="90">
        <v>0.64</v>
      </c>
      <c r="J442" s="90" t="s">
        <v>381</v>
      </c>
      <c r="K442" s="90">
        <v>0.27309508561349</v>
      </c>
      <c r="L442" s="90">
        <v>3769.5135110357301</v>
      </c>
      <c r="M442" s="90">
        <v>9.8738789786154104</v>
      </c>
      <c r="N442" s="90">
        <v>1.4111544705928301</v>
      </c>
      <c r="O442" s="90">
        <v>2.6965078250022101</v>
      </c>
      <c r="P442" s="90">
        <v>0.38537935096040998</v>
      </c>
      <c r="Q442" s="90">
        <v>1029.4356150175099</v>
      </c>
      <c r="R442" s="90">
        <v>8140</v>
      </c>
      <c r="S442" s="90" t="s">
        <v>386</v>
      </c>
      <c r="T442" s="90">
        <v>8140</v>
      </c>
      <c r="U442" s="90" t="s">
        <v>382</v>
      </c>
      <c r="V442" s="90" t="s">
        <v>381</v>
      </c>
      <c r="Z442" s="90">
        <v>0</v>
      </c>
      <c r="AA442" s="90">
        <v>1</v>
      </c>
      <c r="AB442" s="90">
        <v>2.6965078250022101</v>
      </c>
      <c r="AC442" s="90">
        <v>0.38537935096040998</v>
      </c>
      <c r="AD442" s="90">
        <v>1029.4356150175099</v>
      </c>
      <c r="AF442" s="90">
        <v>-1</v>
      </c>
      <c r="AG442" s="90">
        <v>-1</v>
      </c>
      <c r="AH442" s="90">
        <v>-1</v>
      </c>
      <c r="AI442" s="90">
        <v>-1</v>
      </c>
      <c r="AJ442" s="90">
        <v>0</v>
      </c>
      <c r="AM442" s="90" t="s">
        <v>379</v>
      </c>
      <c r="AN442" s="90">
        <v>-1</v>
      </c>
      <c r="AQ442" s="90">
        <v>356</v>
      </c>
      <c r="AR442" s="90" t="s">
        <v>380</v>
      </c>
      <c r="AS442" s="90" t="s">
        <v>246</v>
      </c>
      <c r="AT442" s="90" t="s">
        <v>244</v>
      </c>
      <c r="AU442" s="90">
        <v>175.87190000000001</v>
      </c>
      <c r="AV442" s="90">
        <v>144.523090927288</v>
      </c>
      <c r="AW442" s="90">
        <v>1105.1766011408299</v>
      </c>
      <c r="AX442" s="90">
        <v>0.83490317520000001</v>
      </c>
    </row>
    <row r="443" spans="1:50" x14ac:dyDescent="0.25">
      <c r="A443" s="102">
        <v>830000</v>
      </c>
      <c r="B443" s="102">
        <v>2400000</v>
      </c>
      <c r="C443" s="102">
        <v>2400000</v>
      </c>
      <c r="D443" s="90" t="s">
        <v>374</v>
      </c>
      <c r="E443" s="90" t="s">
        <v>68</v>
      </c>
      <c r="F443" s="90" t="s">
        <v>375</v>
      </c>
      <c r="G443" s="90" t="s">
        <v>376</v>
      </c>
      <c r="H443" s="90">
        <v>0.59</v>
      </c>
      <c r="I443" s="90">
        <v>0.64</v>
      </c>
      <c r="J443" s="90" t="s">
        <v>244</v>
      </c>
      <c r="K443" s="90">
        <v>4.372941960079E-2</v>
      </c>
      <c r="L443" s="90">
        <v>3769.5135110357301</v>
      </c>
      <c r="M443" s="90">
        <v>9.8738789786154104</v>
      </c>
      <c r="N443" s="90">
        <v>1.4111544705928301</v>
      </c>
      <c r="O443" s="90">
        <v>0.43177899694330002</v>
      </c>
      <c r="P443" s="90">
        <v>6.1708965966079998E-2</v>
      </c>
      <c r="Q443" s="90">
        <v>164.838638014932</v>
      </c>
      <c r="R443" s="90">
        <v>1410</v>
      </c>
      <c r="S443" s="90" t="s">
        <v>325</v>
      </c>
      <c r="T443" s="90">
        <v>1410</v>
      </c>
      <c r="U443" s="90" t="s">
        <v>378</v>
      </c>
      <c r="V443" s="90" t="s">
        <v>244</v>
      </c>
      <c r="Z443" s="90">
        <v>0</v>
      </c>
      <c r="AA443" s="90">
        <v>1</v>
      </c>
      <c r="AB443" s="90">
        <v>0.43177899694330002</v>
      </c>
      <c r="AC443" s="90">
        <v>6.1708965966079998E-2</v>
      </c>
      <c r="AD443" s="90">
        <v>164.838638014932</v>
      </c>
      <c r="AF443" s="90">
        <v>-1</v>
      </c>
      <c r="AG443" s="90">
        <v>-1</v>
      </c>
      <c r="AH443" s="90">
        <v>-1</v>
      </c>
      <c r="AI443" s="90">
        <v>-1</v>
      </c>
      <c r="AJ443" s="90">
        <v>0</v>
      </c>
      <c r="AM443" s="90" t="s">
        <v>379</v>
      </c>
      <c r="AN443" s="90">
        <v>-1</v>
      </c>
      <c r="AQ443" s="90">
        <v>356</v>
      </c>
      <c r="AR443" s="90" t="s">
        <v>380</v>
      </c>
      <c r="AS443" s="90" t="s">
        <v>246</v>
      </c>
      <c r="AT443" s="90" t="s">
        <v>244</v>
      </c>
      <c r="AU443" s="90">
        <v>175.87190000000001</v>
      </c>
      <c r="AV443" s="90">
        <v>56.469926457984698</v>
      </c>
      <c r="AW443" s="90">
        <v>176.966682559285</v>
      </c>
      <c r="AX443" s="90">
        <v>0.13368908190000001</v>
      </c>
    </row>
    <row r="444" spans="1:50" x14ac:dyDescent="0.25">
      <c r="A444" s="102">
        <v>830000</v>
      </c>
      <c r="B444" s="102">
        <v>2400000</v>
      </c>
      <c r="C444" s="102">
        <v>2400000</v>
      </c>
      <c r="D444" s="90" t="s">
        <v>374</v>
      </c>
      <c r="E444" s="90" t="s">
        <v>68</v>
      </c>
      <c r="F444" s="90" t="s">
        <v>375</v>
      </c>
      <c r="G444" s="90" t="s">
        <v>376</v>
      </c>
      <c r="H444" s="90">
        <v>0.59</v>
      </c>
      <c r="I444" s="90">
        <v>0.64</v>
      </c>
      <c r="J444" s="90" t="s">
        <v>244</v>
      </c>
      <c r="K444" s="90">
        <v>7.7794514401949996E-2</v>
      </c>
      <c r="L444" s="90">
        <v>3769.5135110357301</v>
      </c>
      <c r="M444" s="90">
        <v>9.8738789786154104</v>
      </c>
      <c r="N444" s="90">
        <v>1.4111544705928301</v>
      </c>
      <c r="O444" s="90">
        <v>0.76813362040504995</v>
      </c>
      <c r="P444" s="90">
        <v>0.10978007678590999</v>
      </c>
      <c r="Q444" s="90">
        <v>293.24747312263298</v>
      </c>
      <c r="R444" s="90">
        <v>1430</v>
      </c>
      <c r="S444" s="90" t="s">
        <v>326</v>
      </c>
      <c r="T444" s="90">
        <v>1430</v>
      </c>
      <c r="U444" s="90" t="s">
        <v>378</v>
      </c>
      <c r="V444" s="90" t="s">
        <v>244</v>
      </c>
      <c r="Z444" s="90">
        <v>0</v>
      </c>
      <c r="AA444" s="90">
        <v>1</v>
      </c>
      <c r="AB444" s="90">
        <v>0.76813362040504995</v>
      </c>
      <c r="AC444" s="90">
        <v>0.10978007678590999</v>
      </c>
      <c r="AD444" s="90">
        <v>293.24747312263298</v>
      </c>
      <c r="AF444" s="90">
        <v>-1</v>
      </c>
      <c r="AG444" s="90">
        <v>-1</v>
      </c>
      <c r="AH444" s="90">
        <v>-1</v>
      </c>
      <c r="AI444" s="90">
        <v>-1</v>
      </c>
      <c r="AJ444" s="90">
        <v>0</v>
      </c>
      <c r="AM444" s="90" t="s">
        <v>379</v>
      </c>
      <c r="AN444" s="90">
        <v>-1</v>
      </c>
      <c r="AQ444" s="90">
        <v>356</v>
      </c>
      <c r="AR444" s="90" t="s">
        <v>380</v>
      </c>
      <c r="AS444" s="90" t="s">
        <v>246</v>
      </c>
      <c r="AT444" s="90" t="s">
        <v>244</v>
      </c>
      <c r="AU444" s="90">
        <v>175.87190000000001</v>
      </c>
      <c r="AV444" s="90">
        <v>82.548136401791297</v>
      </c>
      <c r="AW444" s="90">
        <v>314.82323023504102</v>
      </c>
      <c r="AX444" s="90">
        <v>0.23783250049999999</v>
      </c>
    </row>
    <row r="445" spans="1:50" x14ac:dyDescent="0.25">
      <c r="A445" s="102">
        <v>830000</v>
      </c>
      <c r="B445" s="102">
        <v>2400000</v>
      </c>
      <c r="C445" s="102">
        <v>2400000</v>
      </c>
      <c r="D445" s="90" t="s">
        <v>374</v>
      </c>
      <c r="E445" s="90" t="s">
        <v>68</v>
      </c>
      <c r="F445" s="90" t="s">
        <v>375</v>
      </c>
      <c r="G445" s="90" t="s">
        <v>376</v>
      </c>
      <c r="H445" s="90">
        <v>0.59</v>
      </c>
      <c r="I445" s="90">
        <v>0.64</v>
      </c>
      <c r="J445" s="90" t="s">
        <v>244</v>
      </c>
      <c r="K445" s="90">
        <v>4.8535659110810002E-2</v>
      </c>
      <c r="L445" s="90">
        <v>3769.5135110357301</v>
      </c>
      <c r="M445" s="90">
        <v>9.8738789786154104</v>
      </c>
      <c r="N445" s="90">
        <v>1.4111544705928301</v>
      </c>
      <c r="O445" s="90">
        <v>0.47923522420749998</v>
      </c>
      <c r="P445" s="90">
        <v>6.8491312337390003E-2</v>
      </c>
      <c r="Q445" s="90">
        <v>182.95582278523401</v>
      </c>
      <c r="R445" s="90">
        <v>1300</v>
      </c>
      <c r="S445" s="90" t="s">
        <v>387</v>
      </c>
      <c r="T445" s="90">
        <v>1300</v>
      </c>
      <c r="U445" s="90" t="s">
        <v>378</v>
      </c>
      <c r="V445" s="90" t="s">
        <v>244</v>
      </c>
      <c r="Z445" s="90">
        <v>0</v>
      </c>
      <c r="AA445" s="90">
        <v>1</v>
      </c>
      <c r="AB445" s="90">
        <v>0.47923522420749998</v>
      </c>
      <c r="AC445" s="90">
        <v>6.8491312337390003E-2</v>
      </c>
      <c r="AD445" s="90">
        <v>182.955822785235</v>
      </c>
      <c r="AF445" s="90">
        <v>-1</v>
      </c>
      <c r="AG445" s="90">
        <v>-1</v>
      </c>
      <c r="AH445" s="90">
        <v>-1</v>
      </c>
      <c r="AI445" s="90">
        <v>-1</v>
      </c>
      <c r="AJ445" s="90">
        <v>0</v>
      </c>
      <c r="AM445" s="90" t="s">
        <v>379</v>
      </c>
      <c r="AN445" s="90">
        <v>-1</v>
      </c>
      <c r="AQ445" s="90">
        <v>356</v>
      </c>
      <c r="AR445" s="90" t="s">
        <v>380</v>
      </c>
      <c r="AS445" s="90" t="s">
        <v>246</v>
      </c>
      <c r="AT445" s="90" t="s">
        <v>244</v>
      </c>
      <c r="AU445" s="90">
        <v>175.87190000000001</v>
      </c>
      <c r="AV445" s="90">
        <v>63.160780436894498</v>
      </c>
      <c r="AW445" s="90">
        <v>196.41684378801199</v>
      </c>
      <c r="AX445" s="90">
        <v>0.1483826624</v>
      </c>
    </row>
    <row r="446" spans="1:50" x14ac:dyDescent="0.25">
      <c r="A446" s="102">
        <v>830000</v>
      </c>
      <c r="B446" s="102">
        <v>2400000</v>
      </c>
      <c r="C446" s="102">
        <v>2400000</v>
      </c>
      <c r="D446" s="90" t="s">
        <v>374</v>
      </c>
      <c r="E446" s="90" t="s">
        <v>68</v>
      </c>
      <c r="F446" s="90" t="s">
        <v>375</v>
      </c>
      <c r="G446" s="90" t="s">
        <v>376</v>
      </c>
      <c r="H446" s="90">
        <v>0.59</v>
      </c>
      <c r="I446" s="90">
        <v>0.64</v>
      </c>
      <c r="J446" s="90" t="s">
        <v>381</v>
      </c>
      <c r="K446" s="90">
        <v>1.0094193119899999E-3</v>
      </c>
      <c r="L446" s="90">
        <v>3769.5135110357301</v>
      </c>
      <c r="M446" s="90">
        <v>9.8738789786154104</v>
      </c>
      <c r="N446" s="90">
        <v>1.4111544705928301</v>
      </c>
      <c r="O446" s="90">
        <v>9.9668841252600008E-3</v>
      </c>
      <c r="P446" s="90">
        <v>1.4244465748099999E-3</v>
      </c>
      <c r="Q446" s="90">
        <v>3.8050197348466899</v>
      </c>
      <c r="R446" s="90">
        <v>1300</v>
      </c>
      <c r="S446" s="90" t="s">
        <v>387</v>
      </c>
      <c r="T446" s="90">
        <v>1300</v>
      </c>
      <c r="U446" s="90" t="s">
        <v>382</v>
      </c>
      <c r="V446" s="90" t="s">
        <v>381</v>
      </c>
      <c r="Z446" s="90">
        <v>0</v>
      </c>
      <c r="AA446" s="90">
        <v>1</v>
      </c>
      <c r="AB446" s="90">
        <v>9.9668841252600008E-3</v>
      </c>
      <c r="AC446" s="90">
        <v>1.4244465748099999E-3</v>
      </c>
      <c r="AD446" s="90">
        <v>3.80501973484763</v>
      </c>
      <c r="AF446" s="90">
        <v>-1</v>
      </c>
      <c r="AG446" s="90">
        <v>-1</v>
      </c>
      <c r="AH446" s="90">
        <v>-1</v>
      </c>
      <c r="AI446" s="90">
        <v>-1</v>
      </c>
      <c r="AJ446" s="90">
        <v>0</v>
      </c>
      <c r="AM446" s="90" t="s">
        <v>379</v>
      </c>
      <c r="AN446" s="90">
        <v>-1</v>
      </c>
      <c r="AQ446" s="90">
        <v>356</v>
      </c>
      <c r="AR446" s="90" t="s">
        <v>380</v>
      </c>
      <c r="AS446" s="90" t="s">
        <v>246</v>
      </c>
      <c r="AT446" s="90" t="s">
        <v>244</v>
      </c>
      <c r="AU446" s="90">
        <v>175.87190000000001</v>
      </c>
      <c r="AV446" s="90">
        <v>46.4618206177133</v>
      </c>
      <c r="AW446" s="90">
        <v>4.0849750256223096</v>
      </c>
      <c r="AX446" s="90">
        <v>3.0859851999999999E-3</v>
      </c>
    </row>
    <row r="447" spans="1:50" x14ac:dyDescent="0.25">
      <c r="A447" s="102">
        <v>830000</v>
      </c>
      <c r="B447" s="102">
        <v>2400000</v>
      </c>
      <c r="C447" s="102">
        <v>2400000</v>
      </c>
      <c r="D447" s="90" t="s">
        <v>374</v>
      </c>
      <c r="E447" s="90" t="s">
        <v>68</v>
      </c>
      <c r="F447" s="90" t="s">
        <v>375</v>
      </c>
      <c r="G447" s="90" t="s">
        <v>376</v>
      </c>
      <c r="H447" s="90">
        <v>0.59</v>
      </c>
      <c r="I447" s="90">
        <v>0.64</v>
      </c>
      <c r="J447" s="90" t="s">
        <v>244</v>
      </c>
      <c r="K447" s="90">
        <v>6.3013647157649996E-2</v>
      </c>
      <c r="L447" s="90">
        <v>3769.5135110357301</v>
      </c>
      <c r="M447" s="90">
        <v>9.8738789786154104</v>
      </c>
      <c r="N447" s="90">
        <v>1.4111544705928301</v>
      </c>
      <c r="O447" s="90">
        <v>0.62218912603582999</v>
      </c>
      <c r="P447" s="90">
        <v>8.8921989894879996E-2</v>
      </c>
      <c r="Q447" s="90">
        <v>237.53079434041101</v>
      </c>
      <c r="R447" s="90">
        <v>1300</v>
      </c>
      <c r="S447" s="90" t="s">
        <v>387</v>
      </c>
      <c r="T447" s="90">
        <v>1300</v>
      </c>
      <c r="U447" s="90" t="s">
        <v>378</v>
      </c>
      <c r="V447" s="90" t="s">
        <v>244</v>
      </c>
      <c r="Z447" s="90">
        <v>0</v>
      </c>
      <c r="AA447" s="90">
        <v>1</v>
      </c>
      <c r="AB447" s="90">
        <v>0.62218912603582999</v>
      </c>
      <c r="AC447" s="90">
        <v>8.8921989894879996E-2</v>
      </c>
      <c r="AD447" s="90">
        <v>237.53079434041001</v>
      </c>
      <c r="AF447" s="90">
        <v>-1</v>
      </c>
      <c r="AG447" s="90">
        <v>-1</v>
      </c>
      <c r="AH447" s="90">
        <v>-1</v>
      </c>
      <c r="AI447" s="90">
        <v>-1</v>
      </c>
      <c r="AJ447" s="90">
        <v>0</v>
      </c>
      <c r="AM447" s="90" t="s">
        <v>379</v>
      </c>
      <c r="AN447" s="90">
        <v>-1</v>
      </c>
      <c r="AQ447" s="90">
        <v>356</v>
      </c>
      <c r="AR447" s="90" t="s">
        <v>380</v>
      </c>
      <c r="AS447" s="90" t="s">
        <v>246</v>
      </c>
      <c r="AT447" s="90" t="s">
        <v>244</v>
      </c>
      <c r="AU447" s="90">
        <v>175.87190000000001</v>
      </c>
      <c r="AV447" s="90">
        <v>72.950850940793401</v>
      </c>
      <c r="AW447" s="90">
        <v>255.007182698794</v>
      </c>
      <c r="AX447" s="90">
        <v>0.19264460210000001</v>
      </c>
    </row>
    <row r="448" spans="1:50" x14ac:dyDescent="0.25">
      <c r="A448" s="102">
        <v>830000</v>
      </c>
      <c r="B448" s="102">
        <v>2400000</v>
      </c>
      <c r="C448" s="102">
        <v>2400000</v>
      </c>
      <c r="D448" s="90" t="s">
        <v>374</v>
      </c>
      <c r="E448" s="90" t="s">
        <v>68</v>
      </c>
      <c r="F448" s="90" t="s">
        <v>375</v>
      </c>
      <c r="G448" s="90" t="s">
        <v>376</v>
      </c>
      <c r="H448" s="90">
        <v>0.59</v>
      </c>
      <c r="I448" s="90">
        <v>0.64</v>
      </c>
      <c r="J448" s="90" t="s">
        <v>381</v>
      </c>
      <c r="K448" s="90">
        <v>1.17831447157E-3</v>
      </c>
      <c r="L448" s="90">
        <v>3769.5135110357301</v>
      </c>
      <c r="M448" s="90">
        <v>9.8738789786154104</v>
      </c>
      <c r="N448" s="90">
        <v>1.4111544705928301</v>
      </c>
      <c r="O448" s="90">
        <v>1.1634534491120001E-2</v>
      </c>
      <c r="P448" s="90">
        <v>1.6627837343299999E-3</v>
      </c>
      <c r="Q448" s="90">
        <v>4.4416723208659601</v>
      </c>
      <c r="R448" s="90">
        <v>1300</v>
      </c>
      <c r="S448" s="90" t="s">
        <v>387</v>
      </c>
      <c r="T448" s="90">
        <v>1300</v>
      </c>
      <c r="U448" s="90" t="s">
        <v>382</v>
      </c>
      <c r="V448" s="90" t="s">
        <v>381</v>
      </c>
      <c r="Z448" s="90">
        <v>0</v>
      </c>
      <c r="AA448" s="90">
        <v>1</v>
      </c>
      <c r="AB448" s="90">
        <v>1.1634534491120001E-2</v>
      </c>
      <c r="AC448" s="90">
        <v>1.6627837343299999E-3</v>
      </c>
      <c r="AD448" s="90">
        <v>4.4416723208644902</v>
      </c>
      <c r="AF448" s="90">
        <v>-1</v>
      </c>
      <c r="AG448" s="90">
        <v>-1</v>
      </c>
      <c r="AH448" s="90">
        <v>-1</v>
      </c>
      <c r="AI448" s="90">
        <v>-1</v>
      </c>
      <c r="AJ448" s="90">
        <v>0</v>
      </c>
      <c r="AM448" s="90" t="s">
        <v>379</v>
      </c>
      <c r="AN448" s="90">
        <v>-1</v>
      </c>
      <c r="AQ448" s="90">
        <v>356</v>
      </c>
      <c r="AR448" s="90" t="s">
        <v>380</v>
      </c>
      <c r="AS448" s="90" t="s">
        <v>246</v>
      </c>
      <c r="AT448" s="90" t="s">
        <v>244</v>
      </c>
      <c r="AU448" s="90">
        <v>175.87190000000001</v>
      </c>
      <c r="AV448" s="90">
        <v>54.309712214072398</v>
      </c>
      <c r="AW448" s="90">
        <v>4.7684694869147499</v>
      </c>
      <c r="AX448" s="90">
        <v>3.6023295000000002E-3</v>
      </c>
    </row>
    <row r="449" spans="1:50" x14ac:dyDescent="0.25">
      <c r="A449" s="102">
        <v>830000</v>
      </c>
      <c r="B449" s="102">
        <v>2400000</v>
      </c>
      <c r="C449" s="102">
        <v>2400000</v>
      </c>
      <c r="D449" s="90" t="s">
        <v>374</v>
      </c>
      <c r="E449" s="90" t="s">
        <v>68</v>
      </c>
      <c r="F449" s="90" t="s">
        <v>375</v>
      </c>
      <c r="G449" s="90" t="s">
        <v>376</v>
      </c>
      <c r="H449" s="90">
        <v>0.59</v>
      </c>
      <c r="I449" s="90">
        <v>0.64</v>
      </c>
      <c r="J449" s="90" t="s">
        <v>244</v>
      </c>
      <c r="K449" s="90">
        <v>0.46559956388342</v>
      </c>
      <c r="L449" s="90">
        <v>3858.9663390231499</v>
      </c>
      <c r="M449" s="90">
        <v>8.5483085101449596</v>
      </c>
      <c r="N449" s="90">
        <v>1.2011959779322201</v>
      </c>
      <c r="O449" s="90">
        <v>3.9800887142644599</v>
      </c>
      <c r="P449" s="90">
        <v>0.55927632346376999</v>
      </c>
      <c r="Q449" s="90">
        <v>1796.7330444899901</v>
      </c>
      <c r="R449" s="90">
        <v>1450</v>
      </c>
      <c r="S449" s="90" t="s">
        <v>391</v>
      </c>
      <c r="T449" s="90">
        <v>1450</v>
      </c>
      <c r="U449" s="90" t="s">
        <v>378</v>
      </c>
      <c r="V449" s="90" t="s">
        <v>244</v>
      </c>
      <c r="Z449" s="90">
        <v>0</v>
      </c>
      <c r="AA449" s="90">
        <v>1</v>
      </c>
      <c r="AB449" s="90">
        <v>3.9800887142644599</v>
      </c>
      <c r="AC449" s="90">
        <v>0.55927632346376999</v>
      </c>
      <c r="AD449" s="90">
        <v>1796.7330444899901</v>
      </c>
      <c r="AF449" s="90">
        <v>-1</v>
      </c>
      <c r="AG449" s="90">
        <v>-1</v>
      </c>
      <c r="AH449" s="90">
        <v>-1</v>
      </c>
      <c r="AI449" s="90">
        <v>-1</v>
      </c>
      <c r="AJ449" s="90">
        <v>0</v>
      </c>
      <c r="AM449" s="90" t="s">
        <v>379</v>
      </c>
      <c r="AN449" s="90">
        <v>-1</v>
      </c>
      <c r="AQ449" s="90">
        <v>356</v>
      </c>
      <c r="AR449" s="90" t="s">
        <v>380</v>
      </c>
      <c r="AS449" s="90" t="s">
        <v>246</v>
      </c>
      <c r="AT449" s="90" t="s">
        <v>244</v>
      </c>
      <c r="AU449" s="90">
        <v>175.87190000000001</v>
      </c>
      <c r="AV449" s="90">
        <v>175.388474850092</v>
      </c>
      <c r="AW449" s="90">
        <v>1884.21458536827</v>
      </c>
      <c r="AX449" s="90">
        <v>1.4572044155999999</v>
      </c>
    </row>
    <row r="450" spans="1:50" x14ac:dyDescent="0.25">
      <c r="A450" s="102">
        <v>830000</v>
      </c>
      <c r="B450" s="102">
        <v>2400000</v>
      </c>
      <c r="C450" s="102">
        <v>2400000</v>
      </c>
      <c r="D450" s="90" t="s">
        <v>374</v>
      </c>
      <c r="E450" s="90" t="s">
        <v>68</v>
      </c>
      <c r="F450" s="90" t="s">
        <v>375</v>
      </c>
      <c r="G450" s="90" t="s">
        <v>376</v>
      </c>
      <c r="H450" s="90">
        <v>0.59</v>
      </c>
      <c r="I450" s="90">
        <v>0.64</v>
      </c>
      <c r="J450" s="90" t="s">
        <v>244</v>
      </c>
      <c r="K450" s="90">
        <v>0.15216388989954999</v>
      </c>
      <c r="L450" s="90">
        <v>3858.9663390231499</v>
      </c>
      <c r="M450" s="90">
        <v>8.5483085101449596</v>
      </c>
      <c r="N450" s="90">
        <v>1.2011959779322201</v>
      </c>
      <c r="O450" s="90">
        <v>1.3007438749651301</v>
      </c>
      <c r="P450" s="90">
        <v>0.18277865253386</v>
      </c>
      <c r="Q450" s="90">
        <v>587.19532913721105</v>
      </c>
      <c r="R450" s="90">
        <v>1300</v>
      </c>
      <c r="S450" s="90" t="s">
        <v>387</v>
      </c>
      <c r="T450" s="90">
        <v>1300</v>
      </c>
      <c r="U450" s="90" t="s">
        <v>378</v>
      </c>
      <c r="V450" s="90" t="s">
        <v>244</v>
      </c>
      <c r="Z450" s="90">
        <v>0</v>
      </c>
      <c r="AA450" s="90">
        <v>1</v>
      </c>
      <c r="AB450" s="90">
        <v>1.3007438749651301</v>
      </c>
      <c r="AC450" s="90">
        <v>0.18277865253386</v>
      </c>
      <c r="AD450" s="90">
        <v>587.19532913721105</v>
      </c>
      <c r="AF450" s="90">
        <v>-1</v>
      </c>
      <c r="AG450" s="90">
        <v>-1</v>
      </c>
      <c r="AH450" s="90">
        <v>-1</v>
      </c>
      <c r="AI450" s="90">
        <v>-1</v>
      </c>
      <c r="AJ450" s="90">
        <v>0</v>
      </c>
      <c r="AM450" s="90" t="s">
        <v>379</v>
      </c>
      <c r="AN450" s="90">
        <v>-1</v>
      </c>
      <c r="AQ450" s="90">
        <v>356</v>
      </c>
      <c r="AR450" s="90" t="s">
        <v>380</v>
      </c>
      <c r="AS450" s="90" t="s">
        <v>246</v>
      </c>
      <c r="AT450" s="90" t="s">
        <v>244</v>
      </c>
      <c r="AU450" s="90">
        <v>175.87190000000001</v>
      </c>
      <c r="AV450" s="90">
        <v>124.651308043036</v>
      </c>
      <c r="AW450" s="90">
        <v>615.78541509738398</v>
      </c>
      <c r="AX450" s="90">
        <v>0.47623303259999999</v>
      </c>
    </row>
    <row r="451" spans="1:50" x14ac:dyDescent="0.25">
      <c r="A451" s="102">
        <v>830000</v>
      </c>
      <c r="B451" s="102">
        <v>2400000</v>
      </c>
      <c r="C451" s="102">
        <v>2400000</v>
      </c>
      <c r="D451" s="90" t="s">
        <v>374</v>
      </c>
      <c r="E451" s="90" t="s">
        <v>68</v>
      </c>
      <c r="F451" s="90" t="s">
        <v>375</v>
      </c>
      <c r="G451" s="90" t="s">
        <v>376</v>
      </c>
      <c r="H451" s="90">
        <v>0.59</v>
      </c>
      <c r="I451" s="90">
        <v>0.64</v>
      </c>
      <c r="J451" s="90" t="s">
        <v>244</v>
      </c>
      <c r="K451" s="90">
        <v>0.13244935352121001</v>
      </c>
      <c r="L451" s="90">
        <v>3702.8586394540398</v>
      </c>
      <c r="M451" s="90">
        <v>9.2460504175995197</v>
      </c>
      <c r="N451" s="90">
        <v>1.3653021315681899</v>
      </c>
      <c r="O451" s="90">
        <v>1.2246334004355801</v>
      </c>
      <c r="P451" s="90">
        <v>0.18083338468733001</v>
      </c>
      <c r="Q451" s="90">
        <v>490.44123297611901</v>
      </c>
      <c r="R451" s="90">
        <v>1200</v>
      </c>
      <c r="S451" s="90" t="s">
        <v>384</v>
      </c>
      <c r="T451" s="90">
        <v>1200</v>
      </c>
      <c r="U451" s="90" t="s">
        <v>378</v>
      </c>
      <c r="V451" s="90" t="s">
        <v>244</v>
      </c>
      <c r="Z451" s="90">
        <v>0</v>
      </c>
      <c r="AA451" s="90">
        <v>1</v>
      </c>
      <c r="AB451" s="90">
        <v>1.2246334004355801</v>
      </c>
      <c r="AC451" s="90">
        <v>0.18083338468733001</v>
      </c>
      <c r="AD451" s="90">
        <v>490.44123297611901</v>
      </c>
      <c r="AF451" s="90">
        <v>-1</v>
      </c>
      <c r="AG451" s="90">
        <v>-1</v>
      </c>
      <c r="AH451" s="90">
        <v>-1</v>
      </c>
      <c r="AI451" s="90">
        <v>-1</v>
      </c>
      <c r="AJ451" s="90">
        <v>0</v>
      </c>
      <c r="AM451" s="90" t="s">
        <v>379</v>
      </c>
      <c r="AN451" s="90">
        <v>-1</v>
      </c>
      <c r="AQ451" s="90">
        <v>356</v>
      </c>
      <c r="AR451" s="90" t="s">
        <v>380</v>
      </c>
      <c r="AS451" s="90" t="s">
        <v>246</v>
      </c>
      <c r="AT451" s="90" t="s">
        <v>244</v>
      </c>
      <c r="AU451" s="90">
        <v>175.87190000000001</v>
      </c>
      <c r="AV451" s="90">
        <v>121.454881634484</v>
      </c>
      <c r="AW451" s="90">
        <v>536.003516940042</v>
      </c>
      <c r="AX451" s="90">
        <v>0.39776255719999998</v>
      </c>
    </row>
    <row r="452" spans="1:50" x14ac:dyDescent="0.25">
      <c r="A452" s="102">
        <v>830000</v>
      </c>
      <c r="B452" s="102">
        <v>2400000</v>
      </c>
      <c r="C452" s="102">
        <v>2400000</v>
      </c>
      <c r="D452" s="90" t="s">
        <v>374</v>
      </c>
      <c r="E452" s="90" t="s">
        <v>68</v>
      </c>
      <c r="F452" s="90" t="s">
        <v>375</v>
      </c>
      <c r="G452" s="90" t="s">
        <v>376</v>
      </c>
      <c r="H452" s="90">
        <v>0.59</v>
      </c>
      <c r="I452" s="90">
        <v>0.64</v>
      </c>
      <c r="J452" s="90" t="s">
        <v>244</v>
      </c>
      <c r="K452" s="90">
        <v>1.35632419266E-3</v>
      </c>
      <c r="L452" s="90">
        <v>3702.8586394540398</v>
      </c>
      <c r="M452" s="90">
        <v>9.2460504175995197</v>
      </c>
      <c r="N452" s="90">
        <v>1.3653021315681899</v>
      </c>
      <c r="O452" s="90">
        <v>1.254064186798E-2</v>
      </c>
      <c r="P452" s="90">
        <v>1.8517923113399999E-3</v>
      </c>
      <c r="Q452" s="90">
        <v>5.0222767547064198</v>
      </c>
      <c r="R452" s="90">
        <v>1210</v>
      </c>
      <c r="S452" s="90" t="s">
        <v>385</v>
      </c>
      <c r="T452" s="90">
        <v>1210</v>
      </c>
      <c r="U452" s="90" t="s">
        <v>378</v>
      </c>
      <c r="V452" s="90" t="s">
        <v>244</v>
      </c>
      <c r="Z452" s="90">
        <v>0</v>
      </c>
      <c r="AA452" s="90">
        <v>1</v>
      </c>
      <c r="AB452" s="90">
        <v>1.254064186798E-2</v>
      </c>
      <c r="AC452" s="90">
        <v>1.8517923113399999E-3</v>
      </c>
      <c r="AD452" s="90">
        <v>5.02227675470776</v>
      </c>
      <c r="AF452" s="90">
        <v>-1</v>
      </c>
      <c r="AG452" s="90">
        <v>-1</v>
      </c>
      <c r="AH452" s="90">
        <v>-1</v>
      </c>
      <c r="AI452" s="90">
        <v>-1</v>
      </c>
      <c r="AJ452" s="90">
        <v>0</v>
      </c>
      <c r="AM452" s="90" t="s">
        <v>379</v>
      </c>
      <c r="AN452" s="90">
        <v>-1</v>
      </c>
      <c r="AQ452" s="90">
        <v>356</v>
      </c>
      <c r="AR452" s="90" t="s">
        <v>380</v>
      </c>
      <c r="AS452" s="90" t="s">
        <v>246</v>
      </c>
      <c r="AT452" s="90" t="s">
        <v>244</v>
      </c>
      <c r="AU452" s="90">
        <v>175.87190000000001</v>
      </c>
      <c r="AV452" s="90">
        <v>21.692744262223599</v>
      </c>
      <c r="AW452" s="90">
        <v>5.4888492699402498</v>
      </c>
      <c r="AX452" s="90">
        <v>4.0732171999999997E-3</v>
      </c>
    </row>
    <row r="453" spans="1:50" x14ac:dyDescent="0.25">
      <c r="A453" s="102">
        <v>830000</v>
      </c>
      <c r="B453" s="102">
        <v>2400000</v>
      </c>
      <c r="C453" s="102">
        <v>2400000</v>
      </c>
      <c r="D453" s="90" t="s">
        <v>374</v>
      </c>
      <c r="E453" s="90" t="s">
        <v>68</v>
      </c>
      <c r="F453" s="90" t="s">
        <v>375</v>
      </c>
      <c r="G453" s="90" t="s">
        <v>376</v>
      </c>
      <c r="H453" s="90">
        <v>0.59</v>
      </c>
      <c r="I453" s="90">
        <v>0.64</v>
      </c>
      <c r="J453" s="90" t="s">
        <v>244</v>
      </c>
      <c r="K453" s="90">
        <v>7.01326415164E-3</v>
      </c>
      <c r="L453" s="90">
        <v>3702.8586394540398</v>
      </c>
      <c r="M453" s="90">
        <v>9.2460504175995197</v>
      </c>
      <c r="N453" s="90">
        <v>1.3653021315681899</v>
      </c>
      <c r="O453" s="90">
        <v>6.4844993938059994E-2</v>
      </c>
      <c r="P453" s="90">
        <v>9.57522449549E-3</v>
      </c>
      <c r="Q453" s="90">
        <v>25.9691257546957</v>
      </c>
      <c r="R453" s="90">
        <v>1210</v>
      </c>
      <c r="S453" s="90" t="s">
        <v>385</v>
      </c>
      <c r="T453" s="90">
        <v>1210</v>
      </c>
      <c r="U453" s="90" t="s">
        <v>378</v>
      </c>
      <c r="V453" s="90" t="s">
        <v>244</v>
      </c>
      <c r="Z453" s="90">
        <v>0</v>
      </c>
      <c r="AA453" s="90">
        <v>1</v>
      </c>
      <c r="AB453" s="90">
        <v>6.4844993938059994E-2</v>
      </c>
      <c r="AC453" s="90">
        <v>9.57522449549E-3</v>
      </c>
      <c r="AD453" s="90">
        <v>25.969125754694499</v>
      </c>
      <c r="AF453" s="90">
        <v>-1</v>
      </c>
      <c r="AG453" s="90">
        <v>-1</v>
      </c>
      <c r="AH453" s="90">
        <v>-1</v>
      </c>
      <c r="AI453" s="90">
        <v>-1</v>
      </c>
      <c r="AJ453" s="90">
        <v>0</v>
      </c>
      <c r="AM453" s="90" t="s">
        <v>379</v>
      </c>
      <c r="AN453" s="90">
        <v>-1</v>
      </c>
      <c r="AQ453" s="90">
        <v>356</v>
      </c>
      <c r="AR453" s="90" t="s">
        <v>380</v>
      </c>
      <c r="AS453" s="90" t="s">
        <v>246</v>
      </c>
      <c r="AT453" s="90" t="s">
        <v>244</v>
      </c>
      <c r="AU453" s="90">
        <v>175.87190000000001</v>
      </c>
      <c r="AV453" s="90">
        <v>51.554017107043698</v>
      </c>
      <c r="AW453" s="90">
        <v>28.381673074075</v>
      </c>
      <c r="AX453" s="90">
        <v>2.1061740299999999E-2</v>
      </c>
    </row>
    <row r="454" spans="1:50" x14ac:dyDescent="0.25">
      <c r="A454" s="102">
        <v>830000</v>
      </c>
      <c r="B454" s="102">
        <v>2400000</v>
      </c>
      <c r="C454" s="102">
        <v>2400000</v>
      </c>
      <c r="D454" s="90" t="s">
        <v>374</v>
      </c>
      <c r="E454" s="90" t="s">
        <v>68</v>
      </c>
      <c r="F454" s="90" t="s">
        <v>375</v>
      </c>
      <c r="G454" s="90" t="s">
        <v>376</v>
      </c>
      <c r="H454" s="90">
        <v>0.59</v>
      </c>
      <c r="I454" s="90">
        <v>0.64</v>
      </c>
      <c r="J454" s="90" t="s">
        <v>244</v>
      </c>
      <c r="K454" s="90">
        <v>6.8455664348899999E-3</v>
      </c>
      <c r="L454" s="90">
        <v>3702.8586394540398</v>
      </c>
      <c r="M454" s="90">
        <v>9.2460504175995197</v>
      </c>
      <c r="N454" s="90">
        <v>1.3653021315681899</v>
      </c>
      <c r="O454" s="90">
        <v>6.3294452394100004E-2</v>
      </c>
      <c r="P454" s="90">
        <v>9.3462664453500006E-3</v>
      </c>
      <c r="Q454" s="90">
        <v>25.3481648154224</v>
      </c>
      <c r="R454" s="90">
        <v>1300</v>
      </c>
      <c r="S454" s="90" t="s">
        <v>387</v>
      </c>
      <c r="T454" s="90">
        <v>1300</v>
      </c>
      <c r="U454" s="90" t="s">
        <v>378</v>
      </c>
      <c r="V454" s="90" t="s">
        <v>244</v>
      </c>
      <c r="Z454" s="90">
        <v>0</v>
      </c>
      <c r="AA454" s="90">
        <v>1</v>
      </c>
      <c r="AB454" s="90">
        <v>6.3294452394100004E-2</v>
      </c>
      <c r="AC454" s="90">
        <v>9.3462664453500006E-3</v>
      </c>
      <c r="AD454" s="90">
        <v>25.348164815421299</v>
      </c>
      <c r="AF454" s="90">
        <v>-1</v>
      </c>
      <c r="AG454" s="90">
        <v>-1</v>
      </c>
      <c r="AH454" s="90">
        <v>-1</v>
      </c>
      <c r="AI454" s="90">
        <v>-1</v>
      </c>
      <c r="AJ454" s="90">
        <v>0</v>
      </c>
      <c r="AM454" s="90" t="s">
        <v>379</v>
      </c>
      <c r="AN454" s="90">
        <v>-1</v>
      </c>
      <c r="AQ454" s="90">
        <v>356</v>
      </c>
      <c r="AR454" s="90" t="s">
        <v>380</v>
      </c>
      <c r="AS454" s="90" t="s">
        <v>246</v>
      </c>
      <c r="AT454" s="90" t="s">
        <v>244</v>
      </c>
      <c r="AU454" s="90">
        <v>175.87190000000001</v>
      </c>
      <c r="AV454" s="90">
        <v>33.891250864992301</v>
      </c>
      <c r="AW454" s="90">
        <v>27.703024492035802</v>
      </c>
      <c r="AX454" s="90">
        <v>2.0558122299999999E-2</v>
      </c>
    </row>
    <row r="455" spans="1:50" x14ac:dyDescent="0.25">
      <c r="A455" s="102">
        <v>830000</v>
      </c>
      <c r="B455" s="102">
        <v>2400000</v>
      </c>
      <c r="C455" s="102">
        <v>2400000</v>
      </c>
      <c r="D455" s="90" t="s">
        <v>374</v>
      </c>
      <c r="E455" s="90" t="s">
        <v>68</v>
      </c>
      <c r="F455" s="90" t="s">
        <v>375</v>
      </c>
      <c r="G455" s="90" t="s">
        <v>376</v>
      </c>
      <c r="H455" s="90">
        <v>0.59</v>
      </c>
      <c r="I455" s="90">
        <v>0.64</v>
      </c>
      <c r="J455" s="90" t="s">
        <v>244</v>
      </c>
      <c r="K455" s="90">
        <v>9.1279852957810007E-2</v>
      </c>
      <c r="L455" s="90">
        <v>3702.8586394540398</v>
      </c>
      <c r="M455" s="90">
        <v>9.2460504175995197</v>
      </c>
      <c r="N455" s="90">
        <v>1.3653021315681899</v>
      </c>
      <c r="O455" s="90">
        <v>0.84397812255904003</v>
      </c>
      <c r="P455" s="90">
        <v>0.12462457781253</v>
      </c>
      <c r="Q455" s="90">
        <v>337.99639213294699</v>
      </c>
      <c r="R455" s="90">
        <v>1210</v>
      </c>
      <c r="S455" s="90" t="s">
        <v>385</v>
      </c>
      <c r="T455" s="90">
        <v>1210</v>
      </c>
      <c r="U455" s="90" t="s">
        <v>378</v>
      </c>
      <c r="V455" s="90" t="s">
        <v>244</v>
      </c>
      <c r="Z455" s="90">
        <v>0</v>
      </c>
      <c r="AA455" s="90">
        <v>1</v>
      </c>
      <c r="AB455" s="90">
        <v>0.84397812255904003</v>
      </c>
      <c r="AC455" s="90">
        <v>0.12462457781253</v>
      </c>
      <c r="AD455" s="90">
        <v>337.99639213294699</v>
      </c>
      <c r="AF455" s="90">
        <v>-1</v>
      </c>
      <c r="AG455" s="90">
        <v>-1</v>
      </c>
      <c r="AH455" s="90">
        <v>-1</v>
      </c>
      <c r="AI455" s="90">
        <v>-1</v>
      </c>
      <c r="AJ455" s="90">
        <v>0</v>
      </c>
      <c r="AM455" s="90" t="s">
        <v>379</v>
      </c>
      <c r="AN455" s="90">
        <v>-1</v>
      </c>
      <c r="AQ455" s="90">
        <v>356</v>
      </c>
      <c r="AR455" s="90" t="s">
        <v>380</v>
      </c>
      <c r="AS455" s="90" t="s">
        <v>246</v>
      </c>
      <c r="AT455" s="90" t="s">
        <v>244</v>
      </c>
      <c r="AU455" s="90">
        <v>175.87190000000001</v>
      </c>
      <c r="AV455" s="90">
        <v>95.247435790126104</v>
      </c>
      <c r="AW455" s="90">
        <v>369.39645917806899</v>
      </c>
      <c r="AX455" s="90">
        <v>0.27412521670000001</v>
      </c>
    </row>
    <row r="456" spans="1:50" x14ac:dyDescent="0.25">
      <c r="A456" s="102">
        <v>830000</v>
      </c>
      <c r="B456" s="102">
        <v>2400000</v>
      </c>
      <c r="C456" s="102">
        <v>2400000</v>
      </c>
      <c r="D456" s="90" t="s">
        <v>374</v>
      </c>
      <c r="E456" s="90" t="s">
        <v>68</v>
      </c>
      <c r="F456" s="90" t="s">
        <v>375</v>
      </c>
      <c r="G456" s="90" t="s">
        <v>376</v>
      </c>
      <c r="H456" s="90">
        <v>0.59</v>
      </c>
      <c r="I456" s="90">
        <v>0.64</v>
      </c>
      <c r="J456" s="90" t="s">
        <v>244</v>
      </c>
      <c r="K456" s="90">
        <v>0.25998009280808998</v>
      </c>
      <c r="L456" s="90">
        <v>3702.8586394540398</v>
      </c>
      <c r="M456" s="90">
        <v>9.2460504175995197</v>
      </c>
      <c r="N456" s="90">
        <v>1.3653021315681899</v>
      </c>
      <c r="O456" s="90">
        <v>2.4037890456758699</v>
      </c>
      <c r="P456" s="90">
        <v>0.35495137487619</v>
      </c>
      <c r="Q456" s="90">
        <v>962.66953274053003</v>
      </c>
      <c r="R456" s="90">
        <v>1210</v>
      </c>
      <c r="S456" s="90" t="s">
        <v>385</v>
      </c>
      <c r="T456" s="90">
        <v>1210</v>
      </c>
      <c r="U456" s="90" t="s">
        <v>378</v>
      </c>
      <c r="V456" s="90" t="s">
        <v>244</v>
      </c>
      <c r="Z456" s="90">
        <v>0</v>
      </c>
      <c r="AA456" s="90">
        <v>1</v>
      </c>
      <c r="AB456" s="90">
        <v>2.4037890456758699</v>
      </c>
      <c r="AC456" s="90">
        <v>0.35495137487619</v>
      </c>
      <c r="AD456" s="90">
        <v>962.66953274053003</v>
      </c>
      <c r="AF456" s="90">
        <v>-1</v>
      </c>
      <c r="AG456" s="90">
        <v>-1</v>
      </c>
      <c r="AH456" s="90">
        <v>-1</v>
      </c>
      <c r="AI456" s="90">
        <v>-1</v>
      </c>
      <c r="AJ456" s="90">
        <v>0</v>
      </c>
      <c r="AM456" s="90" t="s">
        <v>379</v>
      </c>
      <c r="AN456" s="90">
        <v>-1</v>
      </c>
      <c r="AQ456" s="90">
        <v>356</v>
      </c>
      <c r="AR456" s="90" t="s">
        <v>380</v>
      </c>
      <c r="AS456" s="90" t="s">
        <v>246</v>
      </c>
      <c r="AT456" s="90" t="s">
        <v>244</v>
      </c>
      <c r="AU456" s="90">
        <v>175.87190000000001</v>
      </c>
      <c r="AV456" s="90">
        <v>131.46823804248299</v>
      </c>
      <c r="AW456" s="90">
        <v>1052.1021082765999</v>
      </c>
      <c r="AX456" s="90">
        <v>0.78075387890000003</v>
      </c>
    </row>
    <row r="457" spans="1:50" x14ac:dyDescent="0.25">
      <c r="A457" s="102">
        <v>830000</v>
      </c>
      <c r="B457" s="102">
        <v>2400000</v>
      </c>
      <c r="C457" s="102">
        <v>2400000</v>
      </c>
      <c r="D457" s="90" t="s">
        <v>374</v>
      </c>
      <c r="E457" s="90" t="s">
        <v>68</v>
      </c>
      <c r="F457" s="90" t="s">
        <v>375</v>
      </c>
      <c r="G457" s="90" t="s">
        <v>376</v>
      </c>
      <c r="H457" s="90">
        <v>0.59</v>
      </c>
      <c r="I457" s="90">
        <v>0.64</v>
      </c>
      <c r="J457" s="90" t="s">
        <v>244</v>
      </c>
      <c r="K457" s="90">
        <v>0.11883899955555</v>
      </c>
      <c r="L457" s="90">
        <v>3702.8586394540398</v>
      </c>
      <c r="M457" s="90">
        <v>9.2460504175995197</v>
      </c>
      <c r="N457" s="90">
        <v>1.3653021315681899</v>
      </c>
      <c r="O457" s="90">
        <v>1.0987913814677099</v>
      </c>
      <c r="P457" s="90">
        <v>0.16225113940662</v>
      </c>
      <c r="Q457" s="90">
        <v>440.04401620834699</v>
      </c>
      <c r="R457" s="90">
        <v>1210</v>
      </c>
      <c r="S457" s="90" t="s">
        <v>385</v>
      </c>
      <c r="T457" s="90">
        <v>1210</v>
      </c>
      <c r="U457" s="90" t="s">
        <v>378</v>
      </c>
      <c r="V457" s="90" t="s">
        <v>244</v>
      </c>
      <c r="Z457" s="90">
        <v>0</v>
      </c>
      <c r="AA457" s="90">
        <v>1</v>
      </c>
      <c r="AB457" s="90">
        <v>1.0987913814677099</v>
      </c>
      <c r="AC457" s="90">
        <v>0.16225113940662</v>
      </c>
      <c r="AD457" s="90">
        <v>440.04401620834699</v>
      </c>
      <c r="AF457" s="90">
        <v>-1</v>
      </c>
      <c r="AG457" s="90">
        <v>-1</v>
      </c>
      <c r="AH457" s="90">
        <v>-1</v>
      </c>
      <c r="AI457" s="90">
        <v>-1</v>
      </c>
      <c r="AJ457" s="90">
        <v>0</v>
      </c>
      <c r="AM457" s="90" t="s">
        <v>379</v>
      </c>
      <c r="AN457" s="90">
        <v>-1</v>
      </c>
      <c r="AQ457" s="90">
        <v>356</v>
      </c>
      <c r="AR457" s="90" t="s">
        <v>380</v>
      </c>
      <c r="AS457" s="90" t="s">
        <v>246</v>
      </c>
      <c r="AT457" s="90" t="s">
        <v>244</v>
      </c>
      <c r="AU457" s="90">
        <v>175.87190000000001</v>
      </c>
      <c r="AV457" s="90">
        <v>101.68300806161901</v>
      </c>
      <c r="AW457" s="90">
        <v>480.924368582971</v>
      </c>
      <c r="AX457" s="90">
        <v>0.35688890200000001</v>
      </c>
    </row>
    <row r="458" spans="1:50" x14ac:dyDescent="0.25">
      <c r="A458" s="102">
        <v>830000</v>
      </c>
      <c r="B458" s="102">
        <v>2400000</v>
      </c>
      <c r="C458" s="102">
        <v>2400000</v>
      </c>
      <c r="D458" s="90" t="s">
        <v>374</v>
      </c>
      <c r="E458" s="90" t="s">
        <v>68</v>
      </c>
      <c r="F458" s="90" t="s">
        <v>375</v>
      </c>
      <c r="G458" s="90" t="s">
        <v>376</v>
      </c>
      <c r="H458" s="90">
        <v>0.59</v>
      </c>
      <c r="I458" s="90">
        <v>0.64</v>
      </c>
      <c r="J458" s="90" t="s">
        <v>244</v>
      </c>
      <c r="K458" s="90">
        <v>0.25204497090201999</v>
      </c>
      <c r="L458" s="90">
        <v>3147.5605163743298</v>
      </c>
      <c r="M458" s="90">
        <v>8.5344823257316698</v>
      </c>
      <c r="N458" s="90">
        <v>1.47543818602516</v>
      </c>
      <c r="O458" s="90">
        <v>2.15107334945287</v>
      </c>
      <c r="P458" s="90">
        <v>0.37187677466444002</v>
      </c>
      <c r="Q458" s="90">
        <v>793.32679876192901</v>
      </c>
      <c r="R458" s="90">
        <v>1300</v>
      </c>
      <c r="S458" s="90" t="s">
        <v>387</v>
      </c>
      <c r="T458" s="90">
        <v>1300</v>
      </c>
      <c r="U458" s="90" t="s">
        <v>378</v>
      </c>
      <c r="V458" s="90" t="s">
        <v>244</v>
      </c>
      <c r="Z458" s="90">
        <v>0</v>
      </c>
      <c r="AA458" s="90">
        <v>1</v>
      </c>
      <c r="AB458" s="90">
        <v>2.15107334945287</v>
      </c>
      <c r="AC458" s="90">
        <v>0.37187677466444002</v>
      </c>
      <c r="AD458" s="90">
        <v>851.82431812798097</v>
      </c>
      <c r="AF458" s="90">
        <v>-1</v>
      </c>
      <c r="AG458" s="90">
        <v>-1</v>
      </c>
      <c r="AH458" s="90">
        <v>-1</v>
      </c>
      <c r="AI458" s="90">
        <v>-1</v>
      </c>
      <c r="AJ458" s="90">
        <v>0</v>
      </c>
      <c r="AM458" s="90" t="s">
        <v>379</v>
      </c>
      <c r="AN458" s="90">
        <v>-1</v>
      </c>
      <c r="AQ458" s="90">
        <v>356</v>
      </c>
      <c r="AR458" s="90" t="s">
        <v>380</v>
      </c>
      <c r="AS458" s="90" t="s">
        <v>246</v>
      </c>
      <c r="AT458" s="90" t="s">
        <v>244</v>
      </c>
      <c r="AU458" s="90">
        <v>175.87190000000001</v>
      </c>
      <c r="AV458" s="90">
        <v>140.81432634898101</v>
      </c>
      <c r="AW458" s="90">
        <v>1019.98980922847</v>
      </c>
      <c r="AX458" s="90">
        <v>0.69085508360000003</v>
      </c>
    </row>
    <row r="459" spans="1:50" x14ac:dyDescent="0.25">
      <c r="A459" s="102">
        <v>830000</v>
      </c>
      <c r="B459" s="102">
        <v>2400000</v>
      </c>
      <c r="C459" s="102">
        <v>2400000</v>
      </c>
      <c r="D459" s="90" t="s">
        <v>374</v>
      </c>
      <c r="E459" s="90" t="s">
        <v>68</v>
      </c>
      <c r="F459" s="90" t="s">
        <v>375</v>
      </c>
      <c r="G459" s="90" t="s">
        <v>376</v>
      </c>
      <c r="H459" s="90">
        <v>0.59</v>
      </c>
      <c r="I459" s="90">
        <v>0.64</v>
      </c>
      <c r="J459" s="90" t="s">
        <v>381</v>
      </c>
      <c r="K459" s="90">
        <v>1.570929325407E-2</v>
      </c>
      <c r="L459" s="90">
        <v>3724.5902340310099</v>
      </c>
      <c r="M459" s="90">
        <v>8.1031414486942204</v>
      </c>
      <c r="N459" s="90">
        <v>1.0815343837899101</v>
      </c>
      <c r="O459" s="90">
        <v>0.12729462529678001</v>
      </c>
      <c r="P459" s="90">
        <v>1.699014079932E-2</v>
      </c>
      <c r="Q459" s="90">
        <v>58.510680237656999</v>
      </c>
      <c r="R459" s="90">
        <v>1400</v>
      </c>
      <c r="S459" s="90" t="s">
        <v>324</v>
      </c>
      <c r="T459" s="90">
        <v>1400</v>
      </c>
      <c r="U459" s="90" t="s">
        <v>382</v>
      </c>
      <c r="V459" s="90" t="s">
        <v>381</v>
      </c>
      <c r="Z459" s="90">
        <v>0</v>
      </c>
      <c r="AA459" s="90">
        <v>1</v>
      </c>
      <c r="AB459" s="90">
        <v>0.12729462529678001</v>
      </c>
      <c r="AC459" s="90">
        <v>1.699014079932E-2</v>
      </c>
      <c r="AD459" s="90">
        <v>60.367873091993403</v>
      </c>
      <c r="AF459" s="90">
        <v>-1</v>
      </c>
      <c r="AG459" s="90">
        <v>-1</v>
      </c>
      <c r="AH459" s="90">
        <v>-1</v>
      </c>
      <c r="AI459" s="90">
        <v>-1</v>
      </c>
      <c r="AJ459" s="90">
        <v>0</v>
      </c>
      <c r="AM459" s="90" t="s">
        <v>379</v>
      </c>
      <c r="AN459" s="90">
        <v>-1</v>
      </c>
      <c r="AQ459" s="90">
        <v>356</v>
      </c>
      <c r="AR459" s="90" t="s">
        <v>380</v>
      </c>
      <c r="AS459" s="90" t="s">
        <v>246</v>
      </c>
      <c r="AT459" s="90" t="s">
        <v>244</v>
      </c>
      <c r="AU459" s="90">
        <v>175.87190000000001</v>
      </c>
      <c r="AV459" s="90">
        <v>93.875289890320005</v>
      </c>
      <c r="AW459" s="90">
        <v>63.573254296616398</v>
      </c>
      <c r="AX459" s="90">
        <v>4.8960156599999999E-2</v>
      </c>
    </row>
    <row r="460" spans="1:50" x14ac:dyDescent="0.25">
      <c r="A460" s="102">
        <v>830000</v>
      </c>
      <c r="B460" s="102">
        <v>2400000</v>
      </c>
      <c r="C460" s="102">
        <v>2400000</v>
      </c>
      <c r="D460" s="90" t="s">
        <v>374</v>
      </c>
      <c r="E460" s="90" t="s">
        <v>68</v>
      </c>
      <c r="F460" s="90" t="s">
        <v>375</v>
      </c>
      <c r="G460" s="90" t="s">
        <v>376</v>
      </c>
      <c r="H460" s="90">
        <v>0.59</v>
      </c>
      <c r="I460" s="90">
        <v>0.64</v>
      </c>
      <c r="J460" s="90" t="s">
        <v>381</v>
      </c>
      <c r="K460" s="90">
        <v>3.065949217853E-2</v>
      </c>
      <c r="L460" s="90">
        <v>3724.5902340310099</v>
      </c>
      <c r="M460" s="90">
        <v>8.1031414486942204</v>
      </c>
      <c r="N460" s="90">
        <v>1.0815343837899101</v>
      </c>
      <c r="O460" s="90">
        <v>0.24843820186779</v>
      </c>
      <c r="P460" s="90">
        <v>3.3159294980620001E-2</v>
      </c>
      <c r="Q460" s="90">
        <v>114.194045148518</v>
      </c>
      <c r="R460" s="90">
        <v>1850</v>
      </c>
      <c r="S460" s="90" t="s">
        <v>388</v>
      </c>
      <c r="T460" s="90">
        <v>1850</v>
      </c>
      <c r="U460" s="90" t="s">
        <v>382</v>
      </c>
      <c r="V460" s="90" t="s">
        <v>381</v>
      </c>
      <c r="Z460" s="90">
        <v>0</v>
      </c>
      <c r="AA460" s="90">
        <v>1</v>
      </c>
      <c r="AB460" s="90">
        <v>0.24843820186779</v>
      </c>
      <c r="AC460" s="90">
        <v>3.3159294980620001E-2</v>
      </c>
      <c r="AD460" s="90">
        <v>114.19404514851701</v>
      </c>
      <c r="AF460" s="90">
        <v>-1</v>
      </c>
      <c r="AG460" s="90">
        <v>-1</v>
      </c>
      <c r="AH460" s="90">
        <v>-1</v>
      </c>
      <c r="AI460" s="90">
        <v>-1</v>
      </c>
      <c r="AJ460" s="90">
        <v>0</v>
      </c>
      <c r="AM460" s="90" t="s">
        <v>379</v>
      </c>
      <c r="AN460" s="90">
        <v>-1</v>
      </c>
      <c r="AQ460" s="90">
        <v>356</v>
      </c>
      <c r="AR460" s="90" t="s">
        <v>380</v>
      </c>
      <c r="AS460" s="90" t="s">
        <v>246</v>
      </c>
      <c r="AT460" s="90" t="s">
        <v>244</v>
      </c>
      <c r="AU460" s="90">
        <v>175.87190000000001</v>
      </c>
      <c r="AV460" s="90">
        <v>105.085005394338</v>
      </c>
      <c r="AW460" s="90">
        <v>124.07456283022201</v>
      </c>
      <c r="AX460" s="90">
        <v>9.2614797400000004E-2</v>
      </c>
    </row>
    <row r="461" spans="1:50" x14ac:dyDescent="0.25">
      <c r="A461" s="102">
        <v>830000</v>
      </c>
      <c r="B461" s="102">
        <v>2400000</v>
      </c>
      <c r="C461" s="102">
        <v>2400000</v>
      </c>
      <c r="D461" s="90" t="s">
        <v>374</v>
      </c>
      <c r="E461" s="90" t="s">
        <v>68</v>
      </c>
      <c r="F461" s="90" t="s">
        <v>375</v>
      </c>
      <c r="G461" s="90" t="s">
        <v>376</v>
      </c>
      <c r="H461" s="90">
        <v>0.59</v>
      </c>
      <c r="I461" s="90">
        <v>0.64</v>
      </c>
      <c r="J461" s="90" t="s">
        <v>381</v>
      </c>
      <c r="K461" s="90">
        <v>0.25812029809471998</v>
      </c>
      <c r="L461" s="90">
        <v>3724.5902340310099</v>
      </c>
      <c r="M461" s="90">
        <v>8.1031414486942204</v>
      </c>
      <c r="N461" s="90">
        <v>1.0815343837899101</v>
      </c>
      <c r="O461" s="90">
        <v>2.0915852862406301</v>
      </c>
      <c r="P461" s="90">
        <v>0.27916597754354</v>
      </c>
      <c r="Q461" s="90">
        <v>961.39234148876801</v>
      </c>
      <c r="R461" s="90">
        <v>8140</v>
      </c>
      <c r="S461" s="90" t="s">
        <v>386</v>
      </c>
      <c r="T461" s="90">
        <v>8140</v>
      </c>
      <c r="U461" s="90" t="s">
        <v>382</v>
      </c>
      <c r="V461" s="90" t="s">
        <v>381</v>
      </c>
      <c r="Z461" s="90">
        <v>0</v>
      </c>
      <c r="AA461" s="90">
        <v>1</v>
      </c>
      <c r="AB461" s="90">
        <v>2.0915852862406301</v>
      </c>
      <c r="AC461" s="90">
        <v>0.27916597754354</v>
      </c>
      <c r="AD461" s="90">
        <v>998.96236710378298</v>
      </c>
      <c r="AF461" s="90">
        <v>-1</v>
      </c>
      <c r="AG461" s="90">
        <v>-1</v>
      </c>
      <c r="AH461" s="90">
        <v>-1</v>
      </c>
      <c r="AI461" s="90">
        <v>-1</v>
      </c>
      <c r="AJ461" s="90">
        <v>0</v>
      </c>
      <c r="AM461" s="90" t="s">
        <v>379</v>
      </c>
      <c r="AN461" s="90">
        <v>-1</v>
      </c>
      <c r="AQ461" s="90">
        <v>356</v>
      </c>
      <c r="AR461" s="90" t="s">
        <v>380</v>
      </c>
      <c r="AS461" s="90" t="s">
        <v>246</v>
      </c>
      <c r="AT461" s="90" t="s">
        <v>244</v>
      </c>
      <c r="AU461" s="90">
        <v>175.87190000000001</v>
      </c>
      <c r="AV461" s="90">
        <v>143.04938773240099</v>
      </c>
      <c r="AW461" s="90">
        <v>1044.57578609641</v>
      </c>
      <c r="AX461" s="90">
        <v>0.81018845669999995</v>
      </c>
    </row>
    <row r="462" spans="1:50" x14ac:dyDescent="0.25">
      <c r="A462" s="102">
        <v>830000</v>
      </c>
      <c r="B462" s="102">
        <v>2400000</v>
      </c>
      <c r="C462" s="102">
        <v>2400000</v>
      </c>
      <c r="D462" s="90" t="s">
        <v>374</v>
      </c>
      <c r="E462" s="90" t="s">
        <v>68</v>
      </c>
      <c r="F462" s="90" t="s">
        <v>375</v>
      </c>
      <c r="G462" s="90" t="s">
        <v>376</v>
      </c>
      <c r="H462" s="90">
        <v>0.59</v>
      </c>
      <c r="I462" s="90">
        <v>0.64</v>
      </c>
      <c r="J462" s="90" t="s">
        <v>389</v>
      </c>
      <c r="K462" s="90">
        <v>0.47442385180989999</v>
      </c>
      <c r="L462" s="90">
        <v>3189.28744535337</v>
      </c>
      <c r="M462" s="90">
        <v>6.6527670984788498</v>
      </c>
      <c r="N462" s="90">
        <v>0.91289968272695998</v>
      </c>
      <c r="O462" s="90">
        <v>3.1562313920545302</v>
      </c>
      <c r="P462" s="90">
        <v>0.43310138379536001</v>
      </c>
      <c r="Q462" s="90">
        <v>1513.0740343535099</v>
      </c>
      <c r="R462" s="90">
        <v>4200</v>
      </c>
      <c r="S462" s="90" t="s">
        <v>390</v>
      </c>
      <c r="T462" s="90">
        <v>4200</v>
      </c>
      <c r="U462" s="90" t="s">
        <v>378</v>
      </c>
      <c r="V462" s="90" t="s">
        <v>244</v>
      </c>
      <c r="Y462" s="90" t="s">
        <v>389</v>
      </c>
      <c r="Z462" s="90">
        <v>0</v>
      </c>
      <c r="AA462" s="90">
        <v>1</v>
      </c>
      <c r="AB462" s="90">
        <v>3.1562313920545302</v>
      </c>
      <c r="AC462" s="90">
        <v>0.43310138379536001</v>
      </c>
      <c r="AD462" s="90">
        <v>1771.4048775256099</v>
      </c>
      <c r="AF462" s="90">
        <v>-1</v>
      </c>
      <c r="AG462" s="90">
        <v>-1</v>
      </c>
      <c r="AH462" s="90">
        <v>-1</v>
      </c>
      <c r="AI462" s="90">
        <v>-1</v>
      </c>
      <c r="AJ462" s="90">
        <v>0</v>
      </c>
      <c r="AM462" s="90" t="s">
        <v>379</v>
      </c>
      <c r="AN462" s="90">
        <v>-1</v>
      </c>
      <c r="AQ462" s="90">
        <v>356</v>
      </c>
      <c r="AR462" s="90" t="s">
        <v>380</v>
      </c>
      <c r="AS462" s="90" t="s">
        <v>246</v>
      </c>
      <c r="AT462" s="90" t="s">
        <v>244</v>
      </c>
      <c r="AU462" s="90">
        <v>175.87190000000001</v>
      </c>
      <c r="AV462" s="90">
        <v>175.42065954731299</v>
      </c>
      <c r="AW462" s="90">
        <v>1919.9252116366499</v>
      </c>
      <c r="AX462" s="90">
        <v>1.4366625122000001</v>
      </c>
    </row>
    <row r="463" spans="1:50" x14ac:dyDescent="0.25">
      <c r="A463" s="102">
        <v>830000</v>
      </c>
      <c r="B463" s="102">
        <v>2400000</v>
      </c>
      <c r="C463" s="102">
        <v>2400000</v>
      </c>
      <c r="D463" s="90" t="s">
        <v>374</v>
      </c>
      <c r="E463" s="90" t="s">
        <v>68</v>
      </c>
      <c r="F463" s="90" t="s">
        <v>375</v>
      </c>
      <c r="G463" s="90" t="s">
        <v>376</v>
      </c>
      <c r="H463" s="90">
        <v>0.59</v>
      </c>
      <c r="I463" s="90">
        <v>0.64</v>
      </c>
      <c r="J463" s="90" t="s">
        <v>244</v>
      </c>
      <c r="K463" s="90">
        <v>5.0420818928889999E-2</v>
      </c>
      <c r="L463" s="90">
        <v>3189.28744535337</v>
      </c>
      <c r="M463" s="90">
        <v>6.6527670984788498</v>
      </c>
      <c r="N463" s="90">
        <v>0.91289968272695998</v>
      </c>
      <c r="O463" s="90">
        <v>0.33543796524852998</v>
      </c>
      <c r="P463" s="90">
        <v>4.602914960302E-2</v>
      </c>
      <c r="Q463" s="90">
        <v>160.80648479436999</v>
      </c>
      <c r="R463" s="90">
        <v>1410</v>
      </c>
      <c r="S463" s="90" t="s">
        <v>325</v>
      </c>
      <c r="T463" s="90">
        <v>1410</v>
      </c>
      <c r="U463" s="90" t="s">
        <v>378</v>
      </c>
      <c r="V463" s="90" t="s">
        <v>244</v>
      </c>
      <c r="Z463" s="90">
        <v>0</v>
      </c>
      <c r="AA463" s="90">
        <v>1</v>
      </c>
      <c r="AB463" s="90">
        <v>0.33543796524852998</v>
      </c>
      <c r="AC463" s="90">
        <v>4.602914960302E-2</v>
      </c>
      <c r="AD463" s="90">
        <v>166.70476140959201</v>
      </c>
      <c r="AF463" s="90">
        <v>-1</v>
      </c>
      <c r="AG463" s="90">
        <v>-1</v>
      </c>
      <c r="AH463" s="90">
        <v>-1</v>
      </c>
      <c r="AI463" s="90">
        <v>-1</v>
      </c>
      <c r="AJ463" s="90">
        <v>0</v>
      </c>
      <c r="AM463" s="90" t="s">
        <v>379</v>
      </c>
      <c r="AN463" s="90">
        <v>-1</v>
      </c>
      <c r="AQ463" s="90">
        <v>356</v>
      </c>
      <c r="AR463" s="90" t="s">
        <v>380</v>
      </c>
      <c r="AS463" s="90" t="s">
        <v>246</v>
      </c>
      <c r="AT463" s="90" t="s">
        <v>244</v>
      </c>
      <c r="AU463" s="90">
        <v>175.87190000000001</v>
      </c>
      <c r="AV463" s="90">
        <v>93.661073314700701</v>
      </c>
      <c r="AW463" s="90">
        <v>204.04581490507701</v>
      </c>
      <c r="AX463" s="90">
        <v>0.135202564</v>
      </c>
    </row>
    <row r="464" spans="1:50" x14ac:dyDescent="0.25">
      <c r="A464" s="102">
        <v>830000</v>
      </c>
      <c r="B464" s="102">
        <v>2400000</v>
      </c>
      <c r="C464" s="102">
        <v>2400000</v>
      </c>
      <c r="D464" s="90" t="s">
        <v>374</v>
      </c>
      <c r="E464" s="90" t="s">
        <v>68</v>
      </c>
      <c r="F464" s="90" t="s">
        <v>375</v>
      </c>
      <c r="G464" s="90" t="s">
        <v>376</v>
      </c>
      <c r="H464" s="90">
        <v>0.59</v>
      </c>
      <c r="I464" s="90">
        <v>0.64</v>
      </c>
      <c r="J464" s="90" t="s">
        <v>244</v>
      </c>
      <c r="K464" s="90">
        <v>0.48976182463156998</v>
      </c>
      <c r="L464" s="90">
        <v>3744.6720802416198</v>
      </c>
      <c r="M464" s="90">
        <v>11.0680570189639</v>
      </c>
      <c r="N464" s="90">
        <v>2.1668209464135599</v>
      </c>
      <c r="O464" s="90">
        <v>5.42071180073411</v>
      </c>
      <c r="P464" s="90">
        <v>1.0612261803654299</v>
      </c>
      <c r="Q464" s="90">
        <v>1833.9974306660599</v>
      </c>
      <c r="R464" s="90">
        <v>1300</v>
      </c>
      <c r="S464" s="90" t="s">
        <v>387</v>
      </c>
      <c r="T464" s="90">
        <v>1300</v>
      </c>
      <c r="U464" s="90" t="s">
        <v>378</v>
      </c>
      <c r="V464" s="90" t="s">
        <v>244</v>
      </c>
      <c r="Z464" s="90">
        <v>0</v>
      </c>
      <c r="AA464" s="90">
        <v>1</v>
      </c>
      <c r="AB464" s="90">
        <v>5.42071180073411</v>
      </c>
      <c r="AC464" s="90">
        <v>1.0612261803654299</v>
      </c>
      <c r="AD464" s="90">
        <v>1833.9974306660599</v>
      </c>
      <c r="AF464" s="90">
        <v>-1</v>
      </c>
      <c r="AG464" s="90">
        <v>-1</v>
      </c>
      <c r="AH464" s="90">
        <v>-1</v>
      </c>
      <c r="AI464" s="90">
        <v>-1</v>
      </c>
      <c r="AJ464" s="90">
        <v>0</v>
      </c>
      <c r="AM464" s="90" t="s">
        <v>379</v>
      </c>
      <c r="AN464" s="90">
        <v>-1</v>
      </c>
      <c r="AQ464" s="90">
        <v>356</v>
      </c>
      <c r="AR464" s="90" t="s">
        <v>380</v>
      </c>
      <c r="AS464" s="90" t="s">
        <v>246</v>
      </c>
      <c r="AT464" s="90" t="s">
        <v>244</v>
      </c>
      <c r="AU464" s="90">
        <v>175.87190000000001</v>
      </c>
      <c r="AV464" s="90">
        <v>178.490209344531</v>
      </c>
      <c r="AW464" s="90">
        <v>1981.9957854566401</v>
      </c>
      <c r="AX464" s="90">
        <v>1.4874269511</v>
      </c>
    </row>
    <row r="465" spans="1:50" x14ac:dyDescent="0.25">
      <c r="A465" s="102">
        <v>830000</v>
      </c>
      <c r="B465" s="102">
        <v>2400000</v>
      </c>
      <c r="C465" s="102">
        <v>2400000</v>
      </c>
      <c r="D465" s="90" t="s">
        <v>374</v>
      </c>
      <c r="E465" s="90" t="s">
        <v>68</v>
      </c>
      <c r="F465" s="90" t="s">
        <v>375</v>
      </c>
      <c r="G465" s="90" t="s">
        <v>376</v>
      </c>
      <c r="H465" s="90">
        <v>0.59</v>
      </c>
      <c r="I465" s="90">
        <v>0.64</v>
      </c>
      <c r="J465" s="90" t="s">
        <v>244</v>
      </c>
      <c r="K465" s="90">
        <v>5.4199396885099997E-2</v>
      </c>
      <c r="L465" s="90">
        <v>3744.6720802416198</v>
      </c>
      <c r="M465" s="90">
        <v>11.0680570189639</v>
      </c>
      <c r="N465" s="90">
        <v>2.1668209464135599</v>
      </c>
      <c r="O465" s="90">
        <v>0.59988201511778005</v>
      </c>
      <c r="P465" s="90">
        <v>0.11744038845362</v>
      </c>
      <c r="Q465" s="90">
        <v>202.958968281583</v>
      </c>
      <c r="R465" s="90">
        <v>1300</v>
      </c>
      <c r="S465" s="90" t="s">
        <v>387</v>
      </c>
      <c r="T465" s="90">
        <v>1300</v>
      </c>
      <c r="U465" s="90" t="s">
        <v>378</v>
      </c>
      <c r="V465" s="90" t="s">
        <v>244</v>
      </c>
      <c r="Z465" s="90">
        <v>0</v>
      </c>
      <c r="AA465" s="90">
        <v>1</v>
      </c>
      <c r="AB465" s="90">
        <v>0.59988201511778005</v>
      </c>
      <c r="AC465" s="90">
        <v>0.11744038845362</v>
      </c>
      <c r="AD465" s="90">
        <v>202.958968281582</v>
      </c>
      <c r="AF465" s="90">
        <v>-1</v>
      </c>
      <c r="AG465" s="90">
        <v>-1</v>
      </c>
      <c r="AH465" s="90">
        <v>-1</v>
      </c>
      <c r="AI465" s="90">
        <v>-1</v>
      </c>
      <c r="AJ465" s="90">
        <v>0</v>
      </c>
      <c r="AM465" s="90" t="s">
        <v>379</v>
      </c>
      <c r="AN465" s="90">
        <v>-1</v>
      </c>
      <c r="AQ465" s="90">
        <v>356</v>
      </c>
      <c r="AR465" s="90" t="s">
        <v>380</v>
      </c>
      <c r="AS465" s="90" t="s">
        <v>246</v>
      </c>
      <c r="AT465" s="90" t="s">
        <v>244</v>
      </c>
      <c r="AU465" s="90">
        <v>175.87190000000001</v>
      </c>
      <c r="AV465" s="90">
        <v>101.59044275495199</v>
      </c>
      <c r="AW465" s="90">
        <v>219.337177374687</v>
      </c>
      <c r="AX465" s="90">
        <v>0.16460581369999999</v>
      </c>
    </row>
    <row r="466" spans="1:50" x14ac:dyDescent="0.25">
      <c r="A466" s="102">
        <v>830000</v>
      </c>
      <c r="B466" s="102">
        <v>2400000</v>
      </c>
      <c r="C466" s="102">
        <v>2400000</v>
      </c>
      <c r="D466" s="90" t="s">
        <v>374</v>
      </c>
      <c r="E466" s="90" t="s">
        <v>68</v>
      </c>
      <c r="F466" s="90" t="s">
        <v>375</v>
      </c>
      <c r="G466" s="90" t="s">
        <v>376</v>
      </c>
      <c r="H466" s="90">
        <v>0.59</v>
      </c>
      <c r="I466" s="90">
        <v>0.64</v>
      </c>
      <c r="J466" s="90" t="s">
        <v>244</v>
      </c>
      <c r="K466" s="90">
        <v>6.4287742229099998E-2</v>
      </c>
      <c r="L466" s="90">
        <v>3752.2321463424501</v>
      </c>
      <c r="M466" s="90">
        <v>10.794972646430899</v>
      </c>
      <c r="N466" s="90">
        <v>2.0799086134073899</v>
      </c>
      <c r="O466" s="90">
        <v>0.69398441886396001</v>
      </c>
      <c r="P466" s="90">
        <v>0.13371262879882001</v>
      </c>
      <c r="Q466" s="90">
        <v>241.22253300781301</v>
      </c>
      <c r="R466" s="90">
        <v>1300</v>
      </c>
      <c r="S466" s="90" t="s">
        <v>387</v>
      </c>
      <c r="T466" s="90">
        <v>1300</v>
      </c>
      <c r="U466" s="90" t="s">
        <v>378</v>
      </c>
      <c r="V466" s="90" t="s">
        <v>244</v>
      </c>
      <c r="Z466" s="90">
        <v>0</v>
      </c>
      <c r="AA466" s="90">
        <v>1</v>
      </c>
      <c r="AB466" s="90">
        <v>0.69398441886396001</v>
      </c>
      <c r="AC466" s="90">
        <v>0.13371262879882001</v>
      </c>
      <c r="AD466" s="90">
        <v>2317.99188942922</v>
      </c>
      <c r="AF466" s="90">
        <v>-1</v>
      </c>
      <c r="AG466" s="90">
        <v>-1</v>
      </c>
      <c r="AH466" s="90">
        <v>-1</v>
      </c>
      <c r="AI466" s="90">
        <v>-1</v>
      </c>
      <c r="AJ466" s="90">
        <v>0</v>
      </c>
      <c r="AM466" s="90" t="s">
        <v>379</v>
      </c>
      <c r="AN466" s="90">
        <v>-1</v>
      </c>
      <c r="AQ466" s="90">
        <v>356</v>
      </c>
      <c r="AR466" s="90" t="s">
        <v>380</v>
      </c>
      <c r="AS466" s="90" t="s">
        <v>246</v>
      </c>
      <c r="AT466" s="90" t="s">
        <v>244</v>
      </c>
      <c r="AU466" s="90">
        <v>175.87190000000001</v>
      </c>
      <c r="AV466" s="90">
        <v>110.435598209463</v>
      </c>
      <c r="AW466" s="90">
        <v>260.16326252143898</v>
      </c>
      <c r="AX466" s="90">
        <v>1.8799609809</v>
      </c>
    </row>
    <row r="467" spans="1:50" x14ac:dyDescent="0.25">
      <c r="A467" s="102">
        <v>830000</v>
      </c>
      <c r="B467" s="102">
        <v>2400000</v>
      </c>
      <c r="C467" s="102">
        <v>2400000</v>
      </c>
      <c r="D467" s="90" t="s">
        <v>374</v>
      </c>
      <c r="E467" s="90" t="s">
        <v>68</v>
      </c>
      <c r="F467" s="90" t="s">
        <v>375</v>
      </c>
      <c r="G467" s="90" t="s">
        <v>376</v>
      </c>
      <c r="H467" s="90">
        <v>0.59</v>
      </c>
      <c r="I467" s="90">
        <v>0.64</v>
      </c>
      <c r="J467" s="90" t="s">
        <v>244</v>
      </c>
      <c r="K467" s="90">
        <v>1.0126339992700001E-3</v>
      </c>
      <c r="L467" s="90">
        <v>3733.4874132284599</v>
      </c>
      <c r="M467" s="90">
        <v>11.794272425868099</v>
      </c>
      <c r="N467" s="90">
        <v>2.3949625010971198</v>
      </c>
      <c r="O467" s="90">
        <v>1.1943281255139999E-2</v>
      </c>
      <c r="P467" s="90">
        <v>2.4252204556000001E-3</v>
      </c>
      <c r="Q467" s="90">
        <v>3.78065629050041</v>
      </c>
      <c r="R467" s="90">
        <v>1300</v>
      </c>
      <c r="S467" s="90" t="s">
        <v>387</v>
      </c>
      <c r="T467" s="90">
        <v>1300</v>
      </c>
      <c r="U467" s="90" t="s">
        <v>378</v>
      </c>
      <c r="V467" s="90" t="s">
        <v>244</v>
      </c>
      <c r="Z467" s="90">
        <v>0</v>
      </c>
      <c r="AA467" s="90">
        <v>1</v>
      </c>
      <c r="AB467" s="90">
        <v>1.1943281255139999E-2</v>
      </c>
      <c r="AC467" s="90">
        <v>2.4252204556000001E-3</v>
      </c>
      <c r="AD467" s="90">
        <v>3.78065629050116</v>
      </c>
      <c r="AF467" s="90">
        <v>-1</v>
      </c>
      <c r="AG467" s="90">
        <v>-1</v>
      </c>
      <c r="AH467" s="90">
        <v>-1</v>
      </c>
      <c r="AI467" s="90">
        <v>-1</v>
      </c>
      <c r="AJ467" s="90">
        <v>0</v>
      </c>
      <c r="AM467" s="90" t="s">
        <v>379</v>
      </c>
      <c r="AN467" s="90">
        <v>-1</v>
      </c>
      <c r="AQ467" s="90">
        <v>356</v>
      </c>
      <c r="AR467" s="90" t="s">
        <v>380</v>
      </c>
      <c r="AS467" s="90" t="s">
        <v>246</v>
      </c>
      <c r="AT467" s="90" t="s">
        <v>244</v>
      </c>
      <c r="AU467" s="90">
        <v>175.87190000000001</v>
      </c>
      <c r="AV467" s="90">
        <v>12.4812654762232</v>
      </c>
      <c r="AW467" s="90">
        <v>4.09798440350745</v>
      </c>
      <c r="AX467" s="90">
        <v>3.0662256999999999E-3</v>
      </c>
    </row>
    <row r="468" spans="1:50" x14ac:dyDescent="0.25">
      <c r="A468" s="102">
        <v>830000</v>
      </c>
      <c r="B468" s="102">
        <v>2400000</v>
      </c>
      <c r="C468" s="102">
        <v>2400000</v>
      </c>
      <c r="D468" s="90" t="s">
        <v>374</v>
      </c>
      <c r="E468" s="90" t="s">
        <v>68</v>
      </c>
      <c r="F468" s="90" t="s">
        <v>375</v>
      </c>
      <c r="G468" s="90" t="s">
        <v>376</v>
      </c>
      <c r="H468" s="90">
        <v>0.59</v>
      </c>
      <c r="I468" s="90">
        <v>0.64</v>
      </c>
      <c r="J468" s="90" t="s">
        <v>244</v>
      </c>
      <c r="K468" s="90">
        <v>2.6543192145900001E-2</v>
      </c>
      <c r="L468" s="90">
        <v>3733.4874132284599</v>
      </c>
      <c r="M468" s="90">
        <v>11.794272425868099</v>
      </c>
      <c r="N468" s="90">
        <v>2.3949625010971198</v>
      </c>
      <c r="O468" s="90">
        <v>0.31305763922100999</v>
      </c>
      <c r="P468" s="90">
        <v>6.3569949848859997E-2</v>
      </c>
      <c r="Q468" s="90">
        <v>99.098673783655997</v>
      </c>
      <c r="R468" s="90">
        <v>1300</v>
      </c>
      <c r="S468" s="90" t="s">
        <v>387</v>
      </c>
      <c r="T468" s="90">
        <v>1300</v>
      </c>
      <c r="U468" s="90" t="s">
        <v>378</v>
      </c>
      <c r="V468" s="90" t="s">
        <v>244</v>
      </c>
      <c r="Z468" s="90">
        <v>0</v>
      </c>
      <c r="AA468" s="90">
        <v>1</v>
      </c>
      <c r="AB468" s="90">
        <v>0.31305763922100999</v>
      </c>
      <c r="AC468" s="90">
        <v>6.3569949848859997E-2</v>
      </c>
      <c r="AD468" s="90">
        <v>99.098673783655997</v>
      </c>
      <c r="AF468" s="90">
        <v>-1</v>
      </c>
      <c r="AG468" s="90">
        <v>-1</v>
      </c>
      <c r="AH468" s="90">
        <v>-1</v>
      </c>
      <c r="AI468" s="90">
        <v>-1</v>
      </c>
      <c r="AJ468" s="90">
        <v>0</v>
      </c>
      <c r="AM468" s="90" t="s">
        <v>379</v>
      </c>
      <c r="AN468" s="90">
        <v>-1</v>
      </c>
      <c r="AQ468" s="90">
        <v>356</v>
      </c>
      <c r="AR468" s="90" t="s">
        <v>380</v>
      </c>
      <c r="AS468" s="90" t="s">
        <v>246</v>
      </c>
      <c r="AT468" s="90" t="s">
        <v>244</v>
      </c>
      <c r="AU468" s="90">
        <v>175.87190000000001</v>
      </c>
      <c r="AV468" s="90">
        <v>93.953346573386895</v>
      </c>
      <c r="AW468" s="90">
        <v>107.416487606668</v>
      </c>
      <c r="AX468" s="90">
        <v>8.0371998200000003E-2</v>
      </c>
    </row>
    <row r="469" spans="1:50" x14ac:dyDescent="0.25">
      <c r="A469" s="102">
        <v>830000</v>
      </c>
      <c r="B469" s="102">
        <v>2400000</v>
      </c>
      <c r="C469" s="102">
        <v>2400000</v>
      </c>
      <c r="D469" s="90" t="s">
        <v>374</v>
      </c>
      <c r="E469" s="90" t="s">
        <v>68</v>
      </c>
      <c r="F469" s="90" t="s">
        <v>375</v>
      </c>
      <c r="G469" s="90" t="s">
        <v>376</v>
      </c>
      <c r="H469" s="90">
        <v>0.59</v>
      </c>
      <c r="I469" s="90">
        <v>0.64</v>
      </c>
      <c r="J469" s="90" t="s">
        <v>244</v>
      </c>
      <c r="K469" s="90">
        <v>0.59293843416601</v>
      </c>
      <c r="L469" s="90">
        <v>3782.53837631235</v>
      </c>
      <c r="M469" s="90">
        <v>11.5916125235444</v>
      </c>
      <c r="N469" s="90">
        <v>1.5567255608630599</v>
      </c>
      <c r="O469" s="90">
        <v>6.8731125791696002</v>
      </c>
      <c r="P469" s="90">
        <v>0.92304241648435004</v>
      </c>
      <c r="Q469" s="90">
        <v>2242.8123820235</v>
      </c>
      <c r="R469" s="90">
        <v>1410</v>
      </c>
      <c r="S469" s="90" t="s">
        <v>325</v>
      </c>
      <c r="T469" s="90">
        <v>1410</v>
      </c>
      <c r="U469" s="90" t="s">
        <v>378</v>
      </c>
      <c r="V469" s="90" t="s">
        <v>244</v>
      </c>
      <c r="Z469" s="90">
        <v>0</v>
      </c>
      <c r="AA469" s="90">
        <v>1</v>
      </c>
      <c r="AB469" s="90">
        <v>6.8731125791696002</v>
      </c>
      <c r="AC469" s="90">
        <v>0.92304241648435004</v>
      </c>
      <c r="AD469" s="90">
        <v>2242.8123820235</v>
      </c>
      <c r="AF469" s="90">
        <v>-1</v>
      </c>
      <c r="AG469" s="90">
        <v>-1</v>
      </c>
      <c r="AH469" s="90">
        <v>-1</v>
      </c>
      <c r="AI469" s="90">
        <v>-1</v>
      </c>
      <c r="AJ469" s="90">
        <v>0</v>
      </c>
      <c r="AM469" s="90" t="s">
        <v>379</v>
      </c>
      <c r="AN469" s="90">
        <v>-1</v>
      </c>
      <c r="AQ469" s="90">
        <v>356</v>
      </c>
      <c r="AR469" s="90" t="s">
        <v>380</v>
      </c>
      <c r="AS469" s="90" t="s">
        <v>246</v>
      </c>
      <c r="AT469" s="90" t="s">
        <v>244</v>
      </c>
      <c r="AU469" s="90">
        <v>175.87190000000001</v>
      </c>
      <c r="AV469" s="90">
        <v>196.110202948118</v>
      </c>
      <c r="AW469" s="90">
        <v>2399.53671039253</v>
      </c>
      <c r="AX469" s="90">
        <v>1.8189881444</v>
      </c>
    </row>
    <row r="470" spans="1:50" x14ac:dyDescent="0.25">
      <c r="A470" s="102">
        <v>830000</v>
      </c>
      <c r="B470" s="102">
        <v>2400000</v>
      </c>
      <c r="C470" s="102">
        <v>2400000</v>
      </c>
      <c r="D470" s="90" t="s">
        <v>374</v>
      </c>
      <c r="E470" s="90" t="s">
        <v>68</v>
      </c>
      <c r="F470" s="90" t="s">
        <v>375</v>
      </c>
      <c r="G470" s="90" t="s">
        <v>376</v>
      </c>
      <c r="H470" s="90">
        <v>0.59</v>
      </c>
      <c r="I470" s="90">
        <v>0.64</v>
      </c>
      <c r="J470" s="90" t="s">
        <v>244</v>
      </c>
      <c r="K470" s="90">
        <v>2.482501970901E-2</v>
      </c>
      <c r="L470" s="90">
        <v>3782.53837631235</v>
      </c>
      <c r="M470" s="90">
        <v>11.5916125235444</v>
      </c>
      <c r="N470" s="90">
        <v>1.5567255608630599</v>
      </c>
      <c r="O470" s="90">
        <v>0.28776200935629997</v>
      </c>
      <c r="P470" s="90">
        <v>3.864574272995E-2</v>
      </c>
      <c r="Q470" s="90">
        <v>93.901589742074904</v>
      </c>
      <c r="R470" s="90">
        <v>1300</v>
      </c>
      <c r="S470" s="90" t="s">
        <v>387</v>
      </c>
      <c r="T470" s="90">
        <v>1300</v>
      </c>
      <c r="U470" s="90" t="s">
        <v>378</v>
      </c>
      <c r="V470" s="90" t="s">
        <v>244</v>
      </c>
      <c r="Z470" s="90">
        <v>0</v>
      </c>
      <c r="AA470" s="90">
        <v>1</v>
      </c>
      <c r="AB470" s="90">
        <v>0.28776200935629997</v>
      </c>
      <c r="AC470" s="90">
        <v>3.864574272995E-2</v>
      </c>
      <c r="AD470" s="90">
        <v>93.901589742075998</v>
      </c>
      <c r="AF470" s="90">
        <v>-1</v>
      </c>
      <c r="AG470" s="90">
        <v>-1</v>
      </c>
      <c r="AH470" s="90">
        <v>-1</v>
      </c>
      <c r="AI470" s="90">
        <v>-1</v>
      </c>
      <c r="AJ470" s="90">
        <v>0</v>
      </c>
      <c r="AM470" s="90" t="s">
        <v>379</v>
      </c>
      <c r="AN470" s="90">
        <v>-1</v>
      </c>
      <c r="AQ470" s="90">
        <v>356</v>
      </c>
      <c r="AR470" s="90" t="s">
        <v>380</v>
      </c>
      <c r="AS470" s="90" t="s">
        <v>246</v>
      </c>
      <c r="AT470" s="90" t="s">
        <v>244</v>
      </c>
      <c r="AU470" s="90">
        <v>175.87190000000001</v>
      </c>
      <c r="AV470" s="90">
        <v>103.97032583739799</v>
      </c>
      <c r="AW470" s="90">
        <v>100.463290445651</v>
      </c>
      <c r="AX470" s="90">
        <v>7.6157007099999993E-2</v>
      </c>
    </row>
    <row r="471" spans="1:50" x14ac:dyDescent="0.25">
      <c r="A471" s="102">
        <v>830000</v>
      </c>
      <c r="B471" s="102">
        <v>2400000</v>
      </c>
      <c r="C471" s="102">
        <v>2400000</v>
      </c>
      <c r="D471" s="90" t="s">
        <v>374</v>
      </c>
      <c r="E471" s="90" t="s">
        <v>68</v>
      </c>
      <c r="F471" s="90" t="s">
        <v>375</v>
      </c>
      <c r="G471" s="90" t="s">
        <v>376</v>
      </c>
      <c r="H471" s="90">
        <v>0.59</v>
      </c>
      <c r="I471" s="90">
        <v>0.64</v>
      </c>
      <c r="J471" s="90" t="s">
        <v>244</v>
      </c>
      <c r="K471" s="90">
        <v>0.45717383106159998</v>
      </c>
      <c r="L471" s="90">
        <v>3749.2876066120202</v>
      </c>
      <c r="M471" s="90">
        <v>10.817476639080301</v>
      </c>
      <c r="N471" s="90">
        <v>2.0878476929486198</v>
      </c>
      <c r="O471" s="90">
        <v>4.9454672375077404</v>
      </c>
      <c r="P471" s="90">
        <v>0.95450932845844005</v>
      </c>
      <c r="Q471" s="90">
        <v>1714.0761788666</v>
      </c>
      <c r="R471" s="90">
        <v>1300</v>
      </c>
      <c r="S471" s="90" t="s">
        <v>387</v>
      </c>
      <c r="T471" s="90">
        <v>1300</v>
      </c>
      <c r="U471" s="90" t="s">
        <v>378</v>
      </c>
      <c r="V471" s="90" t="s">
        <v>244</v>
      </c>
      <c r="Z471" s="90">
        <v>0</v>
      </c>
      <c r="AA471" s="90">
        <v>1</v>
      </c>
      <c r="AB471" s="90">
        <v>4.9454672375077404</v>
      </c>
      <c r="AC471" s="90">
        <v>0.95450932845844005</v>
      </c>
      <c r="AD471" s="90">
        <v>1714.0761788666</v>
      </c>
      <c r="AF471" s="90">
        <v>-1</v>
      </c>
      <c r="AG471" s="90">
        <v>-1</v>
      </c>
      <c r="AH471" s="90">
        <v>-1</v>
      </c>
      <c r="AI471" s="90">
        <v>-1</v>
      </c>
      <c r="AJ471" s="90">
        <v>0</v>
      </c>
      <c r="AM471" s="90" t="s">
        <v>379</v>
      </c>
      <c r="AN471" s="90">
        <v>-1</v>
      </c>
      <c r="AQ471" s="90">
        <v>356</v>
      </c>
      <c r="AR471" s="90" t="s">
        <v>380</v>
      </c>
      <c r="AS471" s="90" t="s">
        <v>246</v>
      </c>
      <c r="AT471" s="90" t="s">
        <v>244</v>
      </c>
      <c r="AU471" s="90">
        <v>175.87190000000001</v>
      </c>
      <c r="AV471" s="90">
        <v>183.07754202971799</v>
      </c>
      <c r="AW471" s="90">
        <v>1850.1168543848501</v>
      </c>
      <c r="AX471" s="90">
        <v>1.3901672171999999</v>
      </c>
    </row>
    <row r="472" spans="1:50" x14ac:dyDescent="0.25">
      <c r="A472" s="102">
        <v>830000</v>
      </c>
      <c r="B472" s="102">
        <v>2400000</v>
      </c>
      <c r="C472" s="102">
        <v>2400000</v>
      </c>
      <c r="D472" s="90" t="s">
        <v>374</v>
      </c>
      <c r="E472" s="90" t="s">
        <v>68</v>
      </c>
      <c r="F472" s="90" t="s">
        <v>375</v>
      </c>
      <c r="G472" s="90" t="s">
        <v>376</v>
      </c>
      <c r="H472" s="90">
        <v>0.59</v>
      </c>
      <c r="I472" s="90">
        <v>0.64</v>
      </c>
      <c r="J472" s="90" t="s">
        <v>244</v>
      </c>
      <c r="K472" s="90">
        <v>0.16058962256028</v>
      </c>
      <c r="L472" s="90">
        <v>3749.2876066120202</v>
      </c>
      <c r="M472" s="90">
        <v>10.817476639080301</v>
      </c>
      <c r="N472" s="90">
        <v>2.0878476929486198</v>
      </c>
      <c r="O472" s="90">
        <v>1.73717449052461</v>
      </c>
      <c r="P472" s="90">
        <v>0.33528667297398002</v>
      </c>
      <c r="Q472" s="90">
        <v>602.09668161577895</v>
      </c>
      <c r="R472" s="90">
        <v>1300</v>
      </c>
      <c r="S472" s="90" t="s">
        <v>387</v>
      </c>
      <c r="T472" s="90">
        <v>1300</v>
      </c>
      <c r="U472" s="90" t="s">
        <v>378</v>
      </c>
      <c r="V472" s="90" t="s">
        <v>244</v>
      </c>
      <c r="Z472" s="90">
        <v>0</v>
      </c>
      <c r="AA472" s="90">
        <v>1</v>
      </c>
      <c r="AB472" s="90">
        <v>1.73717449052461</v>
      </c>
      <c r="AC472" s="90">
        <v>0.33528667297398002</v>
      </c>
      <c r="AD472" s="90">
        <v>602.09668161577895</v>
      </c>
      <c r="AF472" s="90">
        <v>-1</v>
      </c>
      <c r="AG472" s="90">
        <v>-1</v>
      </c>
      <c r="AH472" s="90">
        <v>-1</v>
      </c>
      <c r="AI472" s="90">
        <v>-1</v>
      </c>
      <c r="AJ472" s="90">
        <v>0</v>
      </c>
      <c r="AM472" s="90" t="s">
        <v>379</v>
      </c>
      <c r="AN472" s="90">
        <v>-1</v>
      </c>
      <c r="AQ472" s="90">
        <v>356</v>
      </c>
      <c r="AR472" s="90" t="s">
        <v>380</v>
      </c>
      <c r="AS472" s="90" t="s">
        <v>246</v>
      </c>
      <c r="AT472" s="90" t="s">
        <v>244</v>
      </c>
      <c r="AU472" s="90">
        <v>175.87190000000001</v>
      </c>
      <c r="AV472" s="90">
        <v>147.450584851603</v>
      </c>
      <c r="AW472" s="90">
        <v>649.88314542888099</v>
      </c>
      <c r="AX472" s="90">
        <v>0.4883184766</v>
      </c>
    </row>
    <row r="473" spans="1:50" x14ac:dyDescent="0.25">
      <c r="A473" s="102">
        <v>830000</v>
      </c>
      <c r="B473" s="102">
        <v>2400000</v>
      </c>
      <c r="C473" s="102">
        <v>2400000</v>
      </c>
      <c r="D473" s="90" t="s">
        <v>374</v>
      </c>
      <c r="E473" s="90" t="s">
        <v>68</v>
      </c>
      <c r="F473" s="90" t="s">
        <v>375</v>
      </c>
      <c r="G473" s="90" t="s">
        <v>376</v>
      </c>
      <c r="H473" s="90">
        <v>0.59</v>
      </c>
      <c r="I473" s="90">
        <v>0.64</v>
      </c>
      <c r="J473" s="90" t="s">
        <v>244</v>
      </c>
      <c r="K473" s="90">
        <v>0.61776345359886997</v>
      </c>
      <c r="L473" s="90">
        <v>3747.7351297346399</v>
      </c>
      <c r="M473" s="90">
        <v>10.782714416832</v>
      </c>
      <c r="N473" s="90">
        <v>2.0776258092302702</v>
      </c>
      <c r="O473" s="90">
        <v>6.6611668973125502</v>
      </c>
      <c r="P473" s="90">
        <v>1.28348129519624</v>
      </c>
      <c r="Q473" s="90">
        <v>2315.2137969186902</v>
      </c>
      <c r="R473" s="90">
        <v>1300</v>
      </c>
      <c r="S473" s="90" t="s">
        <v>387</v>
      </c>
      <c r="T473" s="90">
        <v>1300</v>
      </c>
      <c r="U473" s="90" t="s">
        <v>378</v>
      </c>
      <c r="V473" s="90" t="s">
        <v>244</v>
      </c>
      <c r="Z473" s="90">
        <v>0</v>
      </c>
      <c r="AA473" s="90">
        <v>1</v>
      </c>
      <c r="AB473" s="90">
        <v>6.6611668973125502</v>
      </c>
      <c r="AC473" s="90">
        <v>1.28348129519624</v>
      </c>
      <c r="AD473" s="90">
        <v>2315.2137969186902</v>
      </c>
      <c r="AF473" s="90">
        <v>-1</v>
      </c>
      <c r="AG473" s="90">
        <v>-1</v>
      </c>
      <c r="AH473" s="90">
        <v>-1</v>
      </c>
      <c r="AI473" s="90">
        <v>-1</v>
      </c>
      <c r="AJ473" s="90">
        <v>0</v>
      </c>
      <c r="AM473" s="90" t="s">
        <v>379</v>
      </c>
      <c r="AN473" s="90">
        <v>-1</v>
      </c>
      <c r="AQ473" s="90">
        <v>356</v>
      </c>
      <c r="AR473" s="90" t="s">
        <v>380</v>
      </c>
      <c r="AS473" s="90" t="s">
        <v>246</v>
      </c>
      <c r="AT473" s="90" t="s">
        <v>244</v>
      </c>
      <c r="AU473" s="90">
        <v>175.87190000000001</v>
      </c>
      <c r="AV473" s="90">
        <v>199.99999998882399</v>
      </c>
      <c r="AW473" s="90">
        <v>2499.9999997206</v>
      </c>
      <c r="AX473" s="90">
        <v>1.8777078645</v>
      </c>
    </row>
    <row r="474" spans="1:50" x14ac:dyDescent="0.25">
      <c r="A474" s="102">
        <v>830000</v>
      </c>
      <c r="B474" s="102">
        <v>2400000</v>
      </c>
      <c r="C474" s="102">
        <v>2400000</v>
      </c>
      <c r="D474" s="90" t="s">
        <v>374</v>
      </c>
      <c r="E474" s="90" t="s">
        <v>68</v>
      </c>
      <c r="F474" s="90" t="s">
        <v>375</v>
      </c>
      <c r="G474" s="90" t="s">
        <v>376</v>
      </c>
      <c r="H474" s="90">
        <v>0.59</v>
      </c>
      <c r="I474" s="90">
        <v>0.64</v>
      </c>
      <c r="J474" s="90" t="s">
        <v>244</v>
      </c>
      <c r="K474" s="90">
        <v>3.7216231981139998E-2</v>
      </c>
      <c r="L474" s="90">
        <v>3770.3992822626401</v>
      </c>
      <c r="M474" s="90">
        <v>11.2717680171006</v>
      </c>
      <c r="N474" s="90">
        <v>1.56601307838828</v>
      </c>
      <c r="O474" s="90">
        <v>0.41949273336200998</v>
      </c>
      <c r="P474" s="90">
        <v>5.828110601079E-2</v>
      </c>
      <c r="Q474" s="90">
        <v>140.32005435021</v>
      </c>
      <c r="R474" s="90">
        <v>1200</v>
      </c>
      <c r="S474" s="90" t="s">
        <v>384</v>
      </c>
      <c r="T474" s="90">
        <v>1200</v>
      </c>
      <c r="U474" s="90" t="s">
        <v>378</v>
      </c>
      <c r="V474" s="90" t="s">
        <v>244</v>
      </c>
      <c r="Z474" s="90">
        <v>0</v>
      </c>
      <c r="AA474" s="90">
        <v>1</v>
      </c>
      <c r="AB474" s="90">
        <v>0.41949273336200998</v>
      </c>
      <c r="AC474" s="90">
        <v>5.828110601079E-2</v>
      </c>
      <c r="AD474" s="90">
        <v>260.28649152060598</v>
      </c>
      <c r="AF474" s="90">
        <v>-1</v>
      </c>
      <c r="AG474" s="90">
        <v>-1</v>
      </c>
      <c r="AH474" s="90">
        <v>-1</v>
      </c>
      <c r="AI474" s="90">
        <v>-1</v>
      </c>
      <c r="AJ474" s="90">
        <v>0</v>
      </c>
      <c r="AM474" s="90" t="s">
        <v>379</v>
      </c>
      <c r="AN474" s="90">
        <v>-1</v>
      </c>
      <c r="AQ474" s="90">
        <v>356</v>
      </c>
      <c r="AR474" s="90" t="s">
        <v>380</v>
      </c>
      <c r="AS474" s="90" t="s">
        <v>246</v>
      </c>
      <c r="AT474" s="90" t="s">
        <v>244</v>
      </c>
      <c r="AU474" s="90">
        <v>175.87190000000001</v>
      </c>
      <c r="AV474" s="90">
        <v>51.790322933480198</v>
      </c>
      <c r="AW474" s="90">
        <v>150.60874741040601</v>
      </c>
      <c r="AX474" s="90">
        <v>0.21110015530000001</v>
      </c>
    </row>
    <row r="475" spans="1:50" x14ac:dyDescent="0.25">
      <c r="A475" s="102">
        <v>830000</v>
      </c>
      <c r="B475" s="102">
        <v>2400000</v>
      </c>
      <c r="C475" s="102">
        <v>2400000</v>
      </c>
      <c r="D475" s="90" t="s">
        <v>374</v>
      </c>
      <c r="E475" s="90" t="s">
        <v>68</v>
      </c>
      <c r="F475" s="90" t="s">
        <v>375</v>
      </c>
      <c r="G475" s="90" t="s">
        <v>376</v>
      </c>
      <c r="H475" s="90">
        <v>0.59</v>
      </c>
      <c r="I475" s="90">
        <v>0.64</v>
      </c>
      <c r="J475" s="90" t="s">
        <v>244</v>
      </c>
      <c r="K475" s="90">
        <v>1.2737888942520001E-2</v>
      </c>
      <c r="L475" s="90">
        <v>3770.3992822626401</v>
      </c>
      <c r="M475" s="90">
        <v>11.2717680171006</v>
      </c>
      <c r="N475" s="90">
        <v>1.56601307838828</v>
      </c>
      <c r="O475" s="90">
        <v>0.14357852918769001</v>
      </c>
      <c r="P475" s="90">
        <v>1.9947700675039998E-2</v>
      </c>
      <c r="Q475" s="90">
        <v>48.026927326426197</v>
      </c>
      <c r="R475" s="90">
        <v>1400</v>
      </c>
      <c r="S475" s="90" t="s">
        <v>324</v>
      </c>
      <c r="T475" s="90">
        <v>1400</v>
      </c>
      <c r="U475" s="90" t="s">
        <v>378</v>
      </c>
      <c r="V475" s="90" t="s">
        <v>244</v>
      </c>
      <c r="Z475" s="90">
        <v>0</v>
      </c>
      <c r="AA475" s="90">
        <v>1</v>
      </c>
      <c r="AB475" s="90">
        <v>0.14357852918769001</v>
      </c>
      <c r="AC475" s="90">
        <v>1.9947700675039998E-2</v>
      </c>
      <c r="AD475" s="90">
        <v>48.026927326425501</v>
      </c>
      <c r="AF475" s="90">
        <v>-1</v>
      </c>
      <c r="AG475" s="90">
        <v>-1</v>
      </c>
      <c r="AH475" s="90">
        <v>-1</v>
      </c>
      <c r="AI475" s="90">
        <v>-1</v>
      </c>
      <c r="AJ475" s="90">
        <v>0</v>
      </c>
      <c r="AM475" s="90" t="s">
        <v>379</v>
      </c>
      <c r="AN475" s="90">
        <v>-1</v>
      </c>
      <c r="AQ475" s="90">
        <v>356</v>
      </c>
      <c r="AR475" s="90" t="s">
        <v>380</v>
      </c>
      <c r="AS475" s="90" t="s">
        <v>246</v>
      </c>
      <c r="AT475" s="90" t="s">
        <v>244</v>
      </c>
      <c r="AU475" s="90">
        <v>175.87190000000001</v>
      </c>
      <c r="AV475" s="90">
        <v>46.0177417686252</v>
      </c>
      <c r="AW475" s="90">
        <v>51.548407674862197</v>
      </c>
      <c r="AX475" s="90">
        <v>3.8951279300000002E-2</v>
      </c>
    </row>
    <row r="476" spans="1:50" x14ac:dyDescent="0.25">
      <c r="A476" s="102">
        <v>830000</v>
      </c>
      <c r="B476" s="102">
        <v>2400000</v>
      </c>
      <c r="C476" s="102">
        <v>2400000</v>
      </c>
      <c r="D476" s="90" t="s">
        <v>374</v>
      </c>
      <c r="E476" s="90" t="s">
        <v>68</v>
      </c>
      <c r="F476" s="90" t="s">
        <v>375</v>
      </c>
      <c r="G476" s="90" t="s">
        <v>376</v>
      </c>
      <c r="H476" s="90">
        <v>0.59</v>
      </c>
      <c r="I476" s="90">
        <v>0.64</v>
      </c>
      <c r="J476" s="90" t="s">
        <v>244</v>
      </c>
      <c r="K476" s="90">
        <v>0.45989211473583003</v>
      </c>
      <c r="L476" s="90">
        <v>3770.3992822626401</v>
      </c>
      <c r="M476" s="90">
        <v>11.2717680171006</v>
      </c>
      <c r="N476" s="90">
        <v>1.56601307838828</v>
      </c>
      <c r="O476" s="90">
        <v>5.1837972301961104</v>
      </c>
      <c r="P476" s="90">
        <v>0.72019706632394997</v>
      </c>
      <c r="Q476" s="90">
        <v>1733.9768993182199</v>
      </c>
      <c r="R476" s="90">
        <v>1410</v>
      </c>
      <c r="S476" s="90" t="s">
        <v>325</v>
      </c>
      <c r="T476" s="90">
        <v>1410</v>
      </c>
      <c r="U476" s="90" t="s">
        <v>378</v>
      </c>
      <c r="V476" s="90" t="s">
        <v>244</v>
      </c>
      <c r="Z476" s="90">
        <v>0</v>
      </c>
      <c r="AA476" s="90">
        <v>1</v>
      </c>
      <c r="AB476" s="90">
        <v>5.1837972301961104</v>
      </c>
      <c r="AC476" s="90">
        <v>0.72019706632394997</v>
      </c>
      <c r="AD476" s="90">
        <v>1799.16280634653</v>
      </c>
      <c r="AF476" s="90">
        <v>-1</v>
      </c>
      <c r="AG476" s="90">
        <v>-1</v>
      </c>
      <c r="AH476" s="90">
        <v>-1</v>
      </c>
      <c r="AI476" s="90">
        <v>-1</v>
      </c>
      <c r="AJ476" s="90">
        <v>0</v>
      </c>
      <c r="AM476" s="90" t="s">
        <v>379</v>
      </c>
      <c r="AN476" s="90">
        <v>-1</v>
      </c>
      <c r="AQ476" s="90">
        <v>356</v>
      </c>
      <c r="AR476" s="90" t="s">
        <v>380</v>
      </c>
      <c r="AS476" s="90" t="s">
        <v>246</v>
      </c>
      <c r="AT476" s="90" t="s">
        <v>244</v>
      </c>
      <c r="AU476" s="90">
        <v>175.87190000000001</v>
      </c>
      <c r="AV476" s="90">
        <v>172.40817910638501</v>
      </c>
      <c r="AW476" s="90">
        <v>1861.1173581298101</v>
      </c>
      <c r="AX476" s="90">
        <v>1.4591750254</v>
      </c>
    </row>
    <row r="477" spans="1:50" x14ac:dyDescent="0.25">
      <c r="A477" s="102">
        <v>830000</v>
      </c>
      <c r="B477" s="102">
        <v>2400000</v>
      </c>
      <c r="C477" s="102">
        <v>2400000</v>
      </c>
      <c r="D477" s="90" t="s">
        <v>374</v>
      </c>
      <c r="E477" s="90" t="s">
        <v>68</v>
      </c>
      <c r="F477" s="90" t="s">
        <v>375</v>
      </c>
      <c r="G477" s="90" t="s">
        <v>376</v>
      </c>
      <c r="H477" s="90">
        <v>0.59</v>
      </c>
      <c r="I477" s="90">
        <v>0.64</v>
      </c>
      <c r="J477" s="90" t="s">
        <v>244</v>
      </c>
      <c r="K477" s="90">
        <v>0.43182966877006002</v>
      </c>
      <c r="L477" s="90">
        <v>3747.7298696224998</v>
      </c>
      <c r="M477" s="90">
        <v>10.782699282803</v>
      </c>
      <c r="N477" s="90">
        <v>2.07762289318674</v>
      </c>
      <c r="O477" s="90">
        <v>4.6562894597400604</v>
      </c>
      <c r="P477" s="90">
        <v>0.89717920579393995</v>
      </c>
      <c r="Q477" s="90">
        <v>1618.3809482387701</v>
      </c>
      <c r="R477" s="90">
        <v>1300</v>
      </c>
      <c r="S477" s="90" t="s">
        <v>387</v>
      </c>
      <c r="T477" s="90">
        <v>1300</v>
      </c>
      <c r="U477" s="90" t="s">
        <v>378</v>
      </c>
      <c r="V477" s="90" t="s">
        <v>244</v>
      </c>
      <c r="Z477" s="90">
        <v>0</v>
      </c>
      <c r="AA477" s="90">
        <v>1</v>
      </c>
      <c r="AB477" s="90">
        <v>4.6562894597400604</v>
      </c>
      <c r="AC477" s="90">
        <v>0.89717920579393995</v>
      </c>
      <c r="AD477" s="90">
        <v>1618.3809482387701</v>
      </c>
      <c r="AF477" s="90">
        <v>-1</v>
      </c>
      <c r="AG477" s="90">
        <v>-1</v>
      </c>
      <c r="AH477" s="90">
        <v>-1</v>
      </c>
      <c r="AI477" s="90">
        <v>-1</v>
      </c>
      <c r="AJ477" s="90">
        <v>0</v>
      </c>
      <c r="AM477" s="90" t="s">
        <v>379</v>
      </c>
      <c r="AN477" s="90">
        <v>-1</v>
      </c>
      <c r="AQ477" s="90">
        <v>356</v>
      </c>
      <c r="AR477" s="90" t="s">
        <v>380</v>
      </c>
      <c r="AS477" s="90" t="s">
        <v>246</v>
      </c>
      <c r="AT477" s="90" t="s">
        <v>244</v>
      </c>
      <c r="AU477" s="90">
        <v>175.87190000000001</v>
      </c>
      <c r="AV477" s="90">
        <v>170.26877371901301</v>
      </c>
      <c r="AW477" s="90">
        <v>1747.5526684450101</v>
      </c>
      <c r="AX477" s="90">
        <v>1.3125555136</v>
      </c>
    </row>
    <row r="478" spans="1:50" x14ac:dyDescent="0.25">
      <c r="A478" s="102">
        <v>830000</v>
      </c>
      <c r="B478" s="102">
        <v>2400000</v>
      </c>
      <c r="C478" s="102">
        <v>2400000</v>
      </c>
      <c r="D478" s="90" t="s">
        <v>374</v>
      </c>
      <c r="E478" s="90" t="s">
        <v>68</v>
      </c>
      <c r="F478" s="90" t="s">
        <v>375</v>
      </c>
      <c r="G478" s="90" t="s">
        <v>376</v>
      </c>
      <c r="H478" s="90">
        <v>0.59</v>
      </c>
      <c r="I478" s="90">
        <v>0.64</v>
      </c>
      <c r="J478" s="90" t="s">
        <v>381</v>
      </c>
      <c r="K478" s="90">
        <v>6.3330457877999995E-4</v>
      </c>
      <c r="L478" s="90">
        <v>3763.4238827784502</v>
      </c>
      <c r="M478" s="90">
        <v>10.3740872741696</v>
      </c>
      <c r="N478" s="90">
        <v>1.3904690021400901</v>
      </c>
      <c r="O478" s="90">
        <v>6.5699569714799998E-3</v>
      </c>
      <c r="P478" s="90">
        <v>8.8059038570999996E-4</v>
      </c>
      <c r="Q478" s="90">
        <v>2.3833935768874701</v>
      </c>
      <c r="R478" s="90">
        <v>1300</v>
      </c>
      <c r="S478" s="90" t="s">
        <v>387</v>
      </c>
      <c r="T478" s="90">
        <v>1300</v>
      </c>
      <c r="U478" s="90" t="s">
        <v>382</v>
      </c>
      <c r="V478" s="90" t="s">
        <v>381</v>
      </c>
      <c r="Z478" s="90">
        <v>0</v>
      </c>
      <c r="AA478" s="90">
        <v>1</v>
      </c>
      <c r="AB478" s="90">
        <v>6.5699569714799998E-3</v>
      </c>
      <c r="AC478" s="90">
        <v>8.8059038570999996E-4</v>
      </c>
      <c r="AD478" s="90">
        <v>2.3833935768887899</v>
      </c>
      <c r="AF478" s="90">
        <v>-1</v>
      </c>
      <c r="AG478" s="90">
        <v>-1</v>
      </c>
      <c r="AH478" s="90">
        <v>-1</v>
      </c>
      <c r="AI478" s="90">
        <v>-1</v>
      </c>
      <c r="AJ478" s="90">
        <v>0</v>
      </c>
      <c r="AM478" s="90" t="s">
        <v>379</v>
      </c>
      <c r="AN478" s="90">
        <v>-1</v>
      </c>
      <c r="AQ478" s="90">
        <v>356</v>
      </c>
      <c r="AR478" s="90" t="s">
        <v>380</v>
      </c>
      <c r="AS478" s="90" t="s">
        <v>246</v>
      </c>
      <c r="AT478" s="90" t="s">
        <v>244</v>
      </c>
      <c r="AU478" s="90">
        <v>175.87190000000001</v>
      </c>
      <c r="AV478" s="90">
        <v>15.9415875162306</v>
      </c>
      <c r="AW478" s="90">
        <v>2.5628927020090102</v>
      </c>
      <c r="AX478" s="90">
        <v>1.9330037E-3</v>
      </c>
    </row>
    <row r="479" spans="1:50" x14ac:dyDescent="0.25">
      <c r="A479" s="102">
        <v>830000</v>
      </c>
      <c r="B479" s="102">
        <v>2400000</v>
      </c>
      <c r="C479" s="102">
        <v>2400000</v>
      </c>
      <c r="D479" s="90" t="s">
        <v>374</v>
      </c>
      <c r="E479" s="90" t="s">
        <v>68</v>
      </c>
      <c r="F479" s="90" t="s">
        <v>375</v>
      </c>
      <c r="G479" s="90" t="s">
        <v>376</v>
      </c>
      <c r="H479" s="90">
        <v>0.59</v>
      </c>
      <c r="I479" s="90">
        <v>0.64</v>
      </c>
      <c r="J479" s="90" t="s">
        <v>244</v>
      </c>
      <c r="K479" s="90">
        <v>5.9035514321000005E-4</v>
      </c>
      <c r="L479" s="90">
        <v>3763.4238827784502</v>
      </c>
      <c r="M479" s="90">
        <v>10.3740872741696</v>
      </c>
      <c r="N479" s="90">
        <v>1.3904690021400901</v>
      </c>
      <c r="O479" s="90">
        <v>6.1243957784299996E-3</v>
      </c>
      <c r="P479" s="90">
        <v>8.2087052688999997E-4</v>
      </c>
      <c r="Q479" s="90">
        <v>2.2217566452851298</v>
      </c>
      <c r="R479" s="90">
        <v>1400</v>
      </c>
      <c r="S479" s="90" t="s">
        <v>324</v>
      </c>
      <c r="T479" s="90">
        <v>1400</v>
      </c>
      <c r="U479" s="90" t="s">
        <v>378</v>
      </c>
      <c r="V479" s="90" t="s">
        <v>244</v>
      </c>
      <c r="Z479" s="90">
        <v>0</v>
      </c>
      <c r="AA479" s="90">
        <v>1</v>
      </c>
      <c r="AB479" s="90">
        <v>6.1243957784299996E-3</v>
      </c>
      <c r="AC479" s="90">
        <v>8.2087052688999997E-4</v>
      </c>
      <c r="AD479" s="90">
        <v>2.2217566452839002</v>
      </c>
      <c r="AF479" s="90">
        <v>-1</v>
      </c>
      <c r="AG479" s="90">
        <v>-1</v>
      </c>
      <c r="AH479" s="90">
        <v>-1</v>
      </c>
      <c r="AI479" s="90">
        <v>-1</v>
      </c>
      <c r="AJ479" s="90">
        <v>0</v>
      </c>
      <c r="AM479" s="90" t="s">
        <v>379</v>
      </c>
      <c r="AN479" s="90">
        <v>-1</v>
      </c>
      <c r="AQ479" s="90">
        <v>356</v>
      </c>
      <c r="AR479" s="90" t="s">
        <v>380</v>
      </c>
      <c r="AS479" s="90" t="s">
        <v>246</v>
      </c>
      <c r="AT479" s="90" t="s">
        <v>244</v>
      </c>
      <c r="AU479" s="90">
        <v>175.87190000000001</v>
      </c>
      <c r="AV479" s="90">
        <v>106.45301112896</v>
      </c>
      <c r="AW479" s="90">
        <v>2.38908250280303</v>
      </c>
      <c r="AX479" s="90">
        <v>1.8019112999999999E-3</v>
      </c>
    </row>
    <row r="480" spans="1:50" x14ac:dyDescent="0.25">
      <c r="A480" s="102">
        <v>830000</v>
      </c>
      <c r="B480" s="102">
        <v>2400000</v>
      </c>
      <c r="C480" s="102">
        <v>2400000</v>
      </c>
      <c r="D480" s="90" t="s">
        <v>374</v>
      </c>
      <c r="E480" s="90" t="s">
        <v>68</v>
      </c>
      <c r="F480" s="90" t="s">
        <v>375</v>
      </c>
      <c r="G480" s="90" t="s">
        <v>376</v>
      </c>
      <c r="H480" s="90">
        <v>0.59</v>
      </c>
      <c r="I480" s="90">
        <v>0.64</v>
      </c>
      <c r="J480" s="90" t="s">
        <v>381</v>
      </c>
      <c r="K480" s="90">
        <v>8.9884712657509996E-2</v>
      </c>
      <c r="L480" s="90">
        <v>3763.4238827784502</v>
      </c>
      <c r="M480" s="90">
        <v>10.3740872741696</v>
      </c>
      <c r="N480" s="90">
        <v>1.3904690021400901</v>
      </c>
      <c r="O480" s="90">
        <v>0.93247185372271002</v>
      </c>
      <c r="P480" s="90">
        <v>0.12498190671654</v>
      </c>
      <c r="Q480" s="90">
        <v>338.27427431196702</v>
      </c>
      <c r="R480" s="90">
        <v>1400</v>
      </c>
      <c r="S480" s="90" t="s">
        <v>324</v>
      </c>
      <c r="T480" s="90">
        <v>1400</v>
      </c>
      <c r="U480" s="90" t="s">
        <v>382</v>
      </c>
      <c r="V480" s="90" t="s">
        <v>381</v>
      </c>
      <c r="Z480" s="90">
        <v>0</v>
      </c>
      <c r="AA480" s="90">
        <v>1</v>
      </c>
      <c r="AB480" s="90">
        <v>0.93247185372271002</v>
      </c>
      <c r="AC480" s="90">
        <v>0.12498190671654</v>
      </c>
      <c r="AD480" s="90">
        <v>338.27427431196497</v>
      </c>
      <c r="AF480" s="90">
        <v>-1</v>
      </c>
      <c r="AG480" s="90">
        <v>-1</v>
      </c>
      <c r="AH480" s="90">
        <v>-1</v>
      </c>
      <c r="AI480" s="90">
        <v>-1</v>
      </c>
      <c r="AJ480" s="90">
        <v>0</v>
      </c>
      <c r="AM480" s="90" t="s">
        <v>379</v>
      </c>
      <c r="AN480" s="90">
        <v>-1</v>
      </c>
      <c r="AQ480" s="90">
        <v>356</v>
      </c>
      <c r="AR480" s="90" t="s">
        <v>380</v>
      </c>
      <c r="AS480" s="90" t="s">
        <v>246</v>
      </c>
      <c r="AT480" s="90" t="s">
        <v>244</v>
      </c>
      <c r="AU480" s="90">
        <v>175.87190000000001</v>
      </c>
      <c r="AV480" s="90">
        <v>119.381776518064</v>
      </c>
      <c r="AW480" s="90">
        <v>363.75052669363703</v>
      </c>
      <c r="AX480" s="90">
        <v>0.27435058740000001</v>
      </c>
    </row>
    <row r="481" spans="1:50" x14ac:dyDescent="0.25">
      <c r="A481" s="102">
        <v>830000</v>
      </c>
      <c r="B481" s="102">
        <v>2400000</v>
      </c>
      <c r="C481" s="102">
        <v>2400000</v>
      </c>
      <c r="D481" s="90" t="s">
        <v>374</v>
      </c>
      <c r="E481" s="90" t="s">
        <v>68</v>
      </c>
      <c r="F481" s="90" t="s">
        <v>375</v>
      </c>
      <c r="G481" s="90" t="s">
        <v>376</v>
      </c>
      <c r="H481" s="90">
        <v>0.59</v>
      </c>
      <c r="I481" s="90">
        <v>0.64</v>
      </c>
      <c r="J481" s="90" t="s">
        <v>381</v>
      </c>
      <c r="K481" s="90">
        <v>1.6559121342600001E-3</v>
      </c>
      <c r="L481" s="90">
        <v>3763.4238827784502</v>
      </c>
      <c r="M481" s="90">
        <v>10.3740872741696</v>
      </c>
      <c r="N481" s="90">
        <v>1.3904690021400901</v>
      </c>
      <c r="O481" s="90">
        <v>1.7178576999189999E-2</v>
      </c>
      <c r="P481" s="90">
        <v>2.3024944929499998E-3</v>
      </c>
      <c r="Q481" s="90">
        <v>6.2318992738642498</v>
      </c>
      <c r="R481" s="90">
        <v>3200</v>
      </c>
      <c r="S481" s="90" t="s">
        <v>393</v>
      </c>
      <c r="T481" s="90">
        <v>3200</v>
      </c>
      <c r="U481" s="90" t="s">
        <v>382</v>
      </c>
      <c r="V481" s="90" t="s">
        <v>381</v>
      </c>
      <c r="Y481" s="90" t="s">
        <v>389</v>
      </c>
      <c r="Z481" s="90">
        <v>0</v>
      </c>
      <c r="AA481" s="90">
        <v>1</v>
      </c>
      <c r="AB481" s="90">
        <v>1.7178576999189999E-2</v>
      </c>
      <c r="AC481" s="90">
        <v>2.3024944929499998E-3</v>
      </c>
      <c r="AD481" s="90">
        <v>6.2318992738632</v>
      </c>
      <c r="AF481" s="90">
        <v>-1</v>
      </c>
      <c r="AG481" s="90">
        <v>-1</v>
      </c>
      <c r="AH481" s="90">
        <v>-1</v>
      </c>
      <c r="AI481" s="90">
        <v>-1</v>
      </c>
      <c r="AJ481" s="90">
        <v>0</v>
      </c>
      <c r="AM481" s="90" t="s">
        <v>379</v>
      </c>
      <c r="AN481" s="90">
        <v>-1</v>
      </c>
      <c r="AQ481" s="90">
        <v>356</v>
      </c>
      <c r="AR481" s="90" t="s">
        <v>380</v>
      </c>
      <c r="AS481" s="90" t="s">
        <v>246</v>
      </c>
      <c r="AT481" s="90" t="s">
        <v>244</v>
      </c>
      <c r="AU481" s="90">
        <v>175.87190000000001</v>
      </c>
      <c r="AV481" s="90">
        <v>36.530790099651597</v>
      </c>
      <c r="AW481" s="90">
        <v>6.70123865546711</v>
      </c>
      <c r="AX481" s="90">
        <v>5.0542573E-3</v>
      </c>
    </row>
    <row r="482" spans="1:50" x14ac:dyDescent="0.25">
      <c r="A482" s="102">
        <v>830000</v>
      </c>
      <c r="B482" s="102">
        <v>2400000</v>
      </c>
      <c r="C482" s="102">
        <v>2400000</v>
      </c>
      <c r="D482" s="90" t="s">
        <v>374</v>
      </c>
      <c r="E482" s="90" t="s">
        <v>68</v>
      </c>
      <c r="F482" s="90" t="s">
        <v>375</v>
      </c>
      <c r="G482" s="90" t="s">
        <v>376</v>
      </c>
      <c r="H482" s="90">
        <v>0.59</v>
      </c>
      <c r="I482" s="90">
        <v>0.64</v>
      </c>
      <c r="J482" s="90" t="s">
        <v>381</v>
      </c>
      <c r="K482" s="90">
        <v>0.25152801176542</v>
      </c>
      <c r="L482" s="90">
        <v>3763.4238827784502</v>
      </c>
      <c r="M482" s="90">
        <v>10.3740872741696</v>
      </c>
      <c r="N482" s="90">
        <v>1.3904690021400901</v>
      </c>
      <c r="O482" s="90">
        <v>2.60937354595286</v>
      </c>
      <c r="P482" s="90">
        <v>0.34974190352973999</v>
      </c>
      <c r="Q482" s="90">
        <v>946.60652666576902</v>
      </c>
      <c r="R482" s="90">
        <v>8140</v>
      </c>
      <c r="S482" s="90" t="s">
        <v>386</v>
      </c>
      <c r="T482" s="90">
        <v>8140</v>
      </c>
      <c r="U482" s="90" t="s">
        <v>382</v>
      </c>
      <c r="V482" s="90" t="s">
        <v>381</v>
      </c>
      <c r="Z482" s="90">
        <v>0</v>
      </c>
      <c r="AA482" s="90">
        <v>1</v>
      </c>
      <c r="AB482" s="90">
        <v>2.60937354595286</v>
      </c>
      <c r="AC482" s="90">
        <v>0.34974190352973999</v>
      </c>
      <c r="AD482" s="90">
        <v>946.60652666576902</v>
      </c>
      <c r="AF482" s="90">
        <v>-1</v>
      </c>
      <c r="AG482" s="90">
        <v>-1</v>
      </c>
      <c r="AH482" s="90">
        <v>-1</v>
      </c>
      <c r="AI482" s="90">
        <v>-1</v>
      </c>
      <c r="AJ482" s="90">
        <v>0</v>
      </c>
      <c r="AM482" s="90" t="s">
        <v>379</v>
      </c>
      <c r="AN482" s="90">
        <v>-1</v>
      </c>
      <c r="AQ482" s="90">
        <v>356</v>
      </c>
      <c r="AR482" s="90" t="s">
        <v>380</v>
      </c>
      <c r="AS482" s="90" t="s">
        <v>246</v>
      </c>
      <c r="AT482" s="90" t="s">
        <v>244</v>
      </c>
      <c r="AU482" s="90">
        <v>175.87190000000001</v>
      </c>
      <c r="AV482" s="90">
        <v>141.049241671396</v>
      </c>
      <c r="AW482" s="90">
        <v>1017.8977498263999</v>
      </c>
      <c r="AX482" s="90">
        <v>0.767726299</v>
      </c>
    </row>
    <row r="483" spans="1:50" x14ac:dyDescent="0.25">
      <c r="A483" s="102">
        <v>830000</v>
      </c>
      <c r="B483" s="102">
        <v>2400000</v>
      </c>
      <c r="C483" s="102">
        <v>2400000</v>
      </c>
      <c r="D483" s="90" t="s">
        <v>374</v>
      </c>
      <c r="E483" s="90" t="s">
        <v>68</v>
      </c>
      <c r="F483" s="90" t="s">
        <v>375</v>
      </c>
      <c r="G483" s="90" t="s">
        <v>376</v>
      </c>
      <c r="H483" s="90">
        <v>0.59</v>
      </c>
      <c r="I483" s="90">
        <v>0.64</v>
      </c>
      <c r="J483" s="90" t="s">
        <v>244</v>
      </c>
      <c r="K483" s="90">
        <v>0.23283979354152001</v>
      </c>
      <c r="L483" s="90">
        <v>3763.4238827784502</v>
      </c>
      <c r="M483" s="90">
        <v>10.3740872741696</v>
      </c>
      <c r="N483" s="90">
        <v>1.3904690021400901</v>
      </c>
      <c r="O483" s="90">
        <v>2.4155003390994101</v>
      </c>
      <c r="P483" s="90">
        <v>0.32375651538417999</v>
      </c>
      <c r="Q483" s="90">
        <v>876.27483987537596</v>
      </c>
      <c r="R483" s="90">
        <v>1410</v>
      </c>
      <c r="S483" s="90" t="s">
        <v>325</v>
      </c>
      <c r="T483" s="90">
        <v>1410</v>
      </c>
      <c r="U483" s="90" t="s">
        <v>378</v>
      </c>
      <c r="V483" s="90" t="s">
        <v>244</v>
      </c>
      <c r="Z483" s="90">
        <v>0</v>
      </c>
      <c r="AA483" s="90">
        <v>1</v>
      </c>
      <c r="AB483" s="90">
        <v>2.4155003390994101</v>
      </c>
      <c r="AC483" s="90">
        <v>0.32375651538417999</v>
      </c>
      <c r="AD483" s="90">
        <v>876.27483987537596</v>
      </c>
      <c r="AF483" s="90">
        <v>-1</v>
      </c>
      <c r="AG483" s="90">
        <v>-1</v>
      </c>
      <c r="AH483" s="90">
        <v>-1</v>
      </c>
      <c r="AI483" s="90">
        <v>-1</v>
      </c>
      <c r="AJ483" s="90">
        <v>0</v>
      </c>
      <c r="AM483" s="90" t="s">
        <v>379</v>
      </c>
      <c r="AN483" s="90">
        <v>-1</v>
      </c>
      <c r="AQ483" s="90">
        <v>356</v>
      </c>
      <c r="AR483" s="90" t="s">
        <v>380</v>
      </c>
      <c r="AS483" s="90" t="s">
        <v>246</v>
      </c>
      <c r="AT483" s="90" t="s">
        <v>244</v>
      </c>
      <c r="AU483" s="90">
        <v>175.87190000000001</v>
      </c>
      <c r="AV483" s="90">
        <v>133.96034318322901</v>
      </c>
      <c r="AW483" s="90">
        <v>942.26921388380697</v>
      </c>
      <c r="AX483" s="90">
        <v>0.71068519050000001</v>
      </c>
    </row>
    <row r="484" spans="1:50" x14ac:dyDescent="0.25">
      <c r="A484" s="102">
        <v>830000</v>
      </c>
      <c r="B484" s="102">
        <v>2400000</v>
      </c>
      <c r="C484" s="102">
        <v>2400000</v>
      </c>
      <c r="D484" s="90" t="s">
        <v>374</v>
      </c>
      <c r="E484" s="90" t="s">
        <v>68</v>
      </c>
      <c r="F484" s="90" t="s">
        <v>375</v>
      </c>
      <c r="G484" s="90" t="s">
        <v>376</v>
      </c>
      <c r="H484" s="90">
        <v>0.59</v>
      </c>
      <c r="I484" s="90">
        <v>0.64</v>
      </c>
      <c r="J484" s="90" t="s">
        <v>244</v>
      </c>
      <c r="K484" s="90">
        <v>1.692715468007E-2</v>
      </c>
      <c r="L484" s="90">
        <v>3763.4238827784502</v>
      </c>
      <c r="M484" s="90">
        <v>10.3740872741696</v>
      </c>
      <c r="N484" s="90">
        <v>1.3904690021400901</v>
      </c>
      <c r="O484" s="90">
        <v>0.17560377995443999</v>
      </c>
      <c r="P484" s="90">
        <v>2.3536683877069999E-2</v>
      </c>
      <c r="Q484" s="90">
        <v>63.704058190471798</v>
      </c>
      <c r="R484" s="90">
        <v>1410</v>
      </c>
      <c r="S484" s="90" t="s">
        <v>325</v>
      </c>
      <c r="T484" s="90">
        <v>1410</v>
      </c>
      <c r="U484" s="90" t="s">
        <v>378</v>
      </c>
      <c r="V484" s="90" t="s">
        <v>244</v>
      </c>
      <c r="Z484" s="90">
        <v>0</v>
      </c>
      <c r="AA484" s="90">
        <v>1</v>
      </c>
      <c r="AB484" s="90">
        <v>0.17560377995443999</v>
      </c>
      <c r="AC484" s="90">
        <v>2.3536683877069999E-2</v>
      </c>
      <c r="AD484" s="90">
        <v>63.7040581904729</v>
      </c>
      <c r="AF484" s="90">
        <v>-1</v>
      </c>
      <c r="AG484" s="90">
        <v>-1</v>
      </c>
      <c r="AH484" s="90">
        <v>-1</v>
      </c>
      <c r="AI484" s="90">
        <v>-1</v>
      </c>
      <c r="AJ484" s="90">
        <v>0</v>
      </c>
      <c r="AM484" s="90" t="s">
        <v>379</v>
      </c>
      <c r="AN484" s="90">
        <v>-1</v>
      </c>
      <c r="AQ484" s="90">
        <v>356</v>
      </c>
      <c r="AR484" s="90" t="s">
        <v>380</v>
      </c>
      <c r="AS484" s="90" t="s">
        <v>246</v>
      </c>
      <c r="AT484" s="90" t="s">
        <v>244</v>
      </c>
      <c r="AU484" s="90">
        <v>175.87190000000001</v>
      </c>
      <c r="AV484" s="90">
        <v>35.881747397116101</v>
      </c>
      <c r="AW484" s="90">
        <v>68.501764630012701</v>
      </c>
      <c r="AX484" s="90">
        <v>5.1665902800000003E-2</v>
      </c>
    </row>
    <row r="485" spans="1:50" x14ac:dyDescent="0.25">
      <c r="A485" s="102">
        <v>830000</v>
      </c>
      <c r="B485" s="102">
        <v>2400000</v>
      </c>
      <c r="C485" s="102">
        <v>2400000</v>
      </c>
      <c r="D485" s="90" t="s">
        <v>374</v>
      </c>
      <c r="E485" s="90" t="s">
        <v>68</v>
      </c>
      <c r="F485" s="90" t="s">
        <v>375</v>
      </c>
      <c r="G485" s="90" t="s">
        <v>376</v>
      </c>
      <c r="H485" s="90">
        <v>0.59</v>
      </c>
      <c r="I485" s="90">
        <v>0.64</v>
      </c>
      <c r="J485" s="90" t="s">
        <v>244</v>
      </c>
      <c r="K485" s="90">
        <v>9.3160296858699997E-3</v>
      </c>
      <c r="L485" s="90">
        <v>3763.4238827784502</v>
      </c>
      <c r="M485" s="90">
        <v>10.3740872741696</v>
      </c>
      <c r="N485" s="90">
        <v>1.3904690021400901</v>
      </c>
      <c r="O485" s="90">
        <v>9.6645305010059995E-2</v>
      </c>
      <c r="P485" s="90">
        <v>1.2953650501230001E-2</v>
      </c>
      <c r="Q485" s="90">
        <v>35.060168612510097</v>
      </c>
      <c r="R485" s="90">
        <v>1300</v>
      </c>
      <c r="S485" s="90" t="s">
        <v>387</v>
      </c>
      <c r="T485" s="90">
        <v>1300</v>
      </c>
      <c r="U485" s="90" t="s">
        <v>378</v>
      </c>
      <c r="V485" s="90" t="s">
        <v>244</v>
      </c>
      <c r="Z485" s="90">
        <v>0</v>
      </c>
      <c r="AA485" s="90">
        <v>1</v>
      </c>
      <c r="AB485" s="90">
        <v>9.6645305010059995E-2</v>
      </c>
      <c r="AC485" s="90">
        <v>1.2953650501230001E-2</v>
      </c>
      <c r="AD485" s="90">
        <v>35.060168612510601</v>
      </c>
      <c r="AF485" s="90">
        <v>-1</v>
      </c>
      <c r="AG485" s="90">
        <v>-1</v>
      </c>
      <c r="AH485" s="90">
        <v>-1</v>
      </c>
      <c r="AI485" s="90">
        <v>-1</v>
      </c>
      <c r="AJ485" s="90">
        <v>0</v>
      </c>
      <c r="AM485" s="90" t="s">
        <v>379</v>
      </c>
      <c r="AN485" s="90">
        <v>-1</v>
      </c>
      <c r="AQ485" s="90">
        <v>356</v>
      </c>
      <c r="AR485" s="90" t="s">
        <v>380</v>
      </c>
      <c r="AS485" s="90" t="s">
        <v>246</v>
      </c>
      <c r="AT485" s="90" t="s">
        <v>244</v>
      </c>
      <c r="AU485" s="90">
        <v>175.87190000000001</v>
      </c>
      <c r="AV485" s="90">
        <v>25.255169153677599</v>
      </c>
      <c r="AW485" s="90">
        <v>37.700634565568997</v>
      </c>
      <c r="AX485" s="90">
        <v>2.8434848799999999E-2</v>
      </c>
    </row>
    <row r="486" spans="1:50" x14ac:dyDescent="0.25">
      <c r="A486" s="102">
        <v>830000</v>
      </c>
      <c r="B486" s="102">
        <v>2400000</v>
      </c>
      <c r="C486" s="102">
        <v>2400000</v>
      </c>
      <c r="D486" s="90" t="s">
        <v>374</v>
      </c>
      <c r="E486" s="90" t="s">
        <v>68</v>
      </c>
      <c r="F486" s="90" t="s">
        <v>375</v>
      </c>
      <c r="G486" s="90" t="s">
        <v>376</v>
      </c>
      <c r="H486" s="90">
        <v>0.59</v>
      </c>
      <c r="I486" s="90">
        <v>0.64</v>
      </c>
      <c r="J486" s="90" t="s">
        <v>381</v>
      </c>
      <c r="K486" s="90">
        <v>6.3253322919999997E-5</v>
      </c>
      <c r="L486" s="90">
        <v>3763.4238827784502</v>
      </c>
      <c r="M486" s="90">
        <v>10.3740872741696</v>
      </c>
      <c r="N486" s="90">
        <v>1.3904690021400901</v>
      </c>
      <c r="O486" s="90">
        <v>6.5619549239000002E-4</v>
      </c>
      <c r="P486" s="90">
        <v>8.7951784799999996E-5</v>
      </c>
      <c r="Q486" s="90">
        <v>0.23804906615727001</v>
      </c>
      <c r="R486" s="90">
        <v>1300</v>
      </c>
      <c r="S486" s="90" t="s">
        <v>387</v>
      </c>
      <c r="T486" s="90">
        <v>1300</v>
      </c>
      <c r="U486" s="90" t="s">
        <v>382</v>
      </c>
      <c r="V486" s="90" t="s">
        <v>381</v>
      </c>
      <c r="Z486" s="90">
        <v>0</v>
      </c>
      <c r="AA486" s="90">
        <v>1</v>
      </c>
      <c r="AB486" s="90">
        <v>6.5619549239000002E-4</v>
      </c>
      <c r="AC486" s="90">
        <v>8.7951784799999996E-5</v>
      </c>
      <c r="AD486" s="90">
        <v>0.23804906615835</v>
      </c>
      <c r="AF486" s="90">
        <v>-1</v>
      </c>
      <c r="AG486" s="90">
        <v>-1</v>
      </c>
      <c r="AH486" s="90">
        <v>-1</v>
      </c>
      <c r="AI486" s="90">
        <v>-1</v>
      </c>
      <c r="AJ486" s="90">
        <v>0</v>
      </c>
      <c r="AM486" s="90" t="s">
        <v>379</v>
      </c>
      <c r="AN486" s="90">
        <v>-1</v>
      </c>
      <c r="AQ486" s="90">
        <v>356</v>
      </c>
      <c r="AR486" s="90" t="s">
        <v>380</v>
      </c>
      <c r="AS486" s="90" t="s">
        <v>246</v>
      </c>
      <c r="AT486" s="90" t="s">
        <v>244</v>
      </c>
      <c r="AU486" s="90">
        <v>175.87190000000001</v>
      </c>
      <c r="AV486" s="90">
        <v>11.2459899104896</v>
      </c>
      <c r="AW486" s="90">
        <v>0.25597711611429003</v>
      </c>
      <c r="AX486" s="90">
        <v>1.9306489999999999E-4</v>
      </c>
    </row>
    <row r="487" spans="1:50" x14ac:dyDescent="0.25">
      <c r="A487" s="102">
        <v>830000</v>
      </c>
      <c r="B487" s="102">
        <v>2400000</v>
      </c>
      <c r="C487" s="102">
        <v>2400000</v>
      </c>
      <c r="D487" s="90" t="s">
        <v>374</v>
      </c>
      <c r="E487" s="90" t="s">
        <v>68</v>
      </c>
      <c r="F487" s="90" t="s">
        <v>375</v>
      </c>
      <c r="G487" s="90" t="s">
        <v>376</v>
      </c>
      <c r="H487" s="90">
        <v>0.59</v>
      </c>
      <c r="I487" s="90">
        <v>0.64</v>
      </c>
      <c r="J487" s="90" t="s">
        <v>244</v>
      </c>
      <c r="K487" s="90">
        <v>1.4119365767520001E-2</v>
      </c>
      <c r="L487" s="90">
        <v>3763.4238827784502</v>
      </c>
      <c r="M487" s="90">
        <v>10.3740872741696</v>
      </c>
      <c r="N487" s="90">
        <v>1.3904690021400901</v>
      </c>
      <c r="O487" s="90">
        <v>0.14647553272825001</v>
      </c>
      <c r="P487" s="90">
        <v>1.963254042962E-2</v>
      </c>
      <c r="Q487" s="90">
        <v>53.137158339199402</v>
      </c>
      <c r="R487" s="90">
        <v>1300</v>
      </c>
      <c r="S487" s="90" t="s">
        <v>387</v>
      </c>
      <c r="T487" s="90">
        <v>1300</v>
      </c>
      <c r="U487" s="90" t="s">
        <v>378</v>
      </c>
      <c r="V487" s="90" t="s">
        <v>244</v>
      </c>
      <c r="Z487" s="90">
        <v>0</v>
      </c>
      <c r="AA487" s="90">
        <v>1</v>
      </c>
      <c r="AB487" s="90">
        <v>0.14647553272825001</v>
      </c>
      <c r="AC487" s="90">
        <v>1.963254042962E-2</v>
      </c>
      <c r="AD487" s="90">
        <v>53.137158339200901</v>
      </c>
      <c r="AF487" s="90">
        <v>-1</v>
      </c>
      <c r="AG487" s="90">
        <v>-1</v>
      </c>
      <c r="AH487" s="90">
        <v>-1</v>
      </c>
      <c r="AI487" s="90">
        <v>-1</v>
      </c>
      <c r="AJ487" s="90">
        <v>0</v>
      </c>
      <c r="AM487" s="90" t="s">
        <v>379</v>
      </c>
      <c r="AN487" s="90">
        <v>-1</v>
      </c>
      <c r="AQ487" s="90">
        <v>356</v>
      </c>
      <c r="AR487" s="90" t="s">
        <v>380</v>
      </c>
      <c r="AS487" s="90" t="s">
        <v>246</v>
      </c>
      <c r="AT487" s="90" t="s">
        <v>244</v>
      </c>
      <c r="AU487" s="90">
        <v>175.87190000000001</v>
      </c>
      <c r="AV487" s="90">
        <v>42.971392040567203</v>
      </c>
      <c r="AW487" s="90">
        <v>57.139046036537003</v>
      </c>
      <c r="AX487" s="90">
        <v>4.3095830000000002E-2</v>
      </c>
    </row>
    <row r="488" spans="1:50" x14ac:dyDescent="0.25">
      <c r="A488" s="102">
        <v>830000</v>
      </c>
      <c r="B488" s="102">
        <v>2400000</v>
      </c>
      <c r="C488" s="102">
        <v>2400000</v>
      </c>
      <c r="D488" s="90" t="s">
        <v>374</v>
      </c>
      <c r="E488" s="90" t="s">
        <v>68</v>
      </c>
      <c r="F488" s="90" t="s">
        <v>375</v>
      </c>
      <c r="G488" s="90" t="s">
        <v>376</v>
      </c>
      <c r="H488" s="90">
        <v>0.59</v>
      </c>
      <c r="I488" s="90">
        <v>0.64</v>
      </c>
      <c r="J488" s="90" t="s">
        <v>381</v>
      </c>
      <c r="K488" s="90">
        <v>2.0556032173999999E-4</v>
      </c>
      <c r="L488" s="90">
        <v>3763.4238827784502</v>
      </c>
      <c r="M488" s="90">
        <v>10.3740872741696</v>
      </c>
      <c r="N488" s="90">
        <v>1.3904690021400901</v>
      </c>
      <c r="O488" s="90">
        <v>2.1325007178800001E-3</v>
      </c>
      <c r="P488" s="90">
        <v>2.8582525544999999E-4</v>
      </c>
      <c r="Q488" s="90">
        <v>0.77361062420674997</v>
      </c>
      <c r="R488" s="90">
        <v>1300</v>
      </c>
      <c r="S488" s="90" t="s">
        <v>387</v>
      </c>
      <c r="T488" s="90">
        <v>1300</v>
      </c>
      <c r="U488" s="90" t="s">
        <v>382</v>
      </c>
      <c r="V488" s="90" t="s">
        <v>381</v>
      </c>
      <c r="Z488" s="90">
        <v>0</v>
      </c>
      <c r="AA488" s="90">
        <v>1</v>
      </c>
      <c r="AB488" s="90">
        <v>2.1325007178800001E-3</v>
      </c>
      <c r="AC488" s="90">
        <v>2.8582525544999999E-4</v>
      </c>
      <c r="AD488" s="90">
        <v>0.77361062420738003</v>
      </c>
      <c r="AF488" s="90">
        <v>-1</v>
      </c>
      <c r="AG488" s="90">
        <v>-1</v>
      </c>
      <c r="AH488" s="90">
        <v>-1</v>
      </c>
      <c r="AI488" s="90">
        <v>-1</v>
      </c>
      <c r="AJ488" s="90">
        <v>0</v>
      </c>
      <c r="AM488" s="90" t="s">
        <v>379</v>
      </c>
      <c r="AN488" s="90">
        <v>-1</v>
      </c>
      <c r="AQ488" s="90">
        <v>356</v>
      </c>
      <c r="AR488" s="90" t="s">
        <v>380</v>
      </c>
      <c r="AS488" s="90" t="s">
        <v>246</v>
      </c>
      <c r="AT488" s="90" t="s">
        <v>244</v>
      </c>
      <c r="AU488" s="90">
        <v>175.87190000000001</v>
      </c>
      <c r="AV488" s="90">
        <v>37.750207206217901</v>
      </c>
      <c r="AW488" s="90">
        <v>0.83187310824503002</v>
      </c>
      <c r="AX488" s="90">
        <v>6.274214E-4</v>
      </c>
    </row>
    <row r="489" spans="1:50" x14ac:dyDescent="0.25">
      <c r="A489" s="102">
        <v>830000</v>
      </c>
      <c r="B489" s="102">
        <v>2400000</v>
      </c>
      <c r="C489" s="102">
        <v>2400000</v>
      </c>
      <c r="D489" s="90" t="s">
        <v>374</v>
      </c>
      <c r="E489" s="90" t="s">
        <v>68</v>
      </c>
      <c r="F489" s="90" t="s">
        <v>375</v>
      </c>
      <c r="G489" s="90" t="s">
        <v>376</v>
      </c>
      <c r="H489" s="90">
        <v>0.59</v>
      </c>
      <c r="I489" s="90">
        <v>0.64</v>
      </c>
      <c r="J489" s="90" t="s">
        <v>244</v>
      </c>
      <c r="K489" s="90">
        <v>7.2635242209089998E-2</v>
      </c>
      <c r="L489" s="90">
        <v>3742.9668554221898</v>
      </c>
      <c r="M489" s="90">
        <v>11.328109735828599</v>
      </c>
      <c r="N489" s="90">
        <v>2.2477471750722602</v>
      </c>
      <c r="O489" s="90">
        <v>0.82281999443310005</v>
      </c>
      <c r="P489" s="90">
        <v>0.16326566048617999</v>
      </c>
      <c r="Q489" s="90">
        <v>271.87130412420203</v>
      </c>
      <c r="R489" s="90">
        <v>1300</v>
      </c>
      <c r="S489" s="90" t="s">
        <v>387</v>
      </c>
      <c r="T489" s="90">
        <v>1300</v>
      </c>
      <c r="U489" s="90" t="s">
        <v>378</v>
      </c>
      <c r="V489" s="90" t="s">
        <v>244</v>
      </c>
      <c r="Z489" s="90">
        <v>0</v>
      </c>
      <c r="AA489" s="90">
        <v>1</v>
      </c>
      <c r="AB489" s="90">
        <v>0.82281999443310005</v>
      </c>
      <c r="AC489" s="90">
        <v>0.16326566048617999</v>
      </c>
      <c r="AD489" s="90">
        <v>271.87130412419998</v>
      </c>
      <c r="AF489" s="90">
        <v>-1</v>
      </c>
      <c r="AG489" s="90">
        <v>-1</v>
      </c>
      <c r="AH489" s="90">
        <v>-1</v>
      </c>
      <c r="AI489" s="90">
        <v>-1</v>
      </c>
      <c r="AJ489" s="90">
        <v>0</v>
      </c>
      <c r="AM489" s="90" t="s">
        <v>379</v>
      </c>
      <c r="AN489" s="90">
        <v>-1</v>
      </c>
      <c r="AQ489" s="90">
        <v>356</v>
      </c>
      <c r="AR489" s="90" t="s">
        <v>380</v>
      </c>
      <c r="AS489" s="90" t="s">
        <v>246</v>
      </c>
      <c r="AT489" s="90" t="s">
        <v>244</v>
      </c>
      <c r="AU489" s="90">
        <v>175.87190000000001</v>
      </c>
      <c r="AV489" s="90">
        <v>111.780805938922</v>
      </c>
      <c r="AW489" s="90">
        <v>293.94439642645</v>
      </c>
      <c r="AX489" s="90">
        <v>0.220495786</v>
      </c>
    </row>
    <row r="490" spans="1:50" x14ac:dyDescent="0.25">
      <c r="A490" s="102">
        <v>830000</v>
      </c>
      <c r="B490" s="102">
        <v>2400000</v>
      </c>
      <c r="C490" s="102">
        <v>2400000</v>
      </c>
      <c r="D490" s="90" t="s">
        <v>374</v>
      </c>
      <c r="E490" s="90" t="s">
        <v>68</v>
      </c>
      <c r="F490" s="90" t="s">
        <v>375</v>
      </c>
      <c r="G490" s="90" t="s">
        <v>376</v>
      </c>
      <c r="H490" s="90">
        <v>0.59</v>
      </c>
      <c r="I490" s="90">
        <v>0.64</v>
      </c>
      <c r="J490" s="90" t="s">
        <v>244</v>
      </c>
      <c r="K490" s="90">
        <v>0.54512821138976997</v>
      </c>
      <c r="L490" s="90">
        <v>3742.9668554221898</v>
      </c>
      <c r="M490" s="90">
        <v>11.328109735828599</v>
      </c>
      <c r="N490" s="90">
        <v>2.2477471750722602</v>
      </c>
      <c r="O490" s="90">
        <v>6.1752721987193899</v>
      </c>
      <c r="P490" s="90">
        <v>1.2253103972035699</v>
      </c>
      <c r="Q490" s="90">
        <v>2040.3968271875201</v>
      </c>
      <c r="R490" s="90">
        <v>1300</v>
      </c>
      <c r="S490" s="90" t="s">
        <v>387</v>
      </c>
      <c r="T490" s="90">
        <v>1300</v>
      </c>
      <c r="U490" s="90" t="s">
        <v>378</v>
      </c>
      <c r="V490" s="90" t="s">
        <v>244</v>
      </c>
      <c r="Z490" s="90">
        <v>0</v>
      </c>
      <c r="AA490" s="90">
        <v>1</v>
      </c>
      <c r="AB490" s="90">
        <v>6.1752721987193899</v>
      </c>
      <c r="AC490" s="90">
        <v>1.2253103972035699</v>
      </c>
      <c r="AD490" s="90">
        <v>2040.3968271875201</v>
      </c>
      <c r="AF490" s="90">
        <v>-1</v>
      </c>
      <c r="AG490" s="90">
        <v>-1</v>
      </c>
      <c r="AH490" s="90">
        <v>-1</v>
      </c>
      <c r="AI490" s="90">
        <v>-1</v>
      </c>
      <c r="AJ490" s="90">
        <v>0</v>
      </c>
      <c r="AM490" s="90" t="s">
        <v>379</v>
      </c>
      <c r="AN490" s="90">
        <v>-1</v>
      </c>
      <c r="AQ490" s="90">
        <v>356</v>
      </c>
      <c r="AR490" s="90" t="s">
        <v>380</v>
      </c>
      <c r="AS490" s="90" t="s">
        <v>246</v>
      </c>
      <c r="AT490" s="90" t="s">
        <v>244</v>
      </c>
      <c r="AU490" s="90">
        <v>175.87190000000001</v>
      </c>
      <c r="AV490" s="90">
        <v>188.265254207932</v>
      </c>
      <c r="AW490" s="90">
        <v>2206.0556032941499</v>
      </c>
      <c r="AX490" s="90">
        <v>1.6548230553000001</v>
      </c>
    </row>
    <row r="491" spans="1:50" x14ac:dyDescent="0.25">
      <c r="A491" s="102">
        <v>830000</v>
      </c>
      <c r="B491" s="102">
        <v>2400000</v>
      </c>
      <c r="C491" s="102">
        <v>2400000</v>
      </c>
      <c r="D491" s="90" t="s">
        <v>374</v>
      </c>
      <c r="E491" s="90" t="s">
        <v>68</v>
      </c>
      <c r="F491" s="90" t="s">
        <v>375</v>
      </c>
      <c r="G491" s="90" t="s">
        <v>376</v>
      </c>
      <c r="H491" s="90">
        <v>0.59</v>
      </c>
      <c r="I491" s="90">
        <v>0.64</v>
      </c>
      <c r="J491" s="90" t="s">
        <v>244</v>
      </c>
      <c r="K491" s="90">
        <v>0.61776345362188001</v>
      </c>
      <c r="L491" s="90">
        <v>3752.2321467617899</v>
      </c>
      <c r="M491" s="90">
        <v>10.7949726476373</v>
      </c>
      <c r="N491" s="90">
        <v>2.0799086136398302</v>
      </c>
      <c r="O491" s="90">
        <v>6.66873958455826</v>
      </c>
      <c r="P491" s="90">
        <v>1.2848915283800499</v>
      </c>
      <c r="Q491" s="90">
        <v>2317.9918897746302</v>
      </c>
      <c r="R491" s="90">
        <v>1300</v>
      </c>
      <c r="S491" s="90" t="s">
        <v>387</v>
      </c>
      <c r="T491" s="90">
        <v>1300</v>
      </c>
      <c r="U491" s="90" t="s">
        <v>378</v>
      </c>
      <c r="V491" s="90" t="s">
        <v>244</v>
      </c>
      <c r="Z491" s="90">
        <v>0</v>
      </c>
      <c r="AA491" s="90">
        <v>1</v>
      </c>
      <c r="AB491" s="90">
        <v>6.66873958455826</v>
      </c>
      <c r="AC491" s="90">
        <v>1.2848915283800499</v>
      </c>
      <c r="AD491" s="90">
        <v>2317.9918897746302</v>
      </c>
      <c r="AF491" s="90">
        <v>-1</v>
      </c>
      <c r="AG491" s="90">
        <v>-1</v>
      </c>
      <c r="AH491" s="90">
        <v>-1</v>
      </c>
      <c r="AI491" s="90">
        <v>-1</v>
      </c>
      <c r="AJ491" s="90">
        <v>0</v>
      </c>
      <c r="AM491" s="90" t="s">
        <v>379</v>
      </c>
      <c r="AN491" s="90">
        <v>-1</v>
      </c>
      <c r="AQ491" s="90">
        <v>356</v>
      </c>
      <c r="AR491" s="90" t="s">
        <v>380</v>
      </c>
      <c r="AS491" s="90" t="s">
        <v>246</v>
      </c>
      <c r="AT491" s="90" t="s">
        <v>244</v>
      </c>
      <c r="AU491" s="90">
        <v>175.87190000000001</v>
      </c>
      <c r="AV491" s="90">
        <v>199.99999999254899</v>
      </c>
      <c r="AW491" s="90">
        <v>2499.99999981373</v>
      </c>
      <c r="AX491" s="90">
        <v>1.8799609812</v>
      </c>
    </row>
    <row r="492" spans="1:50" x14ac:dyDescent="0.25">
      <c r="A492" s="102">
        <v>830000</v>
      </c>
      <c r="B492" s="102">
        <v>2400000</v>
      </c>
      <c r="C492" s="102">
        <v>2400000</v>
      </c>
      <c r="D492" s="90" t="s">
        <v>374</v>
      </c>
      <c r="E492" s="90" t="s">
        <v>68</v>
      </c>
      <c r="F492" s="90" t="s">
        <v>375</v>
      </c>
      <c r="G492" s="90" t="s">
        <v>376</v>
      </c>
      <c r="H492" s="90">
        <v>0.59</v>
      </c>
      <c r="I492" s="90">
        <v>0.64</v>
      </c>
      <c r="J492" s="90" t="s">
        <v>389</v>
      </c>
      <c r="K492" s="90">
        <v>0.40730028255743</v>
      </c>
      <c r="L492" s="90">
        <v>3250.7933178868402</v>
      </c>
      <c r="M492" s="90">
        <v>6.7673584396323596</v>
      </c>
      <c r="N492" s="90">
        <v>0.91276251923759999</v>
      </c>
      <c r="O492" s="90">
        <v>2.75634700462972</v>
      </c>
      <c r="P492" s="90">
        <v>0.37176843199331</v>
      </c>
      <c r="Q492" s="90">
        <v>1324.0490369111401</v>
      </c>
      <c r="R492" s="90">
        <v>4200</v>
      </c>
      <c r="S492" s="90" t="s">
        <v>390</v>
      </c>
      <c r="T492" s="90">
        <v>4200</v>
      </c>
      <c r="U492" s="90" t="s">
        <v>378</v>
      </c>
      <c r="V492" s="90" t="s">
        <v>244</v>
      </c>
      <c r="Y492" s="90" t="s">
        <v>389</v>
      </c>
      <c r="Z492" s="90">
        <v>0</v>
      </c>
      <c r="AA492" s="90">
        <v>1</v>
      </c>
      <c r="AB492" s="90">
        <v>2.75634700462972</v>
      </c>
      <c r="AC492" s="90">
        <v>0.37176843199331</v>
      </c>
      <c r="AD492" s="90">
        <v>1324.0490369111401</v>
      </c>
      <c r="AF492" s="90">
        <v>-1</v>
      </c>
      <c r="AG492" s="90">
        <v>-1</v>
      </c>
      <c r="AH492" s="90">
        <v>-1</v>
      </c>
      <c r="AI492" s="90">
        <v>-1</v>
      </c>
      <c r="AJ492" s="90">
        <v>0</v>
      </c>
      <c r="AM492" s="90" t="s">
        <v>379</v>
      </c>
      <c r="AN492" s="90">
        <v>-1</v>
      </c>
      <c r="AQ492" s="90">
        <v>356</v>
      </c>
      <c r="AR492" s="90" t="s">
        <v>380</v>
      </c>
      <c r="AS492" s="90" t="s">
        <v>246</v>
      </c>
      <c r="AT492" s="90" t="s">
        <v>244</v>
      </c>
      <c r="AU492" s="90">
        <v>175.87190000000001</v>
      </c>
      <c r="AV492" s="90">
        <v>169.25459517454399</v>
      </c>
      <c r="AW492" s="90">
        <v>1648.2857643129</v>
      </c>
      <c r="AX492" s="90">
        <v>1.0738435011</v>
      </c>
    </row>
    <row r="493" spans="1:50" x14ac:dyDescent="0.25">
      <c r="A493" s="102">
        <v>830000</v>
      </c>
      <c r="B493" s="102">
        <v>2400000</v>
      </c>
      <c r="C493" s="102">
        <v>2400000</v>
      </c>
      <c r="D493" s="90" t="s">
        <v>374</v>
      </c>
      <c r="E493" s="90" t="s">
        <v>68</v>
      </c>
      <c r="F493" s="90" t="s">
        <v>375</v>
      </c>
      <c r="G493" s="90" t="s">
        <v>376</v>
      </c>
      <c r="H493" s="90">
        <v>0.59</v>
      </c>
      <c r="I493" s="90">
        <v>0.64</v>
      </c>
      <c r="J493" s="90" t="s">
        <v>381</v>
      </c>
      <c r="K493" s="90">
        <v>8.6082694357550005E-2</v>
      </c>
      <c r="L493" s="90">
        <v>3250.7933178868402</v>
      </c>
      <c r="M493" s="90">
        <v>6.7673584396323596</v>
      </c>
      <c r="N493" s="90">
        <v>0.91276251923759999</v>
      </c>
      <c r="O493" s="90">
        <v>0.58255244816689999</v>
      </c>
      <c r="P493" s="90">
        <v>7.8573056964560004E-2</v>
      </c>
      <c r="Q493" s="90">
        <v>279.83704760324201</v>
      </c>
      <c r="R493" s="90">
        <v>4200</v>
      </c>
      <c r="S493" s="90" t="s">
        <v>390</v>
      </c>
      <c r="T493" s="90">
        <v>4200</v>
      </c>
      <c r="U493" s="90" t="s">
        <v>382</v>
      </c>
      <c r="V493" s="90" t="s">
        <v>381</v>
      </c>
      <c r="Y493" s="90" t="s">
        <v>389</v>
      </c>
      <c r="Z493" s="90">
        <v>0</v>
      </c>
      <c r="AA493" s="90">
        <v>1</v>
      </c>
      <c r="AB493" s="90">
        <v>0.58255244816689999</v>
      </c>
      <c r="AC493" s="90">
        <v>7.8573056964560004E-2</v>
      </c>
      <c r="AD493" s="90">
        <v>279.83704760324298</v>
      </c>
      <c r="AF493" s="90">
        <v>-1</v>
      </c>
      <c r="AG493" s="90">
        <v>-1</v>
      </c>
      <c r="AH493" s="90">
        <v>-1</v>
      </c>
      <c r="AI493" s="90">
        <v>-1</v>
      </c>
      <c r="AJ493" s="90">
        <v>0</v>
      </c>
      <c r="AM493" s="90" t="s">
        <v>379</v>
      </c>
      <c r="AN493" s="90">
        <v>-1</v>
      </c>
      <c r="AQ493" s="90">
        <v>356</v>
      </c>
      <c r="AR493" s="90" t="s">
        <v>380</v>
      </c>
      <c r="AS493" s="90" t="s">
        <v>246</v>
      </c>
      <c r="AT493" s="90" t="s">
        <v>244</v>
      </c>
      <c r="AU493" s="90">
        <v>175.87190000000001</v>
      </c>
      <c r="AV493" s="90">
        <v>113.886866087681</v>
      </c>
      <c r="AW493" s="90">
        <v>348.36430451837703</v>
      </c>
      <c r="AX493" s="90">
        <v>0.226956243</v>
      </c>
    </row>
    <row r="494" spans="1:50" x14ac:dyDescent="0.25">
      <c r="A494" s="102">
        <v>830000</v>
      </c>
      <c r="B494" s="102">
        <v>2400000</v>
      </c>
      <c r="C494" s="102">
        <v>2400000</v>
      </c>
      <c r="D494" s="90" t="s">
        <v>374</v>
      </c>
      <c r="E494" s="90" t="s">
        <v>68</v>
      </c>
      <c r="F494" s="90" t="s">
        <v>375</v>
      </c>
      <c r="G494" s="90" t="s">
        <v>376</v>
      </c>
      <c r="H494" s="90">
        <v>0.59</v>
      </c>
      <c r="I494" s="90">
        <v>0.64</v>
      </c>
      <c r="J494" s="90" t="s">
        <v>381</v>
      </c>
      <c r="K494" s="90">
        <v>9.5672681865930004E-2</v>
      </c>
      <c r="L494" s="90">
        <v>3250.7933178868402</v>
      </c>
      <c r="M494" s="90">
        <v>6.7673584396323596</v>
      </c>
      <c r="N494" s="90">
        <v>0.91276251923759999</v>
      </c>
      <c r="O494" s="90">
        <v>0.64745133106769004</v>
      </c>
      <c r="P494" s="90">
        <v>8.7326438122159997E-2</v>
      </c>
      <c r="Q494" s="90">
        <v>311.01211491409498</v>
      </c>
      <c r="R494" s="90">
        <v>8140</v>
      </c>
      <c r="S494" s="90" t="s">
        <v>386</v>
      </c>
      <c r="T494" s="90">
        <v>8140</v>
      </c>
      <c r="U494" s="90" t="s">
        <v>382</v>
      </c>
      <c r="V494" s="90" t="s">
        <v>381</v>
      </c>
      <c r="Z494" s="90">
        <v>0</v>
      </c>
      <c r="AA494" s="90">
        <v>1</v>
      </c>
      <c r="AB494" s="90">
        <v>0.64745133106769004</v>
      </c>
      <c r="AC494" s="90">
        <v>8.7326438122159997E-2</v>
      </c>
      <c r="AD494" s="90">
        <v>311.01211491409401</v>
      </c>
      <c r="AF494" s="90">
        <v>-1</v>
      </c>
      <c r="AG494" s="90">
        <v>-1</v>
      </c>
      <c r="AH494" s="90">
        <v>-1</v>
      </c>
      <c r="AI494" s="90">
        <v>-1</v>
      </c>
      <c r="AJ494" s="90">
        <v>0</v>
      </c>
      <c r="AM494" s="90" t="s">
        <v>379</v>
      </c>
      <c r="AN494" s="90">
        <v>-1</v>
      </c>
      <c r="AQ494" s="90">
        <v>356</v>
      </c>
      <c r="AR494" s="90" t="s">
        <v>380</v>
      </c>
      <c r="AS494" s="90" t="s">
        <v>246</v>
      </c>
      <c r="AT494" s="90" t="s">
        <v>244</v>
      </c>
      <c r="AU494" s="90">
        <v>175.87190000000001</v>
      </c>
      <c r="AV494" s="90">
        <v>115.585945432172</v>
      </c>
      <c r="AW494" s="90">
        <v>387.17360705738901</v>
      </c>
      <c r="AX494" s="90">
        <v>0.2522401581</v>
      </c>
    </row>
    <row r="495" spans="1:50" x14ac:dyDescent="0.25">
      <c r="A495" s="102">
        <v>830000</v>
      </c>
      <c r="B495" s="102">
        <v>2400000</v>
      </c>
      <c r="C495" s="102">
        <v>2400000</v>
      </c>
      <c r="D495" s="90" t="s">
        <v>374</v>
      </c>
      <c r="E495" s="90" t="s">
        <v>68</v>
      </c>
      <c r="F495" s="90" t="s">
        <v>375</v>
      </c>
      <c r="G495" s="90" t="s">
        <v>376</v>
      </c>
      <c r="H495" s="90">
        <v>0.59</v>
      </c>
      <c r="I495" s="90">
        <v>0.64</v>
      </c>
      <c r="J495" s="90" t="s">
        <v>244</v>
      </c>
      <c r="K495" s="90">
        <v>2.87077950941E-2</v>
      </c>
      <c r="L495" s="90">
        <v>3250.7933178868402</v>
      </c>
      <c r="M495" s="90">
        <v>6.7673584396323596</v>
      </c>
      <c r="N495" s="90">
        <v>0.91276251923759999</v>
      </c>
      <c r="O495" s="90">
        <v>0.19427593941332</v>
      </c>
      <c r="P495" s="90">
        <v>2.6203399371850001E-2</v>
      </c>
      <c r="Q495" s="90">
        <v>93.323108463178002</v>
      </c>
      <c r="R495" s="90">
        <v>1410</v>
      </c>
      <c r="S495" s="90" t="s">
        <v>325</v>
      </c>
      <c r="T495" s="90">
        <v>1410</v>
      </c>
      <c r="U495" s="90" t="s">
        <v>378</v>
      </c>
      <c r="V495" s="90" t="s">
        <v>244</v>
      </c>
      <c r="Z495" s="90">
        <v>0</v>
      </c>
      <c r="AA495" s="90">
        <v>1</v>
      </c>
      <c r="AB495" s="90">
        <v>0.19427593941332</v>
      </c>
      <c r="AC495" s="90">
        <v>2.6203399371850001E-2</v>
      </c>
      <c r="AD495" s="90">
        <v>93.323108463179594</v>
      </c>
      <c r="AF495" s="90">
        <v>-1</v>
      </c>
      <c r="AG495" s="90">
        <v>-1</v>
      </c>
      <c r="AH495" s="90">
        <v>-1</v>
      </c>
      <c r="AI495" s="90">
        <v>-1</v>
      </c>
      <c r="AJ495" s="90">
        <v>0</v>
      </c>
      <c r="AM495" s="90" t="s">
        <v>379</v>
      </c>
      <c r="AN495" s="90">
        <v>-1</v>
      </c>
      <c r="AQ495" s="90">
        <v>356</v>
      </c>
      <c r="AR495" s="90" t="s">
        <v>380</v>
      </c>
      <c r="AS495" s="90" t="s">
        <v>246</v>
      </c>
      <c r="AT495" s="90" t="s">
        <v>244</v>
      </c>
      <c r="AU495" s="90">
        <v>175.87190000000001</v>
      </c>
      <c r="AV495" s="90">
        <v>80.869287499759295</v>
      </c>
      <c r="AW495" s="90">
        <v>116.17632494951999</v>
      </c>
      <c r="AX495" s="90">
        <v>7.5687841399999997E-2</v>
      </c>
    </row>
    <row r="496" spans="1:50" x14ac:dyDescent="0.25">
      <c r="A496" s="102">
        <v>830000</v>
      </c>
      <c r="B496" s="102">
        <v>2400000</v>
      </c>
      <c r="C496" s="102">
        <v>2400000</v>
      </c>
      <c r="D496" s="90" t="s">
        <v>374</v>
      </c>
      <c r="E496" s="90" t="s">
        <v>68</v>
      </c>
      <c r="F496" s="90" t="s">
        <v>375</v>
      </c>
      <c r="G496" s="90" t="s">
        <v>376</v>
      </c>
      <c r="H496" s="90">
        <v>0.59</v>
      </c>
      <c r="I496" s="90">
        <v>0.64</v>
      </c>
      <c r="J496" s="90" t="s">
        <v>381</v>
      </c>
      <c r="K496" s="90">
        <v>3.5183694426770003E-2</v>
      </c>
      <c r="L496" s="90">
        <v>3746.2716031779801</v>
      </c>
      <c r="M496" s="90">
        <v>10.6598377506779</v>
      </c>
      <c r="N496" s="90">
        <v>2.0232282770907601</v>
      </c>
      <c r="O496" s="90">
        <v>0.37505247405883002</v>
      </c>
      <c r="P496" s="90">
        <v>7.1184645456759996E-2</v>
      </c>
      <c r="Q496" s="90">
        <v>131.80767532591099</v>
      </c>
      <c r="R496" s="90">
        <v>8140</v>
      </c>
      <c r="S496" s="90" t="s">
        <v>386</v>
      </c>
      <c r="T496" s="90">
        <v>8140</v>
      </c>
      <c r="U496" s="90" t="s">
        <v>382</v>
      </c>
      <c r="V496" s="90" t="s">
        <v>381</v>
      </c>
      <c r="Z496" s="90">
        <v>0</v>
      </c>
      <c r="AA496" s="90">
        <v>1</v>
      </c>
      <c r="AB496" s="90">
        <v>0.37505247405883002</v>
      </c>
      <c r="AC496" s="90">
        <v>7.1184645456759996E-2</v>
      </c>
      <c r="AD496" s="90">
        <v>131.80767532591099</v>
      </c>
      <c r="AF496" s="90">
        <v>-1</v>
      </c>
      <c r="AG496" s="90">
        <v>-1</v>
      </c>
      <c r="AH496" s="90">
        <v>-1</v>
      </c>
      <c r="AI496" s="90">
        <v>-1</v>
      </c>
      <c r="AJ496" s="90">
        <v>0</v>
      </c>
      <c r="AM496" s="90" t="s">
        <v>379</v>
      </c>
      <c r="AN496" s="90">
        <v>-1</v>
      </c>
      <c r="AQ496" s="90">
        <v>356</v>
      </c>
      <c r="AR496" s="90" t="s">
        <v>380</v>
      </c>
      <c r="AS496" s="90" t="s">
        <v>246</v>
      </c>
      <c r="AT496" s="90" t="s">
        <v>244</v>
      </c>
      <c r="AU496" s="90">
        <v>175.87190000000001</v>
      </c>
      <c r="AV496" s="90">
        <v>75.510287369501597</v>
      </c>
      <c r="AW496" s="90">
        <v>142.38335975474499</v>
      </c>
      <c r="AX496" s="90">
        <v>0.10689998000000001</v>
      </c>
    </row>
    <row r="497" spans="1:50" x14ac:dyDescent="0.25">
      <c r="A497" s="102">
        <v>830000</v>
      </c>
      <c r="B497" s="102">
        <v>2400000</v>
      </c>
      <c r="C497" s="102">
        <v>2400000</v>
      </c>
      <c r="D497" s="90" t="s">
        <v>374</v>
      </c>
      <c r="E497" s="90" t="s">
        <v>68</v>
      </c>
      <c r="F497" s="90" t="s">
        <v>375</v>
      </c>
      <c r="G497" s="90" t="s">
        <v>376</v>
      </c>
      <c r="H497" s="90">
        <v>0.59</v>
      </c>
      <c r="I497" s="90">
        <v>0.64</v>
      </c>
      <c r="J497" s="90" t="s">
        <v>244</v>
      </c>
      <c r="K497" s="90">
        <v>0.58192498814969995</v>
      </c>
      <c r="L497" s="90">
        <v>3746.2716031779801</v>
      </c>
      <c r="M497" s="90">
        <v>10.6598377506779</v>
      </c>
      <c r="N497" s="90">
        <v>2.0232282770907601</v>
      </c>
      <c r="O497" s="90">
        <v>6.2032259567410204</v>
      </c>
      <c r="P497" s="90">
        <v>1.1773670911701899</v>
      </c>
      <c r="Q497" s="90">
        <v>2180.0490582849202</v>
      </c>
      <c r="R497" s="90">
        <v>1300</v>
      </c>
      <c r="S497" s="90" t="s">
        <v>387</v>
      </c>
      <c r="T497" s="90">
        <v>1300</v>
      </c>
      <c r="U497" s="90" t="s">
        <v>378</v>
      </c>
      <c r="V497" s="90" t="s">
        <v>244</v>
      </c>
      <c r="Z497" s="90">
        <v>0</v>
      </c>
      <c r="AA497" s="90">
        <v>1</v>
      </c>
      <c r="AB497" s="90">
        <v>6.2032259567410204</v>
      </c>
      <c r="AC497" s="90">
        <v>1.1773670911701899</v>
      </c>
      <c r="AD497" s="90">
        <v>2180.0490582849202</v>
      </c>
      <c r="AF497" s="90">
        <v>-1</v>
      </c>
      <c r="AG497" s="90">
        <v>-1</v>
      </c>
      <c r="AH497" s="90">
        <v>-1</v>
      </c>
      <c r="AI497" s="90">
        <v>-1</v>
      </c>
      <c r="AJ497" s="90">
        <v>0</v>
      </c>
      <c r="AM497" s="90" t="s">
        <v>379</v>
      </c>
      <c r="AN497" s="90">
        <v>-1</v>
      </c>
      <c r="AQ497" s="90">
        <v>356</v>
      </c>
      <c r="AR497" s="90" t="s">
        <v>380</v>
      </c>
      <c r="AS497" s="90" t="s">
        <v>246</v>
      </c>
      <c r="AT497" s="90" t="s">
        <v>244</v>
      </c>
      <c r="AU497" s="90">
        <v>175.87190000000001</v>
      </c>
      <c r="AV497" s="90">
        <v>192.23535717258099</v>
      </c>
      <c r="AW497" s="90">
        <v>2354.9668756486699</v>
      </c>
      <c r="AX497" s="90">
        <v>1.7680852054</v>
      </c>
    </row>
    <row r="498" spans="1:50" x14ac:dyDescent="0.25">
      <c r="A498" s="102">
        <v>830000</v>
      </c>
      <c r="B498" s="102">
        <v>2400000</v>
      </c>
      <c r="C498" s="102">
        <v>2400000</v>
      </c>
      <c r="D498" s="90" t="s">
        <v>374</v>
      </c>
      <c r="E498" s="90" t="s">
        <v>68</v>
      </c>
      <c r="F498" s="90" t="s">
        <v>375</v>
      </c>
      <c r="G498" s="90" t="s">
        <v>376</v>
      </c>
      <c r="H498" s="90">
        <v>0.59</v>
      </c>
      <c r="I498" s="90">
        <v>0.64</v>
      </c>
      <c r="J498" s="90" t="s">
        <v>381</v>
      </c>
      <c r="K498" s="90">
        <v>6.5477083828000004E-4</v>
      </c>
      <c r="L498" s="90">
        <v>3746.2716031779801</v>
      </c>
      <c r="M498" s="90">
        <v>10.6598377506779</v>
      </c>
      <c r="N498" s="90">
        <v>2.0232282770907601</v>
      </c>
      <c r="O498" s="90">
        <v>6.9797509000100004E-3</v>
      </c>
      <c r="P498" s="90">
        <v>1.32475087503E-3</v>
      </c>
      <c r="Q498" s="90">
        <v>2.4529493980636299</v>
      </c>
      <c r="R498" s="90">
        <v>1300</v>
      </c>
      <c r="S498" s="90" t="s">
        <v>387</v>
      </c>
      <c r="T498" s="90">
        <v>1300</v>
      </c>
      <c r="U498" s="90" t="s">
        <v>382</v>
      </c>
      <c r="V498" s="90" t="s">
        <v>381</v>
      </c>
      <c r="Z498" s="90">
        <v>0</v>
      </c>
      <c r="AA498" s="90">
        <v>1</v>
      </c>
      <c r="AB498" s="90">
        <v>6.9797509000100004E-3</v>
      </c>
      <c r="AC498" s="90">
        <v>1.32475087503E-3</v>
      </c>
      <c r="AD498" s="90">
        <v>2.4529493980646899</v>
      </c>
      <c r="AF498" s="90">
        <v>-1</v>
      </c>
      <c r="AG498" s="90">
        <v>-1</v>
      </c>
      <c r="AH498" s="90">
        <v>-1</v>
      </c>
      <c r="AI498" s="90">
        <v>-1</v>
      </c>
      <c r="AJ498" s="90">
        <v>0</v>
      </c>
      <c r="AM498" s="90" t="s">
        <v>379</v>
      </c>
      <c r="AN498" s="90">
        <v>-1</v>
      </c>
      <c r="AQ498" s="90">
        <v>356</v>
      </c>
      <c r="AR498" s="90" t="s">
        <v>380</v>
      </c>
      <c r="AS498" s="90" t="s">
        <v>246</v>
      </c>
      <c r="AT498" s="90" t="s">
        <v>244</v>
      </c>
      <c r="AU498" s="90">
        <v>175.87190000000001</v>
      </c>
      <c r="AV498" s="90">
        <v>68.619139141097307</v>
      </c>
      <c r="AW498" s="90">
        <v>2.6497635721231201</v>
      </c>
      <c r="AX498" s="90">
        <v>1.9894155999999998E-3</v>
      </c>
    </row>
    <row r="499" spans="1:50" x14ac:dyDescent="0.25">
      <c r="A499" s="102">
        <v>830000</v>
      </c>
      <c r="B499" s="102">
        <v>2400000</v>
      </c>
      <c r="C499" s="102">
        <v>2400000</v>
      </c>
      <c r="D499" s="90" t="s">
        <v>374</v>
      </c>
      <c r="E499" s="90" t="s">
        <v>68</v>
      </c>
      <c r="F499" s="90" t="s">
        <v>375</v>
      </c>
      <c r="G499" s="90" t="s">
        <v>376</v>
      </c>
      <c r="H499" s="90">
        <v>0.59</v>
      </c>
      <c r="I499" s="90">
        <v>0.64</v>
      </c>
      <c r="J499" s="90" t="s">
        <v>244</v>
      </c>
      <c r="K499" s="90">
        <v>2.1557066836899999E-3</v>
      </c>
      <c r="L499" s="90">
        <v>3777.27699896275</v>
      </c>
      <c r="M499" s="90">
        <v>11.4013000529535</v>
      </c>
      <c r="N499" s="90">
        <v>1.6848110632694899</v>
      </c>
      <c r="O499" s="90">
        <v>2.457785872699E-2</v>
      </c>
      <c r="P499" s="90">
        <v>3.6319584698499999E-3</v>
      </c>
      <c r="Q499" s="90">
        <v>8.1427012728427304</v>
      </c>
      <c r="R499" s="90">
        <v>1400</v>
      </c>
      <c r="S499" s="90" t="s">
        <v>324</v>
      </c>
      <c r="T499" s="90">
        <v>1400</v>
      </c>
      <c r="U499" s="90" t="s">
        <v>378</v>
      </c>
      <c r="V499" s="90" t="s">
        <v>244</v>
      </c>
      <c r="Z499" s="90">
        <v>0</v>
      </c>
      <c r="AA499" s="90">
        <v>1</v>
      </c>
      <c r="AB499" s="90">
        <v>2.457785872699E-2</v>
      </c>
      <c r="AC499" s="90">
        <v>3.6319584698499999E-3</v>
      </c>
      <c r="AD499" s="90">
        <v>8.1427012728416006</v>
      </c>
      <c r="AF499" s="90">
        <v>-1</v>
      </c>
      <c r="AG499" s="90">
        <v>-1</v>
      </c>
      <c r="AH499" s="90">
        <v>-1</v>
      </c>
      <c r="AI499" s="90">
        <v>-1</v>
      </c>
      <c r="AJ499" s="90">
        <v>0</v>
      </c>
      <c r="AM499" s="90" t="s">
        <v>379</v>
      </c>
      <c r="AN499" s="90">
        <v>-1</v>
      </c>
      <c r="AQ499" s="90">
        <v>356</v>
      </c>
      <c r="AR499" s="90" t="s">
        <v>380</v>
      </c>
      <c r="AS499" s="90" t="s">
        <v>246</v>
      </c>
      <c r="AT499" s="90" t="s">
        <v>244</v>
      </c>
      <c r="AU499" s="90">
        <v>175.87190000000001</v>
      </c>
      <c r="AV499" s="90">
        <v>100.381156384747</v>
      </c>
      <c r="AW499" s="90">
        <v>8.7238354377326495</v>
      </c>
      <c r="AX499" s="90">
        <v>6.6039751000000002E-3</v>
      </c>
    </row>
    <row r="500" spans="1:50" x14ac:dyDescent="0.25">
      <c r="A500" s="102">
        <v>830000</v>
      </c>
      <c r="B500" s="102">
        <v>2400000</v>
      </c>
      <c r="C500" s="102">
        <v>2400000</v>
      </c>
      <c r="D500" s="90" t="s">
        <v>374</v>
      </c>
      <c r="E500" s="90" t="s">
        <v>68</v>
      </c>
      <c r="F500" s="90" t="s">
        <v>375</v>
      </c>
      <c r="G500" s="90" t="s">
        <v>376</v>
      </c>
      <c r="H500" s="90">
        <v>0.59</v>
      </c>
      <c r="I500" s="90">
        <v>0.64</v>
      </c>
      <c r="J500" s="90" t="s">
        <v>381</v>
      </c>
      <c r="K500" s="90">
        <v>1.075878190813E-2</v>
      </c>
      <c r="L500" s="90">
        <v>3777.27699896275</v>
      </c>
      <c r="M500" s="90">
        <v>11.4013000529535</v>
      </c>
      <c r="N500" s="90">
        <v>1.6848110632694899</v>
      </c>
      <c r="O500" s="90">
        <v>0.12266410073892001</v>
      </c>
      <c r="P500" s="90">
        <v>1.8126514786119999E-2</v>
      </c>
      <c r="Q500" s="90">
        <v>40.638899438451197</v>
      </c>
      <c r="R500" s="90">
        <v>1400</v>
      </c>
      <c r="S500" s="90" t="s">
        <v>324</v>
      </c>
      <c r="T500" s="90">
        <v>1400</v>
      </c>
      <c r="U500" s="90" t="s">
        <v>382</v>
      </c>
      <c r="V500" s="90" t="s">
        <v>381</v>
      </c>
      <c r="Z500" s="90">
        <v>0</v>
      </c>
      <c r="AA500" s="90">
        <v>1</v>
      </c>
      <c r="AB500" s="90">
        <v>0.12266410073892001</v>
      </c>
      <c r="AC500" s="90">
        <v>1.8126514786119999E-2</v>
      </c>
      <c r="AD500" s="90">
        <v>40.6388994384508</v>
      </c>
      <c r="AF500" s="90">
        <v>-1</v>
      </c>
      <c r="AG500" s="90">
        <v>-1</v>
      </c>
      <c r="AH500" s="90">
        <v>-1</v>
      </c>
      <c r="AI500" s="90">
        <v>-1</v>
      </c>
      <c r="AJ500" s="90">
        <v>0</v>
      </c>
      <c r="AM500" s="90" t="s">
        <v>379</v>
      </c>
      <c r="AN500" s="90">
        <v>-1</v>
      </c>
      <c r="AQ500" s="90">
        <v>356</v>
      </c>
      <c r="AR500" s="90" t="s">
        <v>380</v>
      </c>
      <c r="AS500" s="90" t="s">
        <v>246</v>
      </c>
      <c r="AT500" s="90" t="s">
        <v>244</v>
      </c>
      <c r="AU500" s="90">
        <v>175.87190000000001</v>
      </c>
      <c r="AV500" s="90">
        <v>101.772234562251</v>
      </c>
      <c r="AW500" s="90">
        <v>43.539245662132601</v>
      </c>
      <c r="AX500" s="90">
        <v>3.2959366900000002E-2</v>
      </c>
    </row>
    <row r="501" spans="1:50" x14ac:dyDescent="0.25">
      <c r="A501" s="102">
        <v>830000</v>
      </c>
      <c r="B501" s="102">
        <v>2400000</v>
      </c>
      <c r="C501" s="102">
        <v>2400000</v>
      </c>
      <c r="D501" s="90" t="s">
        <v>374</v>
      </c>
      <c r="E501" s="90" t="s">
        <v>68</v>
      </c>
      <c r="F501" s="90" t="s">
        <v>375</v>
      </c>
      <c r="G501" s="90" t="s">
        <v>376</v>
      </c>
      <c r="H501" s="90">
        <v>0.59</v>
      </c>
      <c r="I501" s="90">
        <v>0.64</v>
      </c>
      <c r="J501" s="90" t="s">
        <v>244</v>
      </c>
      <c r="K501" s="90">
        <v>3.6980124876469997E-2</v>
      </c>
      <c r="L501" s="90">
        <v>3777.27699896275</v>
      </c>
      <c r="M501" s="90">
        <v>11.4013000529535</v>
      </c>
      <c r="N501" s="90">
        <v>1.6848110632694899</v>
      </c>
      <c r="O501" s="90">
        <v>0.42162149971237001</v>
      </c>
      <c r="P501" s="90">
        <v>6.230452351297E-2</v>
      </c>
      <c r="Q501" s="90">
        <v>139.68417511467501</v>
      </c>
      <c r="R501" s="90">
        <v>1430</v>
      </c>
      <c r="S501" s="90" t="s">
        <v>326</v>
      </c>
      <c r="T501" s="90">
        <v>1430</v>
      </c>
      <c r="U501" s="90" t="s">
        <v>378</v>
      </c>
      <c r="V501" s="90" t="s">
        <v>244</v>
      </c>
      <c r="Z501" s="90">
        <v>0</v>
      </c>
      <c r="AA501" s="90">
        <v>1</v>
      </c>
      <c r="AB501" s="90">
        <v>0.42162149971237001</v>
      </c>
      <c r="AC501" s="90">
        <v>6.230452351297E-2</v>
      </c>
      <c r="AD501" s="90">
        <v>139.68417511467601</v>
      </c>
      <c r="AF501" s="90">
        <v>-1</v>
      </c>
      <c r="AG501" s="90">
        <v>-1</v>
      </c>
      <c r="AH501" s="90">
        <v>-1</v>
      </c>
      <c r="AI501" s="90">
        <v>-1</v>
      </c>
      <c r="AJ501" s="90">
        <v>0</v>
      </c>
      <c r="AM501" s="90" t="s">
        <v>379</v>
      </c>
      <c r="AN501" s="90">
        <v>-1</v>
      </c>
      <c r="AQ501" s="90">
        <v>356</v>
      </c>
      <c r="AR501" s="90" t="s">
        <v>380</v>
      </c>
      <c r="AS501" s="90" t="s">
        <v>246</v>
      </c>
      <c r="AT501" s="90" t="s">
        <v>244</v>
      </c>
      <c r="AU501" s="90">
        <v>175.87190000000001</v>
      </c>
      <c r="AV501" s="90">
        <v>103.167938059942</v>
      </c>
      <c r="AW501" s="90">
        <v>149.65325585751401</v>
      </c>
      <c r="AX501" s="90">
        <v>0.1132880577</v>
      </c>
    </row>
    <row r="502" spans="1:50" x14ac:dyDescent="0.25">
      <c r="A502" s="102">
        <v>830000</v>
      </c>
      <c r="B502" s="102">
        <v>2400000</v>
      </c>
      <c r="C502" s="102">
        <v>2400000</v>
      </c>
      <c r="D502" s="90" t="s">
        <v>374</v>
      </c>
      <c r="E502" s="90" t="s">
        <v>68</v>
      </c>
      <c r="F502" s="90" t="s">
        <v>375</v>
      </c>
      <c r="G502" s="90" t="s">
        <v>376</v>
      </c>
      <c r="H502" s="90">
        <v>0.59</v>
      </c>
      <c r="I502" s="90">
        <v>0.64</v>
      </c>
      <c r="J502" s="90" t="s">
        <v>244</v>
      </c>
      <c r="K502" s="90">
        <v>0.16928319422162999</v>
      </c>
      <c r="L502" s="90">
        <v>3777.27699896275</v>
      </c>
      <c r="M502" s="90">
        <v>11.4013000529535</v>
      </c>
      <c r="N502" s="90">
        <v>1.6848110632694899</v>
      </c>
      <c r="O502" s="90">
        <v>1.9300484912432101</v>
      </c>
      <c r="P502" s="90">
        <v>0.28521019845020001</v>
      </c>
      <c r="Q502" s="90">
        <v>639.42951584430796</v>
      </c>
      <c r="R502" s="90">
        <v>1300</v>
      </c>
      <c r="S502" s="90" t="s">
        <v>387</v>
      </c>
      <c r="T502" s="90">
        <v>1300</v>
      </c>
      <c r="U502" s="90" t="s">
        <v>378</v>
      </c>
      <c r="V502" s="90" t="s">
        <v>244</v>
      </c>
      <c r="Z502" s="90">
        <v>0</v>
      </c>
      <c r="AA502" s="90">
        <v>1</v>
      </c>
      <c r="AB502" s="90">
        <v>1.9300484912432101</v>
      </c>
      <c r="AC502" s="90">
        <v>0.28521019845020001</v>
      </c>
      <c r="AD502" s="90">
        <v>639.42951584430796</v>
      </c>
      <c r="AF502" s="90">
        <v>-1</v>
      </c>
      <c r="AG502" s="90">
        <v>-1</v>
      </c>
      <c r="AH502" s="90">
        <v>-1</v>
      </c>
      <c r="AI502" s="90">
        <v>-1</v>
      </c>
      <c r="AJ502" s="90">
        <v>0</v>
      </c>
      <c r="AM502" s="90" t="s">
        <v>379</v>
      </c>
      <c r="AN502" s="90">
        <v>-1</v>
      </c>
      <c r="AQ502" s="90">
        <v>356</v>
      </c>
      <c r="AR502" s="90" t="s">
        <v>380</v>
      </c>
      <c r="AS502" s="90" t="s">
        <v>246</v>
      </c>
      <c r="AT502" s="90" t="s">
        <v>244</v>
      </c>
      <c r="AU502" s="90">
        <v>175.87190000000001</v>
      </c>
      <c r="AV502" s="90">
        <v>124.18618446836599</v>
      </c>
      <c r="AW502" s="90">
        <v>685.06478174019105</v>
      </c>
      <c r="AX502" s="90">
        <v>0.51859652540000001</v>
      </c>
    </row>
    <row r="503" spans="1:50" x14ac:dyDescent="0.25">
      <c r="A503" s="102">
        <v>830000</v>
      </c>
      <c r="B503" s="102">
        <v>2400000</v>
      </c>
      <c r="C503" s="102">
        <v>2400000</v>
      </c>
      <c r="D503" s="90" t="s">
        <v>374</v>
      </c>
      <c r="E503" s="90" t="s">
        <v>68</v>
      </c>
      <c r="F503" s="90" t="s">
        <v>375</v>
      </c>
      <c r="G503" s="90" t="s">
        <v>376</v>
      </c>
      <c r="H503" s="90">
        <v>0.59</v>
      </c>
      <c r="I503" s="90">
        <v>0.64</v>
      </c>
      <c r="J503" s="90" t="s">
        <v>244</v>
      </c>
      <c r="K503" s="90">
        <v>0.39858564618509001</v>
      </c>
      <c r="L503" s="90">
        <v>3777.27699896275</v>
      </c>
      <c r="M503" s="90">
        <v>11.4013000529535</v>
      </c>
      <c r="N503" s="90">
        <v>1.6848110632694899</v>
      </c>
      <c r="O503" s="90">
        <v>4.5443945489566904</v>
      </c>
      <c r="P503" s="90">
        <v>0.67154150635306997</v>
      </c>
      <c r="Q503" s="90">
        <v>1505.5683934516801</v>
      </c>
      <c r="R503" s="90">
        <v>1430</v>
      </c>
      <c r="S503" s="90" t="s">
        <v>326</v>
      </c>
      <c r="T503" s="90">
        <v>1430</v>
      </c>
      <c r="U503" s="90" t="s">
        <v>378</v>
      </c>
      <c r="V503" s="90" t="s">
        <v>244</v>
      </c>
      <c r="Z503" s="90">
        <v>0</v>
      </c>
      <c r="AA503" s="90">
        <v>1</v>
      </c>
      <c r="AB503" s="90">
        <v>4.5443945489566904</v>
      </c>
      <c r="AC503" s="90">
        <v>0.67154150635306997</v>
      </c>
      <c r="AD503" s="90">
        <v>1505.5683934516801</v>
      </c>
      <c r="AF503" s="90">
        <v>-1</v>
      </c>
      <c r="AG503" s="90">
        <v>-1</v>
      </c>
      <c r="AH503" s="90">
        <v>-1</v>
      </c>
      <c r="AI503" s="90">
        <v>-1</v>
      </c>
      <c r="AJ503" s="90">
        <v>0</v>
      </c>
      <c r="AM503" s="90" t="s">
        <v>379</v>
      </c>
      <c r="AN503" s="90">
        <v>-1</v>
      </c>
      <c r="AQ503" s="90">
        <v>356</v>
      </c>
      <c r="AR503" s="90" t="s">
        <v>380</v>
      </c>
      <c r="AS503" s="90" t="s">
        <v>246</v>
      </c>
      <c r="AT503" s="90" t="s">
        <v>244</v>
      </c>
      <c r="AU503" s="90">
        <v>175.87190000000001</v>
      </c>
      <c r="AV503" s="90">
        <v>162.56927499688101</v>
      </c>
      <c r="AW503" s="90">
        <v>1613.01888214062</v>
      </c>
      <c r="AX503" s="90">
        <v>1.2210611464000001</v>
      </c>
    </row>
    <row r="504" spans="1:50" x14ac:dyDescent="0.25">
      <c r="A504" s="102">
        <v>830000</v>
      </c>
      <c r="B504" s="102">
        <v>2400000</v>
      </c>
      <c r="C504" s="102">
        <v>2400000</v>
      </c>
      <c r="D504" s="90" t="s">
        <v>374</v>
      </c>
      <c r="E504" s="90" t="s">
        <v>68</v>
      </c>
      <c r="F504" s="90" t="s">
        <v>375</v>
      </c>
      <c r="G504" s="90" t="s">
        <v>376</v>
      </c>
      <c r="H504" s="90">
        <v>0.59</v>
      </c>
      <c r="I504" s="90">
        <v>0.64</v>
      </c>
      <c r="J504" s="90" t="s">
        <v>244</v>
      </c>
      <c r="K504" s="90">
        <v>0.18054946236829</v>
      </c>
      <c r="L504" s="90">
        <v>3780.7859871328501</v>
      </c>
      <c r="M504" s="90">
        <v>11.579200771449599</v>
      </c>
      <c r="N504" s="90">
        <v>1.5614652399129101</v>
      </c>
      <c r="O504" s="90">
        <v>2.0906184739397902</v>
      </c>
      <c r="P504" s="90">
        <v>0.28192170957305002</v>
      </c>
      <c r="Q504" s="90">
        <v>682.61887730642297</v>
      </c>
      <c r="R504" s="90">
        <v>1400</v>
      </c>
      <c r="S504" s="90" t="s">
        <v>324</v>
      </c>
      <c r="T504" s="90">
        <v>1400</v>
      </c>
      <c r="U504" s="90" t="s">
        <v>378</v>
      </c>
      <c r="V504" s="90" t="s">
        <v>244</v>
      </c>
      <c r="Z504" s="90">
        <v>0</v>
      </c>
      <c r="AA504" s="90">
        <v>1</v>
      </c>
      <c r="AB504" s="90">
        <v>2.0906184739397902</v>
      </c>
      <c r="AC504" s="90">
        <v>0.28192170957305002</v>
      </c>
      <c r="AD504" s="90">
        <v>682.61887730642297</v>
      </c>
      <c r="AF504" s="90">
        <v>-1</v>
      </c>
      <c r="AG504" s="90">
        <v>-1</v>
      </c>
      <c r="AH504" s="90">
        <v>-1</v>
      </c>
      <c r="AI504" s="90">
        <v>-1</v>
      </c>
      <c r="AJ504" s="90">
        <v>0</v>
      </c>
      <c r="AM504" s="90" t="s">
        <v>379</v>
      </c>
      <c r="AN504" s="90">
        <v>-1</v>
      </c>
      <c r="AQ504" s="90">
        <v>356</v>
      </c>
      <c r="AR504" s="90" t="s">
        <v>380</v>
      </c>
      <c r="AS504" s="90" t="s">
        <v>246</v>
      </c>
      <c r="AT504" s="90" t="s">
        <v>244</v>
      </c>
      <c r="AU504" s="90">
        <v>175.87190000000001</v>
      </c>
      <c r="AV504" s="90">
        <v>129.23374856103601</v>
      </c>
      <c r="AW504" s="90">
        <v>730.65775134600699</v>
      </c>
      <c r="AX504" s="90">
        <v>0.55362439360000004</v>
      </c>
    </row>
    <row r="505" spans="1:50" x14ac:dyDescent="0.25">
      <c r="A505" s="102">
        <v>830000</v>
      </c>
      <c r="B505" s="102">
        <v>2400000</v>
      </c>
      <c r="C505" s="102">
        <v>2400000</v>
      </c>
      <c r="D505" s="90" t="s">
        <v>374</v>
      </c>
      <c r="E505" s="90" t="s">
        <v>68</v>
      </c>
      <c r="F505" s="90" t="s">
        <v>375</v>
      </c>
      <c r="G505" s="90" t="s">
        <v>376</v>
      </c>
      <c r="H505" s="90">
        <v>0.59</v>
      </c>
      <c r="I505" s="90">
        <v>0.64</v>
      </c>
      <c r="J505" s="90" t="s">
        <v>244</v>
      </c>
      <c r="K505" s="90">
        <v>0.40636404638022</v>
      </c>
      <c r="L505" s="90">
        <v>3780.7859871328501</v>
      </c>
      <c r="M505" s="90">
        <v>11.579200771449599</v>
      </c>
      <c r="N505" s="90">
        <v>1.5614652399129101</v>
      </c>
      <c r="O505" s="90">
        <v>4.7053708793353</v>
      </c>
      <c r="P505" s="90">
        <v>0.63452333317306997</v>
      </c>
      <c r="Q505" s="90">
        <v>1536.37549222895</v>
      </c>
      <c r="R505" s="90">
        <v>1430</v>
      </c>
      <c r="S505" s="90" t="s">
        <v>326</v>
      </c>
      <c r="T505" s="90">
        <v>1430</v>
      </c>
      <c r="U505" s="90" t="s">
        <v>378</v>
      </c>
      <c r="V505" s="90" t="s">
        <v>244</v>
      </c>
      <c r="Z505" s="90">
        <v>0</v>
      </c>
      <c r="AA505" s="90">
        <v>1</v>
      </c>
      <c r="AB505" s="90">
        <v>4.7053708793353</v>
      </c>
      <c r="AC505" s="90">
        <v>0.63452333317306997</v>
      </c>
      <c r="AD505" s="90">
        <v>1536.37549222895</v>
      </c>
      <c r="AF505" s="90">
        <v>-1</v>
      </c>
      <c r="AG505" s="90">
        <v>-1</v>
      </c>
      <c r="AH505" s="90">
        <v>-1</v>
      </c>
      <c r="AI505" s="90">
        <v>-1</v>
      </c>
      <c r="AJ505" s="90">
        <v>0</v>
      </c>
      <c r="AM505" s="90" t="s">
        <v>379</v>
      </c>
      <c r="AN505" s="90">
        <v>-1</v>
      </c>
      <c r="AQ505" s="90">
        <v>356</v>
      </c>
      <c r="AR505" s="90" t="s">
        <v>380</v>
      </c>
      <c r="AS505" s="90" t="s">
        <v>246</v>
      </c>
      <c r="AT505" s="90" t="s">
        <v>244</v>
      </c>
      <c r="AU505" s="90">
        <v>175.87190000000001</v>
      </c>
      <c r="AV505" s="90">
        <v>165.78396133841599</v>
      </c>
      <c r="AW505" s="90">
        <v>1644.4969509262501</v>
      </c>
      <c r="AX505" s="90">
        <v>1.2460466279</v>
      </c>
    </row>
    <row r="506" spans="1:50" x14ac:dyDescent="0.25">
      <c r="A506" s="102">
        <v>830000</v>
      </c>
      <c r="B506" s="102">
        <v>2400000</v>
      </c>
      <c r="C506" s="102">
        <v>2400000</v>
      </c>
      <c r="D506" s="90" t="s">
        <v>374</v>
      </c>
      <c r="E506" s="90" t="s">
        <v>68</v>
      </c>
      <c r="F506" s="90" t="s">
        <v>375</v>
      </c>
      <c r="G506" s="90" t="s">
        <v>376</v>
      </c>
      <c r="H506" s="90">
        <v>0.59</v>
      </c>
      <c r="I506" s="90">
        <v>0.64</v>
      </c>
      <c r="J506" s="90" t="s">
        <v>244</v>
      </c>
      <c r="K506" s="90">
        <v>3.084994487336E-2</v>
      </c>
      <c r="L506" s="90">
        <v>3780.7859871328501</v>
      </c>
      <c r="M506" s="90">
        <v>11.579200771449599</v>
      </c>
      <c r="N506" s="90">
        <v>1.5614652399129101</v>
      </c>
      <c r="O506" s="90">
        <v>0.35721770547686998</v>
      </c>
      <c r="P506" s="90">
        <v>4.8171116572990003E-2</v>
      </c>
      <c r="Q506" s="90">
        <v>116.637039281046</v>
      </c>
      <c r="R506" s="90">
        <v>1300</v>
      </c>
      <c r="S506" s="90" t="s">
        <v>387</v>
      </c>
      <c r="T506" s="90">
        <v>1300</v>
      </c>
      <c r="U506" s="90" t="s">
        <v>378</v>
      </c>
      <c r="V506" s="90" t="s">
        <v>244</v>
      </c>
      <c r="Z506" s="90">
        <v>0</v>
      </c>
      <c r="AA506" s="90">
        <v>1</v>
      </c>
      <c r="AB506" s="90">
        <v>0.35721770547686998</v>
      </c>
      <c r="AC506" s="90">
        <v>4.8171116572990003E-2</v>
      </c>
      <c r="AD506" s="90">
        <v>116.63703928104501</v>
      </c>
      <c r="AF506" s="90">
        <v>-1</v>
      </c>
      <c r="AG506" s="90">
        <v>-1</v>
      </c>
      <c r="AH506" s="90">
        <v>-1</v>
      </c>
      <c r="AI506" s="90">
        <v>-1</v>
      </c>
      <c r="AJ506" s="90">
        <v>0</v>
      </c>
      <c r="AM506" s="90" t="s">
        <v>379</v>
      </c>
      <c r="AN506" s="90">
        <v>-1</v>
      </c>
      <c r="AQ506" s="90">
        <v>356</v>
      </c>
      <c r="AR506" s="90" t="s">
        <v>380</v>
      </c>
      <c r="AS506" s="90" t="s">
        <v>246</v>
      </c>
      <c r="AT506" s="90" t="s">
        <v>244</v>
      </c>
      <c r="AU506" s="90">
        <v>175.87190000000001</v>
      </c>
      <c r="AV506" s="90">
        <v>104.99716710748901</v>
      </c>
      <c r="AW506" s="90">
        <v>124.84529754146899</v>
      </c>
      <c r="AX506" s="90">
        <v>9.4596138900000001E-2</v>
      </c>
    </row>
    <row r="507" spans="1:50" x14ac:dyDescent="0.25">
      <c r="A507" s="102">
        <v>830000</v>
      </c>
      <c r="B507" s="102">
        <v>2400000</v>
      </c>
      <c r="C507" s="102">
        <v>2400000</v>
      </c>
      <c r="D507" s="90" t="s">
        <v>374</v>
      </c>
      <c r="E507" s="90" t="s">
        <v>68</v>
      </c>
      <c r="F507" s="90" t="s">
        <v>375</v>
      </c>
      <c r="G507" s="90" t="s">
        <v>376</v>
      </c>
      <c r="H507" s="90">
        <v>0.59</v>
      </c>
      <c r="I507" s="90">
        <v>0.64</v>
      </c>
      <c r="J507" s="90" t="s">
        <v>244</v>
      </c>
      <c r="K507" s="90">
        <v>1.309544318128E-2</v>
      </c>
      <c r="L507" s="90">
        <v>2171.3249294713301</v>
      </c>
      <c r="M507" s="90">
        <v>5.5040701400167604</v>
      </c>
      <c r="N507" s="90">
        <v>0.81261335809773005</v>
      </c>
      <c r="O507" s="90">
        <v>7.2078237784390001E-2</v>
      </c>
      <c r="P507" s="90">
        <v>1.0641532059320001E-2</v>
      </c>
      <c r="Q507" s="90">
        <v>28.434462241999402</v>
      </c>
      <c r="R507" s="90">
        <v>1200</v>
      </c>
      <c r="S507" s="90" t="s">
        <v>384</v>
      </c>
      <c r="T507" s="90">
        <v>1200</v>
      </c>
      <c r="U507" s="90" t="s">
        <v>378</v>
      </c>
      <c r="V507" s="90" t="s">
        <v>244</v>
      </c>
      <c r="Z507" s="90">
        <v>0</v>
      </c>
      <c r="AA507" s="90">
        <v>1</v>
      </c>
      <c r="AB507" s="90">
        <v>7.2078237784390001E-2</v>
      </c>
      <c r="AC507" s="90">
        <v>1.0641532059320001E-2</v>
      </c>
      <c r="AD507" s="90">
        <v>28.434462241999</v>
      </c>
      <c r="AF507" s="90">
        <v>-1</v>
      </c>
      <c r="AG507" s="90">
        <v>-1</v>
      </c>
      <c r="AH507" s="90">
        <v>-1</v>
      </c>
      <c r="AI507" s="90">
        <v>-1</v>
      </c>
      <c r="AJ507" s="90">
        <v>0</v>
      </c>
      <c r="AM507" s="90" t="s">
        <v>379</v>
      </c>
      <c r="AN507" s="90">
        <v>-1</v>
      </c>
      <c r="AQ507" s="90">
        <v>356</v>
      </c>
      <c r="AR507" s="90" t="s">
        <v>380</v>
      </c>
      <c r="AS507" s="90" t="s">
        <v>246</v>
      </c>
      <c r="AT507" s="90" t="s">
        <v>244</v>
      </c>
      <c r="AU507" s="90">
        <v>175.87190000000001</v>
      </c>
      <c r="AV507" s="90">
        <v>52.874913257160998</v>
      </c>
      <c r="AW507" s="90">
        <v>52.995378342356801</v>
      </c>
      <c r="AX507" s="90">
        <v>2.3061202100000001E-2</v>
      </c>
    </row>
    <row r="508" spans="1:50" x14ac:dyDescent="0.25">
      <c r="A508" s="102">
        <v>830000</v>
      </c>
      <c r="B508" s="102">
        <v>2400000</v>
      </c>
      <c r="C508" s="102">
        <v>2400000</v>
      </c>
      <c r="D508" s="90" t="s">
        <v>374</v>
      </c>
      <c r="E508" s="90" t="s">
        <v>68</v>
      </c>
      <c r="F508" s="90" t="s">
        <v>375</v>
      </c>
      <c r="G508" s="90" t="s">
        <v>376</v>
      </c>
      <c r="H508" s="90">
        <v>0.59</v>
      </c>
      <c r="I508" s="90">
        <v>0.64</v>
      </c>
      <c r="J508" s="90" t="s">
        <v>389</v>
      </c>
      <c r="K508" s="90">
        <v>0.24003495183834</v>
      </c>
      <c r="L508" s="90">
        <v>2171.3249294713301</v>
      </c>
      <c r="M508" s="90">
        <v>5.5040701400167604</v>
      </c>
      <c r="N508" s="90">
        <v>0.81261335809773005</v>
      </c>
      <c r="O508" s="90">
        <v>1.32116921097378</v>
      </c>
      <c r="P508" s="90">
        <v>0.19505560827418</v>
      </c>
      <c r="Q508" s="90">
        <v>521.193874871042</v>
      </c>
      <c r="R508" s="90">
        <v>5400</v>
      </c>
      <c r="S508" s="90" t="s">
        <v>392</v>
      </c>
      <c r="T508" s="90">
        <v>5400</v>
      </c>
      <c r="U508" s="90" t="s">
        <v>378</v>
      </c>
      <c r="V508" s="90" t="s">
        <v>244</v>
      </c>
      <c r="Y508" s="90" t="s">
        <v>389</v>
      </c>
      <c r="Z508" s="90">
        <v>0</v>
      </c>
      <c r="AA508" s="90">
        <v>1</v>
      </c>
      <c r="AB508" s="90">
        <v>1.32116921097378</v>
      </c>
      <c r="AC508" s="90">
        <v>0.19505560827418</v>
      </c>
      <c r="AD508" s="90">
        <v>521.193874871042</v>
      </c>
      <c r="AF508" s="90">
        <v>-1</v>
      </c>
      <c r="AG508" s="90">
        <v>-1</v>
      </c>
      <c r="AH508" s="90">
        <v>-1</v>
      </c>
      <c r="AI508" s="90">
        <v>-1</v>
      </c>
      <c r="AJ508" s="90">
        <v>0</v>
      </c>
      <c r="AM508" s="90" t="s">
        <v>379</v>
      </c>
      <c r="AN508" s="90">
        <v>-1</v>
      </c>
      <c r="AQ508" s="90">
        <v>356</v>
      </c>
      <c r="AR508" s="90" t="s">
        <v>380</v>
      </c>
      <c r="AS508" s="90" t="s">
        <v>246</v>
      </c>
      <c r="AT508" s="90" t="s">
        <v>244</v>
      </c>
      <c r="AU508" s="90">
        <v>175.87190000000001</v>
      </c>
      <c r="AV508" s="90">
        <v>127.73892430180901</v>
      </c>
      <c r="AW508" s="90">
        <v>971.38698644747001</v>
      </c>
      <c r="AX508" s="90">
        <v>0.42270387259999997</v>
      </c>
    </row>
    <row r="509" spans="1:50" x14ac:dyDescent="0.25">
      <c r="A509" s="102">
        <v>830000</v>
      </c>
      <c r="B509" s="102">
        <v>2400000</v>
      </c>
      <c r="C509" s="102">
        <v>2400000</v>
      </c>
      <c r="D509" s="90" t="s">
        <v>374</v>
      </c>
      <c r="E509" s="90" t="s">
        <v>68</v>
      </c>
      <c r="F509" s="90" t="s">
        <v>375</v>
      </c>
      <c r="G509" s="90" t="s">
        <v>376</v>
      </c>
      <c r="H509" s="90">
        <v>0.59</v>
      </c>
      <c r="I509" s="90">
        <v>0.64</v>
      </c>
      <c r="J509" s="90" t="s">
        <v>244</v>
      </c>
      <c r="K509" s="90">
        <v>1.9862658492100001E-3</v>
      </c>
      <c r="L509" s="90">
        <v>2171.3249294713301</v>
      </c>
      <c r="M509" s="90">
        <v>5.5040701400167604</v>
      </c>
      <c r="N509" s="90">
        <v>0.81261335809773005</v>
      </c>
      <c r="O509" s="90">
        <v>1.093254655077E-2</v>
      </c>
      <c r="P509" s="90">
        <v>1.6140661618E-3</v>
      </c>
      <c r="Q509" s="90">
        <v>4.3128285549493901</v>
      </c>
      <c r="R509" s="90">
        <v>1210</v>
      </c>
      <c r="S509" s="90" t="s">
        <v>385</v>
      </c>
      <c r="T509" s="90">
        <v>1210</v>
      </c>
      <c r="U509" s="90" t="s">
        <v>378</v>
      </c>
      <c r="V509" s="90" t="s">
        <v>244</v>
      </c>
      <c r="Z509" s="90">
        <v>0</v>
      </c>
      <c r="AA509" s="90">
        <v>1</v>
      </c>
      <c r="AB509" s="90">
        <v>1.093254655077E-2</v>
      </c>
      <c r="AC509" s="90">
        <v>1.6140661618E-3</v>
      </c>
      <c r="AD509" s="90">
        <v>4.3128285549485197</v>
      </c>
      <c r="AF509" s="90">
        <v>-1</v>
      </c>
      <c r="AG509" s="90">
        <v>-1</v>
      </c>
      <c r="AH509" s="90">
        <v>-1</v>
      </c>
      <c r="AI509" s="90">
        <v>-1</v>
      </c>
      <c r="AJ509" s="90">
        <v>0</v>
      </c>
      <c r="AM509" s="90" t="s">
        <v>379</v>
      </c>
      <c r="AN509" s="90">
        <v>-1</v>
      </c>
      <c r="AQ509" s="90">
        <v>356</v>
      </c>
      <c r="AR509" s="90" t="s">
        <v>380</v>
      </c>
      <c r="AS509" s="90" t="s">
        <v>246</v>
      </c>
      <c r="AT509" s="90" t="s">
        <v>244</v>
      </c>
      <c r="AU509" s="90">
        <v>175.87190000000001</v>
      </c>
      <c r="AV509" s="90">
        <v>13.8667572422859</v>
      </c>
      <c r="AW509" s="90">
        <v>8.0381327084717107</v>
      </c>
      <c r="AX509" s="90">
        <v>3.4978333999999998E-3</v>
      </c>
    </row>
    <row r="510" spans="1:50" x14ac:dyDescent="0.25">
      <c r="A510" s="102">
        <v>830000</v>
      </c>
      <c r="B510" s="102">
        <v>2400000</v>
      </c>
      <c r="C510" s="102">
        <v>2400000</v>
      </c>
      <c r="D510" s="90" t="s">
        <v>374</v>
      </c>
      <c r="E510" s="90" t="s">
        <v>68</v>
      </c>
      <c r="F510" s="90" t="s">
        <v>375</v>
      </c>
      <c r="G510" s="90" t="s">
        <v>376</v>
      </c>
      <c r="H510" s="90">
        <v>0.59</v>
      </c>
      <c r="I510" s="90">
        <v>0.64</v>
      </c>
      <c r="J510" s="90" t="s">
        <v>244</v>
      </c>
      <c r="K510" s="90">
        <v>2.2099207417880001E-2</v>
      </c>
      <c r="L510" s="90">
        <v>2171.3249294713301</v>
      </c>
      <c r="M510" s="90">
        <v>5.5040701400167604</v>
      </c>
      <c r="N510" s="90">
        <v>0.81261335809773005</v>
      </c>
      <c r="O510" s="90">
        <v>0.12163558766684</v>
      </c>
      <c r="P510" s="90">
        <v>1.7958111151139999E-2</v>
      </c>
      <c r="Q510" s="90">
        <v>47.984559988020102</v>
      </c>
      <c r="R510" s="90">
        <v>1210</v>
      </c>
      <c r="S510" s="90" t="s">
        <v>385</v>
      </c>
      <c r="T510" s="90">
        <v>1210</v>
      </c>
      <c r="U510" s="90" t="s">
        <v>378</v>
      </c>
      <c r="V510" s="90" t="s">
        <v>244</v>
      </c>
      <c r="Z510" s="90">
        <v>0</v>
      </c>
      <c r="AA510" s="90">
        <v>1</v>
      </c>
      <c r="AB510" s="90">
        <v>0.12163558766684</v>
      </c>
      <c r="AC510" s="90">
        <v>1.7958111151139999E-2</v>
      </c>
      <c r="AD510" s="90">
        <v>47.984559988021203</v>
      </c>
      <c r="AF510" s="90">
        <v>-1</v>
      </c>
      <c r="AG510" s="90">
        <v>-1</v>
      </c>
      <c r="AH510" s="90">
        <v>-1</v>
      </c>
      <c r="AI510" s="90">
        <v>-1</v>
      </c>
      <c r="AJ510" s="90">
        <v>0</v>
      </c>
      <c r="AM510" s="90" t="s">
        <v>379</v>
      </c>
      <c r="AN510" s="90">
        <v>-1</v>
      </c>
      <c r="AQ510" s="90">
        <v>356</v>
      </c>
      <c r="AR510" s="90" t="s">
        <v>380</v>
      </c>
      <c r="AS510" s="90" t="s">
        <v>246</v>
      </c>
      <c r="AT510" s="90" t="s">
        <v>244</v>
      </c>
      <c r="AU510" s="90">
        <v>175.87190000000001</v>
      </c>
      <c r="AV510" s="90">
        <v>53.307204488740702</v>
      </c>
      <c r="AW510" s="90">
        <v>89.432319469035804</v>
      </c>
      <c r="AX510" s="90">
        <v>3.8916918100000003E-2</v>
      </c>
    </row>
    <row r="511" spans="1:50" x14ac:dyDescent="0.25">
      <c r="A511" s="102">
        <v>830000</v>
      </c>
      <c r="B511" s="102">
        <v>2400000</v>
      </c>
      <c r="C511" s="102">
        <v>2400000</v>
      </c>
      <c r="D511" s="90" t="s">
        <v>374</v>
      </c>
      <c r="E511" s="90" t="s">
        <v>68</v>
      </c>
      <c r="F511" s="90" t="s">
        <v>375</v>
      </c>
      <c r="G511" s="90" t="s">
        <v>376</v>
      </c>
      <c r="H511" s="90">
        <v>0.59</v>
      </c>
      <c r="I511" s="90">
        <v>0.64</v>
      </c>
      <c r="J511" s="90" t="s">
        <v>244</v>
      </c>
      <c r="K511" s="90">
        <v>0.12581278379214</v>
      </c>
      <c r="L511" s="90">
        <v>2171.3249294713301</v>
      </c>
      <c r="M511" s="90">
        <v>5.5040701400167604</v>
      </c>
      <c r="N511" s="90">
        <v>0.81261335809773005</v>
      </c>
      <c r="O511" s="90">
        <v>0.6924823865027</v>
      </c>
      <c r="P511" s="90">
        <v>0.10223714872895</v>
      </c>
      <c r="Q511" s="90">
        <v>273.18043389406199</v>
      </c>
      <c r="R511" s="90">
        <v>1210</v>
      </c>
      <c r="S511" s="90" t="s">
        <v>385</v>
      </c>
      <c r="T511" s="90">
        <v>1210</v>
      </c>
      <c r="U511" s="90" t="s">
        <v>378</v>
      </c>
      <c r="V511" s="90" t="s">
        <v>244</v>
      </c>
      <c r="Z511" s="90">
        <v>0</v>
      </c>
      <c r="AA511" s="90">
        <v>1</v>
      </c>
      <c r="AB511" s="90">
        <v>0.6924823865027</v>
      </c>
      <c r="AC511" s="90">
        <v>0.10223714872895</v>
      </c>
      <c r="AD511" s="90">
        <v>273.18043389406199</v>
      </c>
      <c r="AF511" s="90">
        <v>-1</v>
      </c>
      <c r="AG511" s="90">
        <v>-1</v>
      </c>
      <c r="AH511" s="90">
        <v>-1</v>
      </c>
      <c r="AI511" s="90">
        <v>-1</v>
      </c>
      <c r="AJ511" s="90">
        <v>0</v>
      </c>
      <c r="AM511" s="90" t="s">
        <v>379</v>
      </c>
      <c r="AN511" s="90">
        <v>-1</v>
      </c>
      <c r="AQ511" s="90">
        <v>356</v>
      </c>
      <c r="AR511" s="90" t="s">
        <v>380</v>
      </c>
      <c r="AS511" s="90" t="s">
        <v>246</v>
      </c>
      <c r="AT511" s="90" t="s">
        <v>244</v>
      </c>
      <c r="AU511" s="90">
        <v>175.87190000000001</v>
      </c>
      <c r="AV511" s="90">
        <v>92.739344789427093</v>
      </c>
      <c r="AW511" s="90">
        <v>509.14627210924903</v>
      </c>
      <c r="AX511" s="90">
        <v>0.22155752949999999</v>
      </c>
    </row>
    <row r="512" spans="1:50" x14ac:dyDescent="0.25">
      <c r="A512" s="102">
        <v>830000</v>
      </c>
      <c r="B512" s="102">
        <v>2400000</v>
      </c>
      <c r="C512" s="102">
        <v>2400000</v>
      </c>
      <c r="D512" s="90" t="s">
        <v>374</v>
      </c>
      <c r="E512" s="90" t="s">
        <v>68</v>
      </c>
      <c r="F512" s="90" t="s">
        <v>375</v>
      </c>
      <c r="G512" s="90" t="s">
        <v>376</v>
      </c>
      <c r="H512" s="90">
        <v>0.59</v>
      </c>
      <c r="I512" s="90">
        <v>0.64</v>
      </c>
      <c r="J512" s="90" t="s">
        <v>244</v>
      </c>
      <c r="K512" s="90">
        <v>0.17147311343577001</v>
      </c>
      <c r="L512" s="90">
        <v>2171.3249294713301</v>
      </c>
      <c r="M512" s="90">
        <v>5.5040701400167604</v>
      </c>
      <c r="N512" s="90">
        <v>0.81261335809773005</v>
      </c>
      <c r="O512" s="90">
        <v>0.94380004347755997</v>
      </c>
      <c r="P512" s="90">
        <v>0.13934134253252001</v>
      </c>
      <c r="Q512" s="90">
        <v>372.32384593716802</v>
      </c>
      <c r="R512" s="90">
        <v>1210</v>
      </c>
      <c r="S512" s="90" t="s">
        <v>385</v>
      </c>
      <c r="T512" s="90">
        <v>1210</v>
      </c>
      <c r="U512" s="90" t="s">
        <v>378</v>
      </c>
      <c r="V512" s="90" t="s">
        <v>244</v>
      </c>
      <c r="Z512" s="90">
        <v>0</v>
      </c>
      <c r="AA512" s="90">
        <v>1</v>
      </c>
      <c r="AB512" s="90">
        <v>0.94380004347755997</v>
      </c>
      <c r="AC512" s="90">
        <v>0.13934134253252001</v>
      </c>
      <c r="AD512" s="90">
        <v>372.32384593716802</v>
      </c>
      <c r="AF512" s="90">
        <v>-1</v>
      </c>
      <c r="AG512" s="90">
        <v>-1</v>
      </c>
      <c r="AH512" s="90">
        <v>-1</v>
      </c>
      <c r="AI512" s="90">
        <v>-1</v>
      </c>
      <c r="AJ512" s="90">
        <v>0</v>
      </c>
      <c r="AM512" s="90" t="s">
        <v>379</v>
      </c>
      <c r="AN512" s="90">
        <v>-1</v>
      </c>
      <c r="AQ512" s="90">
        <v>356</v>
      </c>
      <c r="AR512" s="90" t="s">
        <v>380</v>
      </c>
      <c r="AS512" s="90" t="s">
        <v>246</v>
      </c>
      <c r="AT512" s="90" t="s">
        <v>244</v>
      </c>
      <c r="AU512" s="90">
        <v>175.87190000000001</v>
      </c>
      <c r="AV512" s="90">
        <v>122.02620401101299</v>
      </c>
      <c r="AW512" s="90">
        <v>693.92707037649598</v>
      </c>
      <c r="AX512" s="90">
        <v>0.30196581179999998</v>
      </c>
    </row>
    <row r="513" spans="1:50" x14ac:dyDescent="0.25">
      <c r="A513" s="102">
        <v>830000</v>
      </c>
      <c r="B513" s="102">
        <v>2400000</v>
      </c>
      <c r="C513" s="102">
        <v>2400000</v>
      </c>
      <c r="D513" s="90" t="s">
        <v>374</v>
      </c>
      <c r="E513" s="90" t="s">
        <v>68</v>
      </c>
      <c r="F513" s="90" t="s">
        <v>375</v>
      </c>
      <c r="G513" s="90" t="s">
        <v>376</v>
      </c>
      <c r="H513" s="90">
        <v>0.59</v>
      </c>
      <c r="I513" s="90">
        <v>0.64</v>
      </c>
      <c r="J513" s="90" t="s">
        <v>244</v>
      </c>
      <c r="K513" s="90">
        <v>4.3261688153260001E-2</v>
      </c>
      <c r="L513" s="90">
        <v>2171.3249294713301</v>
      </c>
      <c r="M513" s="90">
        <v>5.5040701400167604</v>
      </c>
      <c r="N513" s="90">
        <v>0.81261335809773005</v>
      </c>
      <c r="O513" s="90">
        <v>0.23811536597112001</v>
      </c>
      <c r="P513" s="90">
        <v>3.5155025687199998E-2</v>
      </c>
      <c r="Q513" s="90">
        <v>93.935181978205406</v>
      </c>
      <c r="R513" s="90">
        <v>1210</v>
      </c>
      <c r="S513" s="90" t="s">
        <v>385</v>
      </c>
      <c r="T513" s="90">
        <v>1210</v>
      </c>
      <c r="U513" s="90" t="s">
        <v>378</v>
      </c>
      <c r="V513" s="90" t="s">
        <v>244</v>
      </c>
      <c r="Z513" s="90">
        <v>0</v>
      </c>
      <c r="AA513" s="90">
        <v>1</v>
      </c>
      <c r="AB513" s="90">
        <v>0.23811536597112001</v>
      </c>
      <c r="AC513" s="90">
        <v>3.5155025687199998E-2</v>
      </c>
      <c r="AD513" s="90">
        <v>93.935181978206003</v>
      </c>
      <c r="AF513" s="90">
        <v>-1</v>
      </c>
      <c r="AG513" s="90">
        <v>-1</v>
      </c>
      <c r="AH513" s="90">
        <v>-1</v>
      </c>
      <c r="AI513" s="90">
        <v>-1</v>
      </c>
      <c r="AJ513" s="90">
        <v>0</v>
      </c>
      <c r="AM513" s="90" t="s">
        <v>379</v>
      </c>
      <c r="AN513" s="90">
        <v>-1</v>
      </c>
      <c r="AQ513" s="90">
        <v>356</v>
      </c>
      <c r="AR513" s="90" t="s">
        <v>380</v>
      </c>
      <c r="AS513" s="90" t="s">
        <v>246</v>
      </c>
      <c r="AT513" s="90" t="s">
        <v>244</v>
      </c>
      <c r="AU513" s="90">
        <v>175.87190000000001</v>
      </c>
      <c r="AV513" s="90">
        <v>70.382554934520698</v>
      </c>
      <c r="AW513" s="90">
        <v>175.073840546919</v>
      </c>
      <c r="AX513" s="90">
        <v>7.61842514E-2</v>
      </c>
    </row>
    <row r="514" spans="1:50" x14ac:dyDescent="0.25">
      <c r="A514" s="102">
        <v>830000</v>
      </c>
      <c r="B514" s="102">
        <v>2400000</v>
      </c>
      <c r="C514" s="102">
        <v>2400000</v>
      </c>
      <c r="D514" s="90" t="s">
        <v>374</v>
      </c>
      <c r="E514" s="90" t="s">
        <v>68</v>
      </c>
      <c r="F514" s="90" t="s">
        <v>375</v>
      </c>
      <c r="G514" s="90" t="s">
        <v>376</v>
      </c>
      <c r="H514" s="90">
        <v>0.59</v>
      </c>
      <c r="I514" s="90">
        <v>0.64</v>
      </c>
      <c r="J514" s="90" t="s">
        <v>244</v>
      </c>
      <c r="K514" s="90">
        <v>5.3546233169000004E-3</v>
      </c>
      <c r="L514" s="90">
        <v>3746.2716031779801</v>
      </c>
      <c r="M514" s="90">
        <v>10.778632389195399</v>
      </c>
      <c r="N514" s="90">
        <v>2.0768542523409899</v>
      </c>
      <c r="O514" s="90">
        <v>5.771551631552E-2</v>
      </c>
      <c r="P514" s="90">
        <v>1.1120772205389999E-2</v>
      </c>
      <c r="Q514" s="90">
        <v>20.0598732778321</v>
      </c>
      <c r="R514" s="90">
        <v>1300</v>
      </c>
      <c r="S514" s="90" t="s">
        <v>387</v>
      </c>
      <c r="T514" s="90">
        <v>1300</v>
      </c>
      <c r="U514" s="90" t="s">
        <v>378</v>
      </c>
      <c r="V514" s="90" t="s">
        <v>244</v>
      </c>
      <c r="Z514" s="90">
        <v>0</v>
      </c>
      <c r="AA514" s="90">
        <v>1</v>
      </c>
      <c r="AB514" s="90">
        <v>5.771551631552E-2</v>
      </c>
      <c r="AC514" s="90">
        <v>1.1120772205389999E-2</v>
      </c>
      <c r="AD514" s="90">
        <v>20.059873277834001</v>
      </c>
      <c r="AF514" s="90">
        <v>-1</v>
      </c>
      <c r="AG514" s="90">
        <v>-1</v>
      </c>
      <c r="AH514" s="90">
        <v>-1</v>
      </c>
      <c r="AI514" s="90">
        <v>-1</v>
      </c>
      <c r="AJ514" s="90">
        <v>0</v>
      </c>
      <c r="AM514" s="90" t="s">
        <v>379</v>
      </c>
      <c r="AN514" s="90">
        <v>-1</v>
      </c>
      <c r="AQ514" s="90">
        <v>356</v>
      </c>
      <c r="AR514" s="90" t="s">
        <v>380</v>
      </c>
      <c r="AS514" s="90" t="s">
        <v>246</v>
      </c>
      <c r="AT514" s="90" t="s">
        <v>244</v>
      </c>
      <c r="AU514" s="90">
        <v>175.87190000000001</v>
      </c>
      <c r="AV514" s="90">
        <v>71.226200808569899</v>
      </c>
      <c r="AW514" s="90">
        <v>21.6693917595477</v>
      </c>
      <c r="AX514" s="90">
        <v>1.6269159200000001E-2</v>
      </c>
    </row>
    <row r="515" spans="1:50" x14ac:dyDescent="0.25">
      <c r="A515" s="102">
        <v>830000</v>
      </c>
      <c r="B515" s="102">
        <v>2400000</v>
      </c>
      <c r="C515" s="102">
        <v>2400000</v>
      </c>
      <c r="D515" s="90" t="s">
        <v>374</v>
      </c>
      <c r="E515" s="90" t="s">
        <v>68</v>
      </c>
      <c r="F515" s="90" t="s">
        <v>375</v>
      </c>
      <c r="G515" s="90" t="s">
        <v>376</v>
      </c>
      <c r="H515" s="90">
        <v>0.59</v>
      </c>
      <c r="I515" s="90">
        <v>0.64</v>
      </c>
      <c r="J515" s="90" t="s">
        <v>244</v>
      </c>
      <c r="K515" s="90">
        <v>0.61240883023593995</v>
      </c>
      <c r="L515" s="90">
        <v>3746.2716031779801</v>
      </c>
      <c r="M515" s="90">
        <v>10.778632389195399</v>
      </c>
      <c r="N515" s="90">
        <v>2.0768542523409899</v>
      </c>
      <c r="O515" s="90">
        <v>6.6009296530103896</v>
      </c>
      <c r="P515" s="90">
        <v>1.2718838832466901</v>
      </c>
      <c r="Q515" s="90">
        <v>2294.2498102483501</v>
      </c>
      <c r="R515" s="90">
        <v>1300</v>
      </c>
      <c r="S515" s="90" t="s">
        <v>387</v>
      </c>
      <c r="T515" s="90">
        <v>1300</v>
      </c>
      <c r="U515" s="90" t="s">
        <v>378</v>
      </c>
      <c r="V515" s="90" t="s">
        <v>244</v>
      </c>
      <c r="Z515" s="90">
        <v>0</v>
      </c>
      <c r="AA515" s="90">
        <v>1</v>
      </c>
      <c r="AB515" s="90">
        <v>6.6009296530103896</v>
      </c>
      <c r="AC515" s="90">
        <v>1.2718838832466901</v>
      </c>
      <c r="AD515" s="90">
        <v>2294.2498102483501</v>
      </c>
      <c r="AF515" s="90">
        <v>-1</v>
      </c>
      <c r="AG515" s="90">
        <v>-1</v>
      </c>
      <c r="AH515" s="90">
        <v>-1</v>
      </c>
      <c r="AI515" s="90">
        <v>-1</v>
      </c>
      <c r="AJ515" s="90">
        <v>0</v>
      </c>
      <c r="AM515" s="90" t="s">
        <v>379</v>
      </c>
      <c r="AN515" s="90">
        <v>-1</v>
      </c>
      <c r="AQ515" s="90">
        <v>356</v>
      </c>
      <c r="AR515" s="90" t="s">
        <v>380</v>
      </c>
      <c r="AS515" s="90" t="s">
        <v>246</v>
      </c>
      <c r="AT515" s="90" t="s">
        <v>244</v>
      </c>
      <c r="AU515" s="90">
        <v>175.87190000000001</v>
      </c>
      <c r="AV515" s="90">
        <v>198.78306623993799</v>
      </c>
      <c r="AW515" s="90">
        <v>2478.3306077747902</v>
      </c>
      <c r="AX515" s="90">
        <v>1.8607054422</v>
      </c>
    </row>
    <row r="516" spans="1:50" x14ac:dyDescent="0.25">
      <c r="A516" s="102">
        <v>830000</v>
      </c>
      <c r="B516" s="102">
        <v>2400000</v>
      </c>
      <c r="C516" s="102">
        <v>2400000</v>
      </c>
      <c r="D516" s="90" t="s">
        <v>374</v>
      </c>
      <c r="E516" s="90" t="s">
        <v>68</v>
      </c>
      <c r="F516" s="90" t="s">
        <v>375</v>
      </c>
      <c r="G516" s="90" t="s">
        <v>376</v>
      </c>
      <c r="H516" s="90">
        <v>0.59</v>
      </c>
      <c r="I516" s="90">
        <v>0.64</v>
      </c>
      <c r="J516" s="90" t="s">
        <v>244</v>
      </c>
      <c r="K516" s="90">
        <v>0.25269810956152</v>
      </c>
      <c r="L516" s="90">
        <v>3746.0260549578902</v>
      </c>
      <c r="M516" s="90">
        <v>10.779169181903001</v>
      </c>
      <c r="N516" s="90">
        <v>2.0755727976781202</v>
      </c>
      <c r="O516" s="90">
        <v>2.7238756749106998</v>
      </c>
      <c r="P516" s="90">
        <v>0.52449332223057998</v>
      </c>
      <c r="Q516" s="90">
        <v>946.61370245606497</v>
      </c>
      <c r="R516" s="90">
        <v>1300</v>
      </c>
      <c r="S516" s="90" t="s">
        <v>387</v>
      </c>
      <c r="T516" s="90">
        <v>1300</v>
      </c>
      <c r="U516" s="90" t="s">
        <v>378</v>
      </c>
      <c r="V516" s="90" t="s">
        <v>244</v>
      </c>
      <c r="Z516" s="90">
        <v>0</v>
      </c>
      <c r="AA516" s="90">
        <v>1</v>
      </c>
      <c r="AB516" s="90">
        <v>2.7238756749106998</v>
      </c>
      <c r="AC516" s="90">
        <v>0.52449332223057998</v>
      </c>
      <c r="AD516" s="90">
        <v>1045.13186191933</v>
      </c>
      <c r="AF516" s="90">
        <v>-1</v>
      </c>
      <c r="AG516" s="90">
        <v>-1</v>
      </c>
      <c r="AH516" s="90">
        <v>-1</v>
      </c>
      <c r="AI516" s="90">
        <v>-1</v>
      </c>
      <c r="AJ516" s="90">
        <v>0</v>
      </c>
      <c r="AM516" s="90" t="s">
        <v>379</v>
      </c>
      <c r="AN516" s="90">
        <v>-1</v>
      </c>
      <c r="AQ516" s="90">
        <v>356</v>
      </c>
      <c r="AR516" s="90" t="s">
        <v>380</v>
      </c>
      <c r="AS516" s="90" t="s">
        <v>246</v>
      </c>
      <c r="AT516" s="90" t="s">
        <v>244</v>
      </c>
      <c r="AU516" s="90">
        <v>175.87190000000001</v>
      </c>
      <c r="AV516" s="90">
        <v>136.69670336717101</v>
      </c>
      <c r="AW516" s="90">
        <v>1022.63296760738</v>
      </c>
      <c r="AX516" s="90">
        <v>0.84763330240000001</v>
      </c>
    </row>
    <row r="517" spans="1:50" x14ac:dyDescent="0.25">
      <c r="A517" s="102">
        <v>830000</v>
      </c>
      <c r="B517" s="102">
        <v>2400000</v>
      </c>
      <c r="C517" s="102">
        <v>2400000</v>
      </c>
      <c r="D517" s="90" t="s">
        <v>374</v>
      </c>
      <c r="E517" s="90" t="s">
        <v>68</v>
      </c>
      <c r="F517" s="90" t="s">
        <v>375</v>
      </c>
      <c r="G517" s="90" t="s">
        <v>376</v>
      </c>
      <c r="H517" s="90">
        <v>0.59</v>
      </c>
      <c r="I517" s="90">
        <v>0.64</v>
      </c>
      <c r="J517" s="90" t="s">
        <v>244</v>
      </c>
      <c r="K517" s="90">
        <v>0.26140274839039002</v>
      </c>
      <c r="L517" s="90">
        <v>3752.2321466220101</v>
      </c>
      <c r="M517" s="90">
        <v>10.7949726472352</v>
      </c>
      <c r="N517" s="90">
        <v>2.0799086135623499</v>
      </c>
      <c r="O517" s="90">
        <v>2.8218355187864499</v>
      </c>
      <c r="P517" s="90">
        <v>0.54369382798606003</v>
      </c>
      <c r="Q517" s="90">
        <v>980.84379572579405</v>
      </c>
      <c r="R517" s="90">
        <v>1300</v>
      </c>
      <c r="S517" s="90" t="s">
        <v>387</v>
      </c>
      <c r="T517" s="90">
        <v>1300</v>
      </c>
      <c r="U517" s="90" t="s">
        <v>378</v>
      </c>
      <c r="V517" s="90" t="s">
        <v>244</v>
      </c>
      <c r="Z517" s="90">
        <v>0</v>
      </c>
      <c r="AA517" s="90">
        <v>1</v>
      </c>
      <c r="AB517" s="90">
        <v>2.8218355187864499</v>
      </c>
      <c r="AC517" s="90">
        <v>0.54369382798606003</v>
      </c>
      <c r="AD517" s="90">
        <v>980.84379572579405</v>
      </c>
      <c r="AF517" s="90">
        <v>-1</v>
      </c>
      <c r="AG517" s="90">
        <v>-1</v>
      </c>
      <c r="AH517" s="90">
        <v>-1</v>
      </c>
      <c r="AI517" s="90">
        <v>-1</v>
      </c>
      <c r="AJ517" s="90">
        <v>0</v>
      </c>
      <c r="AM517" s="90" t="s">
        <v>379</v>
      </c>
      <c r="AN517" s="90">
        <v>-1</v>
      </c>
      <c r="AQ517" s="90">
        <v>356</v>
      </c>
      <c r="AR517" s="90" t="s">
        <v>380</v>
      </c>
      <c r="AS517" s="90" t="s">
        <v>246</v>
      </c>
      <c r="AT517" s="90" t="s">
        <v>244</v>
      </c>
      <c r="AU517" s="90">
        <v>175.87190000000001</v>
      </c>
      <c r="AV517" s="90">
        <v>142.33674029761301</v>
      </c>
      <c r="AW517" s="90">
        <v>1057.85939115669</v>
      </c>
      <c r="AX517" s="90">
        <v>0.79549375160000002</v>
      </c>
    </row>
    <row r="518" spans="1:50" x14ac:dyDescent="0.25">
      <c r="A518" s="102">
        <v>830000</v>
      </c>
      <c r="B518" s="102">
        <v>2400000</v>
      </c>
      <c r="C518" s="102">
        <v>2400000</v>
      </c>
      <c r="D518" s="90" t="s">
        <v>374</v>
      </c>
      <c r="E518" s="90" t="s">
        <v>68</v>
      </c>
      <c r="F518" s="90" t="s">
        <v>375</v>
      </c>
      <c r="G518" s="90" t="s">
        <v>376</v>
      </c>
      <c r="H518" s="90">
        <v>0.59</v>
      </c>
      <c r="I518" s="90">
        <v>0.64</v>
      </c>
      <c r="J518" s="90" t="s">
        <v>244</v>
      </c>
      <c r="K518" s="90">
        <v>6.2501326660709997E-2</v>
      </c>
      <c r="L518" s="90">
        <v>3752.2321466220101</v>
      </c>
      <c r="M518" s="90">
        <v>10.7949726472352</v>
      </c>
      <c r="N518" s="90">
        <v>2.0799086135623499</v>
      </c>
      <c r="O518" s="90">
        <v>0.67470011171830002</v>
      </c>
      <c r="P518" s="90">
        <v>0.12999704768067999</v>
      </c>
      <c r="Q518" s="90">
        <v>234.51948710284699</v>
      </c>
      <c r="R518" s="90">
        <v>1300</v>
      </c>
      <c r="S518" s="90" t="s">
        <v>387</v>
      </c>
      <c r="T518" s="90">
        <v>1300</v>
      </c>
      <c r="U518" s="90" t="s">
        <v>378</v>
      </c>
      <c r="V518" s="90" t="s">
        <v>244</v>
      </c>
      <c r="Z518" s="90">
        <v>0</v>
      </c>
      <c r="AA518" s="90">
        <v>1</v>
      </c>
      <c r="AB518" s="90">
        <v>0.67470011171830002</v>
      </c>
      <c r="AC518" s="90">
        <v>0.12999704768067999</v>
      </c>
      <c r="AD518" s="90">
        <v>234.51948710284699</v>
      </c>
      <c r="AF518" s="90">
        <v>-1</v>
      </c>
      <c r="AG518" s="90">
        <v>-1</v>
      </c>
      <c r="AH518" s="90">
        <v>-1</v>
      </c>
      <c r="AI518" s="90">
        <v>-1</v>
      </c>
      <c r="AJ518" s="90">
        <v>0</v>
      </c>
      <c r="AM518" s="90" t="s">
        <v>379</v>
      </c>
      <c r="AN518" s="90">
        <v>-1</v>
      </c>
      <c r="AQ518" s="90">
        <v>356</v>
      </c>
      <c r="AR518" s="90" t="s">
        <v>380</v>
      </c>
      <c r="AS518" s="90" t="s">
        <v>246</v>
      </c>
      <c r="AT518" s="90" t="s">
        <v>244</v>
      </c>
      <c r="AU518" s="90">
        <v>175.87190000000001</v>
      </c>
      <c r="AV518" s="90">
        <v>110.126005558399</v>
      </c>
      <c r="AW518" s="90">
        <v>252.933895205423</v>
      </c>
      <c r="AX518" s="90">
        <v>0.19020234150000001</v>
      </c>
    </row>
    <row r="519" spans="1:50" x14ac:dyDescent="0.25">
      <c r="A519" s="102">
        <v>830000</v>
      </c>
      <c r="B519" s="102">
        <v>2400000</v>
      </c>
      <c r="C519" s="102">
        <v>2400000</v>
      </c>
      <c r="D519" s="90" t="s">
        <v>374</v>
      </c>
      <c r="E519" s="90" t="s">
        <v>68</v>
      </c>
      <c r="F519" s="90" t="s">
        <v>375</v>
      </c>
      <c r="G519" s="90" t="s">
        <v>376</v>
      </c>
      <c r="H519" s="90">
        <v>0.59</v>
      </c>
      <c r="I519" s="90">
        <v>0.64</v>
      </c>
      <c r="J519" s="90" t="s">
        <v>244</v>
      </c>
      <c r="K519" s="90">
        <v>0.29385937854776001</v>
      </c>
      <c r="L519" s="90">
        <v>3752.2321466220101</v>
      </c>
      <c r="M519" s="90">
        <v>10.7949726472352</v>
      </c>
      <c r="N519" s="90">
        <v>2.0799086135623499</v>
      </c>
      <c r="O519" s="90">
        <v>3.1722039535566502</v>
      </c>
      <c r="P519" s="90">
        <v>0.61120065261756995</v>
      </c>
      <c r="Q519" s="90">
        <v>1102.6286067732799</v>
      </c>
      <c r="R519" s="90">
        <v>1300</v>
      </c>
      <c r="S519" s="90" t="s">
        <v>387</v>
      </c>
      <c r="T519" s="90">
        <v>1300</v>
      </c>
      <c r="U519" s="90" t="s">
        <v>378</v>
      </c>
      <c r="V519" s="90" t="s">
        <v>244</v>
      </c>
      <c r="Z519" s="90">
        <v>0</v>
      </c>
      <c r="AA519" s="90">
        <v>1</v>
      </c>
      <c r="AB519" s="90">
        <v>3.1722039535566502</v>
      </c>
      <c r="AC519" s="90">
        <v>0.61120065261756995</v>
      </c>
      <c r="AD519" s="90">
        <v>1102.6286067732799</v>
      </c>
      <c r="AF519" s="90">
        <v>-1</v>
      </c>
      <c r="AG519" s="90">
        <v>-1</v>
      </c>
      <c r="AH519" s="90">
        <v>-1</v>
      </c>
      <c r="AI519" s="90">
        <v>-1</v>
      </c>
      <c r="AJ519" s="90">
        <v>0</v>
      </c>
      <c r="AM519" s="90" t="s">
        <v>379</v>
      </c>
      <c r="AN519" s="90">
        <v>-1</v>
      </c>
      <c r="AQ519" s="90">
        <v>356</v>
      </c>
      <c r="AR519" s="90" t="s">
        <v>380</v>
      </c>
      <c r="AS519" s="90" t="s">
        <v>246</v>
      </c>
      <c r="AT519" s="90" t="s">
        <v>244</v>
      </c>
      <c r="AU519" s="90">
        <v>175.87190000000001</v>
      </c>
      <c r="AV519" s="90">
        <v>147.599282957133</v>
      </c>
      <c r="AW519" s="90">
        <v>1189.2067133584901</v>
      </c>
      <c r="AX519" s="90">
        <v>0.89426488790000003</v>
      </c>
    </row>
    <row r="520" spans="1:50" x14ac:dyDescent="0.25">
      <c r="A520" s="102">
        <v>830000</v>
      </c>
      <c r="B520" s="102">
        <v>2400000</v>
      </c>
      <c r="C520" s="102">
        <v>2400000</v>
      </c>
      <c r="D520" s="90" t="s">
        <v>374</v>
      </c>
      <c r="E520" s="90" t="s">
        <v>68</v>
      </c>
      <c r="F520" s="90" t="s">
        <v>375</v>
      </c>
      <c r="G520" s="90" t="s">
        <v>376</v>
      </c>
      <c r="H520" s="90">
        <v>0.59</v>
      </c>
      <c r="I520" s="90">
        <v>0.64</v>
      </c>
      <c r="J520" s="90" t="s">
        <v>244</v>
      </c>
      <c r="K520" s="90">
        <v>0.61776345366790997</v>
      </c>
      <c r="L520" s="90">
        <v>3747.7351298742601</v>
      </c>
      <c r="M520" s="90">
        <v>10.7827144172337</v>
      </c>
      <c r="N520" s="90">
        <v>2.07762580930767</v>
      </c>
      <c r="O520" s="90">
        <v>6.6611668983051304</v>
      </c>
      <c r="P520" s="90">
        <v>1.2834812953875001</v>
      </c>
      <c r="Q520" s="90">
        <v>2315.2137972636801</v>
      </c>
      <c r="R520" s="90">
        <v>1300</v>
      </c>
      <c r="S520" s="90" t="s">
        <v>387</v>
      </c>
      <c r="T520" s="90">
        <v>1300</v>
      </c>
      <c r="U520" s="90" t="s">
        <v>378</v>
      </c>
      <c r="V520" s="90" t="s">
        <v>244</v>
      </c>
      <c r="Z520" s="90">
        <v>0</v>
      </c>
      <c r="AA520" s="90">
        <v>1</v>
      </c>
      <c r="AB520" s="90">
        <v>6.6611668983051304</v>
      </c>
      <c r="AC520" s="90">
        <v>1.2834812953875001</v>
      </c>
      <c r="AD520" s="90">
        <v>2315.2137972636801</v>
      </c>
      <c r="AF520" s="90">
        <v>-1</v>
      </c>
      <c r="AG520" s="90">
        <v>-1</v>
      </c>
      <c r="AH520" s="90">
        <v>-1</v>
      </c>
      <c r="AI520" s="90">
        <v>-1</v>
      </c>
      <c r="AJ520" s="90">
        <v>0</v>
      </c>
      <c r="AM520" s="90" t="s">
        <v>379</v>
      </c>
      <c r="AN520" s="90">
        <v>-1</v>
      </c>
      <c r="AQ520" s="90">
        <v>356</v>
      </c>
      <c r="AR520" s="90" t="s">
        <v>380</v>
      </c>
      <c r="AS520" s="90" t="s">
        <v>246</v>
      </c>
      <c r="AT520" s="90" t="s">
        <v>244</v>
      </c>
      <c r="AU520" s="90">
        <v>175.87190000000001</v>
      </c>
      <c r="AV520" s="90">
        <v>200</v>
      </c>
      <c r="AW520" s="90">
        <v>2500</v>
      </c>
      <c r="AX520" s="90">
        <v>1.8777078648000001</v>
      </c>
    </row>
    <row r="521" spans="1:50" x14ac:dyDescent="0.25">
      <c r="A521" s="102">
        <v>830000</v>
      </c>
      <c r="B521" s="102">
        <v>2400000</v>
      </c>
      <c r="C521" s="102">
        <v>2400000</v>
      </c>
      <c r="D521" s="90" t="s">
        <v>374</v>
      </c>
      <c r="E521" s="90" t="s">
        <v>68</v>
      </c>
      <c r="F521" s="90" t="s">
        <v>375</v>
      </c>
      <c r="G521" s="90" t="s">
        <v>376</v>
      </c>
      <c r="H521" s="90">
        <v>0.59</v>
      </c>
      <c r="I521" s="90">
        <v>0.64</v>
      </c>
      <c r="J521" s="90" t="s">
        <v>244</v>
      </c>
      <c r="K521" s="90">
        <v>0.46221954809774002</v>
      </c>
      <c r="L521" s="90">
        <v>3777.9046240105099</v>
      </c>
      <c r="M521" s="90">
        <v>11.608055721211599</v>
      </c>
      <c r="N521" s="90">
        <v>1.5325518782367999</v>
      </c>
      <c r="O521" s="90">
        <v>5.3654702697518504</v>
      </c>
      <c r="P521" s="90">
        <v>0.70837543659496005</v>
      </c>
      <c r="Q521" s="90">
        <v>1746.2213680665</v>
      </c>
      <c r="R521" s="90">
        <v>1450</v>
      </c>
      <c r="S521" s="90" t="s">
        <v>391</v>
      </c>
      <c r="T521" s="90">
        <v>1450</v>
      </c>
      <c r="U521" s="90" t="s">
        <v>378</v>
      </c>
      <c r="V521" s="90" t="s">
        <v>244</v>
      </c>
      <c r="Z521" s="90">
        <v>0</v>
      </c>
      <c r="AA521" s="90">
        <v>1</v>
      </c>
      <c r="AB521" s="90">
        <v>5.3654702697518504</v>
      </c>
      <c r="AC521" s="90">
        <v>0.70837543659496005</v>
      </c>
      <c r="AD521" s="90">
        <v>1746.2213680665</v>
      </c>
      <c r="AF521" s="90">
        <v>-1</v>
      </c>
      <c r="AG521" s="90">
        <v>-1</v>
      </c>
      <c r="AH521" s="90">
        <v>-1</v>
      </c>
      <c r="AI521" s="90">
        <v>-1</v>
      </c>
      <c r="AJ521" s="90">
        <v>0</v>
      </c>
      <c r="AM521" s="90" t="s">
        <v>379</v>
      </c>
      <c r="AN521" s="90">
        <v>-1</v>
      </c>
      <c r="AQ521" s="90">
        <v>356</v>
      </c>
      <c r="AR521" s="90" t="s">
        <v>380</v>
      </c>
      <c r="AS521" s="90" t="s">
        <v>246</v>
      </c>
      <c r="AT521" s="90" t="s">
        <v>244</v>
      </c>
      <c r="AU521" s="90">
        <v>175.87190000000001</v>
      </c>
      <c r="AV521" s="90">
        <v>172.842953236715</v>
      </c>
      <c r="AW521" s="90">
        <v>1870.53614677817</v>
      </c>
      <c r="AX521" s="90">
        <v>1.4162379302999999</v>
      </c>
    </row>
    <row r="522" spans="1:50" x14ac:dyDescent="0.25">
      <c r="A522" s="102">
        <v>830000</v>
      </c>
      <c r="B522" s="102">
        <v>2400000</v>
      </c>
      <c r="C522" s="102">
        <v>2400000</v>
      </c>
      <c r="D522" s="90" t="s">
        <v>374</v>
      </c>
      <c r="E522" s="90" t="s">
        <v>68</v>
      </c>
      <c r="F522" s="90" t="s">
        <v>375</v>
      </c>
      <c r="G522" s="90" t="s">
        <v>376</v>
      </c>
      <c r="H522" s="90">
        <v>0.59</v>
      </c>
      <c r="I522" s="90">
        <v>0.64</v>
      </c>
      <c r="J522" s="90" t="s">
        <v>244</v>
      </c>
      <c r="K522" s="90">
        <v>0.59983684611312005</v>
      </c>
      <c r="L522" s="90">
        <v>3783.8090216505798</v>
      </c>
      <c r="M522" s="90">
        <v>11.625455117056701</v>
      </c>
      <c r="N522" s="90">
        <v>1.53485638515348</v>
      </c>
      <c r="O522" s="90">
        <v>6.9733763320450404</v>
      </c>
      <c r="P522" s="90">
        <v>0.92066341330705004</v>
      </c>
      <c r="Q522" s="90">
        <v>2269.6680698412702</v>
      </c>
      <c r="R522" s="90">
        <v>1450</v>
      </c>
      <c r="S522" s="90" t="s">
        <v>391</v>
      </c>
      <c r="T522" s="90">
        <v>1450</v>
      </c>
      <c r="U522" s="90" t="s">
        <v>378</v>
      </c>
      <c r="V522" s="90" t="s">
        <v>244</v>
      </c>
      <c r="Z522" s="90">
        <v>0</v>
      </c>
      <c r="AA522" s="90">
        <v>1</v>
      </c>
      <c r="AB522" s="90">
        <v>6.9733763320450404</v>
      </c>
      <c r="AC522" s="90">
        <v>0.92066341330705004</v>
      </c>
      <c r="AD522" s="90">
        <v>2337.4989287992698</v>
      </c>
      <c r="AF522" s="90">
        <v>-1</v>
      </c>
      <c r="AG522" s="90">
        <v>-1</v>
      </c>
      <c r="AH522" s="90">
        <v>-1</v>
      </c>
      <c r="AI522" s="90">
        <v>-1</v>
      </c>
      <c r="AJ522" s="90">
        <v>0</v>
      </c>
      <c r="AM522" s="90" t="s">
        <v>379</v>
      </c>
      <c r="AN522" s="90">
        <v>-1</v>
      </c>
      <c r="AQ522" s="90">
        <v>356</v>
      </c>
      <c r="AR522" s="90" t="s">
        <v>380</v>
      </c>
      <c r="AS522" s="90" t="s">
        <v>246</v>
      </c>
      <c r="AT522" s="90" t="s">
        <v>244</v>
      </c>
      <c r="AU522" s="90">
        <v>175.87190000000001</v>
      </c>
      <c r="AV522" s="90">
        <v>197.11287781879</v>
      </c>
      <c r="AW522" s="90">
        <v>2427.4535930850602</v>
      </c>
      <c r="AX522" s="90">
        <v>1.8957817751999999</v>
      </c>
    </row>
    <row r="523" spans="1:50" x14ac:dyDescent="0.25">
      <c r="A523" s="102">
        <v>830000</v>
      </c>
      <c r="B523" s="102">
        <v>2400000</v>
      </c>
      <c r="C523" s="102">
        <v>2400000</v>
      </c>
      <c r="D523" s="90" t="s">
        <v>374</v>
      </c>
      <c r="E523" s="90" t="s">
        <v>68</v>
      </c>
      <c r="F523" s="90" t="s">
        <v>375</v>
      </c>
      <c r="G523" s="90" t="s">
        <v>376</v>
      </c>
      <c r="H523" s="90">
        <v>0.59</v>
      </c>
      <c r="I523" s="90">
        <v>0.64</v>
      </c>
      <c r="J523" s="90" t="s">
        <v>244</v>
      </c>
      <c r="K523" s="90">
        <v>0.61776345366790997</v>
      </c>
      <c r="L523" s="90">
        <v>3744.7066073958699</v>
      </c>
      <c r="M523" s="90">
        <v>11.2386885491584</v>
      </c>
      <c r="N523" s="90">
        <v>2.2195340588455199</v>
      </c>
      <c r="O523" s="90">
        <v>6.9428510528261702</v>
      </c>
      <c r="P523" s="90">
        <v>1.3711470257259699</v>
      </c>
      <c r="Q523" s="90">
        <v>2313.34288675793</v>
      </c>
      <c r="R523" s="90">
        <v>1300</v>
      </c>
      <c r="S523" s="90" t="s">
        <v>387</v>
      </c>
      <c r="T523" s="90">
        <v>1300</v>
      </c>
      <c r="U523" s="90" t="s">
        <v>378</v>
      </c>
      <c r="V523" s="90" t="s">
        <v>244</v>
      </c>
      <c r="Z523" s="90">
        <v>0</v>
      </c>
      <c r="AA523" s="90">
        <v>1</v>
      </c>
      <c r="AB523" s="90">
        <v>6.9428510528261702</v>
      </c>
      <c r="AC523" s="90">
        <v>1.3711470257259699</v>
      </c>
      <c r="AD523" s="90">
        <v>2313.34288675793</v>
      </c>
      <c r="AF523" s="90">
        <v>-1</v>
      </c>
      <c r="AG523" s="90">
        <v>-1</v>
      </c>
      <c r="AH523" s="90">
        <v>-1</v>
      </c>
      <c r="AI523" s="90">
        <v>-1</v>
      </c>
      <c r="AJ523" s="90">
        <v>0</v>
      </c>
      <c r="AM523" s="90" t="s">
        <v>379</v>
      </c>
      <c r="AN523" s="90">
        <v>-1</v>
      </c>
      <c r="AQ523" s="90">
        <v>356</v>
      </c>
      <c r="AR523" s="90" t="s">
        <v>380</v>
      </c>
      <c r="AS523" s="90" t="s">
        <v>246</v>
      </c>
      <c r="AT523" s="90" t="s">
        <v>244</v>
      </c>
      <c r="AU523" s="90">
        <v>175.87190000000001</v>
      </c>
      <c r="AV523" s="90">
        <v>200</v>
      </c>
      <c r="AW523" s="90">
        <v>2500</v>
      </c>
      <c r="AX523" s="90">
        <v>1.8761905002000001</v>
      </c>
    </row>
    <row r="524" spans="1:50" x14ac:dyDescent="0.25">
      <c r="A524" s="102">
        <v>830000</v>
      </c>
      <c r="B524" s="102">
        <v>2400000</v>
      </c>
      <c r="C524" s="102">
        <v>2400000</v>
      </c>
      <c r="D524" s="90" t="s">
        <v>374</v>
      </c>
      <c r="E524" s="90" t="s">
        <v>68</v>
      </c>
      <c r="F524" s="90" t="s">
        <v>375</v>
      </c>
      <c r="G524" s="90" t="s">
        <v>376</v>
      </c>
      <c r="H524" s="90">
        <v>0.59</v>
      </c>
      <c r="I524" s="90">
        <v>0.64</v>
      </c>
      <c r="J524" s="90" t="s">
        <v>244</v>
      </c>
      <c r="K524" s="90">
        <v>0.30126613088285997</v>
      </c>
      <c r="L524" s="90">
        <v>3745.9389973823199</v>
      </c>
      <c r="M524" s="90">
        <v>10.7775176266637</v>
      </c>
      <c r="N524" s="90">
        <v>2.0766211024259502</v>
      </c>
      <c r="O524" s="90">
        <v>3.2469010359068902</v>
      </c>
      <c r="P524" s="90">
        <v>0.62561560483758005</v>
      </c>
      <c r="Q524" s="90">
        <v>1128.5245482646201</v>
      </c>
      <c r="R524" s="90">
        <v>1300</v>
      </c>
      <c r="S524" s="90" t="s">
        <v>387</v>
      </c>
      <c r="T524" s="90">
        <v>1300</v>
      </c>
      <c r="U524" s="90" t="s">
        <v>378</v>
      </c>
      <c r="V524" s="90" t="s">
        <v>244</v>
      </c>
      <c r="Z524" s="90">
        <v>0</v>
      </c>
      <c r="AA524" s="90">
        <v>1</v>
      </c>
      <c r="AB524" s="90">
        <v>3.2469010359068902</v>
      </c>
      <c r="AC524" s="90">
        <v>0.62561560483758005</v>
      </c>
      <c r="AD524" s="90">
        <v>1128.5245482646201</v>
      </c>
      <c r="AF524" s="90">
        <v>-1</v>
      </c>
      <c r="AG524" s="90">
        <v>-1</v>
      </c>
      <c r="AH524" s="90">
        <v>-1</v>
      </c>
      <c r="AI524" s="90">
        <v>-1</v>
      </c>
      <c r="AJ524" s="90">
        <v>0</v>
      </c>
      <c r="AM524" s="90" t="s">
        <v>379</v>
      </c>
      <c r="AN524" s="90">
        <v>-1</v>
      </c>
      <c r="AQ524" s="90">
        <v>356</v>
      </c>
      <c r="AR524" s="90" t="s">
        <v>380</v>
      </c>
      <c r="AS524" s="90" t="s">
        <v>246</v>
      </c>
      <c r="AT524" s="90" t="s">
        <v>244</v>
      </c>
      <c r="AU524" s="90">
        <v>175.87190000000001</v>
      </c>
      <c r="AV524" s="90">
        <v>147.92261944487399</v>
      </c>
      <c r="AW524" s="90">
        <v>1219.18077661493</v>
      </c>
      <c r="AX524" s="90">
        <v>0.91526727350000003</v>
      </c>
    </row>
    <row r="525" spans="1:50" x14ac:dyDescent="0.25">
      <c r="A525" s="102">
        <v>830000</v>
      </c>
      <c r="B525" s="102">
        <v>2400000</v>
      </c>
      <c r="C525" s="102">
        <v>2400000</v>
      </c>
      <c r="D525" s="90" t="s">
        <v>374</v>
      </c>
      <c r="E525" s="90" t="s">
        <v>68</v>
      </c>
      <c r="F525" s="90" t="s">
        <v>375</v>
      </c>
      <c r="G525" s="90" t="s">
        <v>376</v>
      </c>
      <c r="H525" s="90">
        <v>0.59</v>
      </c>
      <c r="I525" s="90">
        <v>0.64</v>
      </c>
      <c r="J525" s="90" t="s">
        <v>244</v>
      </c>
      <c r="K525" s="90">
        <v>1.6062403129999999E-3</v>
      </c>
      <c r="L525" s="90">
        <v>3745.9389973823199</v>
      </c>
      <c r="M525" s="90">
        <v>10.7775176266637</v>
      </c>
      <c r="N525" s="90">
        <v>2.0766211024259502</v>
      </c>
      <c r="O525" s="90">
        <v>1.7311283286059999E-2</v>
      </c>
      <c r="P525" s="90">
        <v>3.3355525295500001E-3</v>
      </c>
      <c r="Q525" s="90">
        <v>6.0168782276530104</v>
      </c>
      <c r="R525" s="90">
        <v>1300</v>
      </c>
      <c r="S525" s="90" t="s">
        <v>387</v>
      </c>
      <c r="T525" s="90">
        <v>1300</v>
      </c>
      <c r="U525" s="90" t="s">
        <v>378</v>
      </c>
      <c r="V525" s="90" t="s">
        <v>244</v>
      </c>
      <c r="Z525" s="90">
        <v>0</v>
      </c>
      <c r="AA525" s="90">
        <v>1</v>
      </c>
      <c r="AB525" s="90">
        <v>1.7311283286059999E-2</v>
      </c>
      <c r="AC525" s="90">
        <v>3.3355525295500001E-3</v>
      </c>
      <c r="AD525" s="90">
        <v>6.0168782276522998</v>
      </c>
      <c r="AF525" s="90">
        <v>-1</v>
      </c>
      <c r="AG525" s="90">
        <v>-1</v>
      </c>
      <c r="AH525" s="90">
        <v>-1</v>
      </c>
      <c r="AI525" s="90">
        <v>-1</v>
      </c>
      <c r="AJ525" s="90">
        <v>0</v>
      </c>
      <c r="AM525" s="90" t="s">
        <v>379</v>
      </c>
      <c r="AN525" s="90">
        <v>-1</v>
      </c>
      <c r="AQ525" s="90">
        <v>356</v>
      </c>
      <c r="AR525" s="90" t="s">
        <v>380</v>
      </c>
      <c r="AS525" s="90" t="s">
        <v>246</v>
      </c>
      <c r="AT525" s="90" t="s">
        <v>244</v>
      </c>
      <c r="AU525" s="90">
        <v>175.87190000000001</v>
      </c>
      <c r="AV525" s="90">
        <v>15.7036197973424</v>
      </c>
      <c r="AW525" s="90">
        <v>6.50022392660129</v>
      </c>
      <c r="AX525" s="90">
        <v>4.8798688000000002E-3</v>
      </c>
    </row>
    <row r="526" spans="1:50" x14ac:dyDescent="0.25">
      <c r="A526" s="102">
        <v>830000</v>
      </c>
      <c r="B526" s="102">
        <v>2400000</v>
      </c>
      <c r="C526" s="102">
        <v>2400000</v>
      </c>
      <c r="D526" s="90" t="s">
        <v>374</v>
      </c>
      <c r="E526" s="90" t="s">
        <v>68</v>
      </c>
      <c r="F526" s="90" t="s">
        <v>375</v>
      </c>
      <c r="G526" s="90" t="s">
        <v>376</v>
      </c>
      <c r="H526" s="90">
        <v>0.59</v>
      </c>
      <c r="I526" s="90">
        <v>0.64</v>
      </c>
      <c r="J526" s="90" t="s">
        <v>244</v>
      </c>
      <c r="K526" s="90">
        <v>6.9295437739199999E-3</v>
      </c>
      <c r="L526" s="90">
        <v>3745.9389973823199</v>
      </c>
      <c r="M526" s="90">
        <v>10.7775176266637</v>
      </c>
      <c r="N526" s="90">
        <v>2.0766211024259502</v>
      </c>
      <c r="O526" s="90">
        <v>7.4683280168230004E-2</v>
      </c>
      <c r="P526" s="90">
        <v>1.4390036831119999E-2</v>
      </c>
      <c r="Q526" s="90">
        <v>25.957648256820999</v>
      </c>
      <c r="R526" s="90">
        <v>1300</v>
      </c>
      <c r="S526" s="90" t="s">
        <v>387</v>
      </c>
      <c r="T526" s="90">
        <v>1300</v>
      </c>
      <c r="U526" s="90" t="s">
        <v>378</v>
      </c>
      <c r="V526" s="90" t="s">
        <v>244</v>
      </c>
      <c r="Z526" s="90">
        <v>0</v>
      </c>
      <c r="AA526" s="90">
        <v>1</v>
      </c>
      <c r="AB526" s="90">
        <v>7.4683280168230004E-2</v>
      </c>
      <c r="AC526" s="90">
        <v>1.4390036831119999E-2</v>
      </c>
      <c r="AD526" s="90">
        <v>25.957648256821201</v>
      </c>
      <c r="AF526" s="90">
        <v>-1</v>
      </c>
      <c r="AG526" s="90">
        <v>-1</v>
      </c>
      <c r="AH526" s="90">
        <v>-1</v>
      </c>
      <c r="AI526" s="90">
        <v>-1</v>
      </c>
      <c r="AJ526" s="90">
        <v>0</v>
      </c>
      <c r="AM526" s="90" t="s">
        <v>379</v>
      </c>
      <c r="AN526" s="90">
        <v>-1</v>
      </c>
      <c r="AQ526" s="90">
        <v>356</v>
      </c>
      <c r="AR526" s="90" t="s">
        <v>380</v>
      </c>
      <c r="AS526" s="90" t="s">
        <v>246</v>
      </c>
      <c r="AT526" s="90" t="s">
        <v>244</v>
      </c>
      <c r="AU526" s="90">
        <v>175.87190000000001</v>
      </c>
      <c r="AV526" s="90">
        <v>41.265157777127399</v>
      </c>
      <c r="AW526" s="90">
        <v>28.0428687258186</v>
      </c>
      <c r="AX526" s="90">
        <v>2.1052431699999999E-2</v>
      </c>
    </row>
    <row r="527" spans="1:50" x14ac:dyDescent="0.25">
      <c r="A527" s="102">
        <v>830000</v>
      </c>
      <c r="B527" s="102">
        <v>2400000</v>
      </c>
      <c r="C527" s="102">
        <v>2400000</v>
      </c>
      <c r="D527" s="90" t="s">
        <v>374</v>
      </c>
      <c r="E527" s="90" t="s">
        <v>68</v>
      </c>
      <c r="F527" s="90" t="s">
        <v>375</v>
      </c>
      <c r="G527" s="90" t="s">
        <v>376</v>
      </c>
      <c r="H527" s="90">
        <v>0.59</v>
      </c>
      <c r="I527" s="90">
        <v>0.64</v>
      </c>
      <c r="J527" s="90" t="s">
        <v>244</v>
      </c>
      <c r="K527" s="90">
        <v>0.18013747952976</v>
      </c>
      <c r="L527" s="90">
        <v>3736.7537608242401</v>
      </c>
      <c r="M527" s="90">
        <v>10.332691937873401</v>
      </c>
      <c r="N527" s="90">
        <v>1.86196365213806</v>
      </c>
      <c r="O527" s="90">
        <v>1.86130508244604</v>
      </c>
      <c r="P527" s="90">
        <v>0.33540943927217998</v>
      </c>
      <c r="Q527" s="90">
        <v>673.12940409825001</v>
      </c>
      <c r="R527" s="90">
        <v>1210</v>
      </c>
      <c r="S527" s="90" t="s">
        <v>385</v>
      </c>
      <c r="T527" s="90">
        <v>1210</v>
      </c>
      <c r="U527" s="90" t="s">
        <v>378</v>
      </c>
      <c r="V527" s="90" t="s">
        <v>244</v>
      </c>
      <c r="Z527" s="90">
        <v>0</v>
      </c>
      <c r="AA527" s="90">
        <v>1</v>
      </c>
      <c r="AB527" s="90">
        <v>1.86130508244604</v>
      </c>
      <c r="AC527" s="90">
        <v>0.33540943927217998</v>
      </c>
      <c r="AD527" s="90">
        <v>673.12940409825001</v>
      </c>
      <c r="AF527" s="90">
        <v>-1</v>
      </c>
      <c r="AG527" s="90">
        <v>-1</v>
      </c>
      <c r="AH527" s="90">
        <v>-1</v>
      </c>
      <c r="AI527" s="90">
        <v>-1</v>
      </c>
      <c r="AJ527" s="90">
        <v>0</v>
      </c>
      <c r="AM527" s="90" t="s">
        <v>379</v>
      </c>
      <c r="AN527" s="90">
        <v>-1</v>
      </c>
      <c r="AQ527" s="90">
        <v>356</v>
      </c>
      <c r="AR527" s="90" t="s">
        <v>380</v>
      </c>
      <c r="AS527" s="90" t="s">
        <v>246</v>
      </c>
      <c r="AT527" s="90" t="s">
        <v>244</v>
      </c>
      <c r="AU527" s="90">
        <v>175.87190000000001</v>
      </c>
      <c r="AV527" s="90">
        <v>107.751164545815</v>
      </c>
      <c r="AW527" s="90">
        <v>728.99051594997798</v>
      </c>
      <c r="AX527" s="90">
        <v>0.54592814609999996</v>
      </c>
    </row>
    <row r="528" spans="1:50" x14ac:dyDescent="0.25">
      <c r="A528" s="102">
        <v>830000</v>
      </c>
      <c r="B528" s="102">
        <v>2400000</v>
      </c>
      <c r="C528" s="102">
        <v>2400000</v>
      </c>
      <c r="D528" s="90" t="s">
        <v>374</v>
      </c>
      <c r="E528" s="90" t="s">
        <v>68</v>
      </c>
      <c r="F528" s="90" t="s">
        <v>375</v>
      </c>
      <c r="G528" s="90" t="s">
        <v>376</v>
      </c>
      <c r="H528" s="90">
        <v>0.59</v>
      </c>
      <c r="I528" s="90">
        <v>0.64</v>
      </c>
      <c r="J528" s="90" t="s">
        <v>244</v>
      </c>
      <c r="K528" s="90">
        <v>1.4149390542039999E-2</v>
      </c>
      <c r="L528" s="90">
        <v>3736.7537608242401</v>
      </c>
      <c r="M528" s="90">
        <v>10.332691937873401</v>
      </c>
      <c r="N528" s="90">
        <v>1.86196365213806</v>
      </c>
      <c r="O528" s="90">
        <v>0.14620129357959999</v>
      </c>
      <c r="P528" s="90">
        <v>2.6345650889190001E-2</v>
      </c>
      <c r="Q528" s="90">
        <v>52.872788321353902</v>
      </c>
      <c r="R528" s="90">
        <v>1210</v>
      </c>
      <c r="S528" s="90" t="s">
        <v>385</v>
      </c>
      <c r="T528" s="90">
        <v>1210</v>
      </c>
      <c r="U528" s="90" t="s">
        <v>378</v>
      </c>
      <c r="V528" s="90" t="s">
        <v>244</v>
      </c>
      <c r="Z528" s="90">
        <v>0</v>
      </c>
      <c r="AA528" s="90">
        <v>1</v>
      </c>
      <c r="AB528" s="90">
        <v>0.14620129357959999</v>
      </c>
      <c r="AC528" s="90">
        <v>2.6345650889190001E-2</v>
      </c>
      <c r="AD528" s="90">
        <v>52.8727883213543</v>
      </c>
      <c r="AF528" s="90">
        <v>-1</v>
      </c>
      <c r="AG528" s="90">
        <v>-1</v>
      </c>
      <c r="AH528" s="90">
        <v>-1</v>
      </c>
      <c r="AI528" s="90">
        <v>-1</v>
      </c>
      <c r="AJ528" s="90">
        <v>0</v>
      </c>
      <c r="AM528" s="90" t="s">
        <v>379</v>
      </c>
      <c r="AN528" s="90">
        <v>-1</v>
      </c>
      <c r="AQ528" s="90">
        <v>356</v>
      </c>
      <c r="AR528" s="90" t="s">
        <v>380</v>
      </c>
      <c r="AS528" s="90" t="s">
        <v>246</v>
      </c>
      <c r="AT528" s="90" t="s">
        <v>244</v>
      </c>
      <c r="AU528" s="90">
        <v>175.87190000000001</v>
      </c>
      <c r="AV528" s="90">
        <v>46.808815863088903</v>
      </c>
      <c r="AW528" s="90">
        <v>57.260551988116902</v>
      </c>
      <c r="AX528" s="90">
        <v>4.2881417900000003E-2</v>
      </c>
    </row>
    <row r="529" spans="1:50" x14ac:dyDescent="0.25">
      <c r="A529" s="102">
        <v>830000</v>
      </c>
      <c r="B529" s="102">
        <v>2400000</v>
      </c>
      <c r="C529" s="102">
        <v>2400000</v>
      </c>
      <c r="D529" s="90" t="s">
        <v>374</v>
      </c>
      <c r="E529" s="90" t="s">
        <v>68</v>
      </c>
      <c r="F529" s="90" t="s">
        <v>375</v>
      </c>
      <c r="G529" s="90" t="s">
        <v>376</v>
      </c>
      <c r="H529" s="90">
        <v>0.59</v>
      </c>
      <c r="I529" s="90">
        <v>0.64</v>
      </c>
      <c r="J529" s="90" t="s">
        <v>244</v>
      </c>
      <c r="K529" s="90">
        <v>0.42347658368815</v>
      </c>
      <c r="L529" s="90">
        <v>3736.7537608242401</v>
      </c>
      <c r="M529" s="90">
        <v>10.332691937873401</v>
      </c>
      <c r="N529" s="90">
        <v>1.86196365213806</v>
      </c>
      <c r="O529" s="90">
        <v>4.3756530821528097</v>
      </c>
      <c r="P529" s="90">
        <v>0.78849800635894995</v>
      </c>
      <c r="Q529" s="90">
        <v>1582.4277167177199</v>
      </c>
      <c r="R529" s="90">
        <v>1300</v>
      </c>
      <c r="S529" s="90" t="s">
        <v>387</v>
      </c>
      <c r="T529" s="90">
        <v>1300</v>
      </c>
      <c r="U529" s="90" t="s">
        <v>378</v>
      </c>
      <c r="V529" s="90" t="s">
        <v>244</v>
      </c>
      <c r="Z529" s="90">
        <v>0</v>
      </c>
      <c r="AA529" s="90">
        <v>1</v>
      </c>
      <c r="AB529" s="90">
        <v>4.3756530821528097</v>
      </c>
      <c r="AC529" s="90">
        <v>0.78849800635894995</v>
      </c>
      <c r="AD529" s="90">
        <v>1582.4277167177199</v>
      </c>
      <c r="AF529" s="90">
        <v>-1</v>
      </c>
      <c r="AG529" s="90">
        <v>-1</v>
      </c>
      <c r="AH529" s="90">
        <v>-1</v>
      </c>
      <c r="AI529" s="90">
        <v>-1</v>
      </c>
      <c r="AJ529" s="90">
        <v>0</v>
      </c>
      <c r="AM529" s="90" t="s">
        <v>379</v>
      </c>
      <c r="AN529" s="90">
        <v>-1</v>
      </c>
      <c r="AQ529" s="90">
        <v>356</v>
      </c>
      <c r="AR529" s="90" t="s">
        <v>380</v>
      </c>
      <c r="AS529" s="90" t="s">
        <v>246</v>
      </c>
      <c r="AT529" s="90" t="s">
        <v>244</v>
      </c>
      <c r="AU529" s="90">
        <v>175.87190000000001</v>
      </c>
      <c r="AV529" s="90">
        <v>194.01861418544701</v>
      </c>
      <c r="AW529" s="90">
        <v>1713.7489324344299</v>
      </c>
      <c r="AX529" s="90">
        <v>1.2833963638999999</v>
      </c>
    </row>
    <row r="530" spans="1:50" x14ac:dyDescent="0.25">
      <c r="A530" s="102">
        <v>830000</v>
      </c>
      <c r="B530" s="102">
        <v>2400000</v>
      </c>
      <c r="C530" s="102">
        <v>2400000</v>
      </c>
      <c r="D530" s="90" t="s">
        <v>374</v>
      </c>
      <c r="E530" s="90" t="s">
        <v>68</v>
      </c>
      <c r="F530" s="90" t="s">
        <v>375</v>
      </c>
      <c r="G530" s="90" t="s">
        <v>376</v>
      </c>
      <c r="H530" s="90">
        <v>0.59</v>
      </c>
      <c r="I530" s="90">
        <v>0.64</v>
      </c>
      <c r="J530" s="90" t="s">
        <v>381</v>
      </c>
      <c r="K530" s="90">
        <v>3.4231511785460002E-2</v>
      </c>
      <c r="L530" s="90">
        <v>3764.9838768481</v>
      </c>
      <c r="M530" s="90">
        <v>10.0905542678267</v>
      </c>
      <c r="N530" s="90">
        <v>1.4642176077533999</v>
      </c>
      <c r="O530" s="90">
        <v>0.34541492734099999</v>
      </c>
      <c r="P530" s="90">
        <v>5.012238229629E-2</v>
      </c>
      <c r="Q530" s="90">
        <v>128.88108995241899</v>
      </c>
      <c r="R530" s="90">
        <v>1300</v>
      </c>
      <c r="S530" s="90" t="s">
        <v>387</v>
      </c>
      <c r="T530" s="90">
        <v>1300</v>
      </c>
      <c r="U530" s="90" t="s">
        <v>382</v>
      </c>
      <c r="V530" s="90" t="s">
        <v>381</v>
      </c>
      <c r="Z530" s="90">
        <v>0</v>
      </c>
      <c r="AA530" s="90">
        <v>1</v>
      </c>
      <c r="AB530" s="90">
        <v>0.34541492734099999</v>
      </c>
      <c r="AC530" s="90">
        <v>5.012238229629E-2</v>
      </c>
      <c r="AD530" s="90">
        <v>128.88108995242001</v>
      </c>
      <c r="AF530" s="90">
        <v>-1</v>
      </c>
      <c r="AG530" s="90">
        <v>-1</v>
      </c>
      <c r="AH530" s="90">
        <v>-1</v>
      </c>
      <c r="AI530" s="90">
        <v>-1</v>
      </c>
      <c r="AJ530" s="90">
        <v>0</v>
      </c>
      <c r="AM530" s="90" t="s">
        <v>379</v>
      </c>
      <c r="AN530" s="90">
        <v>-1</v>
      </c>
      <c r="AQ530" s="90">
        <v>356</v>
      </c>
      <c r="AR530" s="90" t="s">
        <v>380</v>
      </c>
      <c r="AS530" s="90" t="s">
        <v>246</v>
      </c>
      <c r="AT530" s="90" t="s">
        <v>244</v>
      </c>
      <c r="AU530" s="90">
        <v>175.87190000000001</v>
      </c>
      <c r="AV530" s="90">
        <v>105.414678022462</v>
      </c>
      <c r="AW530" s="90">
        <v>138.53001331748001</v>
      </c>
      <c r="AX530" s="90">
        <v>0.10452643139999999</v>
      </c>
    </row>
    <row r="531" spans="1:50" x14ac:dyDescent="0.25">
      <c r="A531" s="102">
        <v>830000</v>
      </c>
      <c r="B531" s="102">
        <v>2400000</v>
      </c>
      <c r="C531" s="102">
        <v>2400000</v>
      </c>
      <c r="D531" s="90" t="s">
        <v>374</v>
      </c>
      <c r="E531" s="90" t="s">
        <v>68</v>
      </c>
      <c r="F531" s="90" t="s">
        <v>375</v>
      </c>
      <c r="G531" s="90" t="s">
        <v>376</v>
      </c>
      <c r="H531" s="90">
        <v>0.59</v>
      </c>
      <c r="I531" s="90">
        <v>0.64</v>
      </c>
      <c r="J531" s="90" t="s">
        <v>244</v>
      </c>
      <c r="K531" s="90">
        <v>4.6623212561089998E-2</v>
      </c>
      <c r="L531" s="90">
        <v>3764.9838768481</v>
      </c>
      <c r="M531" s="90">
        <v>10.0905542678267</v>
      </c>
      <c r="N531" s="90">
        <v>1.4642176077533999</v>
      </c>
      <c r="O531" s="90">
        <v>0.47045405648813998</v>
      </c>
      <c r="P531" s="90">
        <v>6.826652876198E-2</v>
      </c>
      <c r="Q531" s="90">
        <v>175.53564357938001</v>
      </c>
      <c r="R531" s="90">
        <v>1400</v>
      </c>
      <c r="S531" s="90" t="s">
        <v>324</v>
      </c>
      <c r="T531" s="90">
        <v>1400</v>
      </c>
      <c r="U531" s="90" t="s">
        <v>378</v>
      </c>
      <c r="V531" s="90" t="s">
        <v>244</v>
      </c>
      <c r="Z531" s="90">
        <v>0</v>
      </c>
      <c r="AA531" s="90">
        <v>1</v>
      </c>
      <c r="AB531" s="90">
        <v>0.47045405648813998</v>
      </c>
      <c r="AC531" s="90">
        <v>6.826652876198E-2</v>
      </c>
      <c r="AD531" s="90">
        <v>175.53564357938001</v>
      </c>
      <c r="AF531" s="90">
        <v>-1</v>
      </c>
      <c r="AG531" s="90">
        <v>-1</v>
      </c>
      <c r="AH531" s="90">
        <v>-1</v>
      </c>
      <c r="AI531" s="90">
        <v>-1</v>
      </c>
      <c r="AJ531" s="90">
        <v>0</v>
      </c>
      <c r="AM531" s="90" t="s">
        <v>379</v>
      </c>
      <c r="AN531" s="90">
        <v>-1</v>
      </c>
      <c r="AQ531" s="90">
        <v>356</v>
      </c>
      <c r="AR531" s="90" t="s">
        <v>380</v>
      </c>
      <c r="AS531" s="90" t="s">
        <v>246</v>
      </c>
      <c r="AT531" s="90" t="s">
        <v>244</v>
      </c>
      <c r="AU531" s="90">
        <v>175.87190000000001</v>
      </c>
      <c r="AV531" s="90">
        <v>124.377271749237</v>
      </c>
      <c r="AW531" s="90">
        <v>188.677447185782</v>
      </c>
      <c r="AX531" s="90">
        <v>0.1423646744</v>
      </c>
    </row>
    <row r="532" spans="1:50" x14ac:dyDescent="0.25">
      <c r="A532" s="102">
        <v>830000</v>
      </c>
      <c r="B532" s="102">
        <v>2400000</v>
      </c>
      <c r="C532" s="102">
        <v>2400000</v>
      </c>
      <c r="D532" s="90" t="s">
        <v>374</v>
      </c>
      <c r="E532" s="90" t="s">
        <v>68</v>
      </c>
      <c r="F532" s="90" t="s">
        <v>375</v>
      </c>
      <c r="G532" s="90" t="s">
        <v>376</v>
      </c>
      <c r="H532" s="90">
        <v>0.59</v>
      </c>
      <c r="I532" s="90">
        <v>0.64</v>
      </c>
      <c r="J532" s="90" t="s">
        <v>381</v>
      </c>
      <c r="K532" s="90">
        <v>5.6893913527049998E-2</v>
      </c>
      <c r="L532" s="90">
        <v>3764.9838768481</v>
      </c>
      <c r="M532" s="90">
        <v>10.0905542678267</v>
      </c>
      <c r="N532" s="90">
        <v>1.4642176077533999</v>
      </c>
      <c r="O532" s="90">
        <v>0.57409112195380996</v>
      </c>
      <c r="P532" s="90">
        <v>8.3305069960309994E-2</v>
      </c>
      <c r="Q532" s="90">
        <v>214.204667120159</v>
      </c>
      <c r="R532" s="90">
        <v>1400</v>
      </c>
      <c r="S532" s="90" t="s">
        <v>324</v>
      </c>
      <c r="T532" s="90">
        <v>1400</v>
      </c>
      <c r="U532" s="90" t="s">
        <v>382</v>
      </c>
      <c r="V532" s="90" t="s">
        <v>381</v>
      </c>
      <c r="Z532" s="90">
        <v>0</v>
      </c>
      <c r="AA532" s="90">
        <v>1</v>
      </c>
      <c r="AB532" s="90">
        <v>0.57409112195380996</v>
      </c>
      <c r="AC532" s="90">
        <v>8.3305069960309994E-2</v>
      </c>
      <c r="AD532" s="90">
        <v>214.204667120159</v>
      </c>
      <c r="AF532" s="90">
        <v>-1</v>
      </c>
      <c r="AG532" s="90">
        <v>-1</v>
      </c>
      <c r="AH532" s="90">
        <v>-1</v>
      </c>
      <c r="AI532" s="90">
        <v>-1</v>
      </c>
      <c r="AJ532" s="90">
        <v>0</v>
      </c>
      <c r="AM532" s="90" t="s">
        <v>379</v>
      </c>
      <c r="AN532" s="90">
        <v>-1</v>
      </c>
      <c r="AQ532" s="90">
        <v>356</v>
      </c>
      <c r="AR532" s="90" t="s">
        <v>380</v>
      </c>
      <c r="AS532" s="90" t="s">
        <v>246</v>
      </c>
      <c r="AT532" s="90" t="s">
        <v>244</v>
      </c>
      <c r="AU532" s="90">
        <v>175.87190000000001</v>
      </c>
      <c r="AV532" s="90">
        <v>108.847792917012</v>
      </c>
      <c r="AW532" s="90">
        <v>230.241499352441</v>
      </c>
      <c r="AX532" s="90">
        <v>0.17372641289999999</v>
      </c>
    </row>
    <row r="533" spans="1:50" x14ac:dyDescent="0.25">
      <c r="A533" s="102">
        <v>830000</v>
      </c>
      <c r="B533" s="102">
        <v>2400000</v>
      </c>
      <c r="C533" s="102">
        <v>2400000</v>
      </c>
      <c r="D533" s="90" t="s">
        <v>374</v>
      </c>
      <c r="E533" s="90" t="s">
        <v>68</v>
      </c>
      <c r="F533" s="90" t="s">
        <v>375</v>
      </c>
      <c r="G533" s="90" t="s">
        <v>376</v>
      </c>
      <c r="H533" s="90">
        <v>0.59</v>
      </c>
      <c r="I533" s="90">
        <v>0.64</v>
      </c>
      <c r="J533" s="90" t="s">
        <v>381</v>
      </c>
      <c r="K533" s="90">
        <v>0.28868771778775998</v>
      </c>
      <c r="L533" s="90">
        <v>3764.9838768481</v>
      </c>
      <c r="M533" s="90">
        <v>10.0905542678267</v>
      </c>
      <c r="N533" s="90">
        <v>1.4642176077533999</v>
      </c>
      <c r="O533" s="90">
        <v>2.9130190827924598</v>
      </c>
      <c r="P533" s="90">
        <v>0.42270163952697998</v>
      </c>
      <c r="Q533" s="90">
        <v>1086.9046029149899</v>
      </c>
      <c r="R533" s="90">
        <v>8140</v>
      </c>
      <c r="S533" s="90" t="s">
        <v>386</v>
      </c>
      <c r="T533" s="90">
        <v>8140</v>
      </c>
      <c r="U533" s="90" t="s">
        <v>382</v>
      </c>
      <c r="V533" s="90" t="s">
        <v>381</v>
      </c>
      <c r="Z533" s="90">
        <v>0</v>
      </c>
      <c r="AA533" s="90">
        <v>1</v>
      </c>
      <c r="AB533" s="90">
        <v>2.9130190827924598</v>
      </c>
      <c r="AC533" s="90">
        <v>0.42270163952697998</v>
      </c>
      <c r="AD533" s="90">
        <v>1086.9046029149899</v>
      </c>
      <c r="AF533" s="90">
        <v>-1</v>
      </c>
      <c r="AG533" s="90">
        <v>-1</v>
      </c>
      <c r="AH533" s="90">
        <v>-1</v>
      </c>
      <c r="AI533" s="90">
        <v>-1</v>
      </c>
      <c r="AJ533" s="90">
        <v>0</v>
      </c>
      <c r="AM533" s="90" t="s">
        <v>379</v>
      </c>
      <c r="AN533" s="90">
        <v>-1</v>
      </c>
      <c r="AQ533" s="90">
        <v>356</v>
      </c>
      <c r="AR533" s="90" t="s">
        <v>380</v>
      </c>
      <c r="AS533" s="90" t="s">
        <v>246</v>
      </c>
      <c r="AT533" s="90" t="s">
        <v>244</v>
      </c>
      <c r="AU533" s="90">
        <v>175.87190000000001</v>
      </c>
      <c r="AV533" s="90">
        <v>146.897029658631</v>
      </c>
      <c r="AW533" s="90">
        <v>1168.2777447973999</v>
      </c>
      <c r="AX533" s="90">
        <v>0.88151224890000002</v>
      </c>
    </row>
    <row r="534" spans="1:50" x14ac:dyDescent="0.25">
      <c r="A534" s="102">
        <v>830000</v>
      </c>
      <c r="B534" s="102">
        <v>2400000</v>
      </c>
      <c r="C534" s="102">
        <v>2400000</v>
      </c>
      <c r="D534" s="90" t="s">
        <v>374</v>
      </c>
      <c r="E534" s="90" t="s">
        <v>68</v>
      </c>
      <c r="F534" s="90" t="s">
        <v>375</v>
      </c>
      <c r="G534" s="90" t="s">
        <v>376</v>
      </c>
      <c r="H534" s="90">
        <v>0.59</v>
      </c>
      <c r="I534" s="90">
        <v>0.64</v>
      </c>
      <c r="J534" s="90" t="s">
        <v>244</v>
      </c>
      <c r="K534" s="90">
        <v>9.2068390450250004E-2</v>
      </c>
      <c r="L534" s="90">
        <v>3764.9838768481</v>
      </c>
      <c r="M534" s="90">
        <v>10.0905542678267</v>
      </c>
      <c r="N534" s="90">
        <v>1.4642176077533999</v>
      </c>
      <c r="O534" s="90">
        <v>0.92902109018971002</v>
      </c>
      <c r="P534" s="90">
        <v>0.13480815841477001</v>
      </c>
      <c r="Q534" s="90">
        <v>346.636005612551</v>
      </c>
      <c r="R534" s="90">
        <v>1430</v>
      </c>
      <c r="S534" s="90" t="s">
        <v>326</v>
      </c>
      <c r="T534" s="90">
        <v>1430</v>
      </c>
      <c r="U534" s="90" t="s">
        <v>378</v>
      </c>
      <c r="V534" s="90" t="s">
        <v>244</v>
      </c>
      <c r="Z534" s="90">
        <v>0</v>
      </c>
      <c r="AA534" s="90">
        <v>1</v>
      </c>
      <c r="AB534" s="90">
        <v>0.92902109018971002</v>
      </c>
      <c r="AC534" s="90">
        <v>0.13480815841477001</v>
      </c>
      <c r="AD534" s="90">
        <v>346.63600561254901</v>
      </c>
      <c r="AF534" s="90">
        <v>-1</v>
      </c>
      <c r="AG534" s="90">
        <v>-1</v>
      </c>
      <c r="AH534" s="90">
        <v>-1</v>
      </c>
      <c r="AI534" s="90">
        <v>-1</v>
      </c>
      <c r="AJ534" s="90">
        <v>0</v>
      </c>
      <c r="AM534" s="90" t="s">
        <v>379</v>
      </c>
      <c r="AN534" s="90">
        <v>-1</v>
      </c>
      <c r="AQ534" s="90">
        <v>356</v>
      </c>
      <c r="AR534" s="90" t="s">
        <v>380</v>
      </c>
      <c r="AS534" s="90" t="s">
        <v>246</v>
      </c>
      <c r="AT534" s="90" t="s">
        <v>244</v>
      </c>
      <c r="AU534" s="90">
        <v>175.87190000000001</v>
      </c>
      <c r="AV534" s="90">
        <v>89.826197377378904</v>
      </c>
      <c r="AW534" s="90">
        <v>372.58755719362699</v>
      </c>
      <c r="AX534" s="90">
        <v>0.28113220239999998</v>
      </c>
    </row>
    <row r="535" spans="1:50" x14ac:dyDescent="0.25">
      <c r="A535" s="102">
        <v>830000</v>
      </c>
      <c r="B535" s="102">
        <v>2400000</v>
      </c>
      <c r="C535" s="102">
        <v>2400000</v>
      </c>
      <c r="D535" s="90" t="s">
        <v>374</v>
      </c>
      <c r="E535" s="90" t="s">
        <v>68</v>
      </c>
      <c r="F535" s="90" t="s">
        <v>375</v>
      </c>
      <c r="G535" s="90" t="s">
        <v>376</v>
      </c>
      <c r="H535" s="90">
        <v>0.59</v>
      </c>
      <c r="I535" s="90">
        <v>0.64</v>
      </c>
      <c r="J535" s="90" t="s">
        <v>244</v>
      </c>
      <c r="K535" s="90">
        <v>9.3583100349030002E-2</v>
      </c>
      <c r="L535" s="90">
        <v>3764.9838768481</v>
      </c>
      <c r="M535" s="90">
        <v>10.0905542678267</v>
      </c>
      <c r="N535" s="90">
        <v>1.4642176077533999</v>
      </c>
      <c r="O535" s="90">
        <v>0.94430535262341997</v>
      </c>
      <c r="P535" s="90">
        <v>0.13702602331920999</v>
      </c>
      <c r="Q535" s="90">
        <v>352.33886395957802</v>
      </c>
      <c r="R535" s="90">
        <v>1300</v>
      </c>
      <c r="S535" s="90" t="s">
        <v>387</v>
      </c>
      <c r="T535" s="90">
        <v>1300</v>
      </c>
      <c r="U535" s="90" t="s">
        <v>378</v>
      </c>
      <c r="V535" s="90" t="s">
        <v>244</v>
      </c>
      <c r="Z535" s="90">
        <v>0</v>
      </c>
      <c r="AA535" s="90">
        <v>1</v>
      </c>
      <c r="AB535" s="90">
        <v>0.94430535262341997</v>
      </c>
      <c r="AC535" s="90">
        <v>0.13702602331920999</v>
      </c>
      <c r="AD535" s="90">
        <v>352.33886395957802</v>
      </c>
      <c r="AF535" s="90">
        <v>-1</v>
      </c>
      <c r="AG535" s="90">
        <v>-1</v>
      </c>
      <c r="AH535" s="90">
        <v>-1</v>
      </c>
      <c r="AI535" s="90">
        <v>-1</v>
      </c>
      <c r="AJ535" s="90">
        <v>0</v>
      </c>
      <c r="AM535" s="90" t="s">
        <v>379</v>
      </c>
      <c r="AN535" s="90">
        <v>-1</v>
      </c>
      <c r="AQ535" s="90">
        <v>356</v>
      </c>
      <c r="AR535" s="90" t="s">
        <v>380</v>
      </c>
      <c r="AS535" s="90" t="s">
        <v>246</v>
      </c>
      <c r="AT535" s="90" t="s">
        <v>244</v>
      </c>
      <c r="AU535" s="90">
        <v>175.87190000000001</v>
      </c>
      <c r="AV535" s="90">
        <v>115.16561978249599</v>
      </c>
      <c r="AW535" s="90">
        <v>378.717370675599</v>
      </c>
      <c r="AX535" s="90">
        <v>0.28575739169999997</v>
      </c>
    </row>
    <row r="536" spans="1:50" x14ac:dyDescent="0.25">
      <c r="A536" s="102">
        <v>830000</v>
      </c>
      <c r="B536" s="102">
        <v>2400000</v>
      </c>
      <c r="C536" s="102">
        <v>2400000</v>
      </c>
      <c r="D536" s="90" t="s">
        <v>374</v>
      </c>
      <c r="E536" s="90" t="s">
        <v>68</v>
      </c>
      <c r="F536" s="90" t="s">
        <v>375</v>
      </c>
      <c r="G536" s="90" t="s">
        <v>376</v>
      </c>
      <c r="H536" s="90">
        <v>0.59</v>
      </c>
      <c r="I536" s="90">
        <v>0.64</v>
      </c>
      <c r="J536" s="90" t="s">
        <v>381</v>
      </c>
      <c r="K536" s="90">
        <v>2.1611097485199999E-3</v>
      </c>
      <c r="L536" s="90">
        <v>3764.9838768481</v>
      </c>
      <c r="M536" s="90">
        <v>10.0905542678267</v>
      </c>
      <c r="N536" s="90">
        <v>1.4642176077533999</v>
      </c>
      <c r="O536" s="90">
        <v>2.1806795196230001E-2</v>
      </c>
      <c r="P536" s="90">
        <v>3.1643349460700001E-3</v>
      </c>
      <c r="Q536" s="90">
        <v>8.1365433592996492</v>
      </c>
      <c r="R536" s="90">
        <v>1300</v>
      </c>
      <c r="S536" s="90" t="s">
        <v>387</v>
      </c>
      <c r="T536" s="90">
        <v>1300</v>
      </c>
      <c r="U536" s="90" t="s">
        <v>382</v>
      </c>
      <c r="V536" s="90" t="s">
        <v>381</v>
      </c>
      <c r="Z536" s="90">
        <v>0</v>
      </c>
      <c r="AA536" s="90">
        <v>1</v>
      </c>
      <c r="AB536" s="90">
        <v>2.1806795196230001E-2</v>
      </c>
      <c r="AC536" s="90">
        <v>3.1643349460700001E-3</v>
      </c>
      <c r="AD536" s="90">
        <v>8.1365433592984004</v>
      </c>
      <c r="AF536" s="90">
        <v>-1</v>
      </c>
      <c r="AG536" s="90">
        <v>-1</v>
      </c>
      <c r="AH536" s="90">
        <v>-1</v>
      </c>
      <c r="AI536" s="90">
        <v>-1</v>
      </c>
      <c r="AJ536" s="90">
        <v>0</v>
      </c>
      <c r="AM536" s="90" t="s">
        <v>379</v>
      </c>
      <c r="AN536" s="90">
        <v>-1</v>
      </c>
      <c r="AQ536" s="90">
        <v>356</v>
      </c>
      <c r="AR536" s="90" t="s">
        <v>380</v>
      </c>
      <c r="AS536" s="90" t="s">
        <v>246</v>
      </c>
      <c r="AT536" s="90" t="s">
        <v>244</v>
      </c>
      <c r="AU536" s="90">
        <v>175.87190000000001</v>
      </c>
      <c r="AV536" s="90">
        <v>100.38367491935399</v>
      </c>
      <c r="AW536" s="90">
        <v>8.7457008653323491</v>
      </c>
      <c r="AX536" s="90">
        <v>6.5989808000000002E-3</v>
      </c>
    </row>
    <row r="537" spans="1:50" x14ac:dyDescent="0.25">
      <c r="A537" s="102">
        <v>830000</v>
      </c>
      <c r="B537" s="102">
        <v>2400000</v>
      </c>
      <c r="C537" s="102">
        <v>2400000</v>
      </c>
      <c r="D537" s="90" t="s">
        <v>374</v>
      </c>
      <c r="E537" s="90" t="s">
        <v>68</v>
      </c>
      <c r="F537" s="90" t="s">
        <v>375</v>
      </c>
      <c r="G537" s="90" t="s">
        <v>376</v>
      </c>
      <c r="H537" s="90">
        <v>0.59</v>
      </c>
      <c r="I537" s="90">
        <v>0.64</v>
      </c>
      <c r="J537" s="90" t="s">
        <v>244</v>
      </c>
      <c r="K537" s="90">
        <v>3.5144974126899999E-3</v>
      </c>
      <c r="L537" s="90">
        <v>3764.9838768481</v>
      </c>
      <c r="M537" s="90">
        <v>10.0905542678267</v>
      </c>
      <c r="N537" s="90">
        <v>1.4642176077533999</v>
      </c>
      <c r="O537" s="90">
        <v>3.5463226866920002E-2</v>
      </c>
      <c r="P537" s="90">
        <v>5.1459889940699997E-3</v>
      </c>
      <c r="Q537" s="90">
        <v>13.232026094017201</v>
      </c>
      <c r="R537" s="90">
        <v>1410</v>
      </c>
      <c r="S537" s="90" t="s">
        <v>325</v>
      </c>
      <c r="T537" s="90">
        <v>1410</v>
      </c>
      <c r="U537" s="90" t="s">
        <v>378</v>
      </c>
      <c r="V537" s="90" t="s">
        <v>244</v>
      </c>
      <c r="Z537" s="90">
        <v>0</v>
      </c>
      <c r="AA537" s="90">
        <v>1</v>
      </c>
      <c r="AB537" s="90">
        <v>3.5463226866920002E-2</v>
      </c>
      <c r="AC537" s="90">
        <v>5.1459889940699997E-3</v>
      </c>
      <c r="AD537" s="90">
        <v>13.232026094016501</v>
      </c>
      <c r="AF537" s="90">
        <v>-1</v>
      </c>
      <c r="AG537" s="90">
        <v>-1</v>
      </c>
      <c r="AH537" s="90">
        <v>-1</v>
      </c>
      <c r="AI537" s="90">
        <v>-1</v>
      </c>
      <c r="AJ537" s="90">
        <v>0</v>
      </c>
      <c r="AM537" s="90" t="s">
        <v>379</v>
      </c>
      <c r="AN537" s="90">
        <v>-1</v>
      </c>
      <c r="AQ537" s="90">
        <v>356</v>
      </c>
      <c r="AR537" s="90" t="s">
        <v>380</v>
      </c>
      <c r="AS537" s="90" t="s">
        <v>246</v>
      </c>
      <c r="AT537" s="90" t="s">
        <v>244</v>
      </c>
      <c r="AU537" s="90">
        <v>175.87190000000001</v>
      </c>
      <c r="AV537" s="90">
        <v>27.4944254328719</v>
      </c>
      <c r="AW537" s="90">
        <v>14.222666426068001</v>
      </c>
      <c r="AX537" s="90">
        <v>1.07315702E-2</v>
      </c>
    </row>
    <row r="538" spans="1:50" x14ac:dyDescent="0.25">
      <c r="A538" s="102">
        <v>830000</v>
      </c>
      <c r="B538" s="102">
        <v>2400000</v>
      </c>
      <c r="C538" s="102">
        <v>2400000</v>
      </c>
      <c r="D538" s="90" t="s">
        <v>374</v>
      </c>
      <c r="E538" s="90" t="s">
        <v>68</v>
      </c>
      <c r="F538" s="90" t="s">
        <v>375</v>
      </c>
      <c r="G538" s="90" t="s">
        <v>376</v>
      </c>
      <c r="H538" s="90">
        <v>0.59</v>
      </c>
      <c r="I538" s="90">
        <v>0.64</v>
      </c>
      <c r="J538" s="90" t="s">
        <v>244</v>
      </c>
      <c r="K538" s="90">
        <v>0.61776345348380002</v>
      </c>
      <c r="L538" s="90">
        <v>3749.9103356529599</v>
      </c>
      <c r="M538" s="90">
        <v>10.788827957176601</v>
      </c>
      <c r="N538" s="90">
        <v>2.0787869299552399</v>
      </c>
      <c r="O538" s="90">
        <v>6.6649436178680501</v>
      </c>
      <c r="P538" s="90">
        <v>1.2841985929061399</v>
      </c>
      <c r="Q538" s="90">
        <v>2316.5575592075902</v>
      </c>
      <c r="R538" s="90">
        <v>1300</v>
      </c>
      <c r="S538" s="90" t="s">
        <v>387</v>
      </c>
      <c r="T538" s="90">
        <v>1300</v>
      </c>
      <c r="U538" s="90" t="s">
        <v>378</v>
      </c>
      <c r="V538" s="90" t="s">
        <v>244</v>
      </c>
      <c r="Z538" s="90">
        <v>0</v>
      </c>
      <c r="AA538" s="90">
        <v>1</v>
      </c>
      <c r="AB538" s="90">
        <v>6.6649436178680501</v>
      </c>
      <c r="AC538" s="90">
        <v>1.2841985929061399</v>
      </c>
      <c r="AD538" s="90">
        <v>2316.5575592075902</v>
      </c>
      <c r="AF538" s="90">
        <v>-1</v>
      </c>
      <c r="AG538" s="90">
        <v>-1</v>
      </c>
      <c r="AH538" s="90">
        <v>-1</v>
      </c>
      <c r="AI538" s="90">
        <v>-1</v>
      </c>
      <c r="AJ538" s="90">
        <v>0</v>
      </c>
      <c r="AM538" s="90" t="s">
        <v>379</v>
      </c>
      <c r="AN538" s="90">
        <v>-1</v>
      </c>
      <c r="AQ538" s="90">
        <v>356</v>
      </c>
      <c r="AR538" s="90" t="s">
        <v>380</v>
      </c>
      <c r="AS538" s="90" t="s">
        <v>246</v>
      </c>
      <c r="AT538" s="90" t="s">
        <v>244</v>
      </c>
      <c r="AU538" s="90">
        <v>175.87190000000001</v>
      </c>
      <c r="AV538" s="90">
        <v>199.999999970197</v>
      </c>
      <c r="AW538" s="90">
        <v>2499.9999992549401</v>
      </c>
      <c r="AX538" s="90">
        <v>1.8787976959999999</v>
      </c>
    </row>
    <row r="539" spans="1:50" x14ac:dyDescent="0.25">
      <c r="A539" s="102">
        <v>830000</v>
      </c>
      <c r="B539" s="102">
        <v>2400000</v>
      </c>
      <c r="C539" s="102">
        <v>2400000</v>
      </c>
      <c r="D539" s="90" t="s">
        <v>374</v>
      </c>
      <c r="E539" s="90" t="s">
        <v>68</v>
      </c>
      <c r="F539" s="90" t="s">
        <v>375</v>
      </c>
      <c r="G539" s="90" t="s">
        <v>376</v>
      </c>
      <c r="H539" s="90">
        <v>0.59</v>
      </c>
      <c r="I539" s="90">
        <v>0.64</v>
      </c>
      <c r="J539" s="90" t="s">
        <v>244</v>
      </c>
      <c r="K539" s="90">
        <v>0.34599062541178999</v>
      </c>
      <c r="L539" s="90">
        <v>3830.1207291526598</v>
      </c>
      <c r="M539" s="90">
        <v>10.5319342273516</v>
      </c>
      <c r="N539" s="90">
        <v>1.40272381179919</v>
      </c>
      <c r="O539" s="90">
        <v>3.64395051011725</v>
      </c>
      <c r="P539" s="90">
        <v>0.48532928892441002</v>
      </c>
      <c r="Q539" s="90">
        <v>1325.1858664822</v>
      </c>
      <c r="R539" s="90">
        <v>1400</v>
      </c>
      <c r="S539" s="90" t="s">
        <v>324</v>
      </c>
      <c r="T539" s="90">
        <v>1400</v>
      </c>
      <c r="U539" s="90" t="s">
        <v>378</v>
      </c>
      <c r="V539" s="90" t="s">
        <v>244</v>
      </c>
      <c r="Z539" s="90">
        <v>0</v>
      </c>
      <c r="AA539" s="90">
        <v>1</v>
      </c>
      <c r="AB539" s="90">
        <v>3.64395051011725</v>
      </c>
      <c r="AC539" s="90">
        <v>0.48532928892441002</v>
      </c>
      <c r="AD539" s="90">
        <v>1325.1858664822</v>
      </c>
      <c r="AF539" s="90">
        <v>-1</v>
      </c>
      <c r="AG539" s="90">
        <v>-1</v>
      </c>
      <c r="AH539" s="90">
        <v>-1</v>
      </c>
      <c r="AI539" s="90">
        <v>-1</v>
      </c>
      <c r="AJ539" s="90">
        <v>0</v>
      </c>
      <c r="AM539" s="90" t="s">
        <v>379</v>
      </c>
      <c r="AN539" s="90">
        <v>-1</v>
      </c>
      <c r="AQ539" s="90">
        <v>356</v>
      </c>
      <c r="AR539" s="90" t="s">
        <v>380</v>
      </c>
      <c r="AS539" s="90" t="s">
        <v>246</v>
      </c>
      <c r="AT539" s="90" t="s">
        <v>244</v>
      </c>
      <c r="AU539" s="90">
        <v>175.87190000000001</v>
      </c>
      <c r="AV539" s="90">
        <v>160.403044266286</v>
      </c>
      <c r="AW539" s="90">
        <v>1400.1743845379001</v>
      </c>
      <c r="AX539" s="90">
        <v>1.0747655039999999</v>
      </c>
    </row>
    <row r="540" spans="1:50" x14ac:dyDescent="0.25">
      <c r="A540" s="102">
        <v>830000</v>
      </c>
      <c r="B540" s="102">
        <v>2400000</v>
      </c>
      <c r="C540" s="102">
        <v>2400000</v>
      </c>
      <c r="D540" s="90" t="s">
        <v>374</v>
      </c>
      <c r="E540" s="90" t="s">
        <v>68</v>
      </c>
      <c r="F540" s="90" t="s">
        <v>375</v>
      </c>
      <c r="G540" s="90" t="s">
        <v>376</v>
      </c>
      <c r="H540" s="90">
        <v>0.59</v>
      </c>
      <c r="I540" s="90">
        <v>0.64</v>
      </c>
      <c r="J540" s="90" t="s">
        <v>381</v>
      </c>
      <c r="K540" s="90">
        <v>2.6616108552279999E-2</v>
      </c>
      <c r="L540" s="90">
        <v>3830.1207291526598</v>
      </c>
      <c r="M540" s="90">
        <v>10.5319342273516</v>
      </c>
      <c r="N540" s="90">
        <v>1.40272381179919</v>
      </c>
      <c r="O540" s="90">
        <v>0.28031910466073001</v>
      </c>
      <c r="P540" s="90">
        <v>3.7335049243719998E-2</v>
      </c>
      <c r="Q540" s="90">
        <v>101.942909095491</v>
      </c>
      <c r="R540" s="90">
        <v>1400</v>
      </c>
      <c r="S540" s="90" t="s">
        <v>324</v>
      </c>
      <c r="T540" s="90">
        <v>1400</v>
      </c>
      <c r="U540" s="90" t="s">
        <v>382</v>
      </c>
      <c r="V540" s="90" t="s">
        <v>381</v>
      </c>
      <c r="Z540" s="90">
        <v>0</v>
      </c>
      <c r="AA540" s="90">
        <v>1</v>
      </c>
      <c r="AB540" s="90">
        <v>0.28031910466073001</v>
      </c>
      <c r="AC540" s="90">
        <v>3.7335049243719998E-2</v>
      </c>
      <c r="AD540" s="90">
        <v>101.94290909548999</v>
      </c>
      <c r="AF540" s="90">
        <v>-1</v>
      </c>
      <c r="AG540" s="90">
        <v>-1</v>
      </c>
      <c r="AH540" s="90">
        <v>-1</v>
      </c>
      <c r="AI540" s="90">
        <v>-1</v>
      </c>
      <c r="AJ540" s="90">
        <v>0</v>
      </c>
      <c r="AM540" s="90" t="s">
        <v>379</v>
      </c>
      <c r="AN540" s="90">
        <v>-1</v>
      </c>
      <c r="AQ540" s="90">
        <v>356</v>
      </c>
      <c r="AR540" s="90" t="s">
        <v>380</v>
      </c>
      <c r="AS540" s="90" t="s">
        <v>246</v>
      </c>
      <c r="AT540" s="90" t="s">
        <v>244</v>
      </c>
      <c r="AU540" s="90">
        <v>175.87190000000001</v>
      </c>
      <c r="AV540" s="90">
        <v>69.407022223842304</v>
      </c>
      <c r="AW540" s="90">
        <v>107.71156983411601</v>
      </c>
      <c r="AX540" s="90">
        <v>8.2678758399999996E-2</v>
      </c>
    </row>
    <row r="541" spans="1:50" x14ac:dyDescent="0.25">
      <c r="A541" s="102">
        <v>830000</v>
      </c>
      <c r="B541" s="102">
        <v>2400000</v>
      </c>
      <c r="C541" s="102">
        <v>2400000</v>
      </c>
      <c r="D541" s="90" t="s">
        <v>374</v>
      </c>
      <c r="E541" s="90" t="s">
        <v>68</v>
      </c>
      <c r="F541" s="90" t="s">
        <v>375</v>
      </c>
      <c r="G541" s="90" t="s">
        <v>376</v>
      </c>
      <c r="H541" s="90">
        <v>0.59</v>
      </c>
      <c r="I541" s="90">
        <v>0.64</v>
      </c>
      <c r="J541" s="90" t="s">
        <v>244</v>
      </c>
      <c r="K541" s="90">
        <v>1.549397533464E-2</v>
      </c>
      <c r="L541" s="90">
        <v>3830.1207291526598</v>
      </c>
      <c r="M541" s="90">
        <v>10.5319342273516</v>
      </c>
      <c r="N541" s="90">
        <v>1.40272381179919</v>
      </c>
      <c r="O541" s="90">
        <v>0.16318152914466999</v>
      </c>
      <c r="P541" s="90">
        <v>2.173376814133E-2</v>
      </c>
      <c r="Q541" s="90">
        <v>59.343796106200003</v>
      </c>
      <c r="R541" s="90">
        <v>1410</v>
      </c>
      <c r="S541" s="90" t="s">
        <v>325</v>
      </c>
      <c r="T541" s="90">
        <v>1410</v>
      </c>
      <c r="U541" s="90" t="s">
        <v>378</v>
      </c>
      <c r="V541" s="90" t="s">
        <v>244</v>
      </c>
      <c r="Z541" s="90">
        <v>0</v>
      </c>
      <c r="AA541" s="90">
        <v>1</v>
      </c>
      <c r="AB541" s="90">
        <v>0.16318152914466999</v>
      </c>
      <c r="AC541" s="90">
        <v>2.173376814133E-2</v>
      </c>
      <c r="AD541" s="90">
        <v>59.3437961061992</v>
      </c>
      <c r="AF541" s="90">
        <v>-1</v>
      </c>
      <c r="AG541" s="90">
        <v>-1</v>
      </c>
      <c r="AH541" s="90">
        <v>-1</v>
      </c>
      <c r="AI541" s="90">
        <v>-1</v>
      </c>
      <c r="AJ541" s="90">
        <v>0</v>
      </c>
      <c r="AM541" s="90" t="s">
        <v>379</v>
      </c>
      <c r="AN541" s="90">
        <v>-1</v>
      </c>
      <c r="AQ541" s="90">
        <v>356</v>
      </c>
      <c r="AR541" s="90" t="s">
        <v>380</v>
      </c>
      <c r="AS541" s="90" t="s">
        <v>246</v>
      </c>
      <c r="AT541" s="90" t="s">
        <v>244</v>
      </c>
      <c r="AU541" s="90">
        <v>175.87190000000001</v>
      </c>
      <c r="AV541" s="90">
        <v>77.737396150236506</v>
      </c>
      <c r="AW541" s="90">
        <v>62.701893591510398</v>
      </c>
      <c r="AX541" s="90">
        <v>4.81295994E-2</v>
      </c>
    </row>
    <row r="542" spans="1:50" x14ac:dyDescent="0.25">
      <c r="A542" s="102">
        <v>830000</v>
      </c>
      <c r="B542" s="102">
        <v>2400000</v>
      </c>
      <c r="C542" s="102">
        <v>2400000</v>
      </c>
      <c r="D542" s="90" t="s">
        <v>374</v>
      </c>
      <c r="E542" s="90" t="s">
        <v>68</v>
      </c>
      <c r="F542" s="90" t="s">
        <v>375</v>
      </c>
      <c r="G542" s="90" t="s">
        <v>376</v>
      </c>
      <c r="H542" s="90">
        <v>0.59</v>
      </c>
      <c r="I542" s="90">
        <v>0.64</v>
      </c>
      <c r="J542" s="90" t="s">
        <v>244</v>
      </c>
      <c r="K542" s="90">
        <v>0.22966274450727001</v>
      </c>
      <c r="L542" s="90">
        <v>3830.1207291526598</v>
      </c>
      <c r="M542" s="90">
        <v>10.5319342273516</v>
      </c>
      <c r="N542" s="90">
        <v>1.40272381179919</v>
      </c>
      <c r="O542" s="90">
        <v>2.41879291962363</v>
      </c>
      <c r="P542" s="90">
        <v>0.32215340040349999</v>
      </c>
      <c r="Q542" s="90">
        <v>879.63603845139005</v>
      </c>
      <c r="R542" s="90">
        <v>1410</v>
      </c>
      <c r="S542" s="90" t="s">
        <v>325</v>
      </c>
      <c r="T542" s="90">
        <v>1410</v>
      </c>
      <c r="U542" s="90" t="s">
        <v>378</v>
      </c>
      <c r="V542" s="90" t="s">
        <v>244</v>
      </c>
      <c r="Z542" s="90">
        <v>0</v>
      </c>
      <c r="AA542" s="90">
        <v>1</v>
      </c>
      <c r="AB542" s="90">
        <v>2.41879291962363</v>
      </c>
      <c r="AC542" s="90">
        <v>0.32215340040349999</v>
      </c>
      <c r="AD542" s="90">
        <v>879.63603845139005</v>
      </c>
      <c r="AF542" s="90">
        <v>-1</v>
      </c>
      <c r="AG542" s="90">
        <v>-1</v>
      </c>
      <c r="AH542" s="90">
        <v>-1</v>
      </c>
      <c r="AI542" s="90">
        <v>-1</v>
      </c>
      <c r="AJ542" s="90">
        <v>0</v>
      </c>
      <c r="AM542" s="90" t="s">
        <v>379</v>
      </c>
      <c r="AN542" s="90">
        <v>-1</v>
      </c>
      <c r="AQ542" s="90">
        <v>356</v>
      </c>
      <c r="AR542" s="90" t="s">
        <v>380</v>
      </c>
      <c r="AS542" s="90" t="s">
        <v>246</v>
      </c>
      <c r="AT542" s="90" t="s">
        <v>244</v>
      </c>
      <c r="AU542" s="90">
        <v>175.87190000000001</v>
      </c>
      <c r="AV542" s="90">
        <v>135.83817822973501</v>
      </c>
      <c r="AW542" s="90">
        <v>929.41215259525995</v>
      </c>
      <c r="AX542" s="90">
        <v>0.71341122339999996</v>
      </c>
    </row>
    <row r="543" spans="1:50" x14ac:dyDescent="0.25">
      <c r="A543" s="102">
        <v>830000</v>
      </c>
      <c r="B543" s="102">
        <v>2400000</v>
      </c>
      <c r="C543" s="102">
        <v>2400000</v>
      </c>
      <c r="D543" s="90" t="s">
        <v>374</v>
      </c>
      <c r="E543" s="90" t="s">
        <v>68</v>
      </c>
      <c r="F543" s="90" t="s">
        <v>375</v>
      </c>
      <c r="G543" s="90" t="s">
        <v>376</v>
      </c>
      <c r="H543" s="90">
        <v>0.59</v>
      </c>
      <c r="I543" s="90">
        <v>0.64</v>
      </c>
      <c r="J543" s="90" t="s">
        <v>244</v>
      </c>
      <c r="K543" s="90">
        <v>1.6265076439450001E-2</v>
      </c>
      <c r="L543" s="90">
        <v>3744.1883093618799</v>
      </c>
      <c r="M543" s="90">
        <v>10.4106381655143</v>
      </c>
      <c r="N543" s="90">
        <v>1.90710301332968</v>
      </c>
      <c r="O543" s="90">
        <v>0.16932982554553999</v>
      </c>
      <c r="P543" s="90">
        <v>3.1019176289710002E-2</v>
      </c>
      <c r="Q543" s="90">
        <v>60.899509055466098</v>
      </c>
      <c r="R543" s="90">
        <v>1300</v>
      </c>
      <c r="S543" s="90" t="s">
        <v>387</v>
      </c>
      <c r="T543" s="90">
        <v>1300</v>
      </c>
      <c r="U543" s="90" t="s">
        <v>378</v>
      </c>
      <c r="V543" s="90" t="s">
        <v>244</v>
      </c>
      <c r="Z543" s="90">
        <v>0</v>
      </c>
      <c r="AA543" s="90">
        <v>1</v>
      </c>
      <c r="AB543" s="90">
        <v>0.16932982554553999</v>
      </c>
      <c r="AC543" s="90">
        <v>3.1019176289710002E-2</v>
      </c>
      <c r="AD543" s="90">
        <v>676.86972292466498</v>
      </c>
      <c r="AF543" s="90">
        <v>-1</v>
      </c>
      <c r="AG543" s="90">
        <v>-1</v>
      </c>
      <c r="AH543" s="90">
        <v>-1</v>
      </c>
      <c r="AI543" s="90">
        <v>-1</v>
      </c>
      <c r="AJ543" s="90">
        <v>0</v>
      </c>
      <c r="AM543" s="90" t="s">
        <v>379</v>
      </c>
      <c r="AN543" s="90">
        <v>-1</v>
      </c>
      <c r="AQ543" s="90">
        <v>356</v>
      </c>
      <c r="AR543" s="90" t="s">
        <v>380</v>
      </c>
      <c r="AS543" s="90" t="s">
        <v>246</v>
      </c>
      <c r="AT543" s="90" t="s">
        <v>244</v>
      </c>
      <c r="AU543" s="90">
        <v>175.87190000000001</v>
      </c>
      <c r="AV543" s="90">
        <v>63.505806990396799</v>
      </c>
      <c r="AW543" s="90">
        <v>65.822429049814801</v>
      </c>
      <c r="AX543" s="90">
        <v>0.54896165689999998</v>
      </c>
    </row>
    <row r="544" spans="1:50" x14ac:dyDescent="0.25">
      <c r="A544" s="102">
        <v>830000</v>
      </c>
      <c r="B544" s="102">
        <v>2400000</v>
      </c>
      <c r="C544" s="102">
        <v>2400000</v>
      </c>
      <c r="D544" s="90" t="s">
        <v>374</v>
      </c>
      <c r="E544" s="90" t="s">
        <v>68</v>
      </c>
      <c r="F544" s="90" t="s">
        <v>375</v>
      </c>
      <c r="G544" s="90" t="s">
        <v>376</v>
      </c>
      <c r="H544" s="90">
        <v>0.59</v>
      </c>
      <c r="I544" s="90">
        <v>0.64</v>
      </c>
      <c r="J544" s="90" t="s">
        <v>244</v>
      </c>
      <c r="K544" s="90">
        <v>1.977441195784E-2</v>
      </c>
      <c r="L544" s="90">
        <v>3744.1883093618799</v>
      </c>
      <c r="M544" s="90">
        <v>10.4106381655143</v>
      </c>
      <c r="N544" s="90">
        <v>1.90710301332968</v>
      </c>
      <c r="O544" s="90">
        <v>0.20586424782891999</v>
      </c>
      <c r="P544" s="90">
        <v>3.7711840631620003E-2</v>
      </c>
      <c r="Q544" s="90">
        <v>74.039122077061705</v>
      </c>
      <c r="R544" s="90">
        <v>1400</v>
      </c>
      <c r="S544" s="90" t="s">
        <v>324</v>
      </c>
      <c r="T544" s="90">
        <v>1400</v>
      </c>
      <c r="U544" s="90" t="s">
        <v>378</v>
      </c>
      <c r="V544" s="90" t="s">
        <v>244</v>
      </c>
      <c r="Z544" s="90">
        <v>0</v>
      </c>
      <c r="AA544" s="90">
        <v>1</v>
      </c>
      <c r="AB544" s="90">
        <v>0.20586424782891999</v>
      </c>
      <c r="AC544" s="90">
        <v>3.7711840631620003E-2</v>
      </c>
      <c r="AD544" s="90">
        <v>121.224290275521</v>
      </c>
      <c r="AF544" s="90">
        <v>-1</v>
      </c>
      <c r="AG544" s="90">
        <v>-1</v>
      </c>
      <c r="AH544" s="90">
        <v>-1</v>
      </c>
      <c r="AI544" s="90">
        <v>-1</v>
      </c>
      <c r="AJ544" s="90">
        <v>0</v>
      </c>
      <c r="AM544" s="90" t="s">
        <v>379</v>
      </c>
      <c r="AN544" s="90">
        <v>-1</v>
      </c>
      <c r="AQ544" s="90">
        <v>356</v>
      </c>
      <c r="AR544" s="90" t="s">
        <v>380</v>
      </c>
      <c r="AS544" s="90" t="s">
        <v>246</v>
      </c>
      <c r="AT544" s="90" t="s">
        <v>244</v>
      </c>
      <c r="AU544" s="90">
        <v>175.87190000000001</v>
      </c>
      <c r="AV544" s="90">
        <v>64.580377071899804</v>
      </c>
      <c r="AW544" s="90">
        <v>80.024206030781002</v>
      </c>
      <c r="AX544" s="90">
        <v>9.8316537100000004E-2</v>
      </c>
    </row>
    <row r="545" spans="1:50" x14ac:dyDescent="0.25">
      <c r="A545" s="102">
        <v>830000</v>
      </c>
      <c r="B545" s="102">
        <v>2400000</v>
      </c>
      <c r="C545" s="102">
        <v>2400000</v>
      </c>
      <c r="D545" s="90" t="s">
        <v>374</v>
      </c>
      <c r="E545" s="90" t="s">
        <v>68</v>
      </c>
      <c r="F545" s="90" t="s">
        <v>375</v>
      </c>
      <c r="G545" s="90" t="s">
        <v>376</v>
      </c>
      <c r="H545" s="90">
        <v>0.59</v>
      </c>
      <c r="I545" s="90">
        <v>0.64</v>
      </c>
      <c r="J545" s="90" t="s">
        <v>244</v>
      </c>
      <c r="K545" s="90">
        <v>0.29367851143424001</v>
      </c>
      <c r="L545" s="90">
        <v>3749.80819645572</v>
      </c>
      <c r="M545" s="90">
        <v>10.788449812410001</v>
      </c>
      <c r="N545" s="90">
        <v>2.07870426579459</v>
      </c>
      <c r="O545" s="90">
        <v>3.16833588159166</v>
      </c>
      <c r="P545" s="90">
        <v>0.61047077449056997</v>
      </c>
      <c r="Q545" s="90">
        <v>1101.23808929905</v>
      </c>
      <c r="R545" s="90">
        <v>1300</v>
      </c>
      <c r="S545" s="90" t="s">
        <v>387</v>
      </c>
      <c r="T545" s="90">
        <v>1300</v>
      </c>
      <c r="U545" s="90" t="s">
        <v>378</v>
      </c>
      <c r="V545" s="90" t="s">
        <v>244</v>
      </c>
      <c r="Z545" s="90">
        <v>0</v>
      </c>
      <c r="AA545" s="90">
        <v>1</v>
      </c>
      <c r="AB545" s="90">
        <v>3.16833588159166</v>
      </c>
      <c r="AC545" s="90">
        <v>0.61047077449056997</v>
      </c>
      <c r="AD545" s="90">
        <v>1101.23808929905</v>
      </c>
      <c r="AF545" s="90">
        <v>-1</v>
      </c>
      <c r="AG545" s="90">
        <v>-1</v>
      </c>
      <c r="AH545" s="90">
        <v>-1</v>
      </c>
      <c r="AI545" s="90">
        <v>-1</v>
      </c>
      <c r="AJ545" s="90">
        <v>0</v>
      </c>
      <c r="AM545" s="90" t="s">
        <v>379</v>
      </c>
      <c r="AN545" s="90">
        <v>-1</v>
      </c>
      <c r="AQ545" s="90">
        <v>356</v>
      </c>
      <c r="AR545" s="90" t="s">
        <v>380</v>
      </c>
      <c r="AS545" s="90" t="s">
        <v>246</v>
      </c>
      <c r="AT545" s="90" t="s">
        <v>244</v>
      </c>
      <c r="AU545" s="90">
        <v>175.87190000000001</v>
      </c>
      <c r="AV545" s="90">
        <v>147.54832405139101</v>
      </c>
      <c r="AW545" s="90">
        <v>1188.4747701185499</v>
      </c>
      <c r="AX545" s="90">
        <v>0.89313713650000004</v>
      </c>
    </row>
    <row r="546" spans="1:50" x14ac:dyDescent="0.25">
      <c r="A546" s="102">
        <v>830000</v>
      </c>
      <c r="B546" s="102">
        <v>2400000</v>
      </c>
      <c r="C546" s="102">
        <v>2400000</v>
      </c>
      <c r="D546" s="90" t="s">
        <v>374</v>
      </c>
      <c r="E546" s="90" t="s">
        <v>68</v>
      </c>
      <c r="F546" s="90" t="s">
        <v>375</v>
      </c>
      <c r="G546" s="90" t="s">
        <v>376</v>
      </c>
      <c r="H546" s="90">
        <v>0.59</v>
      </c>
      <c r="I546" s="90">
        <v>0.64</v>
      </c>
      <c r="J546" s="90" t="s">
        <v>244</v>
      </c>
      <c r="K546" s="90">
        <v>0.32408494223366002</v>
      </c>
      <c r="L546" s="90">
        <v>3749.80819645572</v>
      </c>
      <c r="M546" s="90">
        <v>10.788449812410001</v>
      </c>
      <c r="N546" s="90">
        <v>2.07870426579459</v>
      </c>
      <c r="O546" s="90">
        <v>3.49637413424571</v>
      </c>
      <c r="P546" s="90">
        <v>0.67367675190091003</v>
      </c>
      <c r="Q546" s="90">
        <v>1215.2563727356801</v>
      </c>
      <c r="R546" s="90">
        <v>1300</v>
      </c>
      <c r="S546" s="90" t="s">
        <v>387</v>
      </c>
      <c r="T546" s="90">
        <v>1300</v>
      </c>
      <c r="U546" s="90" t="s">
        <v>378</v>
      </c>
      <c r="V546" s="90" t="s">
        <v>244</v>
      </c>
      <c r="Z546" s="90">
        <v>0</v>
      </c>
      <c r="AA546" s="90">
        <v>1</v>
      </c>
      <c r="AB546" s="90">
        <v>3.49637413424571</v>
      </c>
      <c r="AC546" s="90">
        <v>0.67367675190091003</v>
      </c>
      <c r="AD546" s="90">
        <v>1215.2563727356801</v>
      </c>
      <c r="AF546" s="90">
        <v>-1</v>
      </c>
      <c r="AG546" s="90">
        <v>-1</v>
      </c>
      <c r="AH546" s="90">
        <v>-1</v>
      </c>
      <c r="AI546" s="90">
        <v>-1</v>
      </c>
      <c r="AJ546" s="90">
        <v>0</v>
      </c>
      <c r="AM546" s="90" t="s">
        <v>379</v>
      </c>
      <c r="AN546" s="90">
        <v>-1</v>
      </c>
      <c r="AQ546" s="90">
        <v>356</v>
      </c>
      <c r="AR546" s="90" t="s">
        <v>380</v>
      </c>
      <c r="AS546" s="90" t="s">
        <v>246</v>
      </c>
      <c r="AT546" s="90" t="s">
        <v>244</v>
      </c>
      <c r="AU546" s="90">
        <v>175.87190000000001</v>
      </c>
      <c r="AV546" s="90">
        <v>152.470342441539</v>
      </c>
      <c r="AW546" s="90">
        <v>1311.5252298814401</v>
      </c>
      <c r="AX546" s="90">
        <v>0.98560938580000002</v>
      </c>
    </row>
    <row r="547" spans="1:50" x14ac:dyDescent="0.25">
      <c r="A547" s="102">
        <v>830000</v>
      </c>
      <c r="B547" s="102">
        <v>2400000</v>
      </c>
      <c r="C547" s="102">
        <v>2400000</v>
      </c>
      <c r="D547" s="90" t="s">
        <v>374</v>
      </c>
      <c r="E547" s="90" t="s">
        <v>68</v>
      </c>
      <c r="F547" s="90" t="s">
        <v>375</v>
      </c>
      <c r="G547" s="90" t="s">
        <v>376</v>
      </c>
      <c r="H547" s="90">
        <v>0.59</v>
      </c>
      <c r="I547" s="90">
        <v>0.64</v>
      </c>
      <c r="J547" s="90" t="s">
        <v>244</v>
      </c>
      <c r="K547" s="90">
        <v>4.2556420103759998E-2</v>
      </c>
      <c r="L547" s="90">
        <v>3699.3915047379601</v>
      </c>
      <c r="M547" s="90">
        <v>7.6798407945968501</v>
      </c>
      <c r="N547" s="90">
        <v>1.0451951489014299</v>
      </c>
      <c r="O547" s="90">
        <v>0.32682653118487998</v>
      </c>
      <c r="P547" s="90">
        <v>4.4479763847059997E-2</v>
      </c>
      <c r="Q547" s="90">
        <v>157.43285900391999</v>
      </c>
      <c r="R547" s="90">
        <v>1450</v>
      </c>
      <c r="S547" s="90" t="s">
        <v>391</v>
      </c>
      <c r="T547" s="90">
        <v>1450</v>
      </c>
      <c r="U547" s="90" t="s">
        <v>378</v>
      </c>
      <c r="V547" s="90" t="s">
        <v>244</v>
      </c>
      <c r="Z547" s="90">
        <v>0</v>
      </c>
      <c r="AA547" s="90">
        <v>1</v>
      </c>
      <c r="AB547" s="90">
        <v>0.32682653118487998</v>
      </c>
      <c r="AC547" s="90">
        <v>4.4479763847059997E-2</v>
      </c>
      <c r="AD547" s="90">
        <v>157.43285900392101</v>
      </c>
      <c r="AF547" s="90">
        <v>-1</v>
      </c>
      <c r="AG547" s="90">
        <v>-1</v>
      </c>
      <c r="AH547" s="90">
        <v>-1</v>
      </c>
      <c r="AI547" s="90">
        <v>-1</v>
      </c>
      <c r="AJ547" s="90">
        <v>0</v>
      </c>
      <c r="AM547" s="90" t="s">
        <v>379</v>
      </c>
      <c r="AN547" s="90">
        <v>-1</v>
      </c>
      <c r="AQ547" s="90">
        <v>356</v>
      </c>
      <c r="AR547" s="90" t="s">
        <v>380</v>
      </c>
      <c r="AS547" s="90" t="s">
        <v>246</v>
      </c>
      <c r="AT547" s="90" t="s">
        <v>244</v>
      </c>
      <c r="AU547" s="90">
        <v>175.87190000000001</v>
      </c>
      <c r="AV547" s="90">
        <v>106.913599088067</v>
      </c>
      <c r="AW547" s="90">
        <v>172.21972201126599</v>
      </c>
      <c r="AX547" s="90">
        <v>0.12768277289999999</v>
      </c>
    </row>
    <row r="548" spans="1:50" x14ac:dyDescent="0.25">
      <c r="A548" s="102">
        <v>830000</v>
      </c>
      <c r="B548" s="102">
        <v>2400000</v>
      </c>
      <c r="C548" s="102">
        <v>2400000</v>
      </c>
      <c r="D548" s="90" t="s">
        <v>374</v>
      </c>
      <c r="E548" s="90" t="s">
        <v>68</v>
      </c>
      <c r="F548" s="90" t="s">
        <v>375</v>
      </c>
      <c r="G548" s="90" t="s">
        <v>376</v>
      </c>
      <c r="H548" s="90">
        <v>0.59</v>
      </c>
      <c r="I548" s="90">
        <v>0.64</v>
      </c>
      <c r="J548" s="90" t="s">
        <v>244</v>
      </c>
      <c r="K548" s="90">
        <v>5.6577032697360002E-2</v>
      </c>
      <c r="L548" s="90">
        <v>3706.3972820003701</v>
      </c>
      <c r="M548" s="90">
        <v>7.4950958978600397</v>
      </c>
      <c r="N548" s="90">
        <v>1.0229763637866001</v>
      </c>
      <c r="O548" s="90">
        <v>0.42405028568313002</v>
      </c>
      <c r="P548" s="90">
        <v>5.7876967182580001E-2</v>
      </c>
      <c r="Q548" s="90">
        <v>209.696960213171</v>
      </c>
      <c r="R548" s="90">
        <v>1450</v>
      </c>
      <c r="S548" s="90" t="s">
        <v>391</v>
      </c>
      <c r="T548" s="90">
        <v>1450</v>
      </c>
      <c r="U548" s="90" t="s">
        <v>378</v>
      </c>
      <c r="V548" s="90" t="s">
        <v>244</v>
      </c>
      <c r="Z548" s="90">
        <v>0</v>
      </c>
      <c r="AA548" s="90">
        <v>1</v>
      </c>
      <c r="AB548" s="90">
        <v>0.42405028568313002</v>
      </c>
      <c r="AC548" s="90">
        <v>5.7876967182580001E-2</v>
      </c>
      <c r="AD548" s="90">
        <v>209.69696021317</v>
      </c>
      <c r="AF548" s="90">
        <v>-1</v>
      </c>
      <c r="AG548" s="90">
        <v>-1</v>
      </c>
      <c r="AH548" s="90">
        <v>-1</v>
      </c>
      <c r="AI548" s="90">
        <v>-1</v>
      </c>
      <c r="AJ548" s="90">
        <v>0</v>
      </c>
      <c r="AM548" s="90" t="s">
        <v>379</v>
      </c>
      <c r="AN548" s="90">
        <v>-1</v>
      </c>
      <c r="AQ548" s="90">
        <v>356</v>
      </c>
      <c r="AR548" s="90" t="s">
        <v>380</v>
      </c>
      <c r="AS548" s="90" t="s">
        <v>246</v>
      </c>
      <c r="AT548" s="90" t="s">
        <v>244</v>
      </c>
      <c r="AU548" s="90">
        <v>175.87190000000001</v>
      </c>
      <c r="AV548" s="90">
        <v>109.174271294121</v>
      </c>
      <c r="AW548" s="90">
        <v>228.959128131678</v>
      </c>
      <c r="AX548" s="90">
        <v>0.1700705273</v>
      </c>
    </row>
    <row r="549" spans="1:50" x14ac:dyDescent="0.25">
      <c r="A549" s="102">
        <v>830000</v>
      </c>
      <c r="B549" s="102">
        <v>2400000</v>
      </c>
      <c r="C549" s="102">
        <v>2400000</v>
      </c>
      <c r="D549" s="90" t="s">
        <v>374</v>
      </c>
      <c r="E549" s="90" t="s">
        <v>68</v>
      </c>
      <c r="F549" s="90" t="s">
        <v>375</v>
      </c>
      <c r="G549" s="90" t="s">
        <v>376</v>
      </c>
      <c r="H549" s="90">
        <v>0.59</v>
      </c>
      <c r="I549" s="90">
        <v>0.64</v>
      </c>
      <c r="J549" s="90" t="s">
        <v>244</v>
      </c>
      <c r="K549" s="90">
        <v>0.61776345352982998</v>
      </c>
      <c r="L549" s="90">
        <v>3747.7351298742601</v>
      </c>
      <c r="M549" s="90">
        <v>10.7827144172337</v>
      </c>
      <c r="N549" s="90">
        <v>2.07762580930767</v>
      </c>
      <c r="O549" s="90">
        <v>6.6611668968162503</v>
      </c>
      <c r="P549" s="90">
        <v>1.28348129510062</v>
      </c>
      <c r="Q549" s="90">
        <v>2315.2137967461899</v>
      </c>
      <c r="R549" s="90">
        <v>1300</v>
      </c>
      <c r="S549" s="90" t="s">
        <v>387</v>
      </c>
      <c r="T549" s="90">
        <v>1300</v>
      </c>
      <c r="U549" s="90" t="s">
        <v>378</v>
      </c>
      <c r="V549" s="90" t="s">
        <v>244</v>
      </c>
      <c r="Z549" s="90">
        <v>0</v>
      </c>
      <c r="AA549" s="90">
        <v>1</v>
      </c>
      <c r="AB549" s="90">
        <v>6.6611668968162503</v>
      </c>
      <c r="AC549" s="90">
        <v>1.28348129510062</v>
      </c>
      <c r="AD549" s="90">
        <v>2315.2137967461899</v>
      </c>
      <c r="AF549" s="90">
        <v>-1</v>
      </c>
      <c r="AG549" s="90">
        <v>-1</v>
      </c>
      <c r="AH549" s="90">
        <v>-1</v>
      </c>
      <c r="AI549" s="90">
        <v>-1</v>
      </c>
      <c r="AJ549" s="90">
        <v>0</v>
      </c>
      <c r="AM549" s="90" t="s">
        <v>379</v>
      </c>
      <c r="AN549" s="90">
        <v>-1</v>
      </c>
      <c r="AQ549" s="90">
        <v>356</v>
      </c>
      <c r="AR549" s="90" t="s">
        <v>380</v>
      </c>
      <c r="AS549" s="90" t="s">
        <v>246</v>
      </c>
      <c r="AT549" s="90" t="s">
        <v>244</v>
      </c>
      <c r="AU549" s="90">
        <v>175.87190000000001</v>
      </c>
      <c r="AV549" s="90">
        <v>199.999999977648</v>
      </c>
      <c r="AW549" s="90">
        <v>2499.9999994412001</v>
      </c>
      <c r="AX549" s="90">
        <v>1.8777078644</v>
      </c>
    </row>
    <row r="550" spans="1:50" x14ac:dyDescent="0.25">
      <c r="A550" s="102">
        <v>830000</v>
      </c>
      <c r="B550" s="102">
        <v>2400000</v>
      </c>
      <c r="C550" s="102">
        <v>2400000</v>
      </c>
      <c r="D550" s="90" t="s">
        <v>374</v>
      </c>
      <c r="E550" s="90" t="s">
        <v>68</v>
      </c>
      <c r="F550" s="90" t="s">
        <v>375</v>
      </c>
      <c r="G550" s="90" t="s">
        <v>376</v>
      </c>
      <c r="H550" s="90">
        <v>0.59</v>
      </c>
      <c r="I550" s="90">
        <v>0.64</v>
      </c>
      <c r="J550" s="90" t="s">
        <v>381</v>
      </c>
      <c r="K550" s="90">
        <v>4.9184426009220003E-2</v>
      </c>
      <c r="L550" s="90">
        <v>3776.3353987987098</v>
      </c>
      <c r="M550" s="90">
        <v>10.7516417475435</v>
      </c>
      <c r="N550" s="90">
        <v>1.4157952348805301</v>
      </c>
      <c r="O550" s="90">
        <v>0.52881332800972003</v>
      </c>
      <c r="P550" s="90">
        <v>6.9635075974189997E-2</v>
      </c>
      <c r="Q550" s="90">
        <v>185.73688900822501</v>
      </c>
      <c r="R550" s="90">
        <v>1400</v>
      </c>
      <c r="S550" s="90" t="s">
        <v>324</v>
      </c>
      <c r="T550" s="90">
        <v>1400</v>
      </c>
      <c r="U550" s="90" t="s">
        <v>382</v>
      </c>
      <c r="V550" s="90" t="s">
        <v>381</v>
      </c>
      <c r="Z550" s="90">
        <v>0</v>
      </c>
      <c r="AA550" s="90">
        <v>1</v>
      </c>
      <c r="AB550" s="90">
        <v>0.52881332800972003</v>
      </c>
      <c r="AC550" s="90">
        <v>6.9635075974189997E-2</v>
      </c>
      <c r="AD550" s="90">
        <v>185.73688900822401</v>
      </c>
      <c r="AF550" s="90">
        <v>-1</v>
      </c>
      <c r="AG550" s="90">
        <v>-1</v>
      </c>
      <c r="AH550" s="90">
        <v>-1</v>
      </c>
      <c r="AI550" s="90">
        <v>-1</v>
      </c>
      <c r="AJ550" s="90">
        <v>0</v>
      </c>
      <c r="AM550" s="90" t="s">
        <v>379</v>
      </c>
      <c r="AN550" s="90">
        <v>-1</v>
      </c>
      <c r="AQ550" s="90">
        <v>356</v>
      </c>
      <c r="AR550" s="90" t="s">
        <v>380</v>
      </c>
      <c r="AS550" s="90" t="s">
        <v>246</v>
      </c>
      <c r="AT550" s="90" t="s">
        <v>244</v>
      </c>
      <c r="AU550" s="90">
        <v>175.87190000000001</v>
      </c>
      <c r="AV550" s="90">
        <v>107.66816517034501</v>
      </c>
      <c r="AW550" s="90">
        <v>199.04231027748</v>
      </c>
      <c r="AX550" s="90">
        <v>0.1506381906</v>
      </c>
    </row>
    <row r="551" spans="1:50" x14ac:dyDescent="0.25">
      <c r="A551" s="102">
        <v>830000</v>
      </c>
      <c r="B551" s="102">
        <v>2400000</v>
      </c>
      <c r="C551" s="102">
        <v>2400000</v>
      </c>
      <c r="D551" s="90" t="s">
        <v>374</v>
      </c>
      <c r="E551" s="90" t="s">
        <v>68</v>
      </c>
      <c r="F551" s="90" t="s">
        <v>375</v>
      </c>
      <c r="G551" s="90" t="s">
        <v>376</v>
      </c>
      <c r="H551" s="90">
        <v>0.59</v>
      </c>
      <c r="I551" s="90">
        <v>0.64</v>
      </c>
      <c r="J551" s="90" t="s">
        <v>381</v>
      </c>
      <c r="K551" s="90">
        <v>0.18306652609401</v>
      </c>
      <c r="L551" s="90">
        <v>3776.3353987987098</v>
      </c>
      <c r="M551" s="90">
        <v>10.7516417475435</v>
      </c>
      <c r="N551" s="90">
        <v>1.4157952348805301</v>
      </c>
      <c r="O551" s="90">
        <v>1.9682657045301399</v>
      </c>
      <c r="P551" s="90">
        <v>0.25918471531003001</v>
      </c>
      <c r="Q551" s="90">
        <v>691.32060282392604</v>
      </c>
      <c r="R551" s="90">
        <v>8140</v>
      </c>
      <c r="S551" s="90" t="s">
        <v>386</v>
      </c>
      <c r="T551" s="90">
        <v>8140</v>
      </c>
      <c r="U551" s="90" t="s">
        <v>382</v>
      </c>
      <c r="V551" s="90" t="s">
        <v>381</v>
      </c>
      <c r="Z551" s="90">
        <v>0</v>
      </c>
      <c r="AA551" s="90">
        <v>1</v>
      </c>
      <c r="AB551" s="90">
        <v>1.9682657045301399</v>
      </c>
      <c r="AC551" s="90">
        <v>0.25918471531003001</v>
      </c>
      <c r="AD551" s="90">
        <v>700.37633038001502</v>
      </c>
      <c r="AF551" s="90">
        <v>-1</v>
      </c>
      <c r="AG551" s="90">
        <v>-1</v>
      </c>
      <c r="AH551" s="90">
        <v>-1</v>
      </c>
      <c r="AI551" s="90">
        <v>-1</v>
      </c>
      <c r="AJ551" s="90">
        <v>0</v>
      </c>
      <c r="AM551" s="90" t="s">
        <v>379</v>
      </c>
      <c r="AN551" s="90">
        <v>-1</v>
      </c>
      <c r="AQ551" s="90">
        <v>356</v>
      </c>
      <c r="AR551" s="90" t="s">
        <v>380</v>
      </c>
      <c r="AS551" s="90" t="s">
        <v>246</v>
      </c>
      <c r="AT551" s="90" t="s">
        <v>244</v>
      </c>
      <c r="AU551" s="90">
        <v>175.87190000000001</v>
      </c>
      <c r="AV551" s="90">
        <v>130.363557783397</v>
      </c>
      <c r="AW551" s="90">
        <v>740.84394685000905</v>
      </c>
      <c r="AX551" s="90">
        <v>0.56802622089999999</v>
      </c>
    </row>
    <row r="552" spans="1:50" x14ac:dyDescent="0.25">
      <c r="A552" s="102">
        <v>830000</v>
      </c>
      <c r="B552" s="102">
        <v>2400000</v>
      </c>
      <c r="C552" s="102">
        <v>2400000</v>
      </c>
      <c r="D552" s="90" t="s">
        <v>374</v>
      </c>
      <c r="E552" s="90" t="s">
        <v>68</v>
      </c>
      <c r="F552" s="90" t="s">
        <v>375</v>
      </c>
      <c r="G552" s="90" t="s">
        <v>376</v>
      </c>
      <c r="H552" s="90">
        <v>0.59</v>
      </c>
      <c r="I552" s="90">
        <v>0.64</v>
      </c>
      <c r="J552" s="90" t="s">
        <v>244</v>
      </c>
      <c r="K552" s="90">
        <v>0.38093310151718002</v>
      </c>
      <c r="L552" s="90">
        <v>3776.3353987987098</v>
      </c>
      <c r="M552" s="90">
        <v>10.7516417475435</v>
      </c>
      <c r="N552" s="90">
        <v>1.4157952348805301</v>
      </c>
      <c r="O552" s="90">
        <v>4.0956562372934302</v>
      </c>
      <c r="P552" s="90">
        <v>0.53932326993628998</v>
      </c>
      <c r="Q552" s="90">
        <v>1438.53115583354</v>
      </c>
      <c r="R552" s="90">
        <v>1450</v>
      </c>
      <c r="S552" s="90" t="s">
        <v>391</v>
      </c>
      <c r="T552" s="90">
        <v>1450</v>
      </c>
      <c r="U552" s="90" t="s">
        <v>378</v>
      </c>
      <c r="V552" s="90" t="s">
        <v>244</v>
      </c>
      <c r="Z552" s="90">
        <v>0</v>
      </c>
      <c r="AA552" s="90">
        <v>1</v>
      </c>
      <c r="AB552" s="90">
        <v>4.0956562372934302</v>
      </c>
      <c r="AC552" s="90">
        <v>0.53932326993628998</v>
      </c>
      <c r="AD552" s="90">
        <v>1438.53115583354</v>
      </c>
      <c r="AF552" s="90">
        <v>-1</v>
      </c>
      <c r="AG552" s="90">
        <v>-1</v>
      </c>
      <c r="AH552" s="90">
        <v>-1</v>
      </c>
      <c r="AI552" s="90">
        <v>-1</v>
      </c>
      <c r="AJ552" s="90">
        <v>0</v>
      </c>
      <c r="AM552" s="90" t="s">
        <v>379</v>
      </c>
      <c r="AN552" s="90">
        <v>-1</v>
      </c>
      <c r="AQ552" s="90">
        <v>356</v>
      </c>
      <c r="AR552" s="90" t="s">
        <v>380</v>
      </c>
      <c r="AS552" s="90" t="s">
        <v>246</v>
      </c>
      <c r="AT552" s="90" t="s">
        <v>244</v>
      </c>
      <c r="AU552" s="90">
        <v>175.87190000000001</v>
      </c>
      <c r="AV552" s="90">
        <v>161.68728797928301</v>
      </c>
      <c r="AW552" s="90">
        <v>1541.5815683795799</v>
      </c>
      <c r="AX552" s="90">
        <v>1.166691935</v>
      </c>
    </row>
    <row r="553" spans="1:50" x14ac:dyDescent="0.25">
      <c r="A553" s="102">
        <v>830000</v>
      </c>
      <c r="B553" s="102">
        <v>2400000</v>
      </c>
      <c r="C553" s="102">
        <v>2400000</v>
      </c>
      <c r="D553" s="90" t="s">
        <v>374</v>
      </c>
      <c r="E553" s="90" t="s">
        <v>68</v>
      </c>
      <c r="F553" s="90" t="s">
        <v>375</v>
      </c>
      <c r="G553" s="90" t="s">
        <v>376</v>
      </c>
      <c r="H553" s="90">
        <v>0.59</v>
      </c>
      <c r="I553" s="90">
        <v>0.64</v>
      </c>
      <c r="J553" s="90" t="s">
        <v>381</v>
      </c>
      <c r="K553" s="90">
        <v>2.1813800695000001E-3</v>
      </c>
      <c r="L553" s="90">
        <v>3776.3353987987098</v>
      </c>
      <c r="M553" s="90">
        <v>10.7516417475435</v>
      </c>
      <c r="N553" s="90">
        <v>1.4157952348805301</v>
      </c>
      <c r="O553" s="90">
        <v>2.345341702252E-2</v>
      </c>
      <c r="P553" s="90">
        <v>3.0883875078599999E-3</v>
      </c>
      <c r="Q553" s="90">
        <v>8.2376227746981794</v>
      </c>
      <c r="R553" s="90">
        <v>1450</v>
      </c>
      <c r="S553" s="90" t="s">
        <v>391</v>
      </c>
      <c r="T553" s="90">
        <v>1450</v>
      </c>
      <c r="U553" s="90" t="s">
        <v>382</v>
      </c>
      <c r="V553" s="90" t="s">
        <v>381</v>
      </c>
      <c r="Z553" s="90">
        <v>0</v>
      </c>
      <c r="AA553" s="90">
        <v>1</v>
      </c>
      <c r="AB553" s="90">
        <v>2.345341702252E-2</v>
      </c>
      <c r="AC553" s="90">
        <v>3.0883875078599999E-3</v>
      </c>
      <c r="AD553" s="90">
        <v>8.2376227746975292</v>
      </c>
      <c r="AF553" s="90">
        <v>-1</v>
      </c>
      <c r="AG553" s="90">
        <v>-1</v>
      </c>
      <c r="AH553" s="90">
        <v>-1</v>
      </c>
      <c r="AI553" s="90">
        <v>-1</v>
      </c>
      <c r="AJ553" s="90">
        <v>0</v>
      </c>
      <c r="AM553" s="90" t="s">
        <v>379</v>
      </c>
      <c r="AN553" s="90">
        <v>-1</v>
      </c>
      <c r="AQ553" s="90">
        <v>356</v>
      </c>
      <c r="AR553" s="90" t="s">
        <v>380</v>
      </c>
      <c r="AS553" s="90" t="s">
        <v>246</v>
      </c>
      <c r="AT553" s="90" t="s">
        <v>244</v>
      </c>
      <c r="AU553" s="90">
        <v>175.87190000000001</v>
      </c>
      <c r="AV553" s="90">
        <v>100.401159815273</v>
      </c>
      <c r="AW553" s="90">
        <v>8.8277319439628901</v>
      </c>
      <c r="AX553" s="90">
        <v>6.6809592999999999E-3</v>
      </c>
    </row>
    <row r="554" spans="1:50" x14ac:dyDescent="0.25">
      <c r="A554" s="102">
        <v>830000</v>
      </c>
      <c r="B554" s="102">
        <v>2400000</v>
      </c>
      <c r="C554" s="102">
        <v>2400000</v>
      </c>
      <c r="D554" s="90" t="s">
        <v>374</v>
      </c>
      <c r="E554" s="90" t="s">
        <v>68</v>
      </c>
      <c r="F554" s="90" t="s">
        <v>375</v>
      </c>
      <c r="G554" s="90" t="s">
        <v>376</v>
      </c>
      <c r="H554" s="90">
        <v>0.59</v>
      </c>
      <c r="I554" s="90">
        <v>0.64</v>
      </c>
      <c r="J554" s="90" t="s">
        <v>244</v>
      </c>
      <c r="K554" s="90">
        <v>1.106506029549E-2</v>
      </c>
      <c r="L554" s="90">
        <v>3763.5484147320699</v>
      </c>
      <c r="M554" s="90">
        <v>11.9466268036982</v>
      </c>
      <c r="N554" s="90">
        <v>1.5734616499029701</v>
      </c>
      <c r="O554" s="90">
        <v>0.13219014591073999</v>
      </c>
      <c r="P554" s="90">
        <v>1.7410448028829999E-2</v>
      </c>
      <c r="Q554" s="90">
        <v>41.643890134040099</v>
      </c>
      <c r="R554" s="90">
        <v>1450</v>
      </c>
      <c r="S554" s="90" t="s">
        <v>391</v>
      </c>
      <c r="T554" s="90">
        <v>1450</v>
      </c>
      <c r="U554" s="90" t="s">
        <v>378</v>
      </c>
      <c r="V554" s="90" t="s">
        <v>244</v>
      </c>
      <c r="Z554" s="90">
        <v>0</v>
      </c>
      <c r="AA554" s="90">
        <v>1</v>
      </c>
      <c r="AB554" s="90">
        <v>0.13219014591073999</v>
      </c>
      <c r="AC554" s="90">
        <v>1.7410448028829999E-2</v>
      </c>
      <c r="AD554" s="90">
        <v>41.643890134040397</v>
      </c>
      <c r="AF554" s="90">
        <v>-1</v>
      </c>
      <c r="AG554" s="90">
        <v>-1</v>
      </c>
      <c r="AH554" s="90">
        <v>-1</v>
      </c>
      <c r="AI554" s="90">
        <v>-1</v>
      </c>
      <c r="AJ554" s="90">
        <v>0</v>
      </c>
      <c r="AM554" s="90" t="s">
        <v>379</v>
      </c>
      <c r="AN554" s="90">
        <v>-1</v>
      </c>
      <c r="AQ554" s="90">
        <v>356</v>
      </c>
      <c r="AR554" s="90" t="s">
        <v>380</v>
      </c>
      <c r="AS554" s="90" t="s">
        <v>246</v>
      </c>
      <c r="AT554" s="90" t="s">
        <v>244</v>
      </c>
      <c r="AU554" s="90">
        <v>175.87190000000001</v>
      </c>
      <c r="AV554" s="90">
        <v>67.034456104599698</v>
      </c>
      <c r="AW554" s="90">
        <v>44.778710321083899</v>
      </c>
      <c r="AX554" s="90">
        <v>3.3774444600000002E-2</v>
      </c>
    </row>
    <row r="555" spans="1:50" x14ac:dyDescent="0.25">
      <c r="A555" s="102">
        <v>830000</v>
      </c>
      <c r="B555" s="102">
        <v>2400000</v>
      </c>
      <c r="C555" s="102">
        <v>2400000</v>
      </c>
      <c r="D555" s="90" t="s">
        <v>374</v>
      </c>
      <c r="E555" s="90" t="s">
        <v>68</v>
      </c>
      <c r="F555" s="90" t="s">
        <v>375</v>
      </c>
      <c r="G555" s="90" t="s">
        <v>376</v>
      </c>
      <c r="H555" s="90">
        <v>0.59</v>
      </c>
      <c r="I555" s="90">
        <v>0.64</v>
      </c>
      <c r="J555" s="90" t="s">
        <v>244</v>
      </c>
      <c r="K555" s="90">
        <v>0.61776345348380002</v>
      </c>
      <c r="L555" s="90">
        <v>3752.2321467617899</v>
      </c>
      <c r="M555" s="90">
        <v>10.7949726476373</v>
      </c>
      <c r="N555" s="90">
        <v>2.0799086136398302</v>
      </c>
      <c r="O555" s="90">
        <v>6.6687395830676799</v>
      </c>
      <c r="P555" s="90">
        <v>1.2848915280928599</v>
      </c>
      <c r="Q555" s="90">
        <v>2317.9918892565202</v>
      </c>
      <c r="R555" s="90">
        <v>1300</v>
      </c>
      <c r="S555" s="90" t="s">
        <v>387</v>
      </c>
      <c r="T555" s="90">
        <v>1300</v>
      </c>
      <c r="U555" s="90" t="s">
        <v>378</v>
      </c>
      <c r="V555" s="90" t="s">
        <v>244</v>
      </c>
      <c r="Z555" s="90">
        <v>0</v>
      </c>
      <c r="AA555" s="90">
        <v>1</v>
      </c>
      <c r="AB555" s="90">
        <v>6.6687395830676799</v>
      </c>
      <c r="AC555" s="90">
        <v>1.2848915280928599</v>
      </c>
      <c r="AD555" s="90">
        <v>2317.9918892565202</v>
      </c>
      <c r="AF555" s="90">
        <v>-1</v>
      </c>
      <c r="AG555" s="90">
        <v>-1</v>
      </c>
      <c r="AH555" s="90">
        <v>-1</v>
      </c>
      <c r="AI555" s="90">
        <v>-1</v>
      </c>
      <c r="AJ555" s="90">
        <v>0</v>
      </c>
      <c r="AM555" s="90" t="s">
        <v>379</v>
      </c>
      <c r="AN555" s="90">
        <v>-1</v>
      </c>
      <c r="AQ555" s="90">
        <v>356</v>
      </c>
      <c r="AR555" s="90" t="s">
        <v>380</v>
      </c>
      <c r="AS555" s="90" t="s">
        <v>246</v>
      </c>
      <c r="AT555" s="90" t="s">
        <v>244</v>
      </c>
      <c r="AU555" s="90">
        <v>175.87190000000001</v>
      </c>
      <c r="AV555" s="90">
        <v>199.999999970197</v>
      </c>
      <c r="AW555" s="90">
        <v>2499.9999992549401</v>
      </c>
      <c r="AX555" s="90">
        <v>1.8799609807</v>
      </c>
    </row>
    <row r="556" spans="1:50" x14ac:dyDescent="0.25">
      <c r="A556" s="102">
        <v>830000</v>
      </c>
      <c r="B556" s="102">
        <v>2400000</v>
      </c>
      <c r="C556" s="102">
        <v>2400000</v>
      </c>
      <c r="D556" s="90" t="s">
        <v>374</v>
      </c>
      <c r="E556" s="90" t="s">
        <v>68</v>
      </c>
      <c r="F556" s="90" t="s">
        <v>375</v>
      </c>
      <c r="G556" s="90" t="s">
        <v>376</v>
      </c>
      <c r="H556" s="90">
        <v>0.59</v>
      </c>
      <c r="I556" s="90">
        <v>0.64</v>
      </c>
      <c r="J556" s="90" t="s">
        <v>244</v>
      </c>
      <c r="K556" s="90">
        <v>0.11938834482051</v>
      </c>
      <c r="L556" s="90">
        <v>3756.4692926047901</v>
      </c>
      <c r="M556" s="90">
        <v>10.8064271545274</v>
      </c>
      <c r="N556" s="90">
        <v>2.0820300371093401</v>
      </c>
      <c r="O556" s="90">
        <v>1.29016145140245</v>
      </c>
      <c r="P556" s="90">
        <v>0.24857011999706</v>
      </c>
      <c r="Q556" s="90">
        <v>448.478651213158</v>
      </c>
      <c r="R556" s="90">
        <v>1300</v>
      </c>
      <c r="S556" s="90" t="s">
        <v>387</v>
      </c>
      <c r="T556" s="90">
        <v>1300</v>
      </c>
      <c r="U556" s="90" t="s">
        <v>378</v>
      </c>
      <c r="V556" s="90" t="s">
        <v>244</v>
      </c>
      <c r="Z556" s="90">
        <v>0</v>
      </c>
      <c r="AA556" s="90">
        <v>1</v>
      </c>
      <c r="AB556" s="90">
        <v>1.29016145140245</v>
      </c>
      <c r="AC556" s="90">
        <v>0.24857011999706</v>
      </c>
      <c r="AD556" s="90">
        <v>448.478651213158</v>
      </c>
      <c r="AF556" s="90">
        <v>-1</v>
      </c>
      <c r="AG556" s="90">
        <v>-1</v>
      </c>
      <c r="AH556" s="90">
        <v>-1</v>
      </c>
      <c r="AI556" s="90">
        <v>-1</v>
      </c>
      <c r="AJ556" s="90">
        <v>0</v>
      </c>
      <c r="AM556" s="90" t="s">
        <v>379</v>
      </c>
      <c r="AN556" s="90">
        <v>-1</v>
      </c>
      <c r="AQ556" s="90">
        <v>356</v>
      </c>
      <c r="AR556" s="90" t="s">
        <v>380</v>
      </c>
      <c r="AS556" s="90" t="s">
        <v>246</v>
      </c>
      <c r="AT556" s="90" t="s">
        <v>244</v>
      </c>
      <c r="AU556" s="90">
        <v>175.87190000000001</v>
      </c>
      <c r="AV556" s="90">
        <v>132.29335153318101</v>
      </c>
      <c r="AW556" s="90">
        <v>483.14748999658599</v>
      </c>
      <c r="AX556" s="90">
        <v>0.36372964410000003</v>
      </c>
    </row>
    <row r="557" spans="1:50" x14ac:dyDescent="0.25">
      <c r="A557" s="102">
        <v>830000</v>
      </c>
      <c r="B557" s="102">
        <v>2400000</v>
      </c>
      <c r="C557" s="102">
        <v>2400000</v>
      </c>
      <c r="D557" s="90" t="s">
        <v>374</v>
      </c>
      <c r="E557" s="90" t="s">
        <v>68</v>
      </c>
      <c r="F557" s="90" t="s">
        <v>375</v>
      </c>
      <c r="G557" s="90" t="s">
        <v>376</v>
      </c>
      <c r="H557" s="90">
        <v>0.59</v>
      </c>
      <c r="I557" s="90">
        <v>0.64</v>
      </c>
      <c r="J557" s="90" t="s">
        <v>244</v>
      </c>
      <c r="K557" s="90">
        <v>0.49837510880136998</v>
      </c>
      <c r="L557" s="90">
        <v>3756.4692926047901</v>
      </c>
      <c r="M557" s="90">
        <v>10.8064271545274</v>
      </c>
      <c r="N557" s="90">
        <v>2.0820300371093401</v>
      </c>
      <c r="O557" s="90">
        <v>5.3856543088917803</v>
      </c>
      <c r="P557" s="90">
        <v>1.0376319462721</v>
      </c>
      <c r="Q557" s="90">
        <v>1872.1307924109401</v>
      </c>
      <c r="R557" s="90">
        <v>1300</v>
      </c>
      <c r="S557" s="90" t="s">
        <v>387</v>
      </c>
      <c r="T557" s="90">
        <v>1300</v>
      </c>
      <c r="U557" s="90" t="s">
        <v>378</v>
      </c>
      <c r="V557" s="90" t="s">
        <v>244</v>
      </c>
      <c r="Z557" s="90">
        <v>0</v>
      </c>
      <c r="AA557" s="90">
        <v>1</v>
      </c>
      <c r="AB557" s="90">
        <v>5.3856543088917803</v>
      </c>
      <c r="AC557" s="90">
        <v>1.0376319462721</v>
      </c>
      <c r="AD557" s="90">
        <v>1872.1307924109401</v>
      </c>
      <c r="AF557" s="90">
        <v>-1</v>
      </c>
      <c r="AG557" s="90">
        <v>-1</v>
      </c>
      <c r="AH557" s="90">
        <v>-1</v>
      </c>
      <c r="AI557" s="90">
        <v>-1</v>
      </c>
      <c r="AJ557" s="90">
        <v>0</v>
      </c>
      <c r="AM557" s="90" t="s">
        <v>379</v>
      </c>
      <c r="AN557" s="90">
        <v>-1</v>
      </c>
      <c r="AQ557" s="90">
        <v>356</v>
      </c>
      <c r="AR557" s="90" t="s">
        <v>380</v>
      </c>
      <c r="AS557" s="90" t="s">
        <v>246</v>
      </c>
      <c r="AT557" s="90" t="s">
        <v>244</v>
      </c>
      <c r="AU557" s="90">
        <v>175.87190000000001</v>
      </c>
      <c r="AV557" s="90">
        <v>182.81601686990999</v>
      </c>
      <c r="AW557" s="90">
        <v>2016.8525098171399</v>
      </c>
      <c r="AX557" s="90">
        <v>1.5183542517999999</v>
      </c>
    </row>
    <row r="558" spans="1:50" x14ac:dyDescent="0.25">
      <c r="A558" s="102">
        <v>830000</v>
      </c>
      <c r="B558" s="102">
        <v>2400000</v>
      </c>
      <c r="C558" s="102">
        <v>2400000</v>
      </c>
      <c r="D558" s="90" t="s">
        <v>374</v>
      </c>
      <c r="E558" s="90" t="s">
        <v>68</v>
      </c>
      <c r="F558" s="90" t="s">
        <v>375</v>
      </c>
      <c r="G558" s="90" t="s">
        <v>376</v>
      </c>
      <c r="H558" s="90">
        <v>0.59</v>
      </c>
      <c r="I558" s="90">
        <v>0.64</v>
      </c>
      <c r="J558" s="90" t="s">
        <v>244</v>
      </c>
      <c r="K558" s="90">
        <v>9.0254251218939999E-2</v>
      </c>
      <c r="L558" s="90">
        <v>3777.5031897758799</v>
      </c>
      <c r="M558" s="90">
        <v>11.4976848260299</v>
      </c>
      <c r="N558" s="90">
        <v>1.61367052132783</v>
      </c>
      <c r="O558" s="90">
        <v>1.0377149347247201</v>
      </c>
      <c r="P558" s="90">
        <v>0.14564062461652</v>
      </c>
      <c r="Q558" s="90">
        <v>340.935721870387</v>
      </c>
      <c r="R558" s="90">
        <v>1300</v>
      </c>
      <c r="S558" s="90" t="s">
        <v>387</v>
      </c>
      <c r="T558" s="90">
        <v>1300</v>
      </c>
      <c r="U558" s="90" t="s">
        <v>378</v>
      </c>
      <c r="V558" s="90" t="s">
        <v>244</v>
      </c>
      <c r="Z558" s="90">
        <v>0</v>
      </c>
      <c r="AA558" s="90">
        <v>1</v>
      </c>
      <c r="AB558" s="90">
        <v>1.0377149347247201</v>
      </c>
      <c r="AC558" s="90">
        <v>0.14564062461652</v>
      </c>
      <c r="AD558" s="90">
        <v>340.93572187038598</v>
      </c>
      <c r="AF558" s="90">
        <v>-1</v>
      </c>
      <c r="AG558" s="90">
        <v>-1</v>
      </c>
      <c r="AH558" s="90">
        <v>-1</v>
      </c>
      <c r="AI558" s="90">
        <v>-1</v>
      </c>
      <c r="AJ558" s="90">
        <v>0</v>
      </c>
      <c r="AM558" s="90" t="s">
        <v>379</v>
      </c>
      <c r="AN558" s="90">
        <v>-1</v>
      </c>
      <c r="AQ558" s="90">
        <v>356</v>
      </c>
      <c r="AR558" s="90" t="s">
        <v>380</v>
      </c>
      <c r="AS558" s="90" t="s">
        <v>246</v>
      </c>
      <c r="AT558" s="90" t="s">
        <v>244</v>
      </c>
      <c r="AU558" s="90">
        <v>175.87190000000001</v>
      </c>
      <c r="AV558" s="90">
        <v>114.618253317005</v>
      </c>
      <c r="AW558" s="90">
        <v>365.24599619427698</v>
      </c>
      <c r="AX558" s="90">
        <v>0.2765091013</v>
      </c>
    </row>
    <row r="559" spans="1:50" x14ac:dyDescent="0.25">
      <c r="A559" s="102">
        <v>830000</v>
      </c>
      <c r="B559" s="102">
        <v>2400000</v>
      </c>
      <c r="C559" s="102">
        <v>2400000</v>
      </c>
      <c r="D559" s="90" t="s">
        <v>374</v>
      </c>
      <c r="E559" s="90" t="s">
        <v>68</v>
      </c>
      <c r="F559" s="90" t="s">
        <v>375</v>
      </c>
      <c r="G559" s="90" t="s">
        <v>376</v>
      </c>
      <c r="H559" s="90">
        <v>0.59</v>
      </c>
      <c r="I559" s="90">
        <v>0.64</v>
      </c>
      <c r="J559" s="90" t="s">
        <v>244</v>
      </c>
      <c r="K559" s="90">
        <v>2.5804024049190001E-2</v>
      </c>
      <c r="L559" s="90">
        <v>3777.5031897758799</v>
      </c>
      <c r="M559" s="90">
        <v>11.4976848260299</v>
      </c>
      <c r="N559" s="90">
        <v>1.61367052132783</v>
      </c>
      <c r="O559" s="90">
        <v>0.29668653576088</v>
      </c>
      <c r="P559" s="90">
        <v>4.1639192939809999E-2</v>
      </c>
      <c r="Q559" s="90">
        <v>97.474783154868803</v>
      </c>
      <c r="R559" s="90">
        <v>1400</v>
      </c>
      <c r="S559" s="90" t="s">
        <v>324</v>
      </c>
      <c r="T559" s="90">
        <v>1400</v>
      </c>
      <c r="U559" s="90" t="s">
        <v>378</v>
      </c>
      <c r="V559" s="90" t="s">
        <v>244</v>
      </c>
      <c r="Z559" s="90">
        <v>0</v>
      </c>
      <c r="AA559" s="90">
        <v>1</v>
      </c>
      <c r="AB559" s="90">
        <v>0.29668653576088</v>
      </c>
      <c r="AC559" s="90">
        <v>4.1639192939809999E-2</v>
      </c>
      <c r="AD559" s="90">
        <v>97.474783154870295</v>
      </c>
      <c r="AF559" s="90">
        <v>-1</v>
      </c>
      <c r="AG559" s="90">
        <v>-1</v>
      </c>
      <c r="AH559" s="90">
        <v>-1</v>
      </c>
      <c r="AI559" s="90">
        <v>-1</v>
      </c>
      <c r="AJ559" s="90">
        <v>0</v>
      </c>
      <c r="AM559" s="90" t="s">
        <v>379</v>
      </c>
      <c r="AN559" s="90">
        <v>-1</v>
      </c>
      <c r="AQ559" s="90">
        <v>356</v>
      </c>
      <c r="AR559" s="90" t="s">
        <v>380</v>
      </c>
      <c r="AS559" s="90" t="s">
        <v>246</v>
      </c>
      <c r="AT559" s="90" t="s">
        <v>244</v>
      </c>
      <c r="AU559" s="90">
        <v>175.87190000000001</v>
      </c>
      <c r="AV559" s="90">
        <v>104.208153091941</v>
      </c>
      <c r="AW559" s="90">
        <v>104.42518044723001</v>
      </c>
      <c r="AX559" s="90">
        <v>7.9054974200000003E-2</v>
      </c>
    </row>
    <row r="560" spans="1:50" x14ac:dyDescent="0.25">
      <c r="A560" s="102">
        <v>830000</v>
      </c>
      <c r="B560" s="102">
        <v>2400000</v>
      </c>
      <c r="C560" s="102">
        <v>2400000</v>
      </c>
      <c r="D560" s="90" t="s">
        <v>374</v>
      </c>
      <c r="E560" s="90" t="s">
        <v>68</v>
      </c>
      <c r="F560" s="90" t="s">
        <v>375</v>
      </c>
      <c r="G560" s="90" t="s">
        <v>376</v>
      </c>
      <c r="H560" s="90">
        <v>0.59</v>
      </c>
      <c r="I560" s="90">
        <v>0.64</v>
      </c>
      <c r="J560" s="90" t="s">
        <v>244</v>
      </c>
      <c r="K560" s="90">
        <v>0.50170517833074002</v>
      </c>
      <c r="L560" s="90">
        <v>3777.5031897758799</v>
      </c>
      <c r="M560" s="90">
        <v>11.4976848260299</v>
      </c>
      <c r="N560" s="90">
        <v>1.61367052132783</v>
      </c>
      <c r="O560" s="90">
        <v>5.7684480160340099</v>
      </c>
      <c r="P560" s="90">
        <v>0.80958685666982999</v>
      </c>
      <c r="Q560" s="90">
        <v>1895.1929114714501</v>
      </c>
      <c r="R560" s="90">
        <v>1450</v>
      </c>
      <c r="S560" s="90" t="s">
        <v>391</v>
      </c>
      <c r="T560" s="90">
        <v>1450</v>
      </c>
      <c r="U560" s="90" t="s">
        <v>378</v>
      </c>
      <c r="V560" s="90" t="s">
        <v>244</v>
      </c>
      <c r="Z560" s="90">
        <v>0</v>
      </c>
      <c r="AA560" s="90">
        <v>1</v>
      </c>
      <c r="AB560" s="90">
        <v>5.7684480160340099</v>
      </c>
      <c r="AC560" s="90">
        <v>0.80958685666982999</v>
      </c>
      <c r="AD560" s="90">
        <v>1895.1929114714501</v>
      </c>
      <c r="AF560" s="90">
        <v>-1</v>
      </c>
      <c r="AG560" s="90">
        <v>-1</v>
      </c>
      <c r="AH560" s="90">
        <v>-1</v>
      </c>
      <c r="AI560" s="90">
        <v>-1</v>
      </c>
      <c r="AJ560" s="90">
        <v>0</v>
      </c>
      <c r="AM560" s="90" t="s">
        <v>379</v>
      </c>
      <c r="AN560" s="90">
        <v>-1</v>
      </c>
      <c r="AQ560" s="90">
        <v>356</v>
      </c>
      <c r="AR560" s="90" t="s">
        <v>380</v>
      </c>
      <c r="AS560" s="90" t="s">
        <v>246</v>
      </c>
      <c r="AT560" s="90" t="s">
        <v>244</v>
      </c>
      <c r="AU560" s="90">
        <v>175.87190000000001</v>
      </c>
      <c r="AV560" s="90">
        <v>181.23588532611399</v>
      </c>
      <c r="AW560" s="90">
        <v>2030.3288230790899</v>
      </c>
      <c r="AX560" s="90">
        <v>1.5370583224000001</v>
      </c>
    </row>
    <row r="561" spans="1:50" x14ac:dyDescent="0.25">
      <c r="A561" s="102">
        <v>830000</v>
      </c>
      <c r="B561" s="102">
        <v>2400000</v>
      </c>
      <c r="C561" s="102">
        <v>2400000</v>
      </c>
      <c r="D561" s="90" t="s">
        <v>374</v>
      </c>
      <c r="E561" s="90" t="s">
        <v>68</v>
      </c>
      <c r="F561" s="90" t="s">
        <v>375</v>
      </c>
      <c r="G561" s="90" t="s">
        <v>376</v>
      </c>
      <c r="H561" s="90">
        <v>0.59</v>
      </c>
      <c r="I561" s="90">
        <v>0.64</v>
      </c>
      <c r="J561" s="90" t="s">
        <v>381</v>
      </c>
      <c r="K561" s="90">
        <v>3.58437386319E-3</v>
      </c>
      <c r="L561" s="90">
        <v>3742.59541072825</v>
      </c>
      <c r="M561" s="90">
        <v>10.6525799469196</v>
      </c>
      <c r="N561" s="90">
        <v>2.0250036712868802</v>
      </c>
      <c r="O561" s="90">
        <v>3.8182829137280001E-2</v>
      </c>
      <c r="P561" s="90">
        <v>7.2583702322200003E-3</v>
      </c>
      <c r="Q561" s="90">
        <v>13.4148611707092</v>
      </c>
      <c r="R561" s="90">
        <v>3200</v>
      </c>
      <c r="S561" s="90" t="s">
        <v>393</v>
      </c>
      <c r="T561" s="90">
        <v>3200</v>
      </c>
      <c r="U561" s="90" t="s">
        <v>382</v>
      </c>
      <c r="V561" s="90" t="s">
        <v>381</v>
      </c>
      <c r="Y561" s="90" t="s">
        <v>389</v>
      </c>
      <c r="Z561" s="90">
        <v>0</v>
      </c>
      <c r="AA561" s="90">
        <v>1</v>
      </c>
      <c r="AB561" s="90">
        <v>3.8182829137280001E-2</v>
      </c>
      <c r="AC561" s="90">
        <v>7.2583702322200003E-3</v>
      </c>
      <c r="AD561" s="90">
        <v>13.414861170708299</v>
      </c>
      <c r="AF561" s="90">
        <v>-1</v>
      </c>
      <c r="AG561" s="90">
        <v>-1</v>
      </c>
      <c r="AH561" s="90">
        <v>-1</v>
      </c>
      <c r="AI561" s="90">
        <v>-1</v>
      </c>
      <c r="AJ561" s="90">
        <v>0</v>
      </c>
      <c r="AM561" s="90" t="s">
        <v>379</v>
      </c>
      <c r="AN561" s="90">
        <v>-1</v>
      </c>
      <c r="AQ561" s="90">
        <v>356</v>
      </c>
      <c r="AR561" s="90" t="s">
        <v>380</v>
      </c>
      <c r="AS561" s="90" t="s">
        <v>246</v>
      </c>
      <c r="AT561" s="90" t="s">
        <v>244</v>
      </c>
      <c r="AU561" s="90">
        <v>175.87190000000001</v>
      </c>
      <c r="AV561" s="90">
        <v>58.221124071280002</v>
      </c>
      <c r="AW561" s="90">
        <v>14.505446388532199</v>
      </c>
      <c r="AX561" s="90">
        <v>1.0879855000000001E-2</v>
      </c>
    </row>
    <row r="562" spans="1:50" x14ac:dyDescent="0.25">
      <c r="A562" s="102">
        <v>830000</v>
      </c>
      <c r="B562" s="102">
        <v>2400000</v>
      </c>
      <c r="C562" s="102">
        <v>2400000</v>
      </c>
      <c r="D562" s="90" t="s">
        <v>374</v>
      </c>
      <c r="E562" s="90" t="s">
        <v>68</v>
      </c>
      <c r="F562" s="90" t="s">
        <v>375</v>
      </c>
      <c r="G562" s="90" t="s">
        <v>376</v>
      </c>
      <c r="H562" s="90">
        <v>0.59</v>
      </c>
      <c r="I562" s="90">
        <v>0.64</v>
      </c>
      <c r="J562" s="90" t="s">
        <v>381</v>
      </c>
      <c r="K562" s="90">
        <v>2.9293219502959999E-2</v>
      </c>
      <c r="L562" s="90">
        <v>3742.59541072825</v>
      </c>
      <c r="M562" s="90">
        <v>10.6525799469196</v>
      </c>
      <c r="N562" s="90">
        <v>2.0250036712868802</v>
      </c>
      <c r="O562" s="90">
        <v>0.31204836265800001</v>
      </c>
      <c r="P562" s="90">
        <v>5.9318877037310001E-2</v>
      </c>
      <c r="Q562" s="90">
        <v>109.632668877252</v>
      </c>
      <c r="R562" s="90">
        <v>8140</v>
      </c>
      <c r="S562" s="90" t="s">
        <v>386</v>
      </c>
      <c r="T562" s="90">
        <v>8140</v>
      </c>
      <c r="U562" s="90" t="s">
        <v>382</v>
      </c>
      <c r="V562" s="90" t="s">
        <v>381</v>
      </c>
      <c r="Z562" s="90">
        <v>0</v>
      </c>
      <c r="AA562" s="90">
        <v>1</v>
      </c>
      <c r="AB562" s="90">
        <v>0.31204836265800001</v>
      </c>
      <c r="AC562" s="90">
        <v>5.9318877037310001E-2</v>
      </c>
      <c r="AD562" s="90">
        <v>109.63266887725401</v>
      </c>
      <c r="AF562" s="90">
        <v>-1</v>
      </c>
      <c r="AG562" s="90">
        <v>-1</v>
      </c>
      <c r="AH562" s="90">
        <v>-1</v>
      </c>
      <c r="AI562" s="90">
        <v>-1</v>
      </c>
      <c r="AJ562" s="90">
        <v>0</v>
      </c>
      <c r="AM562" s="90" t="s">
        <v>379</v>
      </c>
      <c r="AN562" s="90">
        <v>-1</v>
      </c>
      <c r="AQ562" s="90">
        <v>356</v>
      </c>
      <c r="AR562" s="90" t="s">
        <v>380</v>
      </c>
      <c r="AS562" s="90" t="s">
        <v>246</v>
      </c>
      <c r="AT562" s="90" t="s">
        <v>244</v>
      </c>
      <c r="AU562" s="90">
        <v>175.87190000000001</v>
      </c>
      <c r="AV562" s="90">
        <v>62.041423507681102</v>
      </c>
      <c r="AW562" s="90">
        <v>118.54545347834799</v>
      </c>
      <c r="AX562" s="90">
        <v>8.8915384299999997E-2</v>
      </c>
    </row>
    <row r="563" spans="1:50" x14ac:dyDescent="0.25">
      <c r="A563" s="102">
        <v>830000</v>
      </c>
      <c r="B563" s="102">
        <v>2400000</v>
      </c>
      <c r="C563" s="102">
        <v>2400000</v>
      </c>
      <c r="D563" s="90" t="s">
        <v>374</v>
      </c>
      <c r="E563" s="90" t="s">
        <v>68</v>
      </c>
      <c r="F563" s="90" t="s">
        <v>375</v>
      </c>
      <c r="G563" s="90" t="s">
        <v>376</v>
      </c>
      <c r="H563" s="90">
        <v>0.59</v>
      </c>
      <c r="I563" s="90">
        <v>0.64</v>
      </c>
      <c r="J563" s="90" t="s">
        <v>244</v>
      </c>
      <c r="K563" s="90">
        <v>2.0242493492109999E-2</v>
      </c>
      <c r="L563" s="90">
        <v>3742.59541072825</v>
      </c>
      <c r="M563" s="90">
        <v>10.6525799469196</v>
      </c>
      <c r="N563" s="90">
        <v>2.0250036712868802</v>
      </c>
      <c r="O563" s="90">
        <v>0.21563478024971999</v>
      </c>
      <c r="P563" s="90">
        <v>4.0991123637519999E-2</v>
      </c>
      <c r="Q563" s="90">
        <v>75.759463245275001</v>
      </c>
      <c r="R563" s="90">
        <v>1300</v>
      </c>
      <c r="S563" s="90" t="s">
        <v>387</v>
      </c>
      <c r="T563" s="90">
        <v>1300</v>
      </c>
      <c r="U563" s="90" t="s">
        <v>378</v>
      </c>
      <c r="V563" s="90" t="s">
        <v>244</v>
      </c>
      <c r="Z563" s="90">
        <v>0</v>
      </c>
      <c r="AA563" s="90">
        <v>1</v>
      </c>
      <c r="AB563" s="90">
        <v>0.21563478024971999</v>
      </c>
      <c r="AC563" s="90">
        <v>4.0991123637519999E-2</v>
      </c>
      <c r="AD563" s="90">
        <v>75.759463245276507</v>
      </c>
      <c r="AF563" s="90">
        <v>-1</v>
      </c>
      <c r="AG563" s="90">
        <v>-1</v>
      </c>
      <c r="AH563" s="90">
        <v>-1</v>
      </c>
      <c r="AI563" s="90">
        <v>-1</v>
      </c>
      <c r="AJ563" s="90">
        <v>0</v>
      </c>
      <c r="AM563" s="90" t="s">
        <v>379</v>
      </c>
      <c r="AN563" s="90">
        <v>-1</v>
      </c>
      <c r="AQ563" s="90">
        <v>356</v>
      </c>
      <c r="AR563" s="90" t="s">
        <v>380</v>
      </c>
      <c r="AS563" s="90" t="s">
        <v>246</v>
      </c>
      <c r="AT563" s="90" t="s">
        <v>244</v>
      </c>
      <c r="AU563" s="90">
        <v>175.87190000000001</v>
      </c>
      <c r="AV563" s="90">
        <v>54.303591999616899</v>
      </c>
      <c r="AW563" s="90">
        <v>81.918464793945404</v>
      </c>
      <c r="AX563" s="90">
        <v>6.1443198099999999E-2</v>
      </c>
    </row>
    <row r="564" spans="1:50" x14ac:dyDescent="0.25">
      <c r="A564" s="102">
        <v>830000</v>
      </c>
      <c r="B564" s="102">
        <v>2400000</v>
      </c>
      <c r="C564" s="102">
        <v>2400000</v>
      </c>
      <c r="D564" s="90" t="s">
        <v>374</v>
      </c>
      <c r="E564" s="90" t="s">
        <v>68</v>
      </c>
      <c r="F564" s="90" t="s">
        <v>375</v>
      </c>
      <c r="G564" s="90" t="s">
        <v>376</v>
      </c>
      <c r="H564" s="90">
        <v>0.59</v>
      </c>
      <c r="I564" s="90">
        <v>0.64</v>
      </c>
      <c r="J564" s="90" t="s">
        <v>244</v>
      </c>
      <c r="K564" s="90">
        <v>2.9011153111199998E-2</v>
      </c>
      <c r="L564" s="90">
        <v>3742.59541072825</v>
      </c>
      <c r="M564" s="90">
        <v>10.6525799469196</v>
      </c>
      <c r="N564" s="90">
        <v>2.0250036712868802</v>
      </c>
      <c r="O564" s="90">
        <v>0.30904362786943002</v>
      </c>
      <c r="P564" s="90">
        <v>5.8747691558449999E-2</v>
      </c>
      <c r="Q564" s="90">
        <v>108.57700849392999</v>
      </c>
      <c r="R564" s="90">
        <v>1300</v>
      </c>
      <c r="S564" s="90" t="s">
        <v>387</v>
      </c>
      <c r="T564" s="90">
        <v>1300</v>
      </c>
      <c r="U564" s="90" t="s">
        <v>378</v>
      </c>
      <c r="V564" s="90" t="s">
        <v>244</v>
      </c>
      <c r="Z564" s="90">
        <v>0</v>
      </c>
      <c r="AA564" s="90">
        <v>1</v>
      </c>
      <c r="AB564" s="90">
        <v>0.30904362786943002</v>
      </c>
      <c r="AC564" s="90">
        <v>5.8747691558449999E-2</v>
      </c>
      <c r="AD564" s="90">
        <v>108.577008493932</v>
      </c>
      <c r="AF564" s="90">
        <v>-1</v>
      </c>
      <c r="AG564" s="90">
        <v>-1</v>
      </c>
      <c r="AH564" s="90">
        <v>-1</v>
      </c>
      <c r="AI564" s="90">
        <v>-1</v>
      </c>
      <c r="AJ564" s="90">
        <v>0</v>
      </c>
      <c r="AM564" s="90" t="s">
        <v>379</v>
      </c>
      <c r="AN564" s="90">
        <v>-1</v>
      </c>
      <c r="AQ564" s="90">
        <v>356</v>
      </c>
      <c r="AR564" s="90" t="s">
        <v>380</v>
      </c>
      <c r="AS564" s="90" t="s">
        <v>246</v>
      </c>
      <c r="AT564" s="90" t="s">
        <v>244</v>
      </c>
      <c r="AU564" s="90">
        <v>175.87190000000001</v>
      </c>
      <c r="AV564" s="90">
        <v>61.575715798321902</v>
      </c>
      <c r="AW564" s="90">
        <v>117.403971289311</v>
      </c>
      <c r="AX564" s="90">
        <v>8.8059212100000006E-2</v>
      </c>
    </row>
    <row r="565" spans="1:50" x14ac:dyDescent="0.25">
      <c r="A565" s="102">
        <v>830000</v>
      </c>
      <c r="B565" s="102">
        <v>2400000</v>
      </c>
      <c r="C565" s="102">
        <v>2400000</v>
      </c>
      <c r="D565" s="90" t="s">
        <v>374</v>
      </c>
      <c r="E565" s="90" t="s">
        <v>68</v>
      </c>
      <c r="F565" s="90" t="s">
        <v>375</v>
      </c>
      <c r="G565" s="90" t="s">
        <v>376</v>
      </c>
      <c r="H565" s="90">
        <v>0.59</v>
      </c>
      <c r="I565" s="90">
        <v>0.64</v>
      </c>
      <c r="J565" s="90" t="s">
        <v>244</v>
      </c>
      <c r="K565" s="90">
        <v>0.53531665403796003</v>
      </c>
      <c r="L565" s="90">
        <v>3742.59541072825</v>
      </c>
      <c r="M565" s="90">
        <v>10.6525799469196</v>
      </c>
      <c r="N565" s="90">
        <v>2.0250036712868802</v>
      </c>
      <c r="O565" s="90">
        <v>5.7025034540569903</v>
      </c>
      <c r="P565" s="90">
        <v>1.08401818972789</v>
      </c>
      <c r="Q565" s="90">
        <v>2003.4736526889001</v>
      </c>
      <c r="R565" s="90">
        <v>1300</v>
      </c>
      <c r="S565" s="90" t="s">
        <v>387</v>
      </c>
      <c r="T565" s="90">
        <v>1300</v>
      </c>
      <c r="U565" s="90" t="s">
        <v>378</v>
      </c>
      <c r="V565" s="90" t="s">
        <v>244</v>
      </c>
      <c r="Z565" s="90">
        <v>0</v>
      </c>
      <c r="AA565" s="90">
        <v>1</v>
      </c>
      <c r="AB565" s="90">
        <v>5.7025034540569903</v>
      </c>
      <c r="AC565" s="90">
        <v>1.08401818972789</v>
      </c>
      <c r="AD565" s="90">
        <v>2003.4736526889001</v>
      </c>
      <c r="AF565" s="90">
        <v>-1</v>
      </c>
      <c r="AG565" s="90">
        <v>-1</v>
      </c>
      <c r="AH565" s="90">
        <v>-1</v>
      </c>
      <c r="AI565" s="90">
        <v>-1</v>
      </c>
      <c r="AJ565" s="90">
        <v>0</v>
      </c>
      <c r="AM565" s="90" t="s">
        <v>379</v>
      </c>
      <c r="AN565" s="90">
        <v>-1</v>
      </c>
      <c r="AQ565" s="90">
        <v>356</v>
      </c>
      <c r="AR565" s="90" t="s">
        <v>380</v>
      </c>
      <c r="AS565" s="90" t="s">
        <v>246</v>
      </c>
      <c r="AT565" s="90" t="s">
        <v>244</v>
      </c>
      <c r="AU565" s="90">
        <v>175.87190000000001</v>
      </c>
      <c r="AV565" s="90">
        <v>183.92182098625199</v>
      </c>
      <c r="AW565" s="90">
        <v>2166.3496394112199</v>
      </c>
      <c r="AX565" s="90">
        <v>1.6248772527999999</v>
      </c>
    </row>
    <row r="566" spans="1:50" x14ac:dyDescent="0.25">
      <c r="A566" s="102">
        <v>830000</v>
      </c>
      <c r="B566" s="102">
        <v>2400000</v>
      </c>
      <c r="C566" s="102">
        <v>2400000</v>
      </c>
      <c r="D566" s="90" t="s">
        <v>374</v>
      </c>
      <c r="E566" s="90" t="s">
        <v>68</v>
      </c>
      <c r="F566" s="90" t="s">
        <v>375</v>
      </c>
      <c r="G566" s="90" t="s">
        <v>376</v>
      </c>
      <c r="H566" s="90">
        <v>0.59</v>
      </c>
      <c r="I566" s="90">
        <v>0.64</v>
      </c>
      <c r="J566" s="90" t="s">
        <v>381</v>
      </c>
      <c r="K566" s="90">
        <v>3.1555977553999998E-4</v>
      </c>
      <c r="L566" s="90">
        <v>3742.59541072825</v>
      </c>
      <c r="M566" s="90">
        <v>10.6525799469196</v>
      </c>
      <c r="N566" s="90">
        <v>2.0250036712868802</v>
      </c>
      <c r="O566" s="90">
        <v>3.36152573697E-3</v>
      </c>
      <c r="P566" s="90">
        <v>6.3900970396999998E-4</v>
      </c>
      <c r="Q566" s="90">
        <v>1.18101256774644</v>
      </c>
      <c r="R566" s="90">
        <v>1300</v>
      </c>
      <c r="S566" s="90" t="s">
        <v>387</v>
      </c>
      <c r="T566" s="90">
        <v>1300</v>
      </c>
      <c r="U566" s="90" t="s">
        <v>382</v>
      </c>
      <c r="V566" s="90" t="s">
        <v>381</v>
      </c>
      <c r="Z566" s="90">
        <v>0</v>
      </c>
      <c r="AA566" s="90">
        <v>1</v>
      </c>
      <c r="AB566" s="90">
        <v>3.36152573697E-3</v>
      </c>
      <c r="AC566" s="90">
        <v>6.3900970396999998E-4</v>
      </c>
      <c r="AD566" s="90">
        <v>1.18101256774681</v>
      </c>
      <c r="AF566" s="90">
        <v>-1</v>
      </c>
      <c r="AG566" s="90">
        <v>-1</v>
      </c>
      <c r="AH566" s="90">
        <v>-1</v>
      </c>
      <c r="AI566" s="90">
        <v>-1</v>
      </c>
      <c r="AJ566" s="90">
        <v>0</v>
      </c>
      <c r="AM566" s="90" t="s">
        <v>379</v>
      </c>
      <c r="AN566" s="90">
        <v>-1</v>
      </c>
      <c r="AQ566" s="90">
        <v>356</v>
      </c>
      <c r="AR566" s="90" t="s">
        <v>380</v>
      </c>
      <c r="AS566" s="90" t="s">
        <v>246</v>
      </c>
      <c r="AT566" s="90" t="s">
        <v>244</v>
      </c>
      <c r="AU566" s="90">
        <v>175.87190000000001</v>
      </c>
      <c r="AV566" s="90">
        <v>57.857486256618301</v>
      </c>
      <c r="AW566" s="90">
        <v>1.2770251042955401</v>
      </c>
      <c r="AX566" s="90">
        <v>9.5783659999999998E-4</v>
      </c>
    </row>
    <row r="567" spans="1:50" x14ac:dyDescent="0.25">
      <c r="A567" s="102">
        <v>830000</v>
      </c>
      <c r="B567" s="102">
        <v>2400000</v>
      </c>
      <c r="C567" s="102">
        <v>2400000</v>
      </c>
      <c r="D567" s="90" t="s">
        <v>374</v>
      </c>
      <c r="E567" s="90" t="s">
        <v>68</v>
      </c>
      <c r="F567" s="90" t="s">
        <v>375</v>
      </c>
      <c r="G567" s="90" t="s">
        <v>376</v>
      </c>
      <c r="H567" s="90">
        <v>0.59</v>
      </c>
      <c r="I567" s="90">
        <v>0.64</v>
      </c>
      <c r="J567" s="90" t="s">
        <v>244</v>
      </c>
      <c r="K567" s="90">
        <v>2.2762751036050001E-2</v>
      </c>
      <c r="L567" s="90">
        <v>2880.6500518191801</v>
      </c>
      <c r="M567" s="90">
        <v>7.9508606483857802</v>
      </c>
      <c r="N567" s="90">
        <v>1.3758628951487799</v>
      </c>
      <c r="O567" s="90">
        <v>0.18098346146159</v>
      </c>
      <c r="P567" s="90">
        <v>3.1318424542020003E-2</v>
      </c>
      <c r="Q567" s="90">
        <v>65.571519951567694</v>
      </c>
      <c r="R567" s="90">
        <v>1300</v>
      </c>
      <c r="S567" s="90" t="s">
        <v>387</v>
      </c>
      <c r="T567" s="90">
        <v>1300</v>
      </c>
      <c r="U567" s="90" t="s">
        <v>378</v>
      </c>
      <c r="V567" s="90" t="s">
        <v>244</v>
      </c>
      <c r="Z567" s="90">
        <v>0</v>
      </c>
      <c r="AA567" s="90">
        <v>1</v>
      </c>
      <c r="AB567" s="90">
        <v>0.18098346146159</v>
      </c>
      <c r="AC567" s="90">
        <v>3.1318424542020003E-2</v>
      </c>
      <c r="AD567" s="90">
        <v>173.75063369894499</v>
      </c>
      <c r="AF567" s="90">
        <v>-1</v>
      </c>
      <c r="AG567" s="90">
        <v>-1</v>
      </c>
      <c r="AH567" s="90">
        <v>-1</v>
      </c>
      <c r="AI567" s="90">
        <v>-1</v>
      </c>
      <c r="AJ567" s="90">
        <v>0</v>
      </c>
      <c r="AM567" s="90" t="s">
        <v>379</v>
      </c>
      <c r="AN567" s="90">
        <v>-1</v>
      </c>
      <c r="AQ567" s="90">
        <v>356</v>
      </c>
      <c r="AR567" s="90" t="s">
        <v>380</v>
      </c>
      <c r="AS567" s="90" t="s">
        <v>246</v>
      </c>
      <c r="AT567" s="90" t="s">
        <v>244</v>
      </c>
      <c r="AU567" s="90">
        <v>175.87190000000001</v>
      </c>
      <c r="AV567" s="90">
        <v>75.196814736700702</v>
      </c>
      <c r="AW567" s="90">
        <v>92.117585221765296</v>
      </c>
      <c r="AX567" s="90">
        <v>0.14091697789999999</v>
      </c>
    </row>
    <row r="568" spans="1:50" x14ac:dyDescent="0.25">
      <c r="A568" s="102">
        <v>830000</v>
      </c>
      <c r="B568" s="102">
        <v>2400000</v>
      </c>
      <c r="C568" s="102">
        <v>2400000</v>
      </c>
      <c r="D568" s="90" t="s">
        <v>374</v>
      </c>
      <c r="E568" s="90" t="s">
        <v>68</v>
      </c>
      <c r="F568" s="90" t="s">
        <v>375</v>
      </c>
      <c r="G568" s="90" t="s">
        <v>376</v>
      </c>
      <c r="H568" s="90">
        <v>0.59</v>
      </c>
      <c r="I568" s="90">
        <v>0.64</v>
      </c>
      <c r="J568" s="90" t="s">
        <v>389</v>
      </c>
      <c r="K568" s="90">
        <v>7.6815814918800001E-3</v>
      </c>
      <c r="L568" s="90">
        <v>2880.6500518191801</v>
      </c>
      <c r="M568" s="90">
        <v>7.9508606483857802</v>
      </c>
      <c r="N568" s="90">
        <v>1.3758628951487799</v>
      </c>
      <c r="O568" s="90">
        <v>6.1075184001220001E-2</v>
      </c>
      <c r="P568" s="90">
        <v>1.056880295075E-2</v>
      </c>
      <c r="Q568" s="90">
        <v>22.127948122660399</v>
      </c>
      <c r="R568" s="90">
        <v>5400</v>
      </c>
      <c r="S568" s="90" t="s">
        <v>392</v>
      </c>
      <c r="T568" s="90">
        <v>5400</v>
      </c>
      <c r="U568" s="90" t="s">
        <v>378</v>
      </c>
      <c r="V568" s="90" t="s">
        <v>244</v>
      </c>
      <c r="Y568" s="90" t="s">
        <v>389</v>
      </c>
      <c r="Z568" s="90">
        <v>0</v>
      </c>
      <c r="AA568" s="90">
        <v>1</v>
      </c>
      <c r="AB568" s="90">
        <v>6.1075184001220001E-2</v>
      </c>
      <c r="AC568" s="90">
        <v>1.056880295075E-2</v>
      </c>
      <c r="AD568" s="90">
        <v>378.32176233658402</v>
      </c>
      <c r="AF568" s="90">
        <v>-1</v>
      </c>
      <c r="AG568" s="90">
        <v>-1</v>
      </c>
      <c r="AH568" s="90">
        <v>-1</v>
      </c>
      <c r="AI568" s="90">
        <v>-1</v>
      </c>
      <c r="AJ568" s="90">
        <v>0</v>
      </c>
      <c r="AM568" s="90" t="s">
        <v>379</v>
      </c>
      <c r="AN568" s="90">
        <v>-1</v>
      </c>
      <c r="AQ568" s="90">
        <v>356</v>
      </c>
      <c r="AR568" s="90" t="s">
        <v>380</v>
      </c>
      <c r="AS568" s="90" t="s">
        <v>246</v>
      </c>
      <c r="AT568" s="90" t="s">
        <v>244</v>
      </c>
      <c r="AU568" s="90">
        <v>175.87190000000001</v>
      </c>
      <c r="AV568" s="90">
        <v>34.221625477300698</v>
      </c>
      <c r="AW568" s="90">
        <v>31.086257394636899</v>
      </c>
      <c r="AX568" s="90">
        <v>0.306830302</v>
      </c>
    </row>
    <row r="569" spans="1:50" x14ac:dyDescent="0.25">
      <c r="A569" s="102">
        <v>830000</v>
      </c>
      <c r="B569" s="102">
        <v>2400000</v>
      </c>
      <c r="C569" s="102">
        <v>2400000</v>
      </c>
      <c r="D569" s="90" t="s">
        <v>374</v>
      </c>
      <c r="E569" s="90" t="s">
        <v>68</v>
      </c>
      <c r="F569" s="90" t="s">
        <v>375</v>
      </c>
      <c r="G569" s="90" t="s">
        <v>376</v>
      </c>
      <c r="H569" s="90">
        <v>0.59</v>
      </c>
      <c r="I569" s="90">
        <v>0.64</v>
      </c>
      <c r="J569" s="90" t="s">
        <v>244</v>
      </c>
      <c r="K569" s="90">
        <v>0.16160714806266999</v>
      </c>
      <c r="L569" s="90">
        <v>2880.6500518191801</v>
      </c>
      <c r="M569" s="90">
        <v>7.9508606483857802</v>
      </c>
      <c r="N569" s="90">
        <v>1.3758628951487799</v>
      </c>
      <c r="O569" s="90">
        <v>1.28491591402937</v>
      </c>
      <c r="P569" s="90">
        <v>0.22234927861025</v>
      </c>
      <c r="Q569" s="90">
        <v>465.53363944109498</v>
      </c>
      <c r="R569" s="90">
        <v>1300</v>
      </c>
      <c r="S569" s="90" t="s">
        <v>387</v>
      </c>
      <c r="T569" s="90">
        <v>1300</v>
      </c>
      <c r="U569" s="90" t="s">
        <v>378</v>
      </c>
      <c r="V569" s="90" t="s">
        <v>244</v>
      </c>
      <c r="Z569" s="90">
        <v>0</v>
      </c>
      <c r="AA569" s="90">
        <v>1</v>
      </c>
      <c r="AB569" s="90">
        <v>1.28491591402937</v>
      </c>
      <c r="AC569" s="90">
        <v>0.22234927861025</v>
      </c>
      <c r="AD569" s="90">
        <v>465.53363944109498</v>
      </c>
      <c r="AF569" s="90">
        <v>-1</v>
      </c>
      <c r="AG569" s="90">
        <v>-1</v>
      </c>
      <c r="AH569" s="90">
        <v>-1</v>
      </c>
      <c r="AI569" s="90">
        <v>-1</v>
      </c>
      <c r="AJ569" s="90">
        <v>0</v>
      </c>
      <c r="AM569" s="90" t="s">
        <v>379</v>
      </c>
      <c r="AN569" s="90">
        <v>-1</v>
      </c>
      <c r="AQ569" s="90">
        <v>356</v>
      </c>
      <c r="AR569" s="90" t="s">
        <v>380</v>
      </c>
      <c r="AS569" s="90" t="s">
        <v>246</v>
      </c>
      <c r="AT569" s="90" t="s">
        <v>244</v>
      </c>
      <c r="AU569" s="90">
        <v>175.87190000000001</v>
      </c>
      <c r="AV569" s="90">
        <v>126.160098720313</v>
      </c>
      <c r="AW569" s="90">
        <v>654.00092504318195</v>
      </c>
      <c r="AX569" s="90">
        <v>0.37756175139999998</v>
      </c>
    </row>
    <row r="570" spans="1:50" x14ac:dyDescent="0.25">
      <c r="A570" s="102">
        <v>830000</v>
      </c>
      <c r="B570" s="102">
        <v>2400000</v>
      </c>
      <c r="C570" s="102">
        <v>2400000</v>
      </c>
      <c r="D570" s="90" t="s">
        <v>374</v>
      </c>
      <c r="E570" s="90" t="s">
        <v>68</v>
      </c>
      <c r="F570" s="90" t="s">
        <v>375</v>
      </c>
      <c r="G570" s="90" t="s">
        <v>376</v>
      </c>
      <c r="H570" s="90">
        <v>0.59</v>
      </c>
      <c r="I570" s="90">
        <v>0.64</v>
      </c>
      <c r="J570" s="90" t="s">
        <v>244</v>
      </c>
      <c r="K570" s="90">
        <v>0.60571938159081995</v>
      </c>
      <c r="L570" s="90">
        <v>3763.5484147320699</v>
      </c>
      <c r="M570" s="90">
        <v>11.9466268036982</v>
      </c>
      <c r="N570" s="90">
        <v>1.5734616499029701</v>
      </c>
      <c r="O570" s="90">
        <v>7.2363033996324004</v>
      </c>
      <c r="P570" s="90">
        <v>0.95307621753609995</v>
      </c>
      <c r="Q570" s="90">
        <v>2279.6542183586198</v>
      </c>
      <c r="R570" s="90">
        <v>1450</v>
      </c>
      <c r="S570" s="90" t="s">
        <v>391</v>
      </c>
      <c r="T570" s="90">
        <v>1450</v>
      </c>
      <c r="U570" s="90" t="s">
        <v>378</v>
      </c>
      <c r="V570" s="90" t="s">
        <v>244</v>
      </c>
      <c r="Z570" s="90">
        <v>0</v>
      </c>
      <c r="AA570" s="90">
        <v>1</v>
      </c>
      <c r="AB570" s="90">
        <v>7.2363033996324004</v>
      </c>
      <c r="AC570" s="90">
        <v>0.95307621753609995</v>
      </c>
      <c r="AD570" s="90">
        <v>2279.6542183586198</v>
      </c>
      <c r="AF570" s="90">
        <v>-1</v>
      </c>
      <c r="AG570" s="90">
        <v>-1</v>
      </c>
      <c r="AH570" s="90">
        <v>-1</v>
      </c>
      <c r="AI570" s="90">
        <v>-1</v>
      </c>
      <c r="AJ570" s="90">
        <v>0</v>
      </c>
      <c r="AM570" s="90" t="s">
        <v>379</v>
      </c>
      <c r="AN570" s="90">
        <v>-1</v>
      </c>
      <c r="AQ570" s="90">
        <v>356</v>
      </c>
      <c r="AR570" s="90" t="s">
        <v>380</v>
      </c>
      <c r="AS570" s="90" t="s">
        <v>246</v>
      </c>
      <c r="AT570" s="90" t="s">
        <v>244</v>
      </c>
      <c r="AU570" s="90">
        <v>175.87190000000001</v>
      </c>
      <c r="AV570" s="90">
        <v>195.32490192454</v>
      </c>
      <c r="AW570" s="90">
        <v>2451.2593695629598</v>
      </c>
      <c r="AX570" s="90">
        <v>1.8488679792</v>
      </c>
    </row>
    <row r="571" spans="1:50" x14ac:dyDescent="0.25">
      <c r="A571" s="102">
        <v>830000</v>
      </c>
      <c r="B571" s="102">
        <v>2400000</v>
      </c>
      <c r="C571" s="102">
        <v>2400000</v>
      </c>
      <c r="D571" s="90" t="s">
        <v>374</v>
      </c>
      <c r="E571" s="90" t="s">
        <v>68</v>
      </c>
      <c r="F571" s="90" t="s">
        <v>375</v>
      </c>
      <c r="G571" s="90" t="s">
        <v>376</v>
      </c>
      <c r="H571" s="90">
        <v>0.59</v>
      </c>
      <c r="I571" s="90">
        <v>0.64</v>
      </c>
      <c r="J571" s="90" t="s">
        <v>244</v>
      </c>
      <c r="K571" s="90">
        <v>2.8118937308980001E-2</v>
      </c>
      <c r="L571" s="90">
        <v>3702.25949186259</v>
      </c>
      <c r="M571" s="90">
        <v>9.2285786776937293</v>
      </c>
      <c r="N571" s="90">
        <v>1.3572742639619499</v>
      </c>
      <c r="O571" s="90">
        <v>0.25949782528910997</v>
      </c>
      <c r="P571" s="90">
        <v>3.8165109939440001E-2</v>
      </c>
      <c r="Q571" s="90">
        <v>104.103602553282</v>
      </c>
      <c r="R571" s="90">
        <v>1200</v>
      </c>
      <c r="S571" s="90" t="s">
        <v>384</v>
      </c>
      <c r="T571" s="90">
        <v>1200</v>
      </c>
      <c r="U571" s="90" t="s">
        <v>378</v>
      </c>
      <c r="V571" s="90" t="s">
        <v>244</v>
      </c>
      <c r="Z571" s="90">
        <v>0</v>
      </c>
      <c r="AA571" s="90">
        <v>1</v>
      </c>
      <c r="AB571" s="90">
        <v>0.25949782528910997</v>
      </c>
      <c r="AC571" s="90">
        <v>3.8165109939440001E-2</v>
      </c>
      <c r="AD571" s="90">
        <v>545.82059056187495</v>
      </c>
      <c r="AF571" s="90">
        <v>-1</v>
      </c>
      <c r="AG571" s="90">
        <v>-1</v>
      </c>
      <c r="AH571" s="90">
        <v>-1</v>
      </c>
      <c r="AI571" s="90">
        <v>-1</v>
      </c>
      <c r="AJ571" s="90">
        <v>0</v>
      </c>
      <c r="AM571" s="90" t="s">
        <v>379</v>
      </c>
      <c r="AN571" s="90">
        <v>-1</v>
      </c>
      <c r="AQ571" s="90">
        <v>356</v>
      </c>
      <c r="AR571" s="90" t="s">
        <v>380</v>
      </c>
      <c r="AS571" s="90" t="s">
        <v>246</v>
      </c>
      <c r="AT571" s="90" t="s">
        <v>244</v>
      </c>
      <c r="AU571" s="90">
        <v>175.87190000000001</v>
      </c>
      <c r="AV571" s="90">
        <v>42.778649736376799</v>
      </c>
      <c r="AW571" s="90">
        <v>113.79330203993401</v>
      </c>
      <c r="AX571" s="90">
        <v>0.442676878</v>
      </c>
    </row>
    <row r="572" spans="1:50" x14ac:dyDescent="0.25">
      <c r="A572" s="102">
        <v>830000</v>
      </c>
      <c r="B572" s="102">
        <v>2400000</v>
      </c>
      <c r="C572" s="102">
        <v>2400000</v>
      </c>
      <c r="D572" s="90" t="s">
        <v>374</v>
      </c>
      <c r="E572" s="90" t="s">
        <v>68</v>
      </c>
      <c r="F572" s="90" t="s">
        <v>375</v>
      </c>
      <c r="G572" s="90" t="s">
        <v>376</v>
      </c>
      <c r="H572" s="90">
        <v>0.59</v>
      </c>
      <c r="I572" s="90">
        <v>0.64</v>
      </c>
      <c r="J572" s="90" t="s">
        <v>244</v>
      </c>
      <c r="K572" s="90">
        <v>3.5562205111999999E-4</v>
      </c>
      <c r="L572" s="90">
        <v>3702.25949186259</v>
      </c>
      <c r="M572" s="90">
        <v>9.2285786776937293</v>
      </c>
      <c r="N572" s="90">
        <v>1.3572742639619499</v>
      </c>
      <c r="O572" s="90">
        <v>3.2818860782899998E-3</v>
      </c>
      <c r="P572" s="90">
        <v>4.8267665768E-4</v>
      </c>
      <c r="Q572" s="90">
        <v>1.3166051142783599</v>
      </c>
      <c r="R572" s="90">
        <v>1210</v>
      </c>
      <c r="S572" s="90" t="s">
        <v>385</v>
      </c>
      <c r="T572" s="90">
        <v>1210</v>
      </c>
      <c r="U572" s="90" t="s">
        <v>378</v>
      </c>
      <c r="V572" s="90" t="s">
        <v>244</v>
      </c>
      <c r="Z572" s="90">
        <v>0</v>
      </c>
      <c r="AA572" s="90">
        <v>1</v>
      </c>
      <c r="AB572" s="90">
        <v>3.2818860782899998E-3</v>
      </c>
      <c r="AC572" s="90">
        <v>4.8267665768E-4</v>
      </c>
      <c r="AD572" s="90">
        <v>1.31660511427737</v>
      </c>
      <c r="AF572" s="90">
        <v>-1</v>
      </c>
      <c r="AG572" s="90">
        <v>-1</v>
      </c>
      <c r="AH572" s="90">
        <v>-1</v>
      </c>
      <c r="AI572" s="90">
        <v>-1</v>
      </c>
      <c r="AJ572" s="90">
        <v>0</v>
      </c>
      <c r="AM572" s="90" t="s">
        <v>379</v>
      </c>
      <c r="AN572" s="90">
        <v>-1</v>
      </c>
      <c r="AQ572" s="90">
        <v>356</v>
      </c>
      <c r="AR572" s="90" t="s">
        <v>380</v>
      </c>
      <c r="AS572" s="90" t="s">
        <v>246</v>
      </c>
      <c r="AT572" s="90" t="s">
        <v>244</v>
      </c>
      <c r="AU572" s="90">
        <v>175.87190000000001</v>
      </c>
      <c r="AV572" s="90">
        <v>17.608773862951299</v>
      </c>
      <c r="AW572" s="90">
        <v>1.4391513815250001</v>
      </c>
      <c r="AX572" s="90">
        <v>1.0678063E-3</v>
      </c>
    </row>
    <row r="573" spans="1:50" x14ac:dyDescent="0.25">
      <c r="A573" s="102">
        <v>830000</v>
      </c>
      <c r="B573" s="102">
        <v>2400000</v>
      </c>
      <c r="C573" s="102">
        <v>2400000</v>
      </c>
      <c r="D573" s="90" t="s">
        <v>374</v>
      </c>
      <c r="E573" s="90" t="s">
        <v>68</v>
      </c>
      <c r="F573" s="90" t="s">
        <v>375</v>
      </c>
      <c r="G573" s="90" t="s">
        <v>376</v>
      </c>
      <c r="H573" s="90">
        <v>0.59</v>
      </c>
      <c r="I573" s="90">
        <v>0.64</v>
      </c>
      <c r="J573" s="90" t="s">
        <v>244</v>
      </c>
      <c r="K573" s="90">
        <v>8.8585058475199999E-2</v>
      </c>
      <c r="L573" s="90">
        <v>3702.25949186259</v>
      </c>
      <c r="M573" s="90">
        <v>9.2285786776937293</v>
      </c>
      <c r="N573" s="90">
        <v>1.3572742639619499</v>
      </c>
      <c r="O573" s="90">
        <v>0.81751418180647994</v>
      </c>
      <c r="P573" s="90">
        <v>0.12023422003995</v>
      </c>
      <c r="Q573" s="90">
        <v>327.96487357701102</v>
      </c>
      <c r="R573" s="90">
        <v>1210</v>
      </c>
      <c r="S573" s="90" t="s">
        <v>385</v>
      </c>
      <c r="T573" s="90">
        <v>1210</v>
      </c>
      <c r="U573" s="90" t="s">
        <v>378</v>
      </c>
      <c r="V573" s="90" t="s">
        <v>244</v>
      </c>
      <c r="Z573" s="90">
        <v>0</v>
      </c>
      <c r="AA573" s="90">
        <v>1</v>
      </c>
      <c r="AB573" s="90">
        <v>0.81751418180647994</v>
      </c>
      <c r="AC573" s="90">
        <v>0.12023422003995</v>
      </c>
      <c r="AD573" s="90">
        <v>583.61352181541804</v>
      </c>
      <c r="AF573" s="90">
        <v>-1</v>
      </c>
      <c r="AG573" s="90">
        <v>-1</v>
      </c>
      <c r="AH573" s="90">
        <v>-1</v>
      </c>
      <c r="AI573" s="90">
        <v>-1</v>
      </c>
      <c r="AJ573" s="90">
        <v>0</v>
      </c>
      <c r="AM573" s="90" t="s">
        <v>379</v>
      </c>
      <c r="AN573" s="90">
        <v>-1</v>
      </c>
      <c r="AQ573" s="90">
        <v>356</v>
      </c>
      <c r="AR573" s="90" t="s">
        <v>380</v>
      </c>
      <c r="AS573" s="90" t="s">
        <v>246</v>
      </c>
      <c r="AT573" s="90" t="s">
        <v>244</v>
      </c>
      <c r="AU573" s="90">
        <v>175.87190000000001</v>
      </c>
      <c r="AV573" s="90">
        <v>95.465220816626001</v>
      </c>
      <c r="AW573" s="90">
        <v>358.491012819042</v>
      </c>
      <c r="AX573" s="90">
        <v>0.47332807929999998</v>
      </c>
    </row>
    <row r="574" spans="1:50" x14ac:dyDescent="0.25">
      <c r="A574" s="102">
        <v>830000</v>
      </c>
      <c r="B574" s="102">
        <v>2400000</v>
      </c>
      <c r="C574" s="102">
        <v>2400000</v>
      </c>
      <c r="D574" s="90" t="s">
        <v>374</v>
      </c>
      <c r="E574" s="90" t="s">
        <v>68</v>
      </c>
      <c r="F574" s="90" t="s">
        <v>375</v>
      </c>
      <c r="G574" s="90" t="s">
        <v>376</v>
      </c>
      <c r="H574" s="90">
        <v>0.59</v>
      </c>
      <c r="I574" s="90">
        <v>0.64</v>
      </c>
      <c r="J574" s="90" t="s">
        <v>244</v>
      </c>
      <c r="K574" s="90">
        <v>0.17787937964174999</v>
      </c>
      <c r="L574" s="90">
        <v>3746.27160261975</v>
      </c>
      <c r="M574" s="90">
        <v>10.7786323875892</v>
      </c>
      <c r="N574" s="90">
        <v>2.0768542520315201</v>
      </c>
      <c r="O574" s="90">
        <v>1.91729644249095</v>
      </c>
      <c r="P574" s="90">
        <v>0.36942954595770999</v>
      </c>
      <c r="Q574" s="90">
        <v>666.38446864353898</v>
      </c>
      <c r="R574" s="90">
        <v>1300</v>
      </c>
      <c r="S574" s="90" t="s">
        <v>387</v>
      </c>
      <c r="T574" s="90">
        <v>1300</v>
      </c>
      <c r="U574" s="90" t="s">
        <v>378</v>
      </c>
      <c r="V574" s="90" t="s">
        <v>244</v>
      </c>
      <c r="Z574" s="90">
        <v>0</v>
      </c>
      <c r="AA574" s="90">
        <v>1</v>
      </c>
      <c r="AB574" s="90">
        <v>1.91729644249095</v>
      </c>
      <c r="AC574" s="90">
        <v>0.36942954595770999</v>
      </c>
      <c r="AD574" s="90">
        <v>666.38446864353898</v>
      </c>
      <c r="AF574" s="90">
        <v>-1</v>
      </c>
      <c r="AG574" s="90">
        <v>-1</v>
      </c>
      <c r="AH574" s="90">
        <v>-1</v>
      </c>
      <c r="AI574" s="90">
        <v>-1</v>
      </c>
      <c r="AJ574" s="90">
        <v>0</v>
      </c>
      <c r="AM574" s="90" t="s">
        <v>379</v>
      </c>
      <c r="AN574" s="90">
        <v>-1</v>
      </c>
      <c r="AQ574" s="90">
        <v>356</v>
      </c>
      <c r="AR574" s="90" t="s">
        <v>380</v>
      </c>
      <c r="AS574" s="90" t="s">
        <v>246</v>
      </c>
      <c r="AT574" s="90" t="s">
        <v>244</v>
      </c>
      <c r="AU574" s="90">
        <v>175.87190000000001</v>
      </c>
      <c r="AV574" s="90">
        <v>140.62840350320599</v>
      </c>
      <c r="AW574" s="90">
        <v>719.85230991578203</v>
      </c>
      <c r="AX574" s="90">
        <v>0.54045780099999996</v>
      </c>
    </row>
    <row r="575" spans="1:50" x14ac:dyDescent="0.25">
      <c r="A575" s="102">
        <v>830000</v>
      </c>
      <c r="B575" s="102">
        <v>2400000</v>
      </c>
      <c r="C575" s="102">
        <v>2400000</v>
      </c>
      <c r="D575" s="90" t="s">
        <v>374</v>
      </c>
      <c r="E575" s="90" t="s">
        <v>68</v>
      </c>
      <c r="F575" s="90" t="s">
        <v>375</v>
      </c>
      <c r="G575" s="90" t="s">
        <v>376</v>
      </c>
      <c r="H575" s="90">
        <v>0.59</v>
      </c>
      <c r="I575" s="90">
        <v>0.64</v>
      </c>
      <c r="J575" s="90" t="s">
        <v>244</v>
      </c>
      <c r="K575" s="90">
        <v>1.261074428197E-2</v>
      </c>
      <c r="L575" s="90">
        <v>3746.27160261975</v>
      </c>
      <c r="M575" s="90">
        <v>10.7786323875892</v>
      </c>
      <c r="N575" s="90">
        <v>2.0768542520315201</v>
      </c>
      <c r="O575" s="90">
        <v>0.13592657674927</v>
      </c>
      <c r="P575" s="90">
        <v>2.6190677883289999E-2</v>
      </c>
      <c r="Q575" s="90">
        <v>47.243273191451003</v>
      </c>
      <c r="R575" s="90">
        <v>1300</v>
      </c>
      <c r="S575" s="90" t="s">
        <v>387</v>
      </c>
      <c r="T575" s="90">
        <v>1300</v>
      </c>
      <c r="U575" s="90" t="s">
        <v>378</v>
      </c>
      <c r="V575" s="90" t="s">
        <v>244</v>
      </c>
      <c r="Z575" s="90">
        <v>0</v>
      </c>
      <c r="AA575" s="90">
        <v>1</v>
      </c>
      <c r="AB575" s="90">
        <v>0.13592657674927</v>
      </c>
      <c r="AC575" s="90">
        <v>2.6190677883289999E-2</v>
      </c>
      <c r="AD575" s="90">
        <v>47.243273191450697</v>
      </c>
      <c r="AF575" s="90">
        <v>-1</v>
      </c>
      <c r="AG575" s="90">
        <v>-1</v>
      </c>
      <c r="AH575" s="90">
        <v>-1</v>
      </c>
      <c r="AI575" s="90">
        <v>-1</v>
      </c>
      <c r="AJ575" s="90">
        <v>0</v>
      </c>
      <c r="AM575" s="90" t="s">
        <v>379</v>
      </c>
      <c r="AN575" s="90">
        <v>-1</v>
      </c>
      <c r="AQ575" s="90">
        <v>356</v>
      </c>
      <c r="AR575" s="90" t="s">
        <v>380</v>
      </c>
      <c r="AS575" s="90" t="s">
        <v>246</v>
      </c>
      <c r="AT575" s="90" t="s">
        <v>244</v>
      </c>
      <c r="AU575" s="90">
        <v>175.87190000000001</v>
      </c>
      <c r="AV575" s="90">
        <v>33.933701850572398</v>
      </c>
      <c r="AW575" s="90">
        <v>51.033871488742001</v>
      </c>
      <c r="AX575" s="90">
        <v>3.8315712199999998E-2</v>
      </c>
    </row>
    <row r="576" spans="1:50" x14ac:dyDescent="0.25">
      <c r="A576" s="102">
        <v>830000</v>
      </c>
      <c r="B576" s="102">
        <v>2400000</v>
      </c>
      <c r="C576" s="102">
        <v>2400000</v>
      </c>
      <c r="D576" s="90" t="s">
        <v>374</v>
      </c>
      <c r="E576" s="90" t="s">
        <v>68</v>
      </c>
      <c r="F576" s="90" t="s">
        <v>375</v>
      </c>
      <c r="G576" s="90" t="s">
        <v>376</v>
      </c>
      <c r="H576" s="90">
        <v>0.59</v>
      </c>
      <c r="I576" s="90">
        <v>0.64</v>
      </c>
      <c r="J576" s="90" t="s">
        <v>244</v>
      </c>
      <c r="K576" s="90">
        <v>0.42628658320283003</v>
      </c>
      <c r="L576" s="90">
        <v>3746.27160261975</v>
      </c>
      <c r="M576" s="90">
        <v>10.7786323875892</v>
      </c>
      <c r="N576" s="90">
        <v>2.0768542520315201</v>
      </c>
      <c r="O576" s="90">
        <v>4.5947863721048101</v>
      </c>
      <c r="P576" s="90">
        <v>0.88533510290879003</v>
      </c>
      <c r="Q576" s="90">
        <v>1596.98532123057</v>
      </c>
      <c r="R576" s="90">
        <v>1300</v>
      </c>
      <c r="S576" s="90" t="s">
        <v>387</v>
      </c>
      <c r="T576" s="90">
        <v>1300</v>
      </c>
      <c r="U576" s="90" t="s">
        <v>378</v>
      </c>
      <c r="V576" s="90" t="s">
        <v>244</v>
      </c>
      <c r="Z576" s="90">
        <v>0</v>
      </c>
      <c r="AA576" s="90">
        <v>1</v>
      </c>
      <c r="AB576" s="90">
        <v>4.5947863721048101</v>
      </c>
      <c r="AC576" s="90">
        <v>0.88533510290879003</v>
      </c>
      <c r="AD576" s="90">
        <v>1596.98532123057</v>
      </c>
      <c r="AF576" s="90">
        <v>-1</v>
      </c>
      <c r="AG576" s="90">
        <v>-1</v>
      </c>
      <c r="AH576" s="90">
        <v>-1</v>
      </c>
      <c r="AI576" s="90">
        <v>-1</v>
      </c>
      <c r="AJ576" s="90">
        <v>0</v>
      </c>
      <c r="AM576" s="90" t="s">
        <v>379</v>
      </c>
      <c r="AN576" s="90">
        <v>-1</v>
      </c>
      <c r="AQ576" s="90">
        <v>356</v>
      </c>
      <c r="AR576" s="90" t="s">
        <v>380</v>
      </c>
      <c r="AS576" s="90" t="s">
        <v>246</v>
      </c>
      <c r="AT576" s="90" t="s">
        <v>244</v>
      </c>
      <c r="AU576" s="90">
        <v>175.87190000000001</v>
      </c>
      <c r="AV576" s="90">
        <v>171.19913874029001</v>
      </c>
      <c r="AW576" s="90">
        <v>1725.1205970173301</v>
      </c>
      <c r="AX576" s="90">
        <v>1.295203018</v>
      </c>
    </row>
    <row r="577" spans="1:50" x14ac:dyDescent="0.25">
      <c r="A577" s="102">
        <v>830000</v>
      </c>
      <c r="B577" s="102">
        <v>2400000</v>
      </c>
      <c r="C577" s="102">
        <v>2400000</v>
      </c>
      <c r="D577" s="90" t="s">
        <v>374</v>
      </c>
      <c r="E577" s="90" t="s">
        <v>68</v>
      </c>
      <c r="F577" s="90" t="s">
        <v>375</v>
      </c>
      <c r="G577" s="90" t="s">
        <v>376</v>
      </c>
      <c r="H577" s="90">
        <v>0.59</v>
      </c>
      <c r="I577" s="90">
        <v>0.64</v>
      </c>
      <c r="J577" s="90" t="s">
        <v>244</v>
      </c>
      <c r="K577" s="90">
        <v>9.8674661038999998E-4</v>
      </c>
      <c r="L577" s="90">
        <v>3746.27160261975</v>
      </c>
      <c r="M577" s="90">
        <v>10.7786323875892</v>
      </c>
      <c r="N577" s="90">
        <v>2.0768542520315201</v>
      </c>
      <c r="O577" s="90">
        <v>1.0635778973089999E-2</v>
      </c>
      <c r="P577" s="90">
        <v>2.04932889346E-3</v>
      </c>
      <c r="Q577" s="90">
        <v>3.6966208054853502</v>
      </c>
      <c r="R577" s="90">
        <v>1300</v>
      </c>
      <c r="S577" s="90" t="s">
        <v>387</v>
      </c>
      <c r="T577" s="90">
        <v>1300</v>
      </c>
      <c r="U577" s="90" t="s">
        <v>378</v>
      </c>
      <c r="V577" s="90" t="s">
        <v>244</v>
      </c>
      <c r="Z577" s="90">
        <v>0</v>
      </c>
      <c r="AA577" s="90">
        <v>1</v>
      </c>
      <c r="AB577" s="90">
        <v>1.0635778973089999E-2</v>
      </c>
      <c r="AC577" s="90">
        <v>2.04932889346E-3</v>
      </c>
      <c r="AD577" s="90">
        <v>3.69662080548528</v>
      </c>
      <c r="AF577" s="90">
        <v>-1</v>
      </c>
      <c r="AG577" s="90">
        <v>-1</v>
      </c>
      <c r="AH577" s="90">
        <v>-1</v>
      </c>
      <c r="AI577" s="90">
        <v>-1</v>
      </c>
      <c r="AJ577" s="90">
        <v>0</v>
      </c>
      <c r="AM577" s="90" t="s">
        <v>379</v>
      </c>
      <c r="AN577" s="90">
        <v>-1</v>
      </c>
      <c r="AQ577" s="90">
        <v>356</v>
      </c>
      <c r="AR577" s="90" t="s">
        <v>380</v>
      </c>
      <c r="AS577" s="90" t="s">
        <v>246</v>
      </c>
      <c r="AT577" s="90" t="s">
        <v>244</v>
      </c>
      <c r="AU577" s="90">
        <v>175.87190000000001</v>
      </c>
      <c r="AV577" s="90">
        <v>30.575821957172899</v>
      </c>
      <c r="AW577" s="90">
        <v>3.9932218575381202</v>
      </c>
      <c r="AX577" s="90">
        <v>2.9980704E-3</v>
      </c>
    </row>
    <row r="578" spans="1:50" x14ac:dyDescent="0.25">
      <c r="A578" s="102">
        <v>830000</v>
      </c>
      <c r="B578" s="102">
        <v>2400000</v>
      </c>
      <c r="C578" s="102">
        <v>2400000</v>
      </c>
      <c r="D578" s="90" t="s">
        <v>374</v>
      </c>
      <c r="E578" s="90" t="s">
        <v>68</v>
      </c>
      <c r="F578" s="90" t="s">
        <v>375</v>
      </c>
      <c r="G578" s="90" t="s">
        <v>376</v>
      </c>
      <c r="H578" s="90">
        <v>0.59</v>
      </c>
      <c r="I578" s="90">
        <v>0.64</v>
      </c>
      <c r="J578" s="90" t="s">
        <v>244</v>
      </c>
      <c r="K578" s="90">
        <v>0.61776345373694996</v>
      </c>
      <c r="L578" s="90">
        <v>3743.97622147228</v>
      </c>
      <c r="M578" s="90">
        <v>11.305806831598501</v>
      </c>
      <c r="N578" s="90">
        <v>2.2405178492083699</v>
      </c>
      <c r="O578" s="90">
        <v>6.9843142755711396</v>
      </c>
      <c r="P578" s="90">
        <v>1.38411004468625</v>
      </c>
      <c r="Q578" s="90">
        <v>2312.8916812857501</v>
      </c>
      <c r="R578" s="90">
        <v>1300</v>
      </c>
      <c r="S578" s="90" t="s">
        <v>387</v>
      </c>
      <c r="T578" s="90">
        <v>1300</v>
      </c>
      <c r="U578" s="90" t="s">
        <v>378</v>
      </c>
      <c r="V578" s="90" t="s">
        <v>244</v>
      </c>
      <c r="Z578" s="90">
        <v>0</v>
      </c>
      <c r="AA578" s="90">
        <v>1</v>
      </c>
      <c r="AB578" s="90">
        <v>6.9843142755711396</v>
      </c>
      <c r="AC578" s="90">
        <v>1.38411004468625</v>
      </c>
      <c r="AD578" s="90">
        <v>2312.8916812857501</v>
      </c>
      <c r="AF578" s="90">
        <v>-1</v>
      </c>
      <c r="AG578" s="90">
        <v>-1</v>
      </c>
      <c r="AH578" s="90">
        <v>-1</v>
      </c>
      <c r="AI578" s="90">
        <v>-1</v>
      </c>
      <c r="AJ578" s="90">
        <v>0</v>
      </c>
      <c r="AM578" s="90" t="s">
        <v>379</v>
      </c>
      <c r="AN578" s="90">
        <v>-1</v>
      </c>
      <c r="AQ578" s="90">
        <v>356</v>
      </c>
      <c r="AR578" s="90" t="s">
        <v>380</v>
      </c>
      <c r="AS578" s="90" t="s">
        <v>246</v>
      </c>
      <c r="AT578" s="90" t="s">
        <v>244</v>
      </c>
      <c r="AU578" s="90">
        <v>175.87190000000001</v>
      </c>
      <c r="AV578" s="90">
        <v>200.00000001117499</v>
      </c>
      <c r="AW578" s="90">
        <v>2500.00000027939</v>
      </c>
      <c r="AX578" s="90">
        <v>1.875824559</v>
      </c>
    </row>
    <row r="579" spans="1:50" x14ac:dyDescent="0.25">
      <c r="A579" s="102">
        <v>830000</v>
      </c>
      <c r="B579" s="102">
        <v>2400000</v>
      </c>
      <c r="C579" s="102">
        <v>2400000</v>
      </c>
      <c r="D579" s="90" t="s">
        <v>374</v>
      </c>
      <c r="E579" s="90" t="s">
        <v>68</v>
      </c>
      <c r="F579" s="90" t="s">
        <v>375</v>
      </c>
      <c r="G579" s="90" t="s">
        <v>376</v>
      </c>
      <c r="H579" s="90">
        <v>0.59</v>
      </c>
      <c r="I579" s="90">
        <v>0.64</v>
      </c>
      <c r="J579" s="90" t="s">
        <v>244</v>
      </c>
      <c r="K579" s="90">
        <v>6.2200814635900003E-3</v>
      </c>
      <c r="L579" s="90">
        <v>3661.38513554765</v>
      </c>
      <c r="M579" s="90">
        <v>7.3231018222776898</v>
      </c>
      <c r="N579" s="90">
        <v>0.99980768342222004</v>
      </c>
      <c r="O579" s="90">
        <v>4.5550289900770001E-2</v>
      </c>
      <c r="P579" s="90">
        <v>6.2188852388099999E-3</v>
      </c>
      <c r="Q579" s="90">
        <v>22.774113812705799</v>
      </c>
      <c r="R579" s="90">
        <v>1850</v>
      </c>
      <c r="S579" s="90" t="s">
        <v>388</v>
      </c>
      <c r="T579" s="90">
        <v>1850</v>
      </c>
      <c r="U579" s="90" t="s">
        <v>378</v>
      </c>
      <c r="V579" s="90" t="s">
        <v>244</v>
      </c>
      <c r="Z579" s="90">
        <v>0</v>
      </c>
      <c r="AA579" s="90">
        <v>1</v>
      </c>
      <c r="AB579" s="90">
        <v>4.5550289900770001E-2</v>
      </c>
      <c r="AC579" s="90">
        <v>6.2188852388099999E-3</v>
      </c>
      <c r="AD579" s="90">
        <v>22.774113812705899</v>
      </c>
      <c r="AF579" s="90">
        <v>-1</v>
      </c>
      <c r="AG579" s="90">
        <v>-1</v>
      </c>
      <c r="AH579" s="90">
        <v>-1</v>
      </c>
      <c r="AI579" s="90">
        <v>-1</v>
      </c>
      <c r="AJ579" s="90">
        <v>0</v>
      </c>
      <c r="AM579" s="90" t="s">
        <v>379</v>
      </c>
      <c r="AN579" s="90">
        <v>-1</v>
      </c>
      <c r="AQ579" s="90">
        <v>356</v>
      </c>
      <c r="AR579" s="90" t="s">
        <v>380</v>
      </c>
      <c r="AS579" s="90" t="s">
        <v>246</v>
      </c>
      <c r="AT579" s="90" t="s">
        <v>244</v>
      </c>
      <c r="AU579" s="90">
        <v>175.87190000000001</v>
      </c>
      <c r="AV579" s="90">
        <v>92.2436163793719</v>
      </c>
      <c r="AW579" s="90">
        <v>25.171776618804699</v>
      </c>
      <c r="AX579" s="90">
        <v>1.8470489699999999E-2</v>
      </c>
    </row>
    <row r="580" spans="1:50" x14ac:dyDescent="0.25">
      <c r="A580" s="102">
        <v>830000</v>
      </c>
      <c r="B580" s="102">
        <v>2400000</v>
      </c>
      <c r="C580" s="102">
        <v>2400000</v>
      </c>
      <c r="D580" s="90" t="s">
        <v>374</v>
      </c>
      <c r="E580" s="90" t="s">
        <v>68</v>
      </c>
      <c r="F580" s="90" t="s">
        <v>375</v>
      </c>
      <c r="G580" s="90" t="s">
        <v>376</v>
      </c>
      <c r="H580" s="90">
        <v>0.59</v>
      </c>
      <c r="I580" s="90">
        <v>0.64</v>
      </c>
      <c r="J580" s="90" t="s">
        <v>389</v>
      </c>
      <c r="K580" s="90">
        <v>3.0712530550759998E-2</v>
      </c>
      <c r="L580" s="90">
        <v>3661.38513554765</v>
      </c>
      <c r="M580" s="90">
        <v>7.3231018222776898</v>
      </c>
      <c r="N580" s="90">
        <v>0.99980768342222004</v>
      </c>
      <c r="O580" s="90">
        <v>0.22491098844304999</v>
      </c>
      <c r="P580" s="90">
        <v>3.0706624021989998E-2</v>
      </c>
      <c r="Q580" s="90">
        <v>112.45040283362</v>
      </c>
      <c r="R580" s="90">
        <v>4200</v>
      </c>
      <c r="S580" s="90" t="s">
        <v>390</v>
      </c>
      <c r="T580" s="90">
        <v>4200</v>
      </c>
      <c r="U580" s="90" t="s">
        <v>378</v>
      </c>
      <c r="V580" s="90" t="s">
        <v>244</v>
      </c>
      <c r="Y580" s="90" t="s">
        <v>389</v>
      </c>
      <c r="Z580" s="90">
        <v>0</v>
      </c>
      <c r="AA580" s="90">
        <v>1</v>
      </c>
      <c r="AB580" s="90">
        <v>0.22491098844304999</v>
      </c>
      <c r="AC580" s="90">
        <v>3.0706624021989998E-2</v>
      </c>
      <c r="AD580" s="90">
        <v>112.45040283362</v>
      </c>
      <c r="AF580" s="90">
        <v>-1</v>
      </c>
      <c r="AG580" s="90">
        <v>-1</v>
      </c>
      <c r="AH580" s="90">
        <v>-1</v>
      </c>
      <c r="AI580" s="90">
        <v>-1</v>
      </c>
      <c r="AJ580" s="90">
        <v>0</v>
      </c>
      <c r="AM580" s="90" t="s">
        <v>379</v>
      </c>
      <c r="AN580" s="90">
        <v>-1</v>
      </c>
      <c r="AQ580" s="90">
        <v>356</v>
      </c>
      <c r="AR580" s="90" t="s">
        <v>380</v>
      </c>
      <c r="AS580" s="90" t="s">
        <v>246</v>
      </c>
      <c r="AT580" s="90" t="s">
        <v>244</v>
      </c>
      <c r="AU580" s="90">
        <v>175.87190000000001</v>
      </c>
      <c r="AV580" s="90">
        <v>104.908347887513</v>
      </c>
      <c r="AW580" s="90">
        <v>124.289201507516</v>
      </c>
      <c r="AX580" s="90">
        <v>9.1200651100000002E-2</v>
      </c>
    </row>
    <row r="581" spans="1:50" x14ac:dyDescent="0.25">
      <c r="A581" s="102">
        <v>830000</v>
      </c>
      <c r="B581" s="102">
        <v>2400000</v>
      </c>
      <c r="C581" s="102">
        <v>2400000</v>
      </c>
      <c r="D581" s="90" t="s">
        <v>374</v>
      </c>
      <c r="E581" s="90" t="s">
        <v>68</v>
      </c>
      <c r="F581" s="90" t="s">
        <v>375</v>
      </c>
      <c r="G581" s="90" t="s">
        <v>376</v>
      </c>
      <c r="H581" s="90">
        <v>0.59</v>
      </c>
      <c r="I581" s="90">
        <v>0.64</v>
      </c>
      <c r="J581" s="90" t="s">
        <v>244</v>
      </c>
      <c r="K581" s="90">
        <v>0.61776345378298003</v>
      </c>
      <c r="L581" s="90">
        <v>3747.7351294554201</v>
      </c>
      <c r="M581" s="90">
        <v>10.7827144160287</v>
      </c>
      <c r="N581" s="90">
        <v>2.0776258090754798</v>
      </c>
      <c r="O581" s="90">
        <v>6.6611668988014401</v>
      </c>
      <c r="P581" s="90">
        <v>1.2834812954831301</v>
      </c>
      <c r="Q581" s="90">
        <v>2315.2137974361799</v>
      </c>
      <c r="R581" s="90">
        <v>1300</v>
      </c>
      <c r="S581" s="90" t="s">
        <v>387</v>
      </c>
      <c r="T581" s="90">
        <v>1300</v>
      </c>
      <c r="U581" s="90" t="s">
        <v>378</v>
      </c>
      <c r="V581" s="90" t="s">
        <v>244</v>
      </c>
      <c r="Z581" s="90">
        <v>0</v>
      </c>
      <c r="AA581" s="90">
        <v>1</v>
      </c>
      <c r="AB581" s="90">
        <v>6.6611668988014401</v>
      </c>
      <c r="AC581" s="90">
        <v>1.2834812954831301</v>
      </c>
      <c r="AD581" s="90">
        <v>2315.2137974361799</v>
      </c>
      <c r="AF581" s="90">
        <v>-1</v>
      </c>
      <c r="AG581" s="90">
        <v>-1</v>
      </c>
      <c r="AH581" s="90">
        <v>-1</v>
      </c>
      <c r="AI581" s="90">
        <v>-1</v>
      </c>
      <c r="AJ581" s="90">
        <v>0</v>
      </c>
      <c r="AM581" s="90" t="s">
        <v>379</v>
      </c>
      <c r="AN581" s="90">
        <v>-1</v>
      </c>
      <c r="AQ581" s="90">
        <v>356</v>
      </c>
      <c r="AR581" s="90" t="s">
        <v>380</v>
      </c>
      <c r="AS581" s="90" t="s">
        <v>246</v>
      </c>
      <c r="AT581" s="90" t="s">
        <v>244</v>
      </c>
      <c r="AU581" s="90">
        <v>175.87190000000001</v>
      </c>
      <c r="AV581" s="90">
        <v>200.000000018626</v>
      </c>
      <c r="AW581" s="90">
        <v>2500.0000004656599</v>
      </c>
      <c r="AX581" s="90">
        <v>1.8777078649000001</v>
      </c>
    </row>
    <row r="582" spans="1:50" x14ac:dyDescent="0.25">
      <c r="A582" s="102">
        <v>830000</v>
      </c>
      <c r="B582" s="102">
        <v>2400000</v>
      </c>
      <c r="C582" s="102">
        <v>2400000</v>
      </c>
      <c r="D582" s="90" t="s">
        <v>374</v>
      </c>
      <c r="E582" s="90" t="s">
        <v>68</v>
      </c>
      <c r="F582" s="90" t="s">
        <v>375</v>
      </c>
      <c r="G582" s="90" t="s">
        <v>376</v>
      </c>
      <c r="H582" s="90">
        <v>0.59</v>
      </c>
      <c r="I582" s="90">
        <v>0.64</v>
      </c>
      <c r="J582" s="90" t="s">
        <v>244</v>
      </c>
      <c r="K582" s="90">
        <v>0.10742390374614</v>
      </c>
      <c r="L582" s="90">
        <v>3752.2321467617899</v>
      </c>
      <c r="M582" s="90">
        <v>10.7949726476373</v>
      </c>
      <c r="N582" s="90">
        <v>2.0799086136398302</v>
      </c>
      <c r="O582" s="90">
        <v>1.1596381026420901</v>
      </c>
      <c r="P582" s="90">
        <v>0.22343190271242999</v>
      </c>
      <c r="Q582" s="90">
        <v>403.07942496694102</v>
      </c>
      <c r="R582" s="90">
        <v>1300</v>
      </c>
      <c r="S582" s="90" t="s">
        <v>387</v>
      </c>
      <c r="T582" s="90">
        <v>1300</v>
      </c>
      <c r="U582" s="90" t="s">
        <v>378</v>
      </c>
      <c r="V582" s="90" t="s">
        <v>244</v>
      </c>
      <c r="Z582" s="90">
        <v>0</v>
      </c>
      <c r="AA582" s="90">
        <v>1</v>
      </c>
      <c r="AB582" s="90">
        <v>1.1596381026420901</v>
      </c>
      <c r="AC582" s="90">
        <v>0.22343190271242999</v>
      </c>
      <c r="AD582" s="90">
        <v>403.07942496694102</v>
      </c>
      <c r="AF582" s="90">
        <v>-1</v>
      </c>
      <c r="AG582" s="90">
        <v>-1</v>
      </c>
      <c r="AH582" s="90">
        <v>-1</v>
      </c>
      <c r="AI582" s="90">
        <v>-1</v>
      </c>
      <c r="AJ582" s="90">
        <v>0</v>
      </c>
      <c r="AM582" s="90" t="s">
        <v>379</v>
      </c>
      <c r="AN582" s="90">
        <v>-1</v>
      </c>
      <c r="AQ582" s="90">
        <v>356</v>
      </c>
      <c r="AR582" s="90" t="s">
        <v>380</v>
      </c>
      <c r="AS582" s="90" t="s">
        <v>246</v>
      </c>
      <c r="AT582" s="90" t="s">
        <v>244</v>
      </c>
      <c r="AU582" s="90">
        <v>175.87190000000001</v>
      </c>
      <c r="AV582" s="90">
        <v>117.552173334068</v>
      </c>
      <c r="AW582" s="90">
        <v>434.72911479437801</v>
      </c>
      <c r="AX582" s="90">
        <v>0.32690950930000001</v>
      </c>
    </row>
    <row r="583" spans="1:50" x14ac:dyDescent="0.25">
      <c r="A583" s="102">
        <v>830000</v>
      </c>
      <c r="B583" s="102">
        <v>2400000</v>
      </c>
      <c r="C583" s="102">
        <v>2400000</v>
      </c>
      <c r="D583" s="90" t="s">
        <v>374</v>
      </c>
      <c r="E583" s="90" t="s">
        <v>68</v>
      </c>
      <c r="F583" s="90" t="s">
        <v>375</v>
      </c>
      <c r="G583" s="90" t="s">
        <v>376</v>
      </c>
      <c r="H583" s="90">
        <v>0.59</v>
      </c>
      <c r="I583" s="90">
        <v>0.64</v>
      </c>
      <c r="J583" s="90" t="s">
        <v>244</v>
      </c>
      <c r="K583" s="90">
        <v>0.51033955001381004</v>
      </c>
      <c r="L583" s="90">
        <v>3752.2321467617899</v>
      </c>
      <c r="M583" s="90">
        <v>10.7949726476373</v>
      </c>
      <c r="N583" s="90">
        <v>2.0799086136398302</v>
      </c>
      <c r="O583" s="90">
        <v>5.5091014834067398</v>
      </c>
      <c r="P583" s="90">
        <v>1.0614596259548199</v>
      </c>
      <c r="Q583" s="90">
        <v>1914.9124653258</v>
      </c>
      <c r="R583" s="90">
        <v>1300</v>
      </c>
      <c r="S583" s="90" t="s">
        <v>387</v>
      </c>
      <c r="T583" s="90">
        <v>1300</v>
      </c>
      <c r="U583" s="90" t="s">
        <v>378</v>
      </c>
      <c r="V583" s="90" t="s">
        <v>244</v>
      </c>
      <c r="Z583" s="90">
        <v>0</v>
      </c>
      <c r="AA583" s="90">
        <v>1</v>
      </c>
      <c r="AB583" s="90">
        <v>5.5091014834067398</v>
      </c>
      <c r="AC583" s="90">
        <v>1.0614596259548199</v>
      </c>
      <c r="AD583" s="90">
        <v>1914.9124653258</v>
      </c>
      <c r="AF583" s="90">
        <v>-1</v>
      </c>
      <c r="AG583" s="90">
        <v>-1</v>
      </c>
      <c r="AH583" s="90">
        <v>-1</v>
      </c>
      <c r="AI583" s="90">
        <v>-1</v>
      </c>
      <c r="AJ583" s="90">
        <v>0</v>
      </c>
      <c r="AM583" s="90" t="s">
        <v>379</v>
      </c>
      <c r="AN583" s="90">
        <v>-1</v>
      </c>
      <c r="AQ583" s="90">
        <v>356</v>
      </c>
      <c r="AR583" s="90" t="s">
        <v>380</v>
      </c>
      <c r="AS583" s="90" t="s">
        <v>246</v>
      </c>
      <c r="AT583" s="90" t="s">
        <v>244</v>
      </c>
      <c r="AU583" s="90">
        <v>175.87190000000001</v>
      </c>
      <c r="AV583" s="90">
        <v>182.77384417027801</v>
      </c>
      <c r="AW583" s="90">
        <v>2065.2708855781498</v>
      </c>
      <c r="AX583" s="90">
        <v>1.5530514723</v>
      </c>
    </row>
    <row r="584" spans="1:50" x14ac:dyDescent="0.25">
      <c r="A584" s="102">
        <v>830000</v>
      </c>
      <c r="B584" s="102">
        <v>2400000</v>
      </c>
      <c r="C584" s="102">
        <v>2400000</v>
      </c>
      <c r="D584" s="90" t="s">
        <v>374</v>
      </c>
      <c r="E584" s="90" t="s">
        <v>68</v>
      </c>
      <c r="F584" s="90" t="s">
        <v>375</v>
      </c>
      <c r="G584" s="90" t="s">
        <v>376</v>
      </c>
      <c r="H584" s="90">
        <v>0.59</v>
      </c>
      <c r="I584" s="90">
        <v>0.64</v>
      </c>
      <c r="J584" s="90" t="s">
        <v>381</v>
      </c>
      <c r="K584" s="90">
        <v>3.8957487008969997E-2</v>
      </c>
      <c r="L584" s="90">
        <v>3773.50880480261</v>
      </c>
      <c r="M584" s="90">
        <v>10.5118458581266</v>
      </c>
      <c r="N584" s="90">
        <v>1.3831271150873501</v>
      </c>
      <c r="O584" s="90">
        <v>0.40951509845835998</v>
      </c>
      <c r="P584" s="90">
        <v>5.3883156617780002E-2</v>
      </c>
      <c r="Q584" s="90">
        <v>147.00642024136499</v>
      </c>
      <c r="R584" s="90">
        <v>1400</v>
      </c>
      <c r="S584" s="90" t="s">
        <v>324</v>
      </c>
      <c r="T584" s="90">
        <v>1400</v>
      </c>
      <c r="U584" s="90" t="s">
        <v>382</v>
      </c>
      <c r="V584" s="90" t="s">
        <v>381</v>
      </c>
      <c r="Z584" s="90">
        <v>0</v>
      </c>
      <c r="AA584" s="90">
        <v>1</v>
      </c>
      <c r="AB584" s="90">
        <v>0.40951509845835998</v>
      </c>
      <c r="AC584" s="90">
        <v>5.3883156617780002E-2</v>
      </c>
      <c r="AD584" s="90">
        <v>147.006420241364</v>
      </c>
      <c r="AF584" s="90">
        <v>-1</v>
      </c>
      <c r="AG584" s="90">
        <v>-1</v>
      </c>
      <c r="AH584" s="90">
        <v>-1</v>
      </c>
      <c r="AI584" s="90">
        <v>-1</v>
      </c>
      <c r="AJ584" s="90">
        <v>0</v>
      </c>
      <c r="AM584" s="90" t="s">
        <v>379</v>
      </c>
      <c r="AN584" s="90">
        <v>-1</v>
      </c>
      <c r="AQ584" s="90">
        <v>356</v>
      </c>
      <c r="AR584" s="90" t="s">
        <v>380</v>
      </c>
      <c r="AS584" s="90" t="s">
        <v>246</v>
      </c>
      <c r="AT584" s="90" t="s">
        <v>244</v>
      </c>
      <c r="AU584" s="90">
        <v>175.87190000000001</v>
      </c>
      <c r="AV584" s="90">
        <v>106.301625388861</v>
      </c>
      <c r="AW584" s="90">
        <v>157.655356502849</v>
      </c>
      <c r="AX584" s="90">
        <v>0.1192266182</v>
      </c>
    </row>
    <row r="585" spans="1:50" x14ac:dyDescent="0.25">
      <c r="A585" s="102">
        <v>830000</v>
      </c>
      <c r="B585" s="102">
        <v>2400000</v>
      </c>
      <c r="C585" s="102">
        <v>2400000</v>
      </c>
      <c r="D585" s="90" t="s">
        <v>374</v>
      </c>
      <c r="E585" s="90" t="s">
        <v>68</v>
      </c>
      <c r="F585" s="90" t="s">
        <v>375</v>
      </c>
      <c r="G585" s="90" t="s">
        <v>376</v>
      </c>
      <c r="H585" s="90">
        <v>0.59</v>
      </c>
      <c r="I585" s="90">
        <v>0.64</v>
      </c>
      <c r="J585" s="90" t="s">
        <v>381</v>
      </c>
      <c r="K585" s="90">
        <v>0.16626034348275001</v>
      </c>
      <c r="L585" s="90">
        <v>3773.50880480261</v>
      </c>
      <c r="M585" s="90">
        <v>10.5118458581266</v>
      </c>
      <c r="N585" s="90">
        <v>1.3831271150873501</v>
      </c>
      <c r="O585" s="90">
        <v>1.7477031030099099</v>
      </c>
      <c r="P585" s="90">
        <v>0.22995918923472999</v>
      </c>
      <c r="Q585" s="90">
        <v>627.38487002167903</v>
      </c>
      <c r="R585" s="90">
        <v>8140</v>
      </c>
      <c r="S585" s="90" t="s">
        <v>386</v>
      </c>
      <c r="T585" s="90">
        <v>8140</v>
      </c>
      <c r="U585" s="90" t="s">
        <v>382</v>
      </c>
      <c r="V585" s="90" t="s">
        <v>381</v>
      </c>
      <c r="Z585" s="90">
        <v>0</v>
      </c>
      <c r="AA585" s="90">
        <v>1</v>
      </c>
      <c r="AB585" s="90">
        <v>1.7477031030099099</v>
      </c>
      <c r="AC585" s="90">
        <v>0.22995918923472999</v>
      </c>
      <c r="AD585" s="90">
        <v>890.49505133160403</v>
      </c>
      <c r="AF585" s="90">
        <v>-1</v>
      </c>
      <c r="AG585" s="90">
        <v>-1</v>
      </c>
      <c r="AH585" s="90">
        <v>-1</v>
      </c>
      <c r="AI585" s="90">
        <v>-1</v>
      </c>
      <c r="AJ585" s="90">
        <v>0</v>
      </c>
      <c r="AM585" s="90" t="s">
        <v>379</v>
      </c>
      <c r="AN585" s="90">
        <v>-1</v>
      </c>
      <c r="AQ585" s="90">
        <v>356</v>
      </c>
      <c r="AR585" s="90" t="s">
        <v>380</v>
      </c>
      <c r="AS585" s="90" t="s">
        <v>246</v>
      </c>
      <c r="AT585" s="90" t="s">
        <v>244</v>
      </c>
      <c r="AU585" s="90">
        <v>175.87190000000001</v>
      </c>
      <c r="AV585" s="90">
        <v>127.12851694622699</v>
      </c>
      <c r="AW585" s="90">
        <v>672.83173881361301</v>
      </c>
      <c r="AX585" s="90">
        <v>0.72221820869999998</v>
      </c>
    </row>
    <row r="586" spans="1:50" x14ac:dyDescent="0.25">
      <c r="A586" s="102">
        <v>830000</v>
      </c>
      <c r="B586" s="102">
        <v>2400000</v>
      </c>
      <c r="C586" s="102">
        <v>2400000</v>
      </c>
      <c r="D586" s="90" t="s">
        <v>374</v>
      </c>
      <c r="E586" s="90" t="s">
        <v>68</v>
      </c>
      <c r="F586" s="90" t="s">
        <v>375</v>
      </c>
      <c r="G586" s="90" t="s">
        <v>376</v>
      </c>
      <c r="H586" s="90">
        <v>0.59</v>
      </c>
      <c r="I586" s="90">
        <v>0.64</v>
      </c>
      <c r="J586" s="90" t="s">
        <v>244</v>
      </c>
      <c r="K586" s="90">
        <v>0.34062891503574999</v>
      </c>
      <c r="L586" s="90">
        <v>3773.50880480261</v>
      </c>
      <c r="M586" s="90">
        <v>10.5118458581266</v>
      </c>
      <c r="N586" s="90">
        <v>1.3831271150873501</v>
      </c>
      <c r="O586" s="90">
        <v>3.5806386496767302</v>
      </c>
      <c r="P586" s="90">
        <v>0.47113308856872999</v>
      </c>
      <c r="Q586" s="90">
        <v>1285.3662100577601</v>
      </c>
      <c r="R586" s="90">
        <v>1450</v>
      </c>
      <c r="S586" s="90" t="s">
        <v>391</v>
      </c>
      <c r="T586" s="90">
        <v>1450</v>
      </c>
      <c r="U586" s="90" t="s">
        <v>378</v>
      </c>
      <c r="V586" s="90" t="s">
        <v>244</v>
      </c>
      <c r="Z586" s="90">
        <v>0</v>
      </c>
      <c r="AA586" s="90">
        <v>1</v>
      </c>
      <c r="AB586" s="90">
        <v>3.5806386496767302</v>
      </c>
      <c r="AC586" s="90">
        <v>0.47113308856872999</v>
      </c>
      <c r="AD586" s="90">
        <v>1285.3662100577601</v>
      </c>
      <c r="AF586" s="90">
        <v>-1</v>
      </c>
      <c r="AG586" s="90">
        <v>-1</v>
      </c>
      <c r="AH586" s="90">
        <v>-1</v>
      </c>
      <c r="AI586" s="90">
        <v>-1</v>
      </c>
      <c r="AJ586" s="90">
        <v>0</v>
      </c>
      <c r="AM586" s="90" t="s">
        <v>379</v>
      </c>
      <c r="AN586" s="90">
        <v>-1</v>
      </c>
      <c r="AQ586" s="90">
        <v>356</v>
      </c>
      <c r="AR586" s="90" t="s">
        <v>380</v>
      </c>
      <c r="AS586" s="90" t="s">
        <v>246</v>
      </c>
      <c r="AT586" s="90" t="s">
        <v>244</v>
      </c>
      <c r="AU586" s="90">
        <v>175.87190000000001</v>
      </c>
      <c r="AV586" s="90">
        <v>155.16657717185601</v>
      </c>
      <c r="AW586" s="90">
        <v>1378.4763124675601</v>
      </c>
      <c r="AX586" s="90">
        <v>1.0424705677999999</v>
      </c>
    </row>
    <row r="587" spans="1:50" x14ac:dyDescent="0.25">
      <c r="A587" s="102">
        <v>830000</v>
      </c>
      <c r="B587" s="102">
        <v>2400000</v>
      </c>
      <c r="C587" s="102">
        <v>2400000</v>
      </c>
      <c r="D587" s="90" t="s">
        <v>374</v>
      </c>
      <c r="E587" s="90" t="s">
        <v>68</v>
      </c>
      <c r="F587" s="90" t="s">
        <v>375</v>
      </c>
      <c r="G587" s="90" t="s">
        <v>376</v>
      </c>
      <c r="H587" s="90">
        <v>0.59</v>
      </c>
      <c r="I587" s="90">
        <v>0.64</v>
      </c>
      <c r="J587" s="90" t="s">
        <v>381</v>
      </c>
      <c r="K587" s="90">
        <v>2.1911039100200001E-3</v>
      </c>
      <c r="L587" s="90">
        <v>3773.50880480261</v>
      </c>
      <c r="M587" s="90">
        <v>10.5118458581266</v>
      </c>
      <c r="N587" s="90">
        <v>1.3831271150873501</v>
      </c>
      <c r="O587" s="90">
        <v>2.3032546561349999E-2</v>
      </c>
      <c r="P587" s="90">
        <v>3.0305752299300001E-3</v>
      </c>
      <c r="Q587" s="90">
        <v>8.2681498967280902</v>
      </c>
      <c r="R587" s="90">
        <v>1450</v>
      </c>
      <c r="S587" s="90" t="s">
        <v>391</v>
      </c>
      <c r="T587" s="90">
        <v>1450</v>
      </c>
      <c r="U587" s="90" t="s">
        <v>382</v>
      </c>
      <c r="V587" s="90" t="s">
        <v>381</v>
      </c>
      <c r="Z587" s="90">
        <v>0</v>
      </c>
      <c r="AA587" s="90">
        <v>1</v>
      </c>
      <c r="AB587" s="90">
        <v>2.3032546561349999E-2</v>
      </c>
      <c r="AC587" s="90">
        <v>3.0305752299300001E-3</v>
      </c>
      <c r="AD587" s="90">
        <v>8.2681498967263192</v>
      </c>
      <c r="AF587" s="90">
        <v>-1</v>
      </c>
      <c r="AG587" s="90">
        <v>-1</v>
      </c>
      <c r="AH587" s="90">
        <v>-1</v>
      </c>
      <c r="AI587" s="90">
        <v>-1</v>
      </c>
      <c r="AJ587" s="90">
        <v>0</v>
      </c>
      <c r="AM587" s="90" t="s">
        <v>379</v>
      </c>
      <c r="AN587" s="90">
        <v>-1</v>
      </c>
      <c r="AQ587" s="90">
        <v>356</v>
      </c>
      <c r="AR587" s="90" t="s">
        <v>380</v>
      </c>
      <c r="AS587" s="90" t="s">
        <v>246</v>
      </c>
      <c r="AT587" s="90" t="s">
        <v>244</v>
      </c>
      <c r="AU587" s="90">
        <v>175.87190000000001</v>
      </c>
      <c r="AV587" s="90">
        <v>100.409731014543</v>
      </c>
      <c r="AW587" s="90">
        <v>8.8670829304406702</v>
      </c>
      <c r="AX587" s="90">
        <v>6.7057176999999997E-3</v>
      </c>
    </row>
    <row r="588" spans="1:50" x14ac:dyDescent="0.25">
      <c r="A588" s="102">
        <v>830000</v>
      </c>
      <c r="B588" s="102">
        <v>2400000</v>
      </c>
      <c r="C588" s="102">
        <v>2400000</v>
      </c>
      <c r="D588" s="90" t="s">
        <v>374</v>
      </c>
      <c r="E588" s="90" t="s">
        <v>68</v>
      </c>
      <c r="F588" s="90" t="s">
        <v>375</v>
      </c>
      <c r="G588" s="90" t="s">
        <v>376</v>
      </c>
      <c r="H588" s="90">
        <v>0.59</v>
      </c>
      <c r="I588" s="90">
        <v>0.64</v>
      </c>
      <c r="J588" s="90" t="s">
        <v>244</v>
      </c>
      <c r="K588" s="90">
        <v>0.17401368611738</v>
      </c>
      <c r="L588" s="90">
        <v>3786.6260318945001</v>
      </c>
      <c r="M588" s="90">
        <v>8.2631182345887293</v>
      </c>
      <c r="N588" s="90">
        <v>1.28606253035997</v>
      </c>
      <c r="O588" s="90">
        <v>1.43789566282458</v>
      </c>
      <c r="P588" s="90">
        <v>0.22379248148538999</v>
      </c>
      <c r="Q588" s="90">
        <v>658.92475375802098</v>
      </c>
      <c r="R588" s="90">
        <v>1300</v>
      </c>
      <c r="S588" s="90" t="s">
        <v>387</v>
      </c>
      <c r="T588" s="90">
        <v>1300</v>
      </c>
      <c r="U588" s="90" t="s">
        <v>378</v>
      </c>
      <c r="V588" s="90" t="s">
        <v>244</v>
      </c>
      <c r="Z588" s="90">
        <v>0</v>
      </c>
      <c r="AA588" s="90">
        <v>1</v>
      </c>
      <c r="AB588" s="90">
        <v>1.43789566282458</v>
      </c>
      <c r="AC588" s="90">
        <v>0.22379248148538999</v>
      </c>
      <c r="AD588" s="90">
        <v>658.92475375802098</v>
      </c>
      <c r="AF588" s="90">
        <v>-1</v>
      </c>
      <c r="AG588" s="90">
        <v>-1</v>
      </c>
      <c r="AH588" s="90">
        <v>-1</v>
      </c>
      <c r="AI588" s="90">
        <v>-1</v>
      </c>
      <c r="AJ588" s="90">
        <v>0</v>
      </c>
      <c r="AM588" s="90" t="s">
        <v>379</v>
      </c>
      <c r="AN588" s="90">
        <v>-1</v>
      </c>
      <c r="AQ588" s="90">
        <v>356</v>
      </c>
      <c r="AR588" s="90" t="s">
        <v>380</v>
      </c>
      <c r="AS588" s="90" t="s">
        <v>246</v>
      </c>
      <c r="AT588" s="90" t="s">
        <v>244</v>
      </c>
      <c r="AU588" s="90">
        <v>175.87190000000001</v>
      </c>
      <c r="AV588" s="90">
        <v>125.259852157433</v>
      </c>
      <c r="AW588" s="90">
        <v>704.20840324964797</v>
      </c>
      <c r="AX588" s="90">
        <v>0.53440774840000005</v>
      </c>
    </row>
    <row r="589" spans="1:50" x14ac:dyDescent="0.25">
      <c r="A589" s="102">
        <v>830000</v>
      </c>
      <c r="B589" s="102">
        <v>2400000</v>
      </c>
      <c r="C589" s="102">
        <v>2400000</v>
      </c>
      <c r="D589" s="90" t="s">
        <v>374</v>
      </c>
      <c r="E589" s="90" t="s">
        <v>68</v>
      </c>
      <c r="F589" s="90" t="s">
        <v>375</v>
      </c>
      <c r="G589" s="90" t="s">
        <v>376</v>
      </c>
      <c r="H589" s="90">
        <v>0.59</v>
      </c>
      <c r="I589" s="90">
        <v>0.64</v>
      </c>
      <c r="J589" s="90" t="s">
        <v>244</v>
      </c>
      <c r="K589" s="90">
        <v>1.3578548587420001E-2</v>
      </c>
      <c r="L589" s="90">
        <v>3702.3559498752702</v>
      </c>
      <c r="M589" s="90">
        <v>9.2287880701433505</v>
      </c>
      <c r="N589" s="90">
        <v>1.3573040050012799</v>
      </c>
      <c r="O589" s="90">
        <v>0.12531354721349</v>
      </c>
      <c r="P589" s="90">
        <v>1.8430218379810001E-2</v>
      </c>
      <c r="Q589" s="90">
        <v>50.272620153327097</v>
      </c>
      <c r="R589" s="90">
        <v>1200</v>
      </c>
      <c r="S589" s="90" t="s">
        <v>384</v>
      </c>
      <c r="T589" s="90">
        <v>1200</v>
      </c>
      <c r="U589" s="90" t="s">
        <v>378</v>
      </c>
      <c r="V589" s="90" t="s">
        <v>244</v>
      </c>
      <c r="Z589" s="90">
        <v>0</v>
      </c>
      <c r="AA589" s="90">
        <v>1</v>
      </c>
      <c r="AB589" s="90">
        <v>0.12531354721349</v>
      </c>
      <c r="AC589" s="90">
        <v>1.8430218379810001E-2</v>
      </c>
      <c r="AD589" s="90">
        <v>369.93931342016901</v>
      </c>
      <c r="AF589" s="90">
        <v>-1</v>
      </c>
      <c r="AG589" s="90">
        <v>-1</v>
      </c>
      <c r="AH589" s="90">
        <v>-1</v>
      </c>
      <c r="AI589" s="90">
        <v>-1</v>
      </c>
      <c r="AJ589" s="90">
        <v>0</v>
      </c>
      <c r="AM589" s="90" t="s">
        <v>379</v>
      </c>
      <c r="AN589" s="90">
        <v>-1</v>
      </c>
      <c r="AQ589" s="90">
        <v>356</v>
      </c>
      <c r="AR589" s="90" t="s">
        <v>380</v>
      </c>
      <c r="AS589" s="90" t="s">
        <v>246</v>
      </c>
      <c r="AT589" s="90" t="s">
        <v>244</v>
      </c>
      <c r="AU589" s="90">
        <v>175.87190000000001</v>
      </c>
      <c r="AV589" s="90">
        <v>29.663002566004</v>
      </c>
      <c r="AW589" s="90">
        <v>54.950436557895799</v>
      </c>
      <c r="AX589" s="90">
        <v>0.3000318844</v>
      </c>
    </row>
    <row r="590" spans="1:50" x14ac:dyDescent="0.25">
      <c r="A590" s="102">
        <v>830000</v>
      </c>
      <c r="B590" s="102">
        <v>2400000</v>
      </c>
      <c r="C590" s="102">
        <v>2400000</v>
      </c>
      <c r="D590" s="90" t="s">
        <v>374</v>
      </c>
      <c r="E590" s="90" t="s">
        <v>68</v>
      </c>
      <c r="F590" s="90" t="s">
        <v>375</v>
      </c>
      <c r="G590" s="90" t="s">
        <v>376</v>
      </c>
      <c r="H590" s="90">
        <v>0.59</v>
      </c>
      <c r="I590" s="90">
        <v>0.64</v>
      </c>
      <c r="J590" s="90" t="s">
        <v>244</v>
      </c>
      <c r="K590" s="90">
        <v>7.3484324048220001E-2</v>
      </c>
      <c r="L590" s="90">
        <v>3702.3559498752702</v>
      </c>
      <c r="M590" s="90">
        <v>9.2287880701433505</v>
      </c>
      <c r="N590" s="90">
        <v>1.3573040050012799</v>
      </c>
      <c r="O590" s="90">
        <v>0.67817125311880999</v>
      </c>
      <c r="P590" s="90">
        <v>9.9740567335459995E-2</v>
      </c>
      <c r="Q590" s="90">
        <v>272.06512436251199</v>
      </c>
      <c r="R590" s="90">
        <v>1210</v>
      </c>
      <c r="S590" s="90" t="s">
        <v>385</v>
      </c>
      <c r="T590" s="90">
        <v>1210</v>
      </c>
      <c r="U590" s="90" t="s">
        <v>378</v>
      </c>
      <c r="V590" s="90" t="s">
        <v>244</v>
      </c>
      <c r="Z590" s="90">
        <v>0</v>
      </c>
      <c r="AA590" s="90">
        <v>1</v>
      </c>
      <c r="AB590" s="90">
        <v>0.67817125311880999</v>
      </c>
      <c r="AC590" s="90">
        <v>9.9740567335459995E-2</v>
      </c>
      <c r="AD590" s="90">
        <v>295.38826509508101</v>
      </c>
      <c r="AF590" s="90">
        <v>-1</v>
      </c>
      <c r="AG590" s="90">
        <v>-1</v>
      </c>
      <c r="AH590" s="90">
        <v>-1</v>
      </c>
      <c r="AI590" s="90">
        <v>-1</v>
      </c>
      <c r="AJ590" s="90">
        <v>0</v>
      </c>
      <c r="AM590" s="90" t="s">
        <v>379</v>
      </c>
      <c r="AN590" s="90">
        <v>-1</v>
      </c>
      <c r="AQ590" s="90">
        <v>356</v>
      </c>
      <c r="AR590" s="90" t="s">
        <v>380</v>
      </c>
      <c r="AS590" s="90" t="s">
        <v>246</v>
      </c>
      <c r="AT590" s="90" t="s">
        <v>244</v>
      </c>
      <c r="AU590" s="90">
        <v>175.87190000000001</v>
      </c>
      <c r="AV590" s="90">
        <v>99.406095386835901</v>
      </c>
      <c r="AW590" s="90">
        <v>297.38050872028498</v>
      </c>
      <c r="AX590" s="90">
        <v>0.239568747</v>
      </c>
    </row>
    <row r="591" spans="1:50" x14ac:dyDescent="0.25">
      <c r="A591" s="102">
        <v>830000</v>
      </c>
      <c r="B591" s="102">
        <v>2400000</v>
      </c>
      <c r="C591" s="102">
        <v>2400000</v>
      </c>
      <c r="D591" s="90" t="s">
        <v>374</v>
      </c>
      <c r="E591" s="90" t="s">
        <v>68</v>
      </c>
      <c r="F591" s="90" t="s">
        <v>375</v>
      </c>
      <c r="G591" s="90" t="s">
        <v>376</v>
      </c>
      <c r="H591" s="90">
        <v>0.59</v>
      </c>
      <c r="I591" s="90">
        <v>0.64</v>
      </c>
      <c r="J591" s="90" t="s">
        <v>244</v>
      </c>
      <c r="K591" s="90">
        <v>5.8462671991999997E-2</v>
      </c>
      <c r="L591" s="90">
        <v>3786.63325030342</v>
      </c>
      <c r="M591" s="90">
        <v>8.2631339864927398</v>
      </c>
      <c r="N591" s="90">
        <v>1.28606498196893</v>
      </c>
      <c r="O591" s="90">
        <v>0.48308489187831999</v>
      </c>
      <c r="P591" s="90">
        <v>7.5186795201250003E-2</v>
      </c>
      <c r="Q591" s="90">
        <v>221.376697666512</v>
      </c>
      <c r="R591" s="90">
        <v>1300</v>
      </c>
      <c r="S591" s="90" t="s">
        <v>387</v>
      </c>
      <c r="T591" s="90">
        <v>1300</v>
      </c>
      <c r="U591" s="90" t="s">
        <v>378</v>
      </c>
      <c r="V591" s="90" t="s">
        <v>244</v>
      </c>
      <c r="Z591" s="90">
        <v>0</v>
      </c>
      <c r="AA591" s="90">
        <v>1</v>
      </c>
      <c r="AB591" s="90">
        <v>0.48308489187831999</v>
      </c>
      <c r="AC591" s="90">
        <v>7.5186795201250003E-2</v>
      </c>
      <c r="AD591" s="90">
        <v>221.376697666512</v>
      </c>
      <c r="AF591" s="90">
        <v>-1</v>
      </c>
      <c r="AG591" s="90">
        <v>-1</v>
      </c>
      <c r="AH591" s="90">
        <v>-1</v>
      </c>
      <c r="AI591" s="90">
        <v>-1</v>
      </c>
      <c r="AJ591" s="90">
        <v>0</v>
      </c>
      <c r="AM591" s="90" t="s">
        <v>379</v>
      </c>
      <c r="AN591" s="90">
        <v>-1</v>
      </c>
      <c r="AQ591" s="90">
        <v>356</v>
      </c>
      <c r="AR591" s="90" t="s">
        <v>380</v>
      </c>
      <c r="AS591" s="90" t="s">
        <v>246</v>
      </c>
      <c r="AT591" s="90" t="s">
        <v>244</v>
      </c>
      <c r="AU591" s="90">
        <v>175.87190000000001</v>
      </c>
      <c r="AV591" s="90">
        <v>81.055335117983503</v>
      </c>
      <c r="AW591" s="90">
        <v>236.590039621513</v>
      </c>
      <c r="AX591" s="90">
        <v>0.17954314490000001</v>
      </c>
    </row>
    <row r="592" spans="1:50" x14ac:dyDescent="0.25">
      <c r="A592" s="102">
        <v>830000</v>
      </c>
      <c r="B592" s="102">
        <v>2400000</v>
      </c>
      <c r="C592" s="102">
        <v>2400000</v>
      </c>
      <c r="D592" s="90" t="s">
        <v>374</v>
      </c>
      <c r="E592" s="90" t="s">
        <v>68</v>
      </c>
      <c r="F592" s="90" t="s">
        <v>375</v>
      </c>
      <c r="G592" s="90" t="s">
        <v>376</v>
      </c>
      <c r="H592" s="90">
        <v>0.59</v>
      </c>
      <c r="I592" s="90">
        <v>0.64</v>
      </c>
      <c r="J592" s="90" t="s">
        <v>244</v>
      </c>
      <c r="K592" s="90">
        <v>0.55930078176796005</v>
      </c>
      <c r="L592" s="90">
        <v>3786.63325030342</v>
      </c>
      <c r="M592" s="90">
        <v>8.2631339864927398</v>
      </c>
      <c r="N592" s="90">
        <v>1.28606498196893</v>
      </c>
      <c r="O592" s="90">
        <v>4.6215772984988002</v>
      </c>
      <c r="P592" s="90">
        <v>0.71929714981962001</v>
      </c>
      <c r="Q592" s="90">
        <v>2117.86693716326</v>
      </c>
      <c r="R592" s="90">
        <v>1300</v>
      </c>
      <c r="S592" s="90" t="s">
        <v>387</v>
      </c>
      <c r="T592" s="90">
        <v>1300</v>
      </c>
      <c r="U592" s="90" t="s">
        <v>378</v>
      </c>
      <c r="V592" s="90" t="s">
        <v>244</v>
      </c>
      <c r="Z592" s="90">
        <v>0</v>
      </c>
      <c r="AA592" s="90">
        <v>1</v>
      </c>
      <c r="AB592" s="90">
        <v>4.6215772984988002</v>
      </c>
      <c r="AC592" s="90">
        <v>0.71929714981962001</v>
      </c>
      <c r="AD592" s="90">
        <v>2117.86693716326</v>
      </c>
      <c r="AF592" s="90">
        <v>-1</v>
      </c>
      <c r="AG592" s="90">
        <v>-1</v>
      </c>
      <c r="AH592" s="90">
        <v>-1</v>
      </c>
      <c r="AI592" s="90">
        <v>-1</v>
      </c>
      <c r="AJ592" s="90">
        <v>0</v>
      </c>
      <c r="AM592" s="90" t="s">
        <v>379</v>
      </c>
      <c r="AN592" s="90">
        <v>-1</v>
      </c>
      <c r="AQ592" s="90">
        <v>356</v>
      </c>
      <c r="AR592" s="90" t="s">
        <v>380</v>
      </c>
      <c r="AS592" s="90" t="s">
        <v>246</v>
      </c>
      <c r="AT592" s="90" t="s">
        <v>244</v>
      </c>
      <c r="AU592" s="90">
        <v>175.87190000000001</v>
      </c>
      <c r="AV592" s="90">
        <v>198.979786290335</v>
      </c>
      <c r="AW592" s="90">
        <v>2263.4099607510102</v>
      </c>
      <c r="AX592" s="90">
        <v>1.7176536391999999</v>
      </c>
    </row>
    <row r="593" spans="1:50" x14ac:dyDescent="0.25">
      <c r="A593" s="102">
        <v>830000</v>
      </c>
      <c r="B593" s="102">
        <v>2400000</v>
      </c>
      <c r="C593" s="102">
        <v>2400000</v>
      </c>
      <c r="D593" s="90" t="s">
        <v>374</v>
      </c>
      <c r="E593" s="90" t="s">
        <v>68</v>
      </c>
      <c r="F593" s="90" t="s">
        <v>375</v>
      </c>
      <c r="G593" s="90" t="s">
        <v>376</v>
      </c>
      <c r="H593" s="90">
        <v>0.59</v>
      </c>
      <c r="I593" s="90">
        <v>0.64</v>
      </c>
      <c r="J593" s="90" t="s">
        <v>244</v>
      </c>
      <c r="K593" s="90">
        <v>1.0877658266E-4</v>
      </c>
      <c r="L593" s="90">
        <v>3752.2237215835999</v>
      </c>
      <c r="M593" s="90">
        <v>10.794948408847601</v>
      </c>
      <c r="N593" s="90">
        <v>2.0799039434597102</v>
      </c>
      <c r="O593" s="90">
        <v>1.17423759799E-3</v>
      </c>
      <c r="P593" s="90">
        <v>2.2624484324E-4</v>
      </c>
      <c r="Q593" s="90">
        <v>0.40815407383966001</v>
      </c>
      <c r="R593" s="90">
        <v>1300</v>
      </c>
      <c r="S593" s="90" t="s">
        <v>387</v>
      </c>
      <c r="T593" s="90">
        <v>1300</v>
      </c>
      <c r="U593" s="90" t="s">
        <v>378</v>
      </c>
      <c r="V593" s="90" t="s">
        <v>244</v>
      </c>
      <c r="Z593" s="90">
        <v>0</v>
      </c>
      <c r="AA593" s="90">
        <v>1</v>
      </c>
      <c r="AB593" s="90">
        <v>1.17423759799E-3</v>
      </c>
      <c r="AC593" s="90">
        <v>2.2624484324E-4</v>
      </c>
      <c r="AD593" s="90">
        <v>0.86065977939552996</v>
      </c>
      <c r="AF593" s="90">
        <v>-1</v>
      </c>
      <c r="AG593" s="90">
        <v>-1</v>
      </c>
      <c r="AH593" s="90">
        <v>-1</v>
      </c>
      <c r="AI593" s="90">
        <v>-1</v>
      </c>
      <c r="AJ593" s="90">
        <v>0</v>
      </c>
      <c r="AM593" s="90" t="s">
        <v>379</v>
      </c>
      <c r="AN593" s="90">
        <v>-1</v>
      </c>
      <c r="AQ593" s="90">
        <v>356</v>
      </c>
      <c r="AR593" s="90" t="s">
        <v>380</v>
      </c>
      <c r="AS593" s="90" t="s">
        <v>246</v>
      </c>
      <c r="AT593" s="90" t="s">
        <v>244</v>
      </c>
      <c r="AU593" s="90">
        <v>175.87190000000001</v>
      </c>
      <c r="AV593" s="90">
        <v>12.198796059437401</v>
      </c>
      <c r="AW593" s="90">
        <v>0.44020321217706998</v>
      </c>
      <c r="AX593" s="90">
        <v>6.9802090000000002E-4</v>
      </c>
    </row>
    <row r="594" spans="1:50" x14ac:dyDescent="0.25">
      <c r="A594" s="102">
        <v>830000</v>
      </c>
      <c r="B594" s="102">
        <v>2400000</v>
      </c>
      <c r="C594" s="102">
        <v>2400000</v>
      </c>
      <c r="D594" s="90" t="s">
        <v>374</v>
      </c>
      <c r="E594" s="90" t="s">
        <v>68</v>
      </c>
      <c r="F594" s="90" t="s">
        <v>375</v>
      </c>
      <c r="G594" s="90" t="s">
        <v>376</v>
      </c>
      <c r="H594" s="90">
        <v>0.59</v>
      </c>
      <c r="I594" s="90">
        <v>0.64</v>
      </c>
      <c r="J594" s="90" t="s">
        <v>244</v>
      </c>
      <c r="K594" s="90">
        <v>6.6788259445229994E-2</v>
      </c>
      <c r="L594" s="90">
        <v>3752.2237215835999</v>
      </c>
      <c r="M594" s="90">
        <v>10.794948408847601</v>
      </c>
      <c r="N594" s="90">
        <v>2.0799039434597102</v>
      </c>
      <c r="O594" s="90">
        <v>0.72097581502805996</v>
      </c>
      <c r="P594" s="90">
        <v>0.13891316419694999</v>
      </c>
      <c r="Q594" s="90">
        <v>250.60449141369801</v>
      </c>
      <c r="R594" s="90">
        <v>1300</v>
      </c>
      <c r="S594" s="90" t="s">
        <v>387</v>
      </c>
      <c r="T594" s="90">
        <v>1300</v>
      </c>
      <c r="U594" s="90" t="s">
        <v>378</v>
      </c>
      <c r="V594" s="90" t="s">
        <v>244</v>
      </c>
      <c r="Z594" s="90">
        <v>0</v>
      </c>
      <c r="AA594" s="90">
        <v>1</v>
      </c>
      <c r="AB594" s="90">
        <v>0.72097581502805996</v>
      </c>
      <c r="AC594" s="90">
        <v>0.13891316419694999</v>
      </c>
      <c r="AD594" s="90">
        <v>1372.3222382669801</v>
      </c>
      <c r="AF594" s="90">
        <v>-1</v>
      </c>
      <c r="AG594" s="90">
        <v>-1</v>
      </c>
      <c r="AH594" s="90">
        <v>-1</v>
      </c>
      <c r="AI594" s="90">
        <v>-1</v>
      </c>
      <c r="AJ594" s="90">
        <v>0</v>
      </c>
      <c r="AM594" s="90" t="s">
        <v>379</v>
      </c>
      <c r="AN594" s="90">
        <v>-1</v>
      </c>
      <c r="AQ594" s="90">
        <v>356</v>
      </c>
      <c r="AR594" s="90" t="s">
        <v>380</v>
      </c>
      <c r="AS594" s="90" t="s">
        <v>246</v>
      </c>
      <c r="AT594" s="90" t="s">
        <v>244</v>
      </c>
      <c r="AU594" s="90">
        <v>175.87190000000001</v>
      </c>
      <c r="AV594" s="90">
        <v>69.801278282638805</v>
      </c>
      <c r="AW594" s="90">
        <v>270.28249667687402</v>
      </c>
      <c r="AX594" s="90">
        <v>1.1129945160000001</v>
      </c>
    </row>
    <row r="595" spans="1:50" x14ac:dyDescent="0.25">
      <c r="A595" s="102">
        <v>830000</v>
      </c>
      <c r="B595" s="102">
        <v>2400000</v>
      </c>
      <c r="C595" s="102">
        <v>2400000</v>
      </c>
      <c r="D595" s="90" t="s">
        <v>374</v>
      </c>
      <c r="E595" s="90" t="s">
        <v>68</v>
      </c>
      <c r="F595" s="90" t="s">
        <v>375</v>
      </c>
      <c r="G595" s="90" t="s">
        <v>376</v>
      </c>
      <c r="H595" s="90">
        <v>0.59</v>
      </c>
      <c r="I595" s="90">
        <v>0.64</v>
      </c>
      <c r="J595" s="90" t="s">
        <v>381</v>
      </c>
      <c r="K595" s="90">
        <v>2.2364062819049998E-2</v>
      </c>
      <c r="L595" s="90">
        <v>3767.4718616404498</v>
      </c>
      <c r="M595" s="90">
        <v>10.053612002682501</v>
      </c>
      <c r="N595" s="90">
        <v>1.4294126703849199</v>
      </c>
      <c r="O595" s="90">
        <v>0.22483961038642999</v>
      </c>
      <c r="P595" s="90">
        <v>3.1967474754839999E-2</v>
      </c>
      <c r="Q595" s="90">
        <v>84.2559773827643</v>
      </c>
      <c r="R595" s="90">
        <v>1300</v>
      </c>
      <c r="S595" s="90" t="s">
        <v>387</v>
      </c>
      <c r="T595" s="90">
        <v>1300</v>
      </c>
      <c r="U595" s="90" t="s">
        <v>382</v>
      </c>
      <c r="V595" s="90" t="s">
        <v>381</v>
      </c>
      <c r="Z595" s="90">
        <v>0</v>
      </c>
      <c r="AA595" s="90">
        <v>1</v>
      </c>
      <c r="AB595" s="90">
        <v>0.22483961038642999</v>
      </c>
      <c r="AC595" s="90">
        <v>3.1967474754839999E-2</v>
      </c>
      <c r="AD595" s="90">
        <v>84.255977382762396</v>
      </c>
      <c r="AF595" s="90">
        <v>-1</v>
      </c>
      <c r="AG595" s="90">
        <v>-1</v>
      </c>
      <c r="AH595" s="90">
        <v>-1</v>
      </c>
      <c r="AI595" s="90">
        <v>-1</v>
      </c>
      <c r="AJ595" s="90">
        <v>0</v>
      </c>
      <c r="AM595" s="90" t="s">
        <v>379</v>
      </c>
      <c r="AN595" s="90">
        <v>-1</v>
      </c>
      <c r="AQ595" s="90">
        <v>356</v>
      </c>
      <c r="AR595" s="90" t="s">
        <v>380</v>
      </c>
      <c r="AS595" s="90" t="s">
        <v>246</v>
      </c>
      <c r="AT595" s="90" t="s">
        <v>244</v>
      </c>
      <c r="AU595" s="90">
        <v>175.87190000000001</v>
      </c>
      <c r="AV595" s="90">
        <v>103.85432213708</v>
      </c>
      <c r="AW595" s="90">
        <v>90.504151250263902</v>
      </c>
      <c r="AX595" s="90">
        <v>6.8334125999999995E-2</v>
      </c>
    </row>
    <row r="596" spans="1:50" x14ac:dyDescent="0.25">
      <c r="A596" s="102">
        <v>830000</v>
      </c>
      <c r="B596" s="102">
        <v>2400000</v>
      </c>
      <c r="C596" s="102">
        <v>2400000</v>
      </c>
      <c r="D596" s="90" t="s">
        <v>374</v>
      </c>
      <c r="E596" s="90" t="s">
        <v>68</v>
      </c>
      <c r="F596" s="90" t="s">
        <v>375</v>
      </c>
      <c r="G596" s="90" t="s">
        <v>376</v>
      </c>
      <c r="H596" s="90">
        <v>0.59</v>
      </c>
      <c r="I596" s="90">
        <v>0.64</v>
      </c>
      <c r="J596" s="90" t="s">
        <v>244</v>
      </c>
      <c r="K596" s="90">
        <v>2.15634580727E-3</v>
      </c>
      <c r="L596" s="90">
        <v>3767.4718616404498</v>
      </c>
      <c r="M596" s="90">
        <v>10.053612002682501</v>
      </c>
      <c r="N596" s="90">
        <v>1.4294126703849199</v>
      </c>
      <c r="O596" s="90">
        <v>2.1679064089970002E-2</v>
      </c>
      <c r="P596" s="90">
        <v>3.0823080186500001E-3</v>
      </c>
      <c r="Q596" s="90">
        <v>8.1239721528824695</v>
      </c>
      <c r="R596" s="90">
        <v>1400</v>
      </c>
      <c r="S596" s="90" t="s">
        <v>324</v>
      </c>
      <c r="T596" s="90">
        <v>1400</v>
      </c>
      <c r="U596" s="90" t="s">
        <v>378</v>
      </c>
      <c r="V596" s="90" t="s">
        <v>244</v>
      </c>
      <c r="Z596" s="90">
        <v>0</v>
      </c>
      <c r="AA596" s="90">
        <v>1</v>
      </c>
      <c r="AB596" s="90">
        <v>2.1679064089970002E-2</v>
      </c>
      <c r="AC596" s="90">
        <v>3.0823080186500001E-3</v>
      </c>
      <c r="AD596" s="90">
        <v>8.1239721528818301</v>
      </c>
      <c r="AF596" s="90">
        <v>-1</v>
      </c>
      <c r="AG596" s="90">
        <v>-1</v>
      </c>
      <c r="AH596" s="90">
        <v>-1</v>
      </c>
      <c r="AI596" s="90">
        <v>-1</v>
      </c>
      <c r="AJ596" s="90">
        <v>0</v>
      </c>
      <c r="AM596" s="90" t="s">
        <v>379</v>
      </c>
      <c r="AN596" s="90">
        <v>-1</v>
      </c>
      <c r="AQ596" s="90">
        <v>356</v>
      </c>
      <c r="AR596" s="90" t="s">
        <v>380</v>
      </c>
      <c r="AS596" s="90" t="s">
        <v>246</v>
      </c>
      <c r="AT596" s="90" t="s">
        <v>244</v>
      </c>
      <c r="AU596" s="90">
        <v>175.87190000000001</v>
      </c>
      <c r="AV596" s="90">
        <v>100.38400360056001</v>
      </c>
      <c r="AW596" s="90">
        <v>8.7264218790935502</v>
      </c>
      <c r="AX596" s="90">
        <v>6.5887851999999998E-3</v>
      </c>
    </row>
    <row r="597" spans="1:50" x14ac:dyDescent="0.25">
      <c r="A597" s="102">
        <v>830000</v>
      </c>
      <c r="B597" s="102">
        <v>2400000</v>
      </c>
      <c r="C597" s="102">
        <v>2400000</v>
      </c>
      <c r="D597" s="90" t="s">
        <v>374</v>
      </c>
      <c r="E597" s="90" t="s">
        <v>68</v>
      </c>
      <c r="F597" s="90" t="s">
        <v>375</v>
      </c>
      <c r="G597" s="90" t="s">
        <v>376</v>
      </c>
      <c r="H597" s="90">
        <v>0.59</v>
      </c>
      <c r="I597" s="90">
        <v>0.64</v>
      </c>
      <c r="J597" s="90" t="s">
        <v>381</v>
      </c>
      <c r="K597" s="90">
        <v>4.4057337927619997E-2</v>
      </c>
      <c r="L597" s="90">
        <v>3767.4718616404498</v>
      </c>
      <c r="M597" s="90">
        <v>10.053612002682501</v>
      </c>
      <c r="N597" s="90">
        <v>1.4294126703849199</v>
      </c>
      <c r="O597" s="90">
        <v>0.44293538139541</v>
      </c>
      <c r="P597" s="90">
        <v>6.2976117057170003E-2</v>
      </c>
      <c r="Q597" s="90">
        <v>165.98478094111201</v>
      </c>
      <c r="R597" s="90">
        <v>1400</v>
      </c>
      <c r="S597" s="90" t="s">
        <v>324</v>
      </c>
      <c r="T597" s="90">
        <v>1400</v>
      </c>
      <c r="U597" s="90" t="s">
        <v>382</v>
      </c>
      <c r="V597" s="90" t="s">
        <v>381</v>
      </c>
      <c r="Z597" s="90">
        <v>0</v>
      </c>
      <c r="AA597" s="90">
        <v>1</v>
      </c>
      <c r="AB597" s="90">
        <v>0.44293538139541</v>
      </c>
      <c r="AC597" s="90">
        <v>6.2976117057170003E-2</v>
      </c>
      <c r="AD597" s="90">
        <v>165.98478094110999</v>
      </c>
      <c r="AF597" s="90">
        <v>-1</v>
      </c>
      <c r="AG597" s="90">
        <v>-1</v>
      </c>
      <c r="AH597" s="90">
        <v>-1</v>
      </c>
      <c r="AI597" s="90">
        <v>-1</v>
      </c>
      <c r="AJ597" s="90">
        <v>0</v>
      </c>
      <c r="AM597" s="90" t="s">
        <v>379</v>
      </c>
      <c r="AN597" s="90">
        <v>-1</v>
      </c>
      <c r="AQ597" s="90">
        <v>356</v>
      </c>
      <c r="AR597" s="90" t="s">
        <v>380</v>
      </c>
      <c r="AS597" s="90" t="s">
        <v>246</v>
      </c>
      <c r="AT597" s="90" t="s">
        <v>244</v>
      </c>
      <c r="AU597" s="90">
        <v>175.87190000000001</v>
      </c>
      <c r="AV597" s="90">
        <v>107.20347386437101</v>
      </c>
      <c r="AW597" s="90">
        <v>178.29372094625501</v>
      </c>
      <c r="AX597" s="90">
        <v>0.1346186382</v>
      </c>
    </row>
    <row r="598" spans="1:50" x14ac:dyDescent="0.25">
      <c r="A598" s="102">
        <v>830000</v>
      </c>
      <c r="B598" s="102">
        <v>2400000</v>
      </c>
      <c r="C598" s="102">
        <v>2400000</v>
      </c>
      <c r="D598" s="90" t="s">
        <v>374</v>
      </c>
      <c r="E598" s="90" t="s">
        <v>68</v>
      </c>
      <c r="F598" s="90" t="s">
        <v>375</v>
      </c>
      <c r="G598" s="90" t="s">
        <v>376</v>
      </c>
      <c r="H598" s="90">
        <v>0.59</v>
      </c>
      <c r="I598" s="90">
        <v>0.64</v>
      </c>
      <c r="J598" s="90" t="s">
        <v>381</v>
      </c>
      <c r="K598" s="90">
        <v>0.3054621530435</v>
      </c>
      <c r="L598" s="90">
        <v>3767.4718616404498</v>
      </c>
      <c r="M598" s="90">
        <v>10.053612002682501</v>
      </c>
      <c r="N598" s="90">
        <v>1.4294126703849199</v>
      </c>
      <c r="O598" s="90">
        <v>3.0709979682034598</v>
      </c>
      <c r="P598" s="90">
        <v>0.43663147188344997</v>
      </c>
      <c r="Q598" s="90">
        <v>1150.82006638753</v>
      </c>
      <c r="R598" s="90">
        <v>8140</v>
      </c>
      <c r="S598" s="90" t="s">
        <v>386</v>
      </c>
      <c r="T598" s="90">
        <v>8140</v>
      </c>
      <c r="U598" s="90" t="s">
        <v>382</v>
      </c>
      <c r="V598" s="90" t="s">
        <v>381</v>
      </c>
      <c r="Z598" s="90">
        <v>0</v>
      </c>
      <c r="AA598" s="90">
        <v>1</v>
      </c>
      <c r="AB598" s="90">
        <v>3.0709979682034598</v>
      </c>
      <c r="AC598" s="90">
        <v>0.43663147188344997</v>
      </c>
      <c r="AD598" s="90">
        <v>1150.82006638753</v>
      </c>
      <c r="AF598" s="90">
        <v>-1</v>
      </c>
      <c r="AG598" s="90">
        <v>-1</v>
      </c>
      <c r="AH598" s="90">
        <v>-1</v>
      </c>
      <c r="AI598" s="90">
        <v>-1</v>
      </c>
      <c r="AJ598" s="90">
        <v>0</v>
      </c>
      <c r="AM598" s="90" t="s">
        <v>379</v>
      </c>
      <c r="AN598" s="90">
        <v>-1</v>
      </c>
      <c r="AQ598" s="90">
        <v>356</v>
      </c>
      <c r="AR598" s="90" t="s">
        <v>380</v>
      </c>
      <c r="AS598" s="90" t="s">
        <v>246</v>
      </c>
      <c r="AT598" s="90" t="s">
        <v>244</v>
      </c>
      <c r="AU598" s="90">
        <v>175.87190000000001</v>
      </c>
      <c r="AV598" s="90">
        <v>149.349868089599</v>
      </c>
      <c r="AW598" s="90">
        <v>1236.1614758442499</v>
      </c>
      <c r="AX598" s="90">
        <v>0.93334960779999998</v>
      </c>
    </row>
    <row r="599" spans="1:50" x14ac:dyDescent="0.25">
      <c r="A599" s="102">
        <v>830000</v>
      </c>
      <c r="B599" s="102">
        <v>2400000</v>
      </c>
      <c r="C599" s="102">
        <v>2400000</v>
      </c>
      <c r="D599" s="90" t="s">
        <v>374</v>
      </c>
      <c r="E599" s="90" t="s">
        <v>68</v>
      </c>
      <c r="F599" s="90" t="s">
        <v>375</v>
      </c>
      <c r="G599" s="90" t="s">
        <v>376</v>
      </c>
      <c r="H599" s="90">
        <v>0.59</v>
      </c>
      <c r="I599" s="90">
        <v>0.64</v>
      </c>
      <c r="J599" s="90" t="s">
        <v>244</v>
      </c>
      <c r="K599" s="90">
        <v>3.3428265798529998E-2</v>
      </c>
      <c r="L599" s="90">
        <v>3767.4718616404498</v>
      </c>
      <c r="M599" s="90">
        <v>10.053612002682501</v>
      </c>
      <c r="N599" s="90">
        <v>1.4294126703849199</v>
      </c>
      <c r="O599" s="90">
        <v>0.33607481426102997</v>
      </c>
      <c r="P599" s="90">
        <v>4.7782786681419998E-2</v>
      </c>
      <c r="Q599" s="90">
        <v>125.940050779426</v>
      </c>
      <c r="R599" s="90">
        <v>1300</v>
      </c>
      <c r="S599" s="90" t="s">
        <v>387</v>
      </c>
      <c r="T599" s="90">
        <v>1300</v>
      </c>
      <c r="U599" s="90" t="s">
        <v>378</v>
      </c>
      <c r="V599" s="90" t="s">
        <v>244</v>
      </c>
      <c r="Z599" s="90">
        <v>0</v>
      </c>
      <c r="AA599" s="90">
        <v>1</v>
      </c>
      <c r="AB599" s="90">
        <v>0.33607481426102997</v>
      </c>
      <c r="AC599" s="90">
        <v>4.7782786681419998E-2</v>
      </c>
      <c r="AD599" s="90">
        <v>125.940050779426</v>
      </c>
      <c r="AF599" s="90">
        <v>-1</v>
      </c>
      <c r="AG599" s="90">
        <v>-1</v>
      </c>
      <c r="AH599" s="90">
        <v>-1</v>
      </c>
      <c r="AI599" s="90">
        <v>-1</v>
      </c>
      <c r="AJ599" s="90">
        <v>0</v>
      </c>
      <c r="AM599" s="90" t="s">
        <v>379</v>
      </c>
      <c r="AN599" s="90">
        <v>-1</v>
      </c>
      <c r="AQ599" s="90">
        <v>356</v>
      </c>
      <c r="AR599" s="90" t="s">
        <v>380</v>
      </c>
      <c r="AS599" s="90" t="s">
        <v>246</v>
      </c>
      <c r="AT599" s="90" t="s">
        <v>244</v>
      </c>
      <c r="AU599" s="90">
        <v>175.87190000000001</v>
      </c>
      <c r="AV599" s="90">
        <v>53.958553178303099</v>
      </c>
      <c r="AW599" s="90">
        <v>135.27939213650399</v>
      </c>
      <c r="AX599" s="90">
        <v>0.1021411604</v>
      </c>
    </row>
    <row r="600" spans="1:50" x14ac:dyDescent="0.25">
      <c r="A600" s="102">
        <v>830000</v>
      </c>
      <c r="B600" s="102">
        <v>2400000</v>
      </c>
      <c r="C600" s="102">
        <v>2400000</v>
      </c>
      <c r="D600" s="90" t="s">
        <v>374</v>
      </c>
      <c r="E600" s="90" t="s">
        <v>68</v>
      </c>
      <c r="F600" s="90" t="s">
        <v>375</v>
      </c>
      <c r="G600" s="90" t="s">
        <v>376</v>
      </c>
      <c r="H600" s="90">
        <v>0.59</v>
      </c>
      <c r="I600" s="90">
        <v>0.64</v>
      </c>
      <c r="J600" s="90" t="s">
        <v>381</v>
      </c>
      <c r="K600" s="90">
        <v>8.7416267695000001E-4</v>
      </c>
      <c r="L600" s="90">
        <v>3767.4718616404498</v>
      </c>
      <c r="M600" s="90">
        <v>10.053612002682501</v>
      </c>
      <c r="N600" s="90">
        <v>1.4294126703849199</v>
      </c>
      <c r="O600" s="90">
        <v>8.7884923813200001E-3</v>
      </c>
      <c r="P600" s="90">
        <v>1.24953920641E-3</v>
      </c>
      <c r="Q600" s="90">
        <v>3.2933832879204901</v>
      </c>
      <c r="R600" s="90">
        <v>1300</v>
      </c>
      <c r="S600" s="90" t="s">
        <v>387</v>
      </c>
      <c r="T600" s="90">
        <v>1300</v>
      </c>
      <c r="U600" s="90" t="s">
        <v>382</v>
      </c>
      <c r="V600" s="90" t="s">
        <v>381</v>
      </c>
      <c r="Z600" s="90">
        <v>0</v>
      </c>
      <c r="AA600" s="90">
        <v>1</v>
      </c>
      <c r="AB600" s="90">
        <v>8.7884923813200001E-3</v>
      </c>
      <c r="AC600" s="90">
        <v>1.24953920641E-3</v>
      </c>
      <c r="AD600" s="90">
        <v>3.2933832879192102</v>
      </c>
      <c r="AF600" s="90">
        <v>-1</v>
      </c>
      <c r="AG600" s="90">
        <v>-1</v>
      </c>
      <c r="AH600" s="90">
        <v>-1</v>
      </c>
      <c r="AI600" s="90">
        <v>-1</v>
      </c>
      <c r="AJ600" s="90">
        <v>0</v>
      </c>
      <c r="AM600" s="90" t="s">
        <v>379</v>
      </c>
      <c r="AN600" s="90">
        <v>-1</v>
      </c>
      <c r="AQ600" s="90">
        <v>356</v>
      </c>
      <c r="AR600" s="90" t="s">
        <v>380</v>
      </c>
      <c r="AS600" s="90" t="s">
        <v>246</v>
      </c>
      <c r="AT600" s="90" t="s">
        <v>244</v>
      </c>
      <c r="AU600" s="90">
        <v>175.87190000000001</v>
      </c>
      <c r="AV600" s="90">
        <v>40.794660766670503</v>
      </c>
      <c r="AW600" s="90">
        <v>3.5376108434522999</v>
      </c>
      <c r="AX600" s="90">
        <v>2.6710327000000001E-3</v>
      </c>
    </row>
    <row r="601" spans="1:50" x14ac:dyDescent="0.25">
      <c r="A601" s="102">
        <v>830000</v>
      </c>
      <c r="B601" s="102">
        <v>2400000</v>
      </c>
      <c r="C601" s="102">
        <v>2400000</v>
      </c>
      <c r="D601" s="90" t="s">
        <v>374</v>
      </c>
      <c r="E601" s="90" t="s">
        <v>68</v>
      </c>
      <c r="F601" s="90" t="s">
        <v>375</v>
      </c>
      <c r="G601" s="90" t="s">
        <v>376</v>
      </c>
      <c r="H601" s="90">
        <v>0.59</v>
      </c>
      <c r="I601" s="90">
        <v>0.64</v>
      </c>
      <c r="J601" s="90" t="s">
        <v>244</v>
      </c>
      <c r="K601" s="90">
        <v>0.16407146470959999</v>
      </c>
      <c r="L601" s="90">
        <v>3767.4718616404498</v>
      </c>
      <c r="M601" s="90">
        <v>10.053612002682501</v>
      </c>
      <c r="N601" s="90">
        <v>1.4294126703849199</v>
      </c>
      <c r="O601" s="90">
        <v>1.6495108469022199</v>
      </c>
      <c r="P601" s="90">
        <v>0.23452583050452</v>
      </c>
      <c r="Q601" s="90">
        <v>618.13462659158699</v>
      </c>
      <c r="R601" s="90">
        <v>1410</v>
      </c>
      <c r="S601" s="90" t="s">
        <v>325</v>
      </c>
      <c r="T601" s="90">
        <v>1410</v>
      </c>
      <c r="U601" s="90" t="s">
        <v>378</v>
      </c>
      <c r="V601" s="90" t="s">
        <v>244</v>
      </c>
      <c r="Z601" s="90">
        <v>0</v>
      </c>
      <c r="AA601" s="90">
        <v>1</v>
      </c>
      <c r="AB601" s="90">
        <v>1.6495108469022199</v>
      </c>
      <c r="AC601" s="90">
        <v>0.23452583050452</v>
      </c>
      <c r="AD601" s="90">
        <v>618.13462659158699</v>
      </c>
      <c r="AF601" s="90">
        <v>-1</v>
      </c>
      <c r="AG601" s="90">
        <v>-1</v>
      </c>
      <c r="AH601" s="90">
        <v>-1</v>
      </c>
      <c r="AI601" s="90">
        <v>-1</v>
      </c>
      <c r="AJ601" s="90">
        <v>0</v>
      </c>
      <c r="AM601" s="90" t="s">
        <v>379</v>
      </c>
      <c r="AN601" s="90">
        <v>-1</v>
      </c>
      <c r="AQ601" s="90">
        <v>356</v>
      </c>
      <c r="AR601" s="90" t="s">
        <v>380</v>
      </c>
      <c r="AS601" s="90" t="s">
        <v>246</v>
      </c>
      <c r="AT601" s="90" t="s">
        <v>244</v>
      </c>
      <c r="AU601" s="90">
        <v>175.87190000000001</v>
      </c>
      <c r="AV601" s="90">
        <v>126.532666295871</v>
      </c>
      <c r="AW601" s="90">
        <v>663.97366069265502</v>
      </c>
      <c r="AX601" s="90">
        <v>0.50132573120000001</v>
      </c>
    </row>
    <row r="602" spans="1:50" x14ac:dyDescent="0.25">
      <c r="A602" s="102">
        <v>830000</v>
      </c>
      <c r="B602" s="102">
        <v>2400000</v>
      </c>
      <c r="C602" s="102">
        <v>2400000</v>
      </c>
      <c r="D602" s="90" t="s">
        <v>374</v>
      </c>
      <c r="E602" s="90" t="s">
        <v>68</v>
      </c>
      <c r="F602" s="90" t="s">
        <v>375</v>
      </c>
      <c r="G602" s="90" t="s">
        <v>376</v>
      </c>
      <c r="H602" s="90">
        <v>0.59</v>
      </c>
      <c r="I602" s="90">
        <v>0.64</v>
      </c>
      <c r="J602" s="90" t="s">
        <v>244</v>
      </c>
      <c r="K602" s="90">
        <v>7.8370969581899996E-3</v>
      </c>
      <c r="L602" s="90">
        <v>3767.4718616404498</v>
      </c>
      <c r="M602" s="90">
        <v>10.053612002682501</v>
      </c>
      <c r="N602" s="90">
        <v>1.4294126703849199</v>
      </c>
      <c r="O602" s="90">
        <v>7.8791132045120005E-2</v>
      </c>
      <c r="P602" s="90">
        <v>1.1202445691080001E-2</v>
      </c>
      <c r="Q602" s="90">
        <v>29.5260422669589</v>
      </c>
      <c r="R602" s="90">
        <v>1300</v>
      </c>
      <c r="S602" s="90" t="s">
        <v>387</v>
      </c>
      <c r="T602" s="90">
        <v>1300</v>
      </c>
      <c r="U602" s="90" t="s">
        <v>378</v>
      </c>
      <c r="V602" s="90" t="s">
        <v>244</v>
      </c>
      <c r="Z602" s="90">
        <v>0</v>
      </c>
      <c r="AA602" s="90">
        <v>1</v>
      </c>
      <c r="AB602" s="90">
        <v>7.8791132045120005E-2</v>
      </c>
      <c r="AC602" s="90">
        <v>1.1202445691080001E-2</v>
      </c>
      <c r="AD602" s="90">
        <v>29.5260422669575</v>
      </c>
      <c r="AF602" s="90">
        <v>-1</v>
      </c>
      <c r="AG602" s="90">
        <v>-1</v>
      </c>
      <c r="AH602" s="90">
        <v>-1</v>
      </c>
      <c r="AI602" s="90">
        <v>-1</v>
      </c>
      <c r="AJ602" s="90">
        <v>0</v>
      </c>
      <c r="AM602" s="90" t="s">
        <v>379</v>
      </c>
      <c r="AN602" s="90">
        <v>-1</v>
      </c>
      <c r="AQ602" s="90">
        <v>356</v>
      </c>
      <c r="AR602" s="90" t="s">
        <v>380</v>
      </c>
      <c r="AS602" s="90" t="s">
        <v>246</v>
      </c>
      <c r="AT602" s="90" t="s">
        <v>244</v>
      </c>
      <c r="AU602" s="90">
        <v>175.87190000000001</v>
      </c>
      <c r="AV602" s="90">
        <v>22.532443512967301</v>
      </c>
      <c r="AW602" s="90">
        <v>31.7156061582535</v>
      </c>
      <c r="AX602" s="90">
        <v>2.39465063E-2</v>
      </c>
    </row>
    <row r="603" spans="1:50" x14ac:dyDescent="0.25">
      <c r="A603" s="102">
        <v>830000</v>
      </c>
      <c r="B603" s="102">
        <v>2400000</v>
      </c>
      <c r="C603" s="102">
        <v>2400000</v>
      </c>
      <c r="D603" s="90" t="s">
        <v>374</v>
      </c>
      <c r="E603" s="90" t="s">
        <v>68</v>
      </c>
      <c r="F603" s="90" t="s">
        <v>375</v>
      </c>
      <c r="G603" s="90" t="s">
        <v>376</v>
      </c>
      <c r="H603" s="90">
        <v>0.59</v>
      </c>
      <c r="I603" s="90">
        <v>0.64</v>
      </c>
      <c r="J603" s="90" t="s">
        <v>381</v>
      </c>
      <c r="K603" s="90">
        <v>2.4441225369999998E-4</v>
      </c>
      <c r="L603" s="90">
        <v>3767.4718616404498</v>
      </c>
      <c r="M603" s="90">
        <v>10.053612002682501</v>
      </c>
      <c r="N603" s="90">
        <v>1.4294126703849199</v>
      </c>
      <c r="O603" s="90">
        <v>2.45722596742E-3</v>
      </c>
      <c r="P603" s="90">
        <v>3.4936597222999998E-4</v>
      </c>
      <c r="Q603" s="90">
        <v>0.92081628846241004</v>
      </c>
      <c r="R603" s="90">
        <v>1300</v>
      </c>
      <c r="S603" s="90" t="s">
        <v>387</v>
      </c>
      <c r="T603" s="90">
        <v>1300</v>
      </c>
      <c r="U603" s="90" t="s">
        <v>382</v>
      </c>
      <c r="V603" s="90" t="s">
        <v>381</v>
      </c>
      <c r="Z603" s="90">
        <v>0</v>
      </c>
      <c r="AA603" s="90">
        <v>1</v>
      </c>
      <c r="AB603" s="90">
        <v>2.45722596742E-3</v>
      </c>
      <c r="AC603" s="90">
        <v>3.4936597222999998E-4</v>
      </c>
      <c r="AD603" s="90">
        <v>0.92081628846178998</v>
      </c>
      <c r="AF603" s="90">
        <v>-1</v>
      </c>
      <c r="AG603" s="90">
        <v>-1</v>
      </c>
      <c r="AH603" s="90">
        <v>-1</v>
      </c>
      <c r="AI603" s="90">
        <v>-1</v>
      </c>
      <c r="AJ603" s="90">
        <v>0</v>
      </c>
      <c r="AM603" s="90" t="s">
        <v>379</v>
      </c>
      <c r="AN603" s="90">
        <v>-1</v>
      </c>
      <c r="AQ603" s="90">
        <v>356</v>
      </c>
      <c r="AR603" s="90" t="s">
        <v>380</v>
      </c>
      <c r="AS603" s="90" t="s">
        <v>246</v>
      </c>
      <c r="AT603" s="90" t="s">
        <v>244</v>
      </c>
      <c r="AU603" s="90">
        <v>175.87190000000001</v>
      </c>
      <c r="AV603" s="90">
        <v>11.621007085247999</v>
      </c>
      <c r="AW603" s="90">
        <v>0.98910129860652996</v>
      </c>
      <c r="AX603" s="90">
        <v>7.4680959999999996E-4</v>
      </c>
    </row>
    <row r="604" spans="1:50" x14ac:dyDescent="0.25">
      <c r="A604" s="102">
        <v>830000</v>
      </c>
      <c r="B604" s="102">
        <v>2400000</v>
      </c>
      <c r="C604" s="102">
        <v>2400000</v>
      </c>
      <c r="D604" s="90" t="s">
        <v>374</v>
      </c>
      <c r="E604" s="90" t="s">
        <v>68</v>
      </c>
      <c r="F604" s="90" t="s">
        <v>375</v>
      </c>
      <c r="G604" s="90" t="s">
        <v>376</v>
      </c>
      <c r="H604" s="90">
        <v>0.59</v>
      </c>
      <c r="I604" s="90">
        <v>0.64</v>
      </c>
      <c r="J604" s="90" t="s">
        <v>244</v>
      </c>
      <c r="K604" s="90">
        <v>3.6223705147690001E-2</v>
      </c>
      <c r="L604" s="90">
        <v>3767.4718616404498</v>
      </c>
      <c r="M604" s="90">
        <v>10.053612002682501</v>
      </c>
      <c r="N604" s="90">
        <v>1.4294126703849199</v>
      </c>
      <c r="O604" s="90">
        <v>0.36417907685450002</v>
      </c>
      <c r="P604" s="90">
        <v>5.1778623106400003E-2</v>
      </c>
      <c r="Q604" s="90">
        <v>136.471789868305</v>
      </c>
      <c r="R604" s="90">
        <v>1300</v>
      </c>
      <c r="S604" s="90" t="s">
        <v>387</v>
      </c>
      <c r="T604" s="90">
        <v>1300</v>
      </c>
      <c r="U604" s="90" t="s">
        <v>378</v>
      </c>
      <c r="V604" s="90" t="s">
        <v>244</v>
      </c>
      <c r="Z604" s="90">
        <v>0</v>
      </c>
      <c r="AA604" s="90">
        <v>1</v>
      </c>
      <c r="AB604" s="90">
        <v>0.36417907685450002</v>
      </c>
      <c r="AC604" s="90">
        <v>5.1778623106400003E-2</v>
      </c>
      <c r="AD604" s="90">
        <v>136.471789868305</v>
      </c>
      <c r="AF604" s="90">
        <v>-1</v>
      </c>
      <c r="AG604" s="90">
        <v>-1</v>
      </c>
      <c r="AH604" s="90">
        <v>-1</v>
      </c>
      <c r="AI604" s="90">
        <v>-1</v>
      </c>
      <c r="AJ604" s="90">
        <v>0</v>
      </c>
      <c r="AM604" s="90" t="s">
        <v>379</v>
      </c>
      <c r="AN604" s="90">
        <v>-1</v>
      </c>
      <c r="AQ604" s="90">
        <v>356</v>
      </c>
      <c r="AR604" s="90" t="s">
        <v>380</v>
      </c>
      <c r="AS604" s="90" t="s">
        <v>246</v>
      </c>
      <c r="AT604" s="90" t="s">
        <v>244</v>
      </c>
      <c r="AU604" s="90">
        <v>175.87190000000001</v>
      </c>
      <c r="AV604" s="90">
        <v>60.394111014922302</v>
      </c>
      <c r="AW604" s="90">
        <v>146.59213382007701</v>
      </c>
      <c r="AX604" s="90">
        <v>0.1106827168</v>
      </c>
    </row>
    <row r="605" spans="1:50" x14ac:dyDescent="0.25">
      <c r="A605" s="102">
        <v>830000</v>
      </c>
      <c r="B605" s="102">
        <v>2400000</v>
      </c>
      <c r="C605" s="102">
        <v>2400000</v>
      </c>
      <c r="D605" s="90" t="s">
        <v>374</v>
      </c>
      <c r="E605" s="90" t="s">
        <v>68</v>
      </c>
      <c r="F605" s="90" t="s">
        <v>375</v>
      </c>
      <c r="G605" s="90" t="s">
        <v>376</v>
      </c>
      <c r="H605" s="90">
        <v>0.59</v>
      </c>
      <c r="I605" s="90">
        <v>0.64</v>
      </c>
      <c r="J605" s="90" t="s">
        <v>381</v>
      </c>
      <c r="K605" s="90">
        <v>1.0444465947800001E-3</v>
      </c>
      <c r="L605" s="90">
        <v>3767.4718616404498</v>
      </c>
      <c r="M605" s="90">
        <v>10.053612002682501</v>
      </c>
      <c r="N605" s="90">
        <v>1.4294126703849199</v>
      </c>
      <c r="O605" s="90">
        <v>1.050046082153E-2</v>
      </c>
      <c r="P605" s="90">
        <v>1.4929451961299999E-3</v>
      </c>
      <c r="Q605" s="90">
        <v>3.9349231568537402</v>
      </c>
      <c r="R605" s="90">
        <v>1300</v>
      </c>
      <c r="S605" s="90" t="s">
        <v>387</v>
      </c>
      <c r="T605" s="90">
        <v>1300</v>
      </c>
      <c r="U605" s="90" t="s">
        <v>382</v>
      </c>
      <c r="V605" s="90" t="s">
        <v>381</v>
      </c>
      <c r="Z605" s="90">
        <v>0</v>
      </c>
      <c r="AA605" s="90">
        <v>1</v>
      </c>
      <c r="AB605" s="90">
        <v>1.050046082153E-2</v>
      </c>
      <c r="AC605" s="90">
        <v>1.4929451961299999E-3</v>
      </c>
      <c r="AD605" s="90">
        <v>3.9349231568540501</v>
      </c>
      <c r="AF605" s="90">
        <v>-1</v>
      </c>
      <c r="AG605" s="90">
        <v>-1</v>
      </c>
      <c r="AH605" s="90">
        <v>-1</v>
      </c>
      <c r="AI605" s="90">
        <v>-1</v>
      </c>
      <c r="AJ605" s="90">
        <v>0</v>
      </c>
      <c r="AM605" s="90" t="s">
        <v>379</v>
      </c>
      <c r="AN605" s="90">
        <v>-1</v>
      </c>
      <c r="AQ605" s="90">
        <v>356</v>
      </c>
      <c r="AR605" s="90" t="s">
        <v>380</v>
      </c>
      <c r="AS605" s="90" t="s">
        <v>246</v>
      </c>
      <c r="AT605" s="90" t="s">
        <v>244</v>
      </c>
      <c r="AU605" s="90">
        <v>175.87190000000001</v>
      </c>
      <c r="AV605" s="90">
        <v>48.671503354350598</v>
      </c>
      <c r="AW605" s="90">
        <v>4.2267254099759901</v>
      </c>
      <c r="AX605" s="90">
        <v>3.1913407999999998E-3</v>
      </c>
    </row>
    <row r="606" spans="1:50" x14ac:dyDescent="0.25">
      <c r="A606" s="102">
        <v>830000</v>
      </c>
      <c r="B606" s="102">
        <v>2400000</v>
      </c>
      <c r="C606" s="102">
        <v>2400000</v>
      </c>
      <c r="D606" s="90" t="s">
        <v>374</v>
      </c>
      <c r="E606" s="90" t="s">
        <v>68</v>
      </c>
      <c r="F606" s="90" t="s">
        <v>375</v>
      </c>
      <c r="G606" s="90" t="s">
        <v>376</v>
      </c>
      <c r="H606" s="90">
        <v>0.59</v>
      </c>
      <c r="I606" s="90">
        <v>0.64</v>
      </c>
      <c r="J606" s="90" t="s">
        <v>244</v>
      </c>
      <c r="K606" s="90">
        <v>3.1846590241719999E-2</v>
      </c>
      <c r="L606" s="90">
        <v>3746.27160261975</v>
      </c>
      <c r="M606" s="90">
        <v>10.7786323875892</v>
      </c>
      <c r="N606" s="90">
        <v>2.0768542520315201</v>
      </c>
      <c r="O606" s="90">
        <v>0.34326268901376</v>
      </c>
      <c r="P606" s="90">
        <v>6.6140726356230001E-2</v>
      </c>
      <c r="Q606" s="90">
        <v>119.30597666284901</v>
      </c>
      <c r="R606" s="90">
        <v>1300</v>
      </c>
      <c r="S606" s="90" t="s">
        <v>387</v>
      </c>
      <c r="T606" s="90">
        <v>1300</v>
      </c>
      <c r="U606" s="90" t="s">
        <v>378</v>
      </c>
      <c r="V606" s="90" t="s">
        <v>244</v>
      </c>
      <c r="Z606" s="90">
        <v>0</v>
      </c>
      <c r="AA606" s="90">
        <v>1</v>
      </c>
      <c r="AB606" s="90">
        <v>0.34326268901376</v>
      </c>
      <c r="AC606" s="90">
        <v>6.6140726356230001E-2</v>
      </c>
      <c r="AD606" s="90">
        <v>119.305976662847</v>
      </c>
      <c r="AF606" s="90">
        <v>-1</v>
      </c>
      <c r="AG606" s="90">
        <v>-1</v>
      </c>
      <c r="AH606" s="90">
        <v>-1</v>
      </c>
      <c r="AI606" s="90">
        <v>-1</v>
      </c>
      <c r="AJ606" s="90">
        <v>0</v>
      </c>
      <c r="AM606" s="90" t="s">
        <v>379</v>
      </c>
      <c r="AN606" s="90">
        <v>-1</v>
      </c>
      <c r="AQ606" s="90">
        <v>356</v>
      </c>
      <c r="AR606" s="90" t="s">
        <v>380</v>
      </c>
      <c r="AS606" s="90" t="s">
        <v>246</v>
      </c>
      <c r="AT606" s="90" t="s">
        <v>244</v>
      </c>
      <c r="AU606" s="90">
        <v>175.87190000000001</v>
      </c>
      <c r="AV606" s="90">
        <v>46.650579423811301</v>
      </c>
      <c r="AW606" s="90">
        <v>128.87857825127199</v>
      </c>
      <c r="AX606" s="90">
        <v>9.6760727199999993E-2</v>
      </c>
    </row>
    <row r="607" spans="1:50" x14ac:dyDescent="0.25">
      <c r="A607" s="102">
        <v>830000</v>
      </c>
      <c r="B607" s="102">
        <v>2400000</v>
      </c>
      <c r="C607" s="102">
        <v>2400000</v>
      </c>
      <c r="D607" s="90" t="s">
        <v>374</v>
      </c>
      <c r="E607" s="90" t="s">
        <v>68</v>
      </c>
      <c r="F607" s="90" t="s">
        <v>375</v>
      </c>
      <c r="G607" s="90" t="s">
        <v>376</v>
      </c>
      <c r="H607" s="90">
        <v>0.59</v>
      </c>
      <c r="I607" s="90">
        <v>0.64</v>
      </c>
      <c r="J607" s="90" t="s">
        <v>244</v>
      </c>
      <c r="K607" s="90">
        <v>8.7373709725989998E-2</v>
      </c>
      <c r="L607" s="90">
        <v>3746.27160261975</v>
      </c>
      <c r="M607" s="90">
        <v>10.7786323875892</v>
      </c>
      <c r="N607" s="90">
        <v>2.0768542520315201</v>
      </c>
      <c r="O607" s="90">
        <v>0.94176909747644</v>
      </c>
      <c r="P607" s="90">
        <v>0.18146246056019999</v>
      </c>
      <c r="Q607" s="90">
        <v>327.32564756203902</v>
      </c>
      <c r="R607" s="90">
        <v>1300</v>
      </c>
      <c r="S607" s="90" t="s">
        <v>387</v>
      </c>
      <c r="T607" s="90">
        <v>1300</v>
      </c>
      <c r="U607" s="90" t="s">
        <v>378</v>
      </c>
      <c r="V607" s="90" t="s">
        <v>244</v>
      </c>
      <c r="Z607" s="90">
        <v>0</v>
      </c>
      <c r="AA607" s="90">
        <v>1</v>
      </c>
      <c r="AB607" s="90">
        <v>0.94176909747644</v>
      </c>
      <c r="AC607" s="90">
        <v>0.18146246056019999</v>
      </c>
      <c r="AD607" s="90">
        <v>327.32564756203902</v>
      </c>
      <c r="AF607" s="90">
        <v>-1</v>
      </c>
      <c r="AG607" s="90">
        <v>-1</v>
      </c>
      <c r="AH607" s="90">
        <v>-1</v>
      </c>
      <c r="AI607" s="90">
        <v>-1</v>
      </c>
      <c r="AJ607" s="90">
        <v>0</v>
      </c>
      <c r="AM607" s="90" t="s">
        <v>379</v>
      </c>
      <c r="AN607" s="90">
        <v>-1</v>
      </c>
      <c r="AQ607" s="90">
        <v>356</v>
      </c>
      <c r="AR607" s="90" t="s">
        <v>380</v>
      </c>
      <c r="AS607" s="90" t="s">
        <v>246</v>
      </c>
      <c r="AT607" s="90" t="s">
        <v>244</v>
      </c>
      <c r="AU607" s="90">
        <v>175.87190000000001</v>
      </c>
      <c r="AV607" s="90">
        <v>92.738853068378205</v>
      </c>
      <c r="AW607" s="90">
        <v>353.58885835356</v>
      </c>
      <c r="AX607" s="90">
        <v>0.26547092259999999</v>
      </c>
    </row>
    <row r="608" spans="1:50" x14ac:dyDescent="0.25">
      <c r="A608" s="102">
        <v>830000</v>
      </c>
      <c r="B608" s="102">
        <v>2400000</v>
      </c>
      <c r="C608" s="102">
        <v>2400000</v>
      </c>
      <c r="D608" s="90" t="s">
        <v>374</v>
      </c>
      <c r="E608" s="90" t="s">
        <v>68</v>
      </c>
      <c r="F608" s="90" t="s">
        <v>375</v>
      </c>
      <c r="G608" s="90" t="s">
        <v>376</v>
      </c>
      <c r="H608" s="90">
        <v>0.59</v>
      </c>
      <c r="I608" s="90">
        <v>0.64</v>
      </c>
      <c r="J608" s="90" t="s">
        <v>244</v>
      </c>
      <c r="K608" s="90">
        <v>0.38637712452685002</v>
      </c>
      <c r="L608" s="90">
        <v>3706.2686726377701</v>
      </c>
      <c r="M608" s="90">
        <v>9.3622922957103896</v>
      </c>
      <c r="N608" s="90">
        <v>1.41917635424305</v>
      </c>
      <c r="O608" s="90">
        <v>3.6173755761964799</v>
      </c>
      <c r="P608" s="90">
        <v>0.54833727894893003</v>
      </c>
      <c r="Q608" s="90">
        <v>1432.0174324577299</v>
      </c>
      <c r="R608" s="90">
        <v>1200</v>
      </c>
      <c r="S608" s="90" t="s">
        <v>384</v>
      </c>
      <c r="T608" s="90">
        <v>1200</v>
      </c>
      <c r="U608" s="90" t="s">
        <v>378</v>
      </c>
      <c r="V608" s="90" t="s">
        <v>244</v>
      </c>
      <c r="Z608" s="90">
        <v>0</v>
      </c>
      <c r="AA608" s="90">
        <v>1</v>
      </c>
      <c r="AB608" s="90">
        <v>3.6173755761964799</v>
      </c>
      <c r="AC608" s="90">
        <v>0.54833727894893003</v>
      </c>
      <c r="AD608" s="90">
        <v>1432.0174324577299</v>
      </c>
      <c r="AF608" s="90">
        <v>-1</v>
      </c>
      <c r="AG608" s="90">
        <v>-1</v>
      </c>
      <c r="AH608" s="90">
        <v>-1</v>
      </c>
      <c r="AI608" s="90">
        <v>-1</v>
      </c>
      <c r="AJ608" s="90">
        <v>0</v>
      </c>
      <c r="AM608" s="90" t="s">
        <v>379</v>
      </c>
      <c r="AN608" s="90">
        <v>-1</v>
      </c>
      <c r="AQ608" s="90">
        <v>356</v>
      </c>
      <c r="AR608" s="90" t="s">
        <v>380</v>
      </c>
      <c r="AS608" s="90" t="s">
        <v>246</v>
      </c>
      <c r="AT608" s="90" t="s">
        <v>244</v>
      </c>
      <c r="AU608" s="90">
        <v>175.87190000000001</v>
      </c>
      <c r="AV608" s="90">
        <v>176.992168766059</v>
      </c>
      <c r="AW608" s="90">
        <v>1563.6127478599301</v>
      </c>
      <c r="AX608" s="90">
        <v>1.1614091098999999</v>
      </c>
    </row>
    <row r="609" spans="1:50" x14ac:dyDescent="0.25">
      <c r="A609" s="102">
        <v>830000</v>
      </c>
      <c r="B609" s="102">
        <v>2400000</v>
      </c>
      <c r="C609" s="102">
        <v>2400000</v>
      </c>
      <c r="D609" s="90" t="s">
        <v>374</v>
      </c>
      <c r="E609" s="90" t="s">
        <v>68</v>
      </c>
      <c r="F609" s="90" t="s">
        <v>375</v>
      </c>
      <c r="G609" s="90" t="s">
        <v>376</v>
      </c>
      <c r="H609" s="90">
        <v>0.59</v>
      </c>
      <c r="I609" s="90">
        <v>0.64</v>
      </c>
      <c r="J609" s="90" t="s">
        <v>244</v>
      </c>
      <c r="K609" s="90">
        <v>6.9451426941299996E-3</v>
      </c>
      <c r="L609" s="90">
        <v>3706.2686726377701</v>
      </c>
      <c r="M609" s="90">
        <v>9.3622922957103896</v>
      </c>
      <c r="N609" s="90">
        <v>1.41917635424305</v>
      </c>
      <c r="O609" s="90">
        <v>6.5022455937910006E-2</v>
      </c>
      <c r="P609" s="90">
        <v>9.8563822883599994E-3</v>
      </c>
      <c r="Q609" s="90">
        <v>25.740564794275301</v>
      </c>
      <c r="R609" s="90">
        <v>1300</v>
      </c>
      <c r="S609" s="90" t="s">
        <v>387</v>
      </c>
      <c r="T609" s="90">
        <v>1300</v>
      </c>
      <c r="U609" s="90" t="s">
        <v>378</v>
      </c>
      <c r="V609" s="90" t="s">
        <v>244</v>
      </c>
      <c r="Z609" s="90">
        <v>0</v>
      </c>
      <c r="AA609" s="90">
        <v>1</v>
      </c>
      <c r="AB609" s="90">
        <v>6.5022455937910006E-2</v>
      </c>
      <c r="AC609" s="90">
        <v>9.8563822883599994E-3</v>
      </c>
      <c r="AD609" s="90">
        <v>25.740564794274</v>
      </c>
      <c r="AF609" s="90">
        <v>-1</v>
      </c>
      <c r="AG609" s="90">
        <v>-1</v>
      </c>
      <c r="AH609" s="90">
        <v>-1</v>
      </c>
      <c r="AI609" s="90">
        <v>-1</v>
      </c>
      <c r="AJ609" s="90">
        <v>0</v>
      </c>
      <c r="AM609" s="90" t="s">
        <v>379</v>
      </c>
      <c r="AN609" s="90">
        <v>-1</v>
      </c>
      <c r="AQ609" s="90">
        <v>356</v>
      </c>
      <c r="AR609" s="90" t="s">
        <v>380</v>
      </c>
      <c r="AS609" s="90" t="s">
        <v>246</v>
      </c>
      <c r="AT609" s="90" t="s">
        <v>244</v>
      </c>
      <c r="AU609" s="90">
        <v>175.87190000000001</v>
      </c>
      <c r="AV609" s="90">
        <v>40.554467372664597</v>
      </c>
      <c r="AW609" s="90">
        <v>28.105995316247299</v>
      </c>
      <c r="AX609" s="90">
        <v>2.0876370500000001E-2</v>
      </c>
    </row>
    <row r="610" spans="1:50" x14ac:dyDescent="0.25">
      <c r="A610" s="102">
        <v>830000</v>
      </c>
      <c r="B610" s="102">
        <v>2400000</v>
      </c>
      <c r="C610" s="102">
        <v>2400000</v>
      </c>
      <c r="D610" s="90" t="s">
        <v>374</v>
      </c>
      <c r="E610" s="90" t="s">
        <v>68</v>
      </c>
      <c r="F610" s="90" t="s">
        <v>375</v>
      </c>
      <c r="G610" s="90" t="s">
        <v>376</v>
      </c>
      <c r="H610" s="90">
        <v>0.59</v>
      </c>
      <c r="I610" s="90">
        <v>0.64</v>
      </c>
      <c r="J610" s="90" t="s">
        <v>244</v>
      </c>
      <c r="K610" s="90">
        <v>1.485031198159E-2</v>
      </c>
      <c r="L610" s="90">
        <v>3706.2686726377701</v>
      </c>
      <c r="M610" s="90">
        <v>9.3622922957103896</v>
      </c>
      <c r="N610" s="90">
        <v>1.41917635424305</v>
      </c>
      <c r="O610" s="90">
        <v>0.13903296145412999</v>
      </c>
      <c r="P610" s="90">
        <v>2.1075211617399999E-2</v>
      </c>
      <c r="Q610" s="90">
        <v>55.039246076264298</v>
      </c>
      <c r="R610" s="90">
        <v>1210</v>
      </c>
      <c r="S610" s="90" t="s">
        <v>385</v>
      </c>
      <c r="T610" s="90">
        <v>1210</v>
      </c>
      <c r="U610" s="90" t="s">
        <v>378</v>
      </c>
      <c r="V610" s="90" t="s">
        <v>244</v>
      </c>
      <c r="Z610" s="90">
        <v>0</v>
      </c>
      <c r="AA610" s="90">
        <v>1</v>
      </c>
      <c r="AB610" s="90">
        <v>0.13903296145412999</v>
      </c>
      <c r="AC610" s="90">
        <v>2.1075211617399999E-2</v>
      </c>
      <c r="AD610" s="90">
        <v>55.039246076263197</v>
      </c>
      <c r="AF610" s="90">
        <v>-1</v>
      </c>
      <c r="AG610" s="90">
        <v>-1</v>
      </c>
      <c r="AH610" s="90">
        <v>-1</v>
      </c>
      <c r="AI610" s="90">
        <v>-1</v>
      </c>
      <c r="AJ610" s="90">
        <v>0</v>
      </c>
      <c r="AM610" s="90" t="s">
        <v>379</v>
      </c>
      <c r="AN610" s="90">
        <v>-1</v>
      </c>
      <c r="AQ610" s="90">
        <v>356</v>
      </c>
      <c r="AR610" s="90" t="s">
        <v>380</v>
      </c>
      <c r="AS610" s="90" t="s">
        <v>246</v>
      </c>
      <c r="AT610" s="90" t="s">
        <v>244</v>
      </c>
      <c r="AU610" s="90">
        <v>175.87190000000001</v>
      </c>
      <c r="AV610" s="90">
        <v>35.193696044019099</v>
      </c>
      <c r="AW610" s="90">
        <v>60.097080417339903</v>
      </c>
      <c r="AX610" s="90">
        <v>4.4638480199999997E-2</v>
      </c>
    </row>
    <row r="611" spans="1:50" x14ac:dyDescent="0.25">
      <c r="A611" s="102">
        <v>830000</v>
      </c>
      <c r="B611" s="102">
        <v>2400000</v>
      </c>
      <c r="C611" s="102">
        <v>2400000</v>
      </c>
      <c r="D611" s="90" t="s">
        <v>374</v>
      </c>
      <c r="E611" s="90" t="s">
        <v>68</v>
      </c>
      <c r="F611" s="90" t="s">
        <v>375</v>
      </c>
      <c r="G611" s="90" t="s">
        <v>376</v>
      </c>
      <c r="H611" s="90">
        <v>0.59</v>
      </c>
      <c r="I611" s="90">
        <v>0.64</v>
      </c>
      <c r="J611" s="90" t="s">
        <v>244</v>
      </c>
      <c r="K611" s="90">
        <v>8.6147252789600004E-2</v>
      </c>
      <c r="L611" s="90">
        <v>3706.2686726377701</v>
      </c>
      <c r="M611" s="90">
        <v>9.3622922957103896</v>
      </c>
      <c r="N611" s="90">
        <v>1.41917635424305</v>
      </c>
      <c r="O611" s="90">
        <v>0.80653576108869995</v>
      </c>
      <c r="P611" s="90">
        <v>0.12225814414199999</v>
      </c>
      <c r="Q611" s="90">
        <v>319.28486424790799</v>
      </c>
      <c r="R611" s="90">
        <v>1210</v>
      </c>
      <c r="S611" s="90" t="s">
        <v>385</v>
      </c>
      <c r="T611" s="90">
        <v>1210</v>
      </c>
      <c r="U611" s="90" t="s">
        <v>378</v>
      </c>
      <c r="V611" s="90" t="s">
        <v>244</v>
      </c>
      <c r="Z611" s="90">
        <v>0</v>
      </c>
      <c r="AA611" s="90">
        <v>1</v>
      </c>
      <c r="AB611" s="90">
        <v>0.80653576108869995</v>
      </c>
      <c r="AC611" s="90">
        <v>0.12225814414199999</v>
      </c>
      <c r="AD611" s="90">
        <v>319.28486424790901</v>
      </c>
      <c r="AF611" s="90">
        <v>-1</v>
      </c>
      <c r="AG611" s="90">
        <v>-1</v>
      </c>
      <c r="AH611" s="90">
        <v>-1</v>
      </c>
      <c r="AI611" s="90">
        <v>-1</v>
      </c>
      <c r="AJ611" s="90">
        <v>0</v>
      </c>
      <c r="AM611" s="90" t="s">
        <v>379</v>
      </c>
      <c r="AN611" s="90">
        <v>-1</v>
      </c>
      <c r="AQ611" s="90">
        <v>356</v>
      </c>
      <c r="AR611" s="90" t="s">
        <v>380</v>
      </c>
      <c r="AS611" s="90" t="s">
        <v>246</v>
      </c>
      <c r="AT611" s="90" t="s">
        <v>244</v>
      </c>
      <c r="AU611" s="90">
        <v>175.87190000000001</v>
      </c>
      <c r="AV611" s="90">
        <v>87.924382773054305</v>
      </c>
      <c r="AW611" s="90">
        <v>348.62556322371802</v>
      </c>
      <c r="AX611" s="90">
        <v>0.258949606</v>
      </c>
    </row>
    <row r="612" spans="1:50" x14ac:dyDescent="0.25">
      <c r="A612" s="102">
        <v>830000</v>
      </c>
      <c r="B612" s="102">
        <v>2400000</v>
      </c>
      <c r="C612" s="102">
        <v>2400000</v>
      </c>
      <c r="D612" s="90" t="s">
        <v>374</v>
      </c>
      <c r="E612" s="90" t="s">
        <v>68</v>
      </c>
      <c r="F612" s="90" t="s">
        <v>375</v>
      </c>
      <c r="G612" s="90" t="s">
        <v>376</v>
      </c>
      <c r="H612" s="90">
        <v>0.59</v>
      </c>
      <c r="I612" s="90">
        <v>0.64</v>
      </c>
      <c r="J612" s="90" t="s">
        <v>244</v>
      </c>
      <c r="K612" s="90">
        <v>6.8343675631759998E-2</v>
      </c>
      <c r="L612" s="90">
        <v>3706.2686726377701</v>
      </c>
      <c r="M612" s="90">
        <v>9.3622922957103896</v>
      </c>
      <c r="N612" s="90">
        <v>1.41917635424305</v>
      </c>
      <c r="O612" s="90">
        <v>0.63985346782778996</v>
      </c>
      <c r="P612" s="90">
        <v>9.6991728418650003E-2</v>
      </c>
      <c r="Q612" s="90">
        <v>253.30002396692399</v>
      </c>
      <c r="R612" s="90">
        <v>1210</v>
      </c>
      <c r="S612" s="90" t="s">
        <v>385</v>
      </c>
      <c r="T612" s="90">
        <v>1210</v>
      </c>
      <c r="U612" s="90" t="s">
        <v>378</v>
      </c>
      <c r="V612" s="90" t="s">
        <v>244</v>
      </c>
      <c r="Z612" s="90">
        <v>0</v>
      </c>
      <c r="AA612" s="90">
        <v>1</v>
      </c>
      <c r="AB612" s="90">
        <v>0.63985346782778996</v>
      </c>
      <c r="AC612" s="90">
        <v>9.6991728418650003E-2</v>
      </c>
      <c r="AD612" s="90">
        <v>253.30002396692299</v>
      </c>
      <c r="AF612" s="90">
        <v>-1</v>
      </c>
      <c r="AG612" s="90">
        <v>-1</v>
      </c>
      <c r="AH612" s="90">
        <v>-1</v>
      </c>
      <c r="AI612" s="90">
        <v>-1</v>
      </c>
      <c r="AJ612" s="90">
        <v>0</v>
      </c>
      <c r="AM612" s="90" t="s">
        <v>379</v>
      </c>
      <c r="AN612" s="90">
        <v>-1</v>
      </c>
      <c r="AQ612" s="90">
        <v>356</v>
      </c>
      <c r="AR612" s="90" t="s">
        <v>380</v>
      </c>
      <c r="AS612" s="90" t="s">
        <v>246</v>
      </c>
      <c r="AT612" s="90" t="s">
        <v>244</v>
      </c>
      <c r="AU612" s="90">
        <v>175.87190000000001</v>
      </c>
      <c r="AV612" s="90">
        <v>74.862443039277196</v>
      </c>
      <c r="AW612" s="90">
        <v>276.57704266082499</v>
      </c>
      <c r="AX612" s="90">
        <v>0.20543392050000001</v>
      </c>
    </row>
    <row r="613" spans="1:50" x14ac:dyDescent="0.25">
      <c r="A613" s="102">
        <v>830000</v>
      </c>
      <c r="B613" s="102">
        <v>2400000</v>
      </c>
      <c r="C613" s="102">
        <v>2400000</v>
      </c>
      <c r="D613" s="90" t="s">
        <v>374</v>
      </c>
      <c r="E613" s="90" t="s">
        <v>68</v>
      </c>
      <c r="F613" s="90" t="s">
        <v>375</v>
      </c>
      <c r="G613" s="90" t="s">
        <v>376</v>
      </c>
      <c r="H613" s="90">
        <v>0.59</v>
      </c>
      <c r="I613" s="90">
        <v>0.64</v>
      </c>
      <c r="J613" s="90" t="s">
        <v>244</v>
      </c>
      <c r="K613" s="90">
        <v>9.0685410720099998E-3</v>
      </c>
      <c r="L613" s="90">
        <v>3706.2686726377701</v>
      </c>
      <c r="M613" s="90">
        <v>9.3622922957103896</v>
      </c>
      <c r="N613" s="90">
        <v>1.41917635424305</v>
      </c>
      <c r="O613" s="90">
        <v>8.4902332211809997E-2</v>
      </c>
      <c r="P613" s="90">
        <v>1.2869859056869999E-2</v>
      </c>
      <c r="Q613" s="90">
        <v>33.610449681719601</v>
      </c>
      <c r="R613" s="90">
        <v>1210</v>
      </c>
      <c r="S613" s="90" t="s">
        <v>385</v>
      </c>
      <c r="T613" s="90">
        <v>1210</v>
      </c>
      <c r="U613" s="90" t="s">
        <v>378</v>
      </c>
      <c r="V613" s="90" t="s">
        <v>244</v>
      </c>
      <c r="Z613" s="90">
        <v>0</v>
      </c>
      <c r="AA613" s="90">
        <v>1</v>
      </c>
      <c r="AB613" s="90">
        <v>8.4902332211809997E-2</v>
      </c>
      <c r="AC613" s="90">
        <v>1.2869859056869999E-2</v>
      </c>
      <c r="AD613" s="90">
        <v>33.610449681719103</v>
      </c>
      <c r="AF613" s="90">
        <v>-1</v>
      </c>
      <c r="AG613" s="90">
        <v>-1</v>
      </c>
      <c r="AH613" s="90">
        <v>-1</v>
      </c>
      <c r="AI613" s="90">
        <v>-1</v>
      </c>
      <c r="AJ613" s="90">
        <v>0</v>
      </c>
      <c r="AM613" s="90" t="s">
        <v>379</v>
      </c>
      <c r="AN613" s="90">
        <v>-1</v>
      </c>
      <c r="AQ613" s="90">
        <v>356</v>
      </c>
      <c r="AR613" s="90" t="s">
        <v>380</v>
      </c>
      <c r="AS613" s="90" t="s">
        <v>246</v>
      </c>
      <c r="AT613" s="90" t="s">
        <v>244</v>
      </c>
      <c r="AU613" s="90">
        <v>175.87190000000001</v>
      </c>
      <c r="AV613" s="90">
        <v>27.775970302788501</v>
      </c>
      <c r="AW613" s="90">
        <v>36.699083679061303</v>
      </c>
      <c r="AX613" s="90">
        <v>2.72590833E-2</v>
      </c>
    </row>
    <row r="614" spans="1:50" x14ac:dyDescent="0.25">
      <c r="A614" s="102">
        <v>830000</v>
      </c>
      <c r="B614" s="102">
        <v>2400000</v>
      </c>
      <c r="C614" s="102">
        <v>2400000</v>
      </c>
      <c r="D614" s="90" t="s">
        <v>374</v>
      </c>
      <c r="E614" s="90" t="s">
        <v>68</v>
      </c>
      <c r="F614" s="90" t="s">
        <v>375</v>
      </c>
      <c r="G614" s="90" t="s">
        <v>376</v>
      </c>
      <c r="H614" s="90">
        <v>0.59</v>
      </c>
      <c r="I614" s="90">
        <v>0.64</v>
      </c>
      <c r="J614" s="90" t="s">
        <v>244</v>
      </c>
      <c r="K614" s="90">
        <v>4.6031405179079998E-2</v>
      </c>
      <c r="L614" s="90">
        <v>3706.2686726377701</v>
      </c>
      <c r="M614" s="90">
        <v>9.3622922957103896</v>
      </c>
      <c r="N614" s="90">
        <v>1.41917635424305</v>
      </c>
      <c r="O614" s="90">
        <v>0.43095947006884</v>
      </c>
      <c r="P614" s="90">
        <v>6.5326681782730003E-2</v>
      </c>
      <c r="Q614" s="90">
        <v>170.60475497272699</v>
      </c>
      <c r="R614" s="90">
        <v>1300</v>
      </c>
      <c r="S614" s="90" t="s">
        <v>387</v>
      </c>
      <c r="T614" s="90">
        <v>1300</v>
      </c>
      <c r="U614" s="90" t="s">
        <v>378</v>
      </c>
      <c r="V614" s="90" t="s">
        <v>244</v>
      </c>
      <c r="Z614" s="90">
        <v>0</v>
      </c>
      <c r="AA614" s="90">
        <v>1</v>
      </c>
      <c r="AB614" s="90">
        <v>0.43095947006884</v>
      </c>
      <c r="AC614" s="90">
        <v>6.5326681782730003E-2</v>
      </c>
      <c r="AD614" s="90">
        <v>170.604754972726</v>
      </c>
      <c r="AF614" s="90">
        <v>-1</v>
      </c>
      <c r="AG614" s="90">
        <v>-1</v>
      </c>
      <c r="AH614" s="90">
        <v>-1</v>
      </c>
      <c r="AI614" s="90">
        <v>-1</v>
      </c>
      <c r="AJ614" s="90">
        <v>0</v>
      </c>
      <c r="AM614" s="90" t="s">
        <v>379</v>
      </c>
      <c r="AN614" s="90">
        <v>-1</v>
      </c>
      <c r="AQ614" s="90">
        <v>356</v>
      </c>
      <c r="AR614" s="90" t="s">
        <v>380</v>
      </c>
      <c r="AS614" s="90" t="s">
        <v>246</v>
      </c>
      <c r="AT614" s="90" t="s">
        <v>244</v>
      </c>
      <c r="AU614" s="90">
        <v>175.87190000000001</v>
      </c>
      <c r="AV614" s="90">
        <v>57.765860513668898</v>
      </c>
      <c r="AW614" s="90">
        <v>186.28248768106201</v>
      </c>
      <c r="AX614" s="90">
        <v>0.1383655758</v>
      </c>
    </row>
    <row r="615" spans="1:50" x14ac:dyDescent="0.25">
      <c r="A615" s="102">
        <v>830000</v>
      </c>
      <c r="B615" s="102">
        <v>2400000</v>
      </c>
      <c r="C615" s="102">
        <v>2400000</v>
      </c>
      <c r="D615" s="90" t="s">
        <v>374</v>
      </c>
      <c r="E615" s="90" t="s">
        <v>68</v>
      </c>
      <c r="F615" s="90" t="s">
        <v>375</v>
      </c>
      <c r="G615" s="90" t="s">
        <v>376</v>
      </c>
      <c r="H615" s="90">
        <v>0.59</v>
      </c>
      <c r="I615" s="90">
        <v>0.64</v>
      </c>
      <c r="J615" s="90" t="s">
        <v>244</v>
      </c>
      <c r="K615" s="90">
        <v>0.20906321811258</v>
      </c>
      <c r="L615" s="90">
        <v>3760.4653990389202</v>
      </c>
      <c r="M615" s="90">
        <v>8.1089533195187204</v>
      </c>
      <c r="N615" s="90">
        <v>1.1585722648100401</v>
      </c>
      <c r="O615" s="90">
        <v>1.69528387650331</v>
      </c>
      <c r="P615" s="90">
        <v>0.24221484609717001</v>
      </c>
      <c r="Q615" s="90">
        <v>786.17499792410399</v>
      </c>
      <c r="R615" s="90">
        <v>1400</v>
      </c>
      <c r="S615" s="90" t="s">
        <v>324</v>
      </c>
      <c r="T615" s="90">
        <v>1400</v>
      </c>
      <c r="U615" s="90" t="s">
        <v>378</v>
      </c>
      <c r="V615" s="90" t="s">
        <v>244</v>
      </c>
      <c r="Z615" s="90">
        <v>0</v>
      </c>
      <c r="AA615" s="90">
        <v>1</v>
      </c>
      <c r="AB615" s="90">
        <v>1.69528387650331</v>
      </c>
      <c r="AC615" s="90">
        <v>0.24221484609717001</v>
      </c>
      <c r="AD615" s="90">
        <v>786.17499792410399</v>
      </c>
      <c r="AF615" s="90">
        <v>-1</v>
      </c>
      <c r="AG615" s="90">
        <v>-1</v>
      </c>
      <c r="AH615" s="90">
        <v>-1</v>
      </c>
      <c r="AI615" s="90">
        <v>-1</v>
      </c>
      <c r="AJ615" s="90">
        <v>0</v>
      </c>
      <c r="AM615" s="90" t="s">
        <v>379</v>
      </c>
      <c r="AN615" s="90">
        <v>-1</v>
      </c>
      <c r="AQ615" s="90">
        <v>356</v>
      </c>
      <c r="AR615" s="90" t="s">
        <v>380</v>
      </c>
      <c r="AS615" s="90" t="s">
        <v>246</v>
      </c>
      <c r="AT615" s="90" t="s">
        <v>244</v>
      </c>
      <c r="AU615" s="90">
        <v>175.87190000000001</v>
      </c>
      <c r="AV615" s="90">
        <v>133.851534496157</v>
      </c>
      <c r="AW615" s="90">
        <v>846.04882690652801</v>
      </c>
      <c r="AX615" s="90">
        <v>0.63761151490000001</v>
      </c>
    </row>
    <row r="616" spans="1:50" x14ac:dyDescent="0.25">
      <c r="A616" s="102">
        <v>830000</v>
      </c>
      <c r="B616" s="102">
        <v>2400000</v>
      </c>
      <c r="C616" s="102">
        <v>2400000</v>
      </c>
      <c r="D616" s="90" t="s">
        <v>374</v>
      </c>
      <c r="E616" s="90" t="s">
        <v>68</v>
      </c>
      <c r="F616" s="90" t="s">
        <v>375</v>
      </c>
      <c r="G616" s="90" t="s">
        <v>376</v>
      </c>
      <c r="H616" s="90">
        <v>0.59</v>
      </c>
      <c r="I616" s="90">
        <v>0.64</v>
      </c>
      <c r="J616" s="90" t="s">
        <v>244</v>
      </c>
      <c r="K616" s="90">
        <v>5.4522982211219997E-2</v>
      </c>
      <c r="L616" s="90">
        <v>3760.4653990389202</v>
      </c>
      <c r="M616" s="90">
        <v>8.1089533195187204</v>
      </c>
      <c r="N616" s="90">
        <v>1.1585722648100401</v>
      </c>
      <c r="O616" s="90">
        <v>0.44212431759178999</v>
      </c>
      <c r="P616" s="90">
        <v>6.3168814984659996E-2</v>
      </c>
      <c r="Q616" s="90">
        <v>205.031788057737</v>
      </c>
      <c r="R616" s="90">
        <v>1300</v>
      </c>
      <c r="S616" s="90" t="s">
        <v>387</v>
      </c>
      <c r="T616" s="90">
        <v>1300</v>
      </c>
      <c r="U616" s="90" t="s">
        <v>378</v>
      </c>
      <c r="V616" s="90" t="s">
        <v>244</v>
      </c>
      <c r="Z616" s="90">
        <v>0</v>
      </c>
      <c r="AA616" s="90">
        <v>1</v>
      </c>
      <c r="AB616" s="90">
        <v>0.44212431759178999</v>
      </c>
      <c r="AC616" s="90">
        <v>6.3168814984659996E-2</v>
      </c>
      <c r="AD616" s="90">
        <v>205.031788057737</v>
      </c>
      <c r="AF616" s="90">
        <v>-1</v>
      </c>
      <c r="AG616" s="90">
        <v>-1</v>
      </c>
      <c r="AH616" s="90">
        <v>-1</v>
      </c>
      <c r="AI616" s="90">
        <v>-1</v>
      </c>
      <c r="AJ616" s="90">
        <v>0</v>
      </c>
      <c r="AM616" s="90" t="s">
        <v>379</v>
      </c>
      <c r="AN616" s="90">
        <v>-1</v>
      </c>
      <c r="AQ616" s="90">
        <v>356</v>
      </c>
      <c r="AR616" s="90" t="s">
        <v>380</v>
      </c>
      <c r="AS616" s="90" t="s">
        <v>246</v>
      </c>
      <c r="AT616" s="90" t="s">
        <v>244</v>
      </c>
      <c r="AU616" s="90">
        <v>175.87190000000001</v>
      </c>
      <c r="AV616" s="90">
        <v>108.83064270596</v>
      </c>
      <c r="AW616" s="90">
        <v>220.64668072990801</v>
      </c>
      <c r="AX616" s="90">
        <v>0.1662869327</v>
      </c>
    </row>
    <row r="617" spans="1:50" x14ac:dyDescent="0.25">
      <c r="A617" s="102">
        <v>830000</v>
      </c>
      <c r="B617" s="102">
        <v>2400000</v>
      </c>
      <c r="C617" s="102">
        <v>2400000</v>
      </c>
      <c r="D617" s="90" t="s">
        <v>374</v>
      </c>
      <c r="E617" s="90" t="s">
        <v>68</v>
      </c>
      <c r="F617" s="90" t="s">
        <v>375</v>
      </c>
      <c r="G617" s="90" t="s">
        <v>376</v>
      </c>
      <c r="H617" s="90">
        <v>0.59</v>
      </c>
      <c r="I617" s="90">
        <v>0.64</v>
      </c>
      <c r="J617" s="90" t="s">
        <v>244</v>
      </c>
      <c r="K617" s="90">
        <v>0.34806113775070002</v>
      </c>
      <c r="L617" s="90">
        <v>3747.7351302931002</v>
      </c>
      <c r="M617" s="90">
        <v>10.7827144184388</v>
      </c>
      <c r="N617" s="90">
        <v>2.0776258095398599</v>
      </c>
      <c r="O617" s="90">
        <v>3.7530438485227999</v>
      </c>
      <c r="P617" s="90">
        <v>0.72314080308868001</v>
      </c>
      <c r="Q617" s="90">
        <v>1304.44095343811</v>
      </c>
      <c r="R617" s="90">
        <v>1300</v>
      </c>
      <c r="S617" s="90" t="s">
        <v>387</v>
      </c>
      <c r="T617" s="90">
        <v>1300</v>
      </c>
      <c r="U617" s="90" t="s">
        <v>378</v>
      </c>
      <c r="V617" s="90" t="s">
        <v>244</v>
      </c>
      <c r="Z617" s="90">
        <v>0</v>
      </c>
      <c r="AA617" s="90">
        <v>1</v>
      </c>
      <c r="AB617" s="90">
        <v>3.7530438485227999</v>
      </c>
      <c r="AC617" s="90">
        <v>0.72314080308868001</v>
      </c>
      <c r="AD617" s="90">
        <v>1304.44095343811</v>
      </c>
      <c r="AF617" s="90">
        <v>-1</v>
      </c>
      <c r="AG617" s="90">
        <v>-1</v>
      </c>
      <c r="AH617" s="90">
        <v>-1</v>
      </c>
      <c r="AI617" s="90">
        <v>-1</v>
      </c>
      <c r="AJ617" s="90">
        <v>0</v>
      </c>
      <c r="AM617" s="90" t="s">
        <v>379</v>
      </c>
      <c r="AN617" s="90">
        <v>-1</v>
      </c>
      <c r="AQ617" s="90">
        <v>356</v>
      </c>
      <c r="AR617" s="90" t="s">
        <v>380</v>
      </c>
      <c r="AS617" s="90" t="s">
        <v>246</v>
      </c>
      <c r="AT617" s="90" t="s">
        <v>244</v>
      </c>
      <c r="AU617" s="90">
        <v>175.87190000000001</v>
      </c>
      <c r="AV617" s="90">
        <v>156.37877850439099</v>
      </c>
      <c r="AW617" s="90">
        <v>1408.5534506943</v>
      </c>
      <c r="AX617" s="90">
        <v>1.0579407569999999</v>
      </c>
    </row>
    <row r="618" spans="1:50" x14ac:dyDescent="0.25">
      <c r="A618" s="102">
        <v>830000</v>
      </c>
      <c r="B618" s="102">
        <v>2400000</v>
      </c>
      <c r="C618" s="102">
        <v>2400000</v>
      </c>
      <c r="D618" s="90" t="s">
        <v>374</v>
      </c>
      <c r="E618" s="90" t="s">
        <v>68</v>
      </c>
      <c r="F618" s="90" t="s">
        <v>375</v>
      </c>
      <c r="G618" s="90" t="s">
        <v>376</v>
      </c>
      <c r="H618" s="90">
        <v>0.59</v>
      </c>
      <c r="I618" s="90">
        <v>0.64</v>
      </c>
      <c r="J618" s="90" t="s">
        <v>244</v>
      </c>
      <c r="K618" s="90">
        <v>0.26970231580213</v>
      </c>
      <c r="L618" s="90">
        <v>3747.7351302931002</v>
      </c>
      <c r="M618" s="90">
        <v>10.7827144184388</v>
      </c>
      <c r="N618" s="90">
        <v>2.0776258095398599</v>
      </c>
      <c r="O618" s="90">
        <v>2.9081230492860501</v>
      </c>
      <c r="P618" s="90">
        <v>0.56034049220319004</v>
      </c>
      <c r="Q618" s="90">
        <v>1010.77284365307</v>
      </c>
      <c r="R618" s="90">
        <v>1300</v>
      </c>
      <c r="S618" s="90" t="s">
        <v>387</v>
      </c>
      <c r="T618" s="90">
        <v>1300</v>
      </c>
      <c r="U618" s="90" t="s">
        <v>378</v>
      </c>
      <c r="V618" s="90" t="s">
        <v>244</v>
      </c>
      <c r="Z618" s="90">
        <v>0</v>
      </c>
      <c r="AA618" s="90">
        <v>1</v>
      </c>
      <c r="AB618" s="90">
        <v>2.9081230492860501</v>
      </c>
      <c r="AC618" s="90">
        <v>0.56034049220319004</v>
      </c>
      <c r="AD618" s="90">
        <v>1010.77284365307</v>
      </c>
      <c r="AF618" s="90">
        <v>-1</v>
      </c>
      <c r="AG618" s="90">
        <v>-1</v>
      </c>
      <c r="AH618" s="90">
        <v>-1</v>
      </c>
      <c r="AI618" s="90">
        <v>-1</v>
      </c>
      <c r="AJ618" s="90">
        <v>0</v>
      </c>
      <c r="AM618" s="90" t="s">
        <v>379</v>
      </c>
      <c r="AN618" s="90">
        <v>-1</v>
      </c>
      <c r="AQ618" s="90">
        <v>356</v>
      </c>
      <c r="AR618" s="90" t="s">
        <v>380</v>
      </c>
      <c r="AS618" s="90" t="s">
        <v>246</v>
      </c>
      <c r="AT618" s="90" t="s">
        <v>244</v>
      </c>
      <c r="AU618" s="90">
        <v>175.87190000000001</v>
      </c>
      <c r="AV618" s="90">
        <v>143.69450243022001</v>
      </c>
      <c r="AW618" s="90">
        <v>1091.4465488400299</v>
      </c>
      <c r="AX618" s="90">
        <v>0.81976710760000004</v>
      </c>
    </row>
    <row r="619" spans="1:50" x14ac:dyDescent="0.25">
      <c r="A619" s="102">
        <v>830000</v>
      </c>
      <c r="B619" s="102">
        <v>2400000</v>
      </c>
      <c r="C619" s="102">
        <v>2400000</v>
      </c>
      <c r="D619" s="90" t="s">
        <v>374</v>
      </c>
      <c r="E619" s="90" t="s">
        <v>68</v>
      </c>
      <c r="F619" s="90" t="s">
        <v>375</v>
      </c>
      <c r="G619" s="90" t="s">
        <v>376</v>
      </c>
      <c r="H619" s="90">
        <v>0.59</v>
      </c>
      <c r="I619" s="90">
        <v>0.64</v>
      </c>
      <c r="J619" s="90" t="s">
        <v>244</v>
      </c>
      <c r="K619" s="90">
        <v>0.13305896766933001</v>
      </c>
      <c r="L619" s="90">
        <v>3746.25088381039</v>
      </c>
      <c r="M619" s="90">
        <v>10.778572776201001</v>
      </c>
      <c r="N619" s="90">
        <v>2.0768427659572302</v>
      </c>
      <c r="O619" s="90">
        <v>1.4341857665500599</v>
      </c>
      <c r="P619" s="90">
        <v>0.27634255444978001</v>
      </c>
      <c r="Q619" s="90">
        <v>498.47227523012998</v>
      </c>
      <c r="R619" s="90">
        <v>1300</v>
      </c>
      <c r="S619" s="90" t="s">
        <v>387</v>
      </c>
      <c r="T619" s="90">
        <v>1300</v>
      </c>
      <c r="U619" s="90" t="s">
        <v>378</v>
      </c>
      <c r="V619" s="90" t="s">
        <v>244</v>
      </c>
      <c r="Z619" s="90">
        <v>0</v>
      </c>
      <c r="AA619" s="90">
        <v>1</v>
      </c>
      <c r="AB619" s="90">
        <v>1.4341857665500599</v>
      </c>
      <c r="AC619" s="90">
        <v>0.27634255444978001</v>
      </c>
      <c r="AD619" s="90">
        <v>498.47227523012998</v>
      </c>
      <c r="AF619" s="90">
        <v>-1</v>
      </c>
      <c r="AG619" s="90">
        <v>-1</v>
      </c>
      <c r="AH619" s="90">
        <v>-1</v>
      </c>
      <c r="AI619" s="90">
        <v>-1</v>
      </c>
      <c r="AJ619" s="90">
        <v>0</v>
      </c>
      <c r="AM619" s="90" t="s">
        <v>379</v>
      </c>
      <c r="AN619" s="90">
        <v>-1</v>
      </c>
      <c r="AQ619" s="90">
        <v>356</v>
      </c>
      <c r="AR619" s="90" t="s">
        <v>380</v>
      </c>
      <c r="AS619" s="90" t="s">
        <v>246</v>
      </c>
      <c r="AT619" s="90" t="s">
        <v>244</v>
      </c>
      <c r="AU619" s="90">
        <v>175.87190000000001</v>
      </c>
      <c r="AV619" s="90">
        <v>122.22698144815</v>
      </c>
      <c r="AW619" s="90">
        <v>538.47053787054404</v>
      </c>
      <c r="AX619" s="90">
        <v>0.40427597339999999</v>
      </c>
    </row>
    <row r="620" spans="1:50" x14ac:dyDescent="0.25">
      <c r="A620" s="102">
        <v>830000</v>
      </c>
      <c r="B620" s="102">
        <v>2400000</v>
      </c>
      <c r="C620" s="102">
        <v>2400000</v>
      </c>
      <c r="D620" s="90" t="s">
        <v>374</v>
      </c>
      <c r="E620" s="90" t="s">
        <v>68</v>
      </c>
      <c r="F620" s="90" t="s">
        <v>375</v>
      </c>
      <c r="G620" s="90" t="s">
        <v>376</v>
      </c>
      <c r="H620" s="90">
        <v>0.59</v>
      </c>
      <c r="I620" s="90">
        <v>0.64</v>
      </c>
      <c r="J620" s="90" t="s">
        <v>244</v>
      </c>
      <c r="K620" s="90">
        <v>3.1387147071600002E-3</v>
      </c>
      <c r="L620" s="90">
        <v>3721.7188092839601</v>
      </c>
      <c r="M620" s="90">
        <v>8.2794321320968898</v>
      </c>
      <c r="N620" s="90">
        <v>1.11508129709662</v>
      </c>
      <c r="O620" s="90">
        <v>2.5986775399970002E-2</v>
      </c>
      <c r="P620" s="90">
        <v>3.4999220668800002E-3</v>
      </c>
      <c r="Q620" s="90">
        <v>11.6814135626247</v>
      </c>
      <c r="R620" s="90">
        <v>1200</v>
      </c>
      <c r="S620" s="90" t="s">
        <v>384</v>
      </c>
      <c r="T620" s="90">
        <v>1200</v>
      </c>
      <c r="U620" s="90" t="s">
        <v>378</v>
      </c>
      <c r="V620" s="90" t="s">
        <v>244</v>
      </c>
      <c r="Z620" s="90">
        <v>0</v>
      </c>
      <c r="AA620" s="90">
        <v>1</v>
      </c>
      <c r="AB620" s="90">
        <v>2.5986775399970002E-2</v>
      </c>
      <c r="AC620" s="90">
        <v>3.4999220668800002E-3</v>
      </c>
      <c r="AD620" s="90">
        <v>11.681413562623399</v>
      </c>
      <c r="AF620" s="90">
        <v>-1</v>
      </c>
      <c r="AG620" s="90">
        <v>-1</v>
      </c>
      <c r="AH620" s="90">
        <v>-1</v>
      </c>
      <c r="AI620" s="90">
        <v>-1</v>
      </c>
      <c r="AJ620" s="90">
        <v>0</v>
      </c>
      <c r="AM620" s="90" t="s">
        <v>379</v>
      </c>
      <c r="AN620" s="90">
        <v>-1</v>
      </c>
      <c r="AQ620" s="90">
        <v>356</v>
      </c>
      <c r="AR620" s="90" t="s">
        <v>380</v>
      </c>
      <c r="AS620" s="90" t="s">
        <v>246</v>
      </c>
      <c r="AT620" s="90" t="s">
        <v>244</v>
      </c>
      <c r="AU620" s="90">
        <v>175.87190000000001</v>
      </c>
      <c r="AV620" s="90">
        <v>81.067720691772607</v>
      </c>
      <c r="AW620" s="90">
        <v>12.7019277707625</v>
      </c>
      <c r="AX620" s="90">
        <v>9.4739769000000001E-3</v>
      </c>
    </row>
    <row r="621" spans="1:50" x14ac:dyDescent="0.25">
      <c r="A621" s="102">
        <v>830000</v>
      </c>
      <c r="B621" s="102">
        <v>2400000</v>
      </c>
      <c r="C621" s="102">
        <v>2400000</v>
      </c>
      <c r="D621" s="90" t="s">
        <v>374</v>
      </c>
      <c r="E621" s="90" t="s">
        <v>68</v>
      </c>
      <c r="F621" s="90" t="s">
        <v>375</v>
      </c>
      <c r="G621" s="90" t="s">
        <v>376</v>
      </c>
      <c r="H621" s="90">
        <v>0.59</v>
      </c>
      <c r="I621" s="90">
        <v>0.64</v>
      </c>
      <c r="J621" s="90" t="s">
        <v>381</v>
      </c>
      <c r="K621" s="90">
        <v>6.4341236390590001E-2</v>
      </c>
      <c r="L621" s="90">
        <v>3721.7188092839601</v>
      </c>
      <c r="M621" s="90">
        <v>8.2794321320968898</v>
      </c>
      <c r="N621" s="90">
        <v>1.11508129709662</v>
      </c>
      <c r="O621" s="90">
        <v>0.53270889999112003</v>
      </c>
      <c r="P621" s="90">
        <v>7.1745709331220001E-2</v>
      </c>
      <c r="Q621" s="90">
        <v>239.459989687459</v>
      </c>
      <c r="R621" s="90">
        <v>1200</v>
      </c>
      <c r="S621" s="90" t="s">
        <v>384</v>
      </c>
      <c r="T621" s="90">
        <v>1200</v>
      </c>
      <c r="U621" s="90" t="s">
        <v>382</v>
      </c>
      <c r="V621" s="90" t="s">
        <v>381</v>
      </c>
      <c r="Z621" s="90">
        <v>0</v>
      </c>
      <c r="AA621" s="90">
        <v>1</v>
      </c>
      <c r="AB621" s="90">
        <v>0.53270889999112003</v>
      </c>
      <c r="AC621" s="90">
        <v>7.1745709331220001E-2</v>
      </c>
      <c r="AD621" s="90">
        <v>239.45998968745701</v>
      </c>
      <c r="AF621" s="90">
        <v>-1</v>
      </c>
      <c r="AG621" s="90">
        <v>-1</v>
      </c>
      <c r="AH621" s="90">
        <v>-1</v>
      </c>
      <c r="AI621" s="90">
        <v>-1</v>
      </c>
      <c r="AJ621" s="90">
        <v>0</v>
      </c>
      <c r="AM621" s="90" t="s">
        <v>379</v>
      </c>
      <c r="AN621" s="90">
        <v>-1</v>
      </c>
      <c r="AQ621" s="90">
        <v>356</v>
      </c>
      <c r="AR621" s="90" t="s">
        <v>380</v>
      </c>
      <c r="AS621" s="90" t="s">
        <v>246</v>
      </c>
      <c r="AT621" s="90" t="s">
        <v>244</v>
      </c>
      <c r="AU621" s="90">
        <v>175.87190000000001</v>
      </c>
      <c r="AV621" s="90">
        <v>102.675553910464</v>
      </c>
      <c r="AW621" s="90">
        <v>260.37974571243001</v>
      </c>
      <c r="AX621" s="90">
        <v>0.19420923740000001</v>
      </c>
    </row>
    <row r="622" spans="1:50" x14ac:dyDescent="0.25">
      <c r="A622" s="102">
        <v>830000</v>
      </c>
      <c r="B622" s="102">
        <v>2400000</v>
      </c>
      <c r="C622" s="102">
        <v>2400000</v>
      </c>
      <c r="D622" s="90" t="s">
        <v>374</v>
      </c>
      <c r="E622" s="90" t="s">
        <v>68</v>
      </c>
      <c r="F622" s="90" t="s">
        <v>375</v>
      </c>
      <c r="G622" s="90" t="s">
        <v>376</v>
      </c>
      <c r="H622" s="90">
        <v>0.59</v>
      </c>
      <c r="I622" s="90">
        <v>0.64</v>
      </c>
      <c r="J622" s="90" t="s">
        <v>381</v>
      </c>
      <c r="K622" s="90">
        <v>5.2389539004600002E-3</v>
      </c>
      <c r="L622" s="90">
        <v>3721.7188092839601</v>
      </c>
      <c r="M622" s="90">
        <v>8.2794321320968898</v>
      </c>
      <c r="N622" s="90">
        <v>1.11508129709662</v>
      </c>
      <c r="O622" s="90">
        <v>4.3375563262049999E-2</v>
      </c>
      <c r="P622" s="90">
        <v>5.84185951075E-3</v>
      </c>
      <c r="Q622" s="90">
        <v>19.497913272321</v>
      </c>
      <c r="R622" s="90">
        <v>1400</v>
      </c>
      <c r="S622" s="90" t="s">
        <v>324</v>
      </c>
      <c r="T622" s="90">
        <v>1400</v>
      </c>
      <c r="U622" s="90" t="s">
        <v>382</v>
      </c>
      <c r="V622" s="90" t="s">
        <v>381</v>
      </c>
      <c r="Z622" s="90">
        <v>0</v>
      </c>
      <c r="AA622" s="90">
        <v>1</v>
      </c>
      <c r="AB622" s="90">
        <v>4.3375563262049999E-2</v>
      </c>
      <c r="AC622" s="90">
        <v>5.84185951075E-3</v>
      </c>
      <c r="AD622" s="90">
        <v>19.4979132723197</v>
      </c>
      <c r="AF622" s="90">
        <v>-1</v>
      </c>
      <c r="AG622" s="90">
        <v>-1</v>
      </c>
      <c r="AH622" s="90">
        <v>-1</v>
      </c>
      <c r="AI622" s="90">
        <v>-1</v>
      </c>
      <c r="AJ622" s="90">
        <v>0</v>
      </c>
      <c r="AM622" s="90" t="s">
        <v>379</v>
      </c>
      <c r="AN622" s="90">
        <v>-1</v>
      </c>
      <c r="AQ622" s="90">
        <v>356</v>
      </c>
      <c r="AR622" s="90" t="s">
        <v>380</v>
      </c>
      <c r="AS622" s="90" t="s">
        <v>246</v>
      </c>
      <c r="AT622" s="90" t="s">
        <v>244</v>
      </c>
      <c r="AU622" s="90">
        <v>175.87190000000001</v>
      </c>
      <c r="AV622" s="90">
        <v>18.4745795744596</v>
      </c>
      <c r="AW622" s="90">
        <v>21.2012942387408</v>
      </c>
      <c r="AX622" s="90">
        <v>1.5813392799999999E-2</v>
      </c>
    </row>
    <row r="623" spans="1:50" x14ac:dyDescent="0.25">
      <c r="A623" s="102">
        <v>830000</v>
      </c>
      <c r="B623" s="102">
        <v>2400000</v>
      </c>
      <c r="C623" s="102">
        <v>2400000</v>
      </c>
      <c r="D623" s="90" t="s">
        <v>374</v>
      </c>
      <c r="E623" s="90" t="s">
        <v>68</v>
      </c>
      <c r="F623" s="90" t="s">
        <v>375</v>
      </c>
      <c r="G623" s="90" t="s">
        <v>376</v>
      </c>
      <c r="H623" s="90">
        <v>0.59</v>
      </c>
      <c r="I623" s="90">
        <v>0.64</v>
      </c>
      <c r="J623" s="90" t="s">
        <v>244</v>
      </c>
      <c r="K623" s="90">
        <v>6.0866125684319997E-2</v>
      </c>
      <c r="L623" s="90">
        <v>3721.7188092839601</v>
      </c>
      <c r="M623" s="90">
        <v>8.2794321320968898</v>
      </c>
      <c r="N623" s="90">
        <v>1.11508129709662</v>
      </c>
      <c r="O623" s="90">
        <v>0.50393695674706995</v>
      </c>
      <c r="P623" s="90">
        <v>6.7870678377319998E-2</v>
      </c>
      <c r="Q623" s="90">
        <v>226.526604807605</v>
      </c>
      <c r="R623" s="90">
        <v>1850</v>
      </c>
      <c r="S623" s="90" t="s">
        <v>388</v>
      </c>
      <c r="T623" s="90">
        <v>1850</v>
      </c>
      <c r="U623" s="90" t="s">
        <v>378</v>
      </c>
      <c r="V623" s="90" t="s">
        <v>244</v>
      </c>
      <c r="Z623" s="90">
        <v>0</v>
      </c>
      <c r="AA623" s="90">
        <v>1</v>
      </c>
      <c r="AB623" s="90">
        <v>0.50393695674706995</v>
      </c>
      <c r="AC623" s="90">
        <v>6.7870678377319998E-2</v>
      </c>
      <c r="AD623" s="90">
        <v>226.52660480760599</v>
      </c>
      <c r="AF623" s="90">
        <v>-1</v>
      </c>
      <c r="AG623" s="90">
        <v>-1</v>
      </c>
      <c r="AH623" s="90">
        <v>-1</v>
      </c>
      <c r="AI623" s="90">
        <v>-1</v>
      </c>
      <c r="AJ623" s="90">
        <v>0</v>
      </c>
      <c r="AM623" s="90" t="s">
        <v>379</v>
      </c>
      <c r="AN623" s="90">
        <v>-1</v>
      </c>
      <c r="AQ623" s="90">
        <v>356</v>
      </c>
      <c r="AR623" s="90" t="s">
        <v>380</v>
      </c>
      <c r="AS623" s="90" t="s">
        <v>246</v>
      </c>
      <c r="AT623" s="90" t="s">
        <v>244</v>
      </c>
      <c r="AU623" s="90">
        <v>175.87190000000001</v>
      </c>
      <c r="AV623" s="90">
        <v>64.874472672047602</v>
      </c>
      <c r="AW623" s="90">
        <v>246.316471632229</v>
      </c>
      <c r="AX623" s="90">
        <v>0.18371987410000001</v>
      </c>
    </row>
    <row r="624" spans="1:50" x14ac:dyDescent="0.25">
      <c r="A624" s="102">
        <v>830000</v>
      </c>
      <c r="B624" s="102">
        <v>2400000</v>
      </c>
      <c r="C624" s="102">
        <v>2400000</v>
      </c>
      <c r="D624" s="90" t="s">
        <v>374</v>
      </c>
      <c r="E624" s="90" t="s">
        <v>68</v>
      </c>
      <c r="F624" s="90" t="s">
        <v>375</v>
      </c>
      <c r="G624" s="90" t="s">
        <v>376</v>
      </c>
      <c r="H624" s="90">
        <v>0.59</v>
      </c>
      <c r="I624" s="90">
        <v>0.64</v>
      </c>
      <c r="J624" s="90" t="s">
        <v>381</v>
      </c>
      <c r="K624" s="90">
        <v>2.6489987167650001E-2</v>
      </c>
      <c r="L624" s="90">
        <v>3721.7188092839601</v>
      </c>
      <c r="M624" s="90">
        <v>8.2794321320968898</v>
      </c>
      <c r="N624" s="90">
        <v>1.11508129709662</v>
      </c>
      <c r="O624" s="90">
        <v>0.2193220509347</v>
      </c>
      <c r="P624" s="90">
        <v>2.9538489250979998E-2</v>
      </c>
      <c r="Q624" s="90">
        <v>98.588283499548595</v>
      </c>
      <c r="R624" s="90">
        <v>1850</v>
      </c>
      <c r="S624" s="90" t="s">
        <v>388</v>
      </c>
      <c r="T624" s="90">
        <v>1850</v>
      </c>
      <c r="U624" s="90" t="s">
        <v>382</v>
      </c>
      <c r="V624" s="90" t="s">
        <v>381</v>
      </c>
      <c r="Z624" s="90">
        <v>0</v>
      </c>
      <c r="AA624" s="90">
        <v>1</v>
      </c>
      <c r="AB624" s="90">
        <v>0.2193220509347</v>
      </c>
      <c r="AC624" s="90">
        <v>2.9538489250979998E-2</v>
      </c>
      <c r="AD624" s="90">
        <v>98.588283499547103</v>
      </c>
      <c r="AF624" s="90">
        <v>-1</v>
      </c>
      <c r="AG624" s="90">
        <v>-1</v>
      </c>
      <c r="AH624" s="90">
        <v>-1</v>
      </c>
      <c r="AI624" s="90">
        <v>-1</v>
      </c>
      <c r="AJ624" s="90">
        <v>0</v>
      </c>
      <c r="AM624" s="90" t="s">
        <v>379</v>
      </c>
      <c r="AN624" s="90">
        <v>-1</v>
      </c>
      <c r="AQ624" s="90">
        <v>356</v>
      </c>
      <c r="AR624" s="90" t="s">
        <v>380</v>
      </c>
      <c r="AS624" s="90" t="s">
        <v>246</v>
      </c>
      <c r="AT624" s="90" t="s">
        <v>244</v>
      </c>
      <c r="AU624" s="90">
        <v>175.87190000000001</v>
      </c>
      <c r="AV624" s="90">
        <v>104.714971793815</v>
      </c>
      <c r="AW624" s="90">
        <v>107.20117469871199</v>
      </c>
      <c r="AX624" s="90">
        <v>7.9958056400000005E-2</v>
      </c>
    </row>
    <row r="625" spans="1:50" x14ac:dyDescent="0.25">
      <c r="A625" s="102">
        <v>830000</v>
      </c>
      <c r="B625" s="102">
        <v>2400000</v>
      </c>
      <c r="C625" s="102">
        <v>2400000</v>
      </c>
      <c r="D625" s="90" t="s">
        <v>374</v>
      </c>
      <c r="E625" s="90" t="s">
        <v>68</v>
      </c>
      <c r="F625" s="90" t="s">
        <v>375</v>
      </c>
      <c r="G625" s="90" t="s">
        <v>376</v>
      </c>
      <c r="H625" s="90">
        <v>0.59</v>
      </c>
      <c r="I625" s="90">
        <v>0.64</v>
      </c>
      <c r="J625" s="90" t="s">
        <v>381</v>
      </c>
      <c r="K625" s="90">
        <v>0.27040822236437001</v>
      </c>
      <c r="L625" s="90">
        <v>3721.7188092839601</v>
      </c>
      <c r="M625" s="90">
        <v>8.2794321320968898</v>
      </c>
      <c r="N625" s="90">
        <v>1.11508129709662</v>
      </c>
      <c r="O625" s="90">
        <v>2.2388265250268402</v>
      </c>
      <c r="P625" s="90">
        <v>0.30152715133966002</v>
      </c>
      <c r="Q625" s="90">
        <v>1006.38336735854</v>
      </c>
      <c r="R625" s="90">
        <v>8140</v>
      </c>
      <c r="S625" s="90" t="s">
        <v>386</v>
      </c>
      <c r="T625" s="90">
        <v>8140</v>
      </c>
      <c r="U625" s="90" t="s">
        <v>382</v>
      </c>
      <c r="V625" s="90" t="s">
        <v>381</v>
      </c>
      <c r="Z625" s="90">
        <v>0</v>
      </c>
      <c r="AA625" s="90">
        <v>1</v>
      </c>
      <c r="AB625" s="90">
        <v>2.2388265250268402</v>
      </c>
      <c r="AC625" s="90">
        <v>0.30152715133966002</v>
      </c>
      <c r="AD625" s="90">
        <v>1006.38336735854</v>
      </c>
      <c r="AF625" s="90">
        <v>-1</v>
      </c>
      <c r="AG625" s="90">
        <v>-1</v>
      </c>
      <c r="AH625" s="90">
        <v>-1</v>
      </c>
      <c r="AI625" s="90">
        <v>-1</v>
      </c>
      <c r="AJ625" s="90">
        <v>0</v>
      </c>
      <c r="AM625" s="90" t="s">
        <v>379</v>
      </c>
      <c r="AN625" s="90">
        <v>-1</v>
      </c>
      <c r="AQ625" s="90">
        <v>356</v>
      </c>
      <c r="AR625" s="90" t="s">
        <v>380</v>
      </c>
      <c r="AS625" s="90" t="s">
        <v>246</v>
      </c>
      <c r="AT625" s="90" t="s">
        <v>244</v>
      </c>
      <c r="AU625" s="90">
        <v>175.87190000000001</v>
      </c>
      <c r="AV625" s="90">
        <v>143.91433700201</v>
      </c>
      <c r="AW625" s="90">
        <v>1094.3032513450501</v>
      </c>
      <c r="AX625" s="90">
        <v>0.81620711059999995</v>
      </c>
    </row>
    <row r="626" spans="1:50" x14ac:dyDescent="0.25">
      <c r="A626" s="102">
        <v>830000</v>
      </c>
      <c r="B626" s="102">
        <v>2400000</v>
      </c>
      <c r="C626" s="102">
        <v>2400000</v>
      </c>
      <c r="D626" s="90" t="s">
        <v>374</v>
      </c>
      <c r="E626" s="90" t="s">
        <v>68</v>
      </c>
      <c r="F626" s="90" t="s">
        <v>375</v>
      </c>
      <c r="G626" s="90" t="s">
        <v>376</v>
      </c>
      <c r="H626" s="90">
        <v>0.59</v>
      </c>
      <c r="I626" s="90">
        <v>0.64</v>
      </c>
      <c r="J626" s="90" t="s">
        <v>244</v>
      </c>
      <c r="K626" s="90">
        <v>1.7631893072600001E-3</v>
      </c>
      <c r="L626" s="90">
        <v>3721.7188092839601</v>
      </c>
      <c r="M626" s="90">
        <v>8.2794321320968898</v>
      </c>
      <c r="N626" s="90">
        <v>1.11508129709662</v>
      </c>
      <c r="O626" s="90">
        <v>1.459820620556E-2</v>
      </c>
      <c r="P626" s="90">
        <v>1.9660994197699998E-3</v>
      </c>
      <c r="Q626" s="90">
        <v>6.5620948091876699</v>
      </c>
      <c r="R626" s="90">
        <v>1210</v>
      </c>
      <c r="S626" s="90" t="s">
        <v>385</v>
      </c>
      <c r="T626" s="90">
        <v>1210</v>
      </c>
      <c r="U626" s="90" t="s">
        <v>378</v>
      </c>
      <c r="V626" s="90" t="s">
        <v>244</v>
      </c>
      <c r="Z626" s="90">
        <v>0</v>
      </c>
      <c r="AA626" s="90">
        <v>1</v>
      </c>
      <c r="AB626" s="90">
        <v>1.459820620556E-2</v>
      </c>
      <c r="AC626" s="90">
        <v>1.9660994197699998E-3</v>
      </c>
      <c r="AD626" s="90">
        <v>6.5620948091885998</v>
      </c>
      <c r="AF626" s="90">
        <v>-1</v>
      </c>
      <c r="AG626" s="90">
        <v>-1</v>
      </c>
      <c r="AH626" s="90">
        <v>-1</v>
      </c>
      <c r="AI626" s="90">
        <v>-1</v>
      </c>
      <c r="AJ626" s="90">
        <v>0</v>
      </c>
      <c r="AM626" s="90" t="s">
        <v>379</v>
      </c>
      <c r="AN626" s="90">
        <v>-1</v>
      </c>
      <c r="AQ626" s="90">
        <v>356</v>
      </c>
      <c r="AR626" s="90" t="s">
        <v>380</v>
      </c>
      <c r="AS626" s="90" t="s">
        <v>246</v>
      </c>
      <c r="AT626" s="90" t="s">
        <v>244</v>
      </c>
      <c r="AU626" s="90">
        <v>175.87190000000001</v>
      </c>
      <c r="AV626" s="90">
        <v>48.322283489795197</v>
      </c>
      <c r="AW626" s="90">
        <v>7.1353739720255298</v>
      </c>
      <c r="AX626" s="90">
        <v>5.3220558000000003E-3</v>
      </c>
    </row>
    <row r="627" spans="1:50" x14ac:dyDescent="0.25">
      <c r="A627" s="102">
        <v>830000</v>
      </c>
      <c r="B627" s="102">
        <v>2400000</v>
      </c>
      <c r="C627" s="102">
        <v>2400000</v>
      </c>
      <c r="D627" s="90" t="s">
        <v>374</v>
      </c>
      <c r="E627" s="90" t="s">
        <v>68</v>
      </c>
      <c r="F627" s="90" t="s">
        <v>375</v>
      </c>
      <c r="G627" s="90" t="s">
        <v>376</v>
      </c>
      <c r="H627" s="90">
        <v>0.59</v>
      </c>
      <c r="I627" s="90">
        <v>0.64</v>
      </c>
      <c r="J627" s="90" t="s">
        <v>244</v>
      </c>
      <c r="K627" s="90">
        <v>0.59184919849767004</v>
      </c>
      <c r="L627" s="90">
        <v>3752.2321467617899</v>
      </c>
      <c r="M627" s="90">
        <v>10.7949726476373</v>
      </c>
      <c r="N627" s="90">
        <v>2.0799086136398302</v>
      </c>
      <c r="O627" s="90">
        <v>6.3889959093084601</v>
      </c>
      <c r="P627" s="90">
        <v>1.23099224593114</v>
      </c>
      <c r="Q627" s="90">
        <v>2220.7555886381601</v>
      </c>
      <c r="R627" s="90">
        <v>1300</v>
      </c>
      <c r="S627" s="90" t="s">
        <v>387</v>
      </c>
      <c r="T627" s="90">
        <v>1300</v>
      </c>
      <c r="U627" s="90" t="s">
        <v>378</v>
      </c>
      <c r="V627" s="90" t="s">
        <v>244</v>
      </c>
      <c r="Z627" s="90">
        <v>0</v>
      </c>
      <c r="AA627" s="90">
        <v>1</v>
      </c>
      <c r="AB627" s="90">
        <v>6.3889959093084601</v>
      </c>
      <c r="AC627" s="90">
        <v>1.23099224593114</v>
      </c>
      <c r="AD627" s="90">
        <v>2220.7555886381601</v>
      </c>
      <c r="AF627" s="90">
        <v>-1</v>
      </c>
      <c r="AG627" s="90">
        <v>-1</v>
      </c>
      <c r="AH627" s="90">
        <v>-1</v>
      </c>
      <c r="AI627" s="90">
        <v>-1</v>
      </c>
      <c r="AJ627" s="90">
        <v>0</v>
      </c>
      <c r="AM627" s="90" t="s">
        <v>379</v>
      </c>
      <c r="AN627" s="90">
        <v>-1</v>
      </c>
      <c r="AQ627" s="90">
        <v>356</v>
      </c>
      <c r="AR627" s="90" t="s">
        <v>380</v>
      </c>
      <c r="AS627" s="90" t="s">
        <v>246</v>
      </c>
      <c r="AT627" s="90" t="s">
        <v>244</v>
      </c>
      <c r="AU627" s="90">
        <v>175.87190000000001</v>
      </c>
      <c r="AV627" s="90">
        <v>195.815742553208</v>
      </c>
      <c r="AW627" s="90">
        <v>2395.1287300325898</v>
      </c>
      <c r="AX627" s="90">
        <v>1.8010994230999999</v>
      </c>
    </row>
    <row r="628" spans="1:50" x14ac:dyDescent="0.25">
      <c r="A628" s="102">
        <v>830000</v>
      </c>
      <c r="B628" s="102">
        <v>2400000</v>
      </c>
      <c r="C628" s="102">
        <v>2400000</v>
      </c>
      <c r="D628" s="90" t="s">
        <v>374</v>
      </c>
      <c r="E628" s="90" t="s">
        <v>68</v>
      </c>
      <c r="F628" s="90" t="s">
        <v>375</v>
      </c>
      <c r="G628" s="90" t="s">
        <v>376</v>
      </c>
      <c r="H628" s="90">
        <v>0.59</v>
      </c>
      <c r="I628" s="90">
        <v>0.64</v>
      </c>
      <c r="J628" s="90" t="s">
        <v>244</v>
      </c>
      <c r="K628" s="90">
        <v>2.591425517024E-2</v>
      </c>
      <c r="L628" s="90">
        <v>3752.2321467617899</v>
      </c>
      <c r="M628" s="90">
        <v>10.7949726476373</v>
      </c>
      <c r="N628" s="90">
        <v>2.0799086136398302</v>
      </c>
      <c r="O628" s="90">
        <v>0.27974367574664999</v>
      </c>
      <c r="P628" s="90">
        <v>5.389928254464E-2</v>
      </c>
      <c r="Q628" s="90">
        <v>97.236301309170202</v>
      </c>
      <c r="R628" s="90">
        <v>1300</v>
      </c>
      <c r="S628" s="90" t="s">
        <v>387</v>
      </c>
      <c r="T628" s="90">
        <v>1300</v>
      </c>
      <c r="U628" s="90" t="s">
        <v>378</v>
      </c>
      <c r="V628" s="90" t="s">
        <v>244</v>
      </c>
      <c r="Z628" s="90">
        <v>0</v>
      </c>
      <c r="AA628" s="90">
        <v>1</v>
      </c>
      <c r="AB628" s="90">
        <v>0.27974367574664999</v>
      </c>
      <c r="AC628" s="90">
        <v>5.389928254464E-2</v>
      </c>
      <c r="AD628" s="90">
        <v>97.236301309170898</v>
      </c>
      <c r="AF628" s="90">
        <v>-1</v>
      </c>
      <c r="AG628" s="90">
        <v>-1</v>
      </c>
      <c r="AH628" s="90">
        <v>-1</v>
      </c>
      <c r="AI628" s="90">
        <v>-1</v>
      </c>
      <c r="AJ628" s="90">
        <v>0</v>
      </c>
      <c r="AM628" s="90" t="s">
        <v>379</v>
      </c>
      <c r="AN628" s="90">
        <v>-1</v>
      </c>
      <c r="AQ628" s="90">
        <v>356</v>
      </c>
      <c r="AR628" s="90" t="s">
        <v>380</v>
      </c>
      <c r="AS628" s="90" t="s">
        <v>246</v>
      </c>
      <c r="AT628" s="90" t="s">
        <v>244</v>
      </c>
      <c r="AU628" s="90">
        <v>175.87190000000001</v>
      </c>
      <c r="AV628" s="90">
        <v>104.2054441506</v>
      </c>
      <c r="AW628" s="90">
        <v>104.871269967407</v>
      </c>
      <c r="AX628" s="90">
        <v>7.8861558200000001E-2</v>
      </c>
    </row>
    <row r="629" spans="1:50" x14ac:dyDescent="0.25">
      <c r="A629" s="102">
        <v>830000</v>
      </c>
      <c r="B629" s="102">
        <v>2400000</v>
      </c>
      <c r="C629" s="102">
        <v>2400000</v>
      </c>
      <c r="D629" s="90" t="s">
        <v>374</v>
      </c>
      <c r="E629" s="90" t="s">
        <v>68</v>
      </c>
      <c r="F629" s="90" t="s">
        <v>375</v>
      </c>
      <c r="G629" s="90" t="s">
        <v>376</v>
      </c>
      <c r="H629" s="90">
        <v>0.59</v>
      </c>
      <c r="I629" s="90">
        <v>0.64</v>
      </c>
      <c r="J629" s="90" t="s">
        <v>244</v>
      </c>
      <c r="K629" s="90">
        <v>5.282983960584E-2</v>
      </c>
      <c r="L629" s="90">
        <v>3733.4874132284599</v>
      </c>
      <c r="M629" s="90">
        <v>11.794272425868099</v>
      </c>
      <c r="N629" s="90">
        <v>2.3949625010971198</v>
      </c>
      <c r="O629" s="90">
        <v>0.62308952052624</v>
      </c>
      <c r="P629" s="90">
        <v>0.12652548479497</v>
      </c>
      <c r="Q629" s="90">
        <v>197.239541211297</v>
      </c>
      <c r="R629" s="90">
        <v>1300</v>
      </c>
      <c r="S629" s="90" t="s">
        <v>387</v>
      </c>
      <c r="T629" s="90">
        <v>1300</v>
      </c>
      <c r="U629" s="90" t="s">
        <v>378</v>
      </c>
      <c r="V629" s="90" t="s">
        <v>244</v>
      </c>
      <c r="Z629" s="90">
        <v>0</v>
      </c>
      <c r="AA629" s="90">
        <v>1</v>
      </c>
      <c r="AB629" s="90">
        <v>0.62308952052624</v>
      </c>
      <c r="AC629" s="90">
        <v>0.12652548479497</v>
      </c>
      <c r="AD629" s="90">
        <v>197.239541211297</v>
      </c>
      <c r="AF629" s="90">
        <v>-1</v>
      </c>
      <c r="AG629" s="90">
        <v>-1</v>
      </c>
      <c r="AH629" s="90">
        <v>-1</v>
      </c>
      <c r="AI629" s="90">
        <v>-1</v>
      </c>
      <c r="AJ629" s="90">
        <v>0</v>
      </c>
      <c r="AM629" s="90" t="s">
        <v>379</v>
      </c>
      <c r="AN629" s="90">
        <v>-1</v>
      </c>
      <c r="AQ629" s="90">
        <v>356</v>
      </c>
      <c r="AR629" s="90" t="s">
        <v>380</v>
      </c>
      <c r="AS629" s="90" t="s">
        <v>246</v>
      </c>
      <c r="AT629" s="90" t="s">
        <v>244</v>
      </c>
      <c r="AU629" s="90">
        <v>175.87190000000001</v>
      </c>
      <c r="AV629" s="90">
        <v>104.20691763406199</v>
      </c>
      <c r="AW629" s="90">
        <v>213.79477570327199</v>
      </c>
      <c r="AX629" s="90">
        <v>0.15996718670000001</v>
      </c>
    </row>
    <row r="630" spans="1:50" x14ac:dyDescent="0.25">
      <c r="A630" s="102">
        <v>830000</v>
      </c>
      <c r="B630" s="102">
        <v>2400000</v>
      </c>
      <c r="C630" s="102">
        <v>2400000</v>
      </c>
      <c r="D630" s="90" t="s">
        <v>374</v>
      </c>
      <c r="E630" s="90" t="s">
        <v>68</v>
      </c>
      <c r="F630" s="90" t="s">
        <v>375</v>
      </c>
      <c r="G630" s="90" t="s">
        <v>376</v>
      </c>
      <c r="H630" s="90">
        <v>0.59</v>
      </c>
      <c r="I630" s="90">
        <v>0.64</v>
      </c>
      <c r="J630" s="90" t="s">
        <v>244</v>
      </c>
      <c r="K630" s="90">
        <v>3.2233756791499998E-3</v>
      </c>
      <c r="L630" s="90">
        <v>3733.4874132284599</v>
      </c>
      <c r="M630" s="90">
        <v>11.794272425868099</v>
      </c>
      <c r="N630" s="90">
        <v>2.3949625010971198</v>
      </c>
      <c r="O630" s="90">
        <v>3.8017370890869998E-2</v>
      </c>
      <c r="P630" s="90">
        <v>7.7198638785200002E-3</v>
      </c>
      <c r="Q630" s="90">
        <v>12.0344325262319</v>
      </c>
      <c r="R630" s="90">
        <v>1300</v>
      </c>
      <c r="S630" s="90" t="s">
        <v>387</v>
      </c>
      <c r="T630" s="90">
        <v>1300</v>
      </c>
      <c r="U630" s="90" t="s">
        <v>378</v>
      </c>
      <c r="V630" s="90" t="s">
        <v>244</v>
      </c>
      <c r="Z630" s="90">
        <v>0</v>
      </c>
      <c r="AA630" s="90">
        <v>1</v>
      </c>
      <c r="AB630" s="90">
        <v>3.8017370890869998E-2</v>
      </c>
      <c r="AC630" s="90">
        <v>7.7198638785200002E-3</v>
      </c>
      <c r="AD630" s="90">
        <v>12.0344325262308</v>
      </c>
      <c r="AF630" s="90">
        <v>-1</v>
      </c>
      <c r="AG630" s="90">
        <v>-1</v>
      </c>
      <c r="AH630" s="90">
        <v>-1</v>
      </c>
      <c r="AI630" s="90">
        <v>-1</v>
      </c>
      <c r="AJ630" s="90">
        <v>0</v>
      </c>
      <c r="AM630" s="90" t="s">
        <v>379</v>
      </c>
      <c r="AN630" s="90">
        <v>-1</v>
      </c>
      <c r="AQ630" s="90">
        <v>356</v>
      </c>
      <c r="AR630" s="90" t="s">
        <v>380</v>
      </c>
      <c r="AS630" s="90" t="s">
        <v>246</v>
      </c>
      <c r="AT630" s="90" t="s">
        <v>244</v>
      </c>
      <c r="AU630" s="90">
        <v>175.87190000000001</v>
      </c>
      <c r="AV630" s="90">
        <v>15.6595746619865</v>
      </c>
      <c r="AW630" s="90">
        <v>13.044538568995099</v>
      </c>
      <c r="AX630" s="90">
        <v>9.7602859000000004E-3</v>
      </c>
    </row>
    <row r="631" spans="1:50" x14ac:dyDescent="0.25">
      <c r="A631" s="102">
        <v>830000</v>
      </c>
      <c r="B631" s="102">
        <v>2400000</v>
      </c>
      <c r="C631" s="102">
        <v>2400000</v>
      </c>
      <c r="D631" s="90" t="s">
        <v>374</v>
      </c>
      <c r="E631" s="90" t="s">
        <v>68</v>
      </c>
      <c r="F631" s="90" t="s">
        <v>375</v>
      </c>
      <c r="G631" s="90" t="s">
        <v>376</v>
      </c>
      <c r="H631" s="90">
        <v>0.59</v>
      </c>
      <c r="I631" s="90">
        <v>0.64</v>
      </c>
      <c r="J631" s="90" t="s">
        <v>244</v>
      </c>
      <c r="K631" s="90">
        <v>0.56171023865906999</v>
      </c>
      <c r="L631" s="90">
        <v>3733.4874132284599</v>
      </c>
      <c r="M631" s="90">
        <v>11.794272425868099</v>
      </c>
      <c r="N631" s="90">
        <v>2.3949625010971198</v>
      </c>
      <c r="O631" s="90">
        <v>6.6249635791445298</v>
      </c>
      <c r="P631" s="90">
        <v>1.3452749580708001</v>
      </c>
      <c r="Q631" s="90">
        <v>2097.13810591521</v>
      </c>
      <c r="R631" s="90">
        <v>1300</v>
      </c>
      <c r="S631" s="90" t="s">
        <v>387</v>
      </c>
      <c r="T631" s="90">
        <v>1300</v>
      </c>
      <c r="U631" s="90" t="s">
        <v>378</v>
      </c>
      <c r="V631" s="90" t="s">
        <v>244</v>
      </c>
      <c r="Z631" s="90">
        <v>0</v>
      </c>
      <c r="AA631" s="90">
        <v>1</v>
      </c>
      <c r="AB631" s="90">
        <v>6.6249635791445298</v>
      </c>
      <c r="AC631" s="90">
        <v>1.3452749580708001</v>
      </c>
      <c r="AD631" s="90">
        <v>2097.13810591521</v>
      </c>
      <c r="AF631" s="90">
        <v>-1</v>
      </c>
      <c r="AG631" s="90">
        <v>-1</v>
      </c>
      <c r="AH631" s="90">
        <v>-1</v>
      </c>
      <c r="AI631" s="90">
        <v>-1</v>
      </c>
      <c r="AJ631" s="90">
        <v>0</v>
      </c>
      <c r="AM631" s="90" t="s">
        <v>379</v>
      </c>
      <c r="AN631" s="90">
        <v>-1</v>
      </c>
      <c r="AQ631" s="90">
        <v>356</v>
      </c>
      <c r="AR631" s="90" t="s">
        <v>380</v>
      </c>
      <c r="AS631" s="90" t="s">
        <v>246</v>
      </c>
      <c r="AT631" s="90" t="s">
        <v>244</v>
      </c>
      <c r="AU631" s="90">
        <v>175.87190000000001</v>
      </c>
      <c r="AV631" s="90">
        <v>190.96077803064301</v>
      </c>
      <c r="AW631" s="90">
        <v>2273.16068684532</v>
      </c>
      <c r="AX631" s="90">
        <v>1.7008419349999999</v>
      </c>
    </row>
    <row r="632" spans="1:50" x14ac:dyDescent="0.25">
      <c r="A632" s="102">
        <v>830000</v>
      </c>
      <c r="B632" s="102">
        <v>2400000</v>
      </c>
      <c r="C632" s="102">
        <v>2400000</v>
      </c>
      <c r="D632" s="90" t="s">
        <v>374</v>
      </c>
      <c r="E632" s="90" t="s">
        <v>68</v>
      </c>
      <c r="F632" s="90" t="s">
        <v>375</v>
      </c>
      <c r="G632" s="90" t="s">
        <v>376</v>
      </c>
      <c r="H632" s="90">
        <v>0.59</v>
      </c>
      <c r="I632" s="90">
        <v>0.64</v>
      </c>
      <c r="J632" s="90" t="s">
        <v>244</v>
      </c>
      <c r="K632" s="90">
        <v>0.24912964389128001</v>
      </c>
      <c r="L632" s="90">
        <v>3746.2716027593101</v>
      </c>
      <c r="M632" s="90">
        <v>10.778632387990699</v>
      </c>
      <c r="N632" s="90">
        <v>2.07685425210888</v>
      </c>
      <c r="O632" s="90">
        <v>2.6852768484551999</v>
      </c>
      <c r="P632" s="90">
        <v>0.51740596024198005</v>
      </c>
      <c r="Q632" s="90">
        <v>933.30731031545599</v>
      </c>
      <c r="R632" s="90">
        <v>1300</v>
      </c>
      <c r="S632" s="90" t="s">
        <v>387</v>
      </c>
      <c r="T632" s="90">
        <v>1300</v>
      </c>
      <c r="U632" s="90" t="s">
        <v>378</v>
      </c>
      <c r="V632" s="90" t="s">
        <v>244</v>
      </c>
      <c r="Z632" s="90">
        <v>0</v>
      </c>
      <c r="AA632" s="90">
        <v>1</v>
      </c>
      <c r="AB632" s="90">
        <v>2.6852768484551999</v>
      </c>
      <c r="AC632" s="90">
        <v>0.51740596024198005</v>
      </c>
      <c r="AD632" s="90">
        <v>933.30731031545599</v>
      </c>
      <c r="AF632" s="90">
        <v>-1</v>
      </c>
      <c r="AG632" s="90">
        <v>-1</v>
      </c>
      <c r="AH632" s="90">
        <v>-1</v>
      </c>
      <c r="AI632" s="90">
        <v>-1</v>
      </c>
      <c r="AJ632" s="90">
        <v>0</v>
      </c>
      <c r="AM632" s="90" t="s">
        <v>379</v>
      </c>
      <c r="AN632" s="90">
        <v>-1</v>
      </c>
      <c r="AQ632" s="90">
        <v>356</v>
      </c>
      <c r="AR632" s="90" t="s">
        <v>380</v>
      </c>
      <c r="AS632" s="90" t="s">
        <v>246</v>
      </c>
      <c r="AT632" s="90" t="s">
        <v>244</v>
      </c>
      <c r="AU632" s="90">
        <v>175.87190000000001</v>
      </c>
      <c r="AV632" s="90">
        <v>131.47622285384401</v>
      </c>
      <c r="AW632" s="90">
        <v>1008.1918993916599</v>
      </c>
      <c r="AX632" s="90">
        <v>0.7569402355</v>
      </c>
    </row>
    <row r="633" spans="1:50" x14ac:dyDescent="0.25">
      <c r="A633" s="102">
        <v>830000</v>
      </c>
      <c r="B633" s="102">
        <v>2400000</v>
      </c>
      <c r="C633" s="102">
        <v>2400000</v>
      </c>
      <c r="D633" s="90" t="s">
        <v>374</v>
      </c>
      <c r="E633" s="90" t="s">
        <v>68</v>
      </c>
      <c r="F633" s="90" t="s">
        <v>375</v>
      </c>
      <c r="G633" s="90" t="s">
        <v>376</v>
      </c>
      <c r="H633" s="90">
        <v>0.59</v>
      </c>
      <c r="I633" s="90">
        <v>0.64</v>
      </c>
      <c r="J633" s="90" t="s">
        <v>244</v>
      </c>
      <c r="K633" s="90">
        <v>0.36863380977662003</v>
      </c>
      <c r="L633" s="90">
        <v>3746.2716027593101</v>
      </c>
      <c r="M633" s="90">
        <v>10.778632387990699</v>
      </c>
      <c r="N633" s="90">
        <v>2.07685425210888</v>
      </c>
      <c r="O633" s="90">
        <v>3.9733683213668098</v>
      </c>
      <c r="P633" s="90">
        <v>0.76559869530569002</v>
      </c>
      <c r="Q633" s="90">
        <v>1381.0023733831599</v>
      </c>
      <c r="R633" s="90">
        <v>1300</v>
      </c>
      <c r="S633" s="90" t="s">
        <v>387</v>
      </c>
      <c r="T633" s="90">
        <v>1300</v>
      </c>
      <c r="U633" s="90" t="s">
        <v>378</v>
      </c>
      <c r="V633" s="90" t="s">
        <v>244</v>
      </c>
      <c r="Z633" s="90">
        <v>0</v>
      </c>
      <c r="AA633" s="90">
        <v>1</v>
      </c>
      <c r="AB633" s="90">
        <v>3.9733683213668098</v>
      </c>
      <c r="AC633" s="90">
        <v>0.76559869530569002</v>
      </c>
      <c r="AD633" s="90">
        <v>1381.0023733831599</v>
      </c>
      <c r="AF633" s="90">
        <v>-1</v>
      </c>
      <c r="AG633" s="90">
        <v>-1</v>
      </c>
      <c r="AH633" s="90">
        <v>-1</v>
      </c>
      <c r="AI633" s="90">
        <v>-1</v>
      </c>
      <c r="AJ633" s="90">
        <v>0</v>
      </c>
      <c r="AM633" s="90" t="s">
        <v>379</v>
      </c>
      <c r="AN633" s="90">
        <v>-1</v>
      </c>
      <c r="AQ633" s="90">
        <v>356</v>
      </c>
      <c r="AR633" s="90" t="s">
        <v>380</v>
      </c>
      <c r="AS633" s="90" t="s">
        <v>246</v>
      </c>
      <c r="AT633" s="90" t="s">
        <v>244</v>
      </c>
      <c r="AU633" s="90">
        <v>175.87190000000001</v>
      </c>
      <c r="AV633" s="90">
        <v>200.693184666072</v>
      </c>
      <c r="AW633" s="90">
        <v>1491.8081006083301</v>
      </c>
      <c r="AX633" s="90">
        <v>1.1200343661000001</v>
      </c>
    </row>
    <row r="634" spans="1:50" x14ac:dyDescent="0.25">
      <c r="A634" s="102">
        <v>830000</v>
      </c>
      <c r="B634" s="102">
        <v>2400000</v>
      </c>
      <c r="C634" s="102">
        <v>2400000</v>
      </c>
      <c r="D634" s="90" t="s">
        <v>374</v>
      </c>
      <c r="E634" s="90" t="s">
        <v>68</v>
      </c>
      <c r="F634" s="90" t="s">
        <v>375</v>
      </c>
      <c r="G634" s="90" t="s">
        <v>376</v>
      </c>
      <c r="H634" s="90">
        <v>0.59</v>
      </c>
      <c r="I634" s="90">
        <v>0.64</v>
      </c>
      <c r="J634" s="90" t="s">
        <v>244</v>
      </c>
      <c r="K634" s="90">
        <v>2.069326484368E-2</v>
      </c>
      <c r="L634" s="90">
        <v>3721.3394832283602</v>
      </c>
      <c r="M634" s="90">
        <v>8.2695381231297596</v>
      </c>
      <c r="N634" s="90">
        <v>1.1221468200854801</v>
      </c>
      <c r="O634" s="90">
        <v>0.17112374251682999</v>
      </c>
      <c r="P634" s="90">
        <v>2.3220881341519999E-2</v>
      </c>
      <c r="Q634" s="90">
        <v>77.006663499687704</v>
      </c>
      <c r="R634" s="90">
        <v>1200</v>
      </c>
      <c r="S634" s="90" t="s">
        <v>384</v>
      </c>
      <c r="T634" s="90">
        <v>1200</v>
      </c>
      <c r="U634" s="90" t="s">
        <v>378</v>
      </c>
      <c r="V634" s="90" t="s">
        <v>244</v>
      </c>
      <c r="Z634" s="90">
        <v>0</v>
      </c>
      <c r="AA634" s="90">
        <v>1</v>
      </c>
      <c r="AB634" s="90">
        <v>0.17112374251682999</v>
      </c>
      <c r="AC634" s="90">
        <v>2.3220881341519999E-2</v>
      </c>
      <c r="AD634" s="90">
        <v>77.006663499687704</v>
      </c>
      <c r="AF634" s="90">
        <v>-1</v>
      </c>
      <c r="AG634" s="90">
        <v>-1</v>
      </c>
      <c r="AH634" s="90">
        <v>-1</v>
      </c>
      <c r="AI634" s="90">
        <v>-1</v>
      </c>
      <c r="AJ634" s="90">
        <v>0</v>
      </c>
      <c r="AM634" s="90" t="s">
        <v>379</v>
      </c>
      <c r="AN634" s="90">
        <v>-1</v>
      </c>
      <c r="AQ634" s="90">
        <v>356</v>
      </c>
      <c r="AR634" s="90" t="s">
        <v>380</v>
      </c>
      <c r="AS634" s="90" t="s">
        <v>246</v>
      </c>
      <c r="AT634" s="90" t="s">
        <v>244</v>
      </c>
      <c r="AU634" s="90">
        <v>175.87190000000001</v>
      </c>
      <c r="AV634" s="90">
        <v>103.367393188159</v>
      </c>
      <c r="AW634" s="90">
        <v>83.742671733070694</v>
      </c>
      <c r="AX634" s="90">
        <v>6.24547149E-2</v>
      </c>
    </row>
    <row r="635" spans="1:50" x14ac:dyDescent="0.25">
      <c r="A635" s="102">
        <v>830000</v>
      </c>
      <c r="B635" s="102">
        <v>2400000</v>
      </c>
      <c r="C635" s="102">
        <v>2400000</v>
      </c>
      <c r="D635" s="90" t="s">
        <v>374</v>
      </c>
      <c r="E635" s="90" t="s">
        <v>68</v>
      </c>
      <c r="F635" s="90" t="s">
        <v>375</v>
      </c>
      <c r="G635" s="90" t="s">
        <v>376</v>
      </c>
      <c r="H635" s="90">
        <v>0.59</v>
      </c>
      <c r="I635" s="90">
        <v>0.64</v>
      </c>
      <c r="J635" s="90" t="s">
        <v>381</v>
      </c>
      <c r="K635" s="90">
        <v>7.9781288115579996E-2</v>
      </c>
      <c r="L635" s="90">
        <v>3721.3394832283602</v>
      </c>
      <c r="M635" s="90">
        <v>8.2695381231297596</v>
      </c>
      <c r="N635" s="90">
        <v>1.1221468200854801</v>
      </c>
      <c r="O635" s="90">
        <v>0.65975440358423998</v>
      </c>
      <c r="P635" s="90">
        <v>8.9526318761230003E-2</v>
      </c>
      <c r="Q635" s="90">
        <v>296.89325748735098</v>
      </c>
      <c r="R635" s="90">
        <v>1200</v>
      </c>
      <c r="S635" s="90" t="s">
        <v>384</v>
      </c>
      <c r="T635" s="90">
        <v>1200</v>
      </c>
      <c r="U635" s="90" t="s">
        <v>382</v>
      </c>
      <c r="V635" s="90" t="s">
        <v>381</v>
      </c>
      <c r="Z635" s="90">
        <v>0</v>
      </c>
      <c r="AA635" s="90">
        <v>1</v>
      </c>
      <c r="AB635" s="90">
        <v>0.65975440358423998</v>
      </c>
      <c r="AC635" s="90">
        <v>8.9526318761230003E-2</v>
      </c>
      <c r="AD635" s="90">
        <v>296.893257487352</v>
      </c>
      <c r="AF635" s="90">
        <v>-1</v>
      </c>
      <c r="AG635" s="90">
        <v>-1</v>
      </c>
      <c r="AH635" s="90">
        <v>-1</v>
      </c>
      <c r="AI635" s="90">
        <v>-1</v>
      </c>
      <c r="AJ635" s="90">
        <v>0</v>
      </c>
      <c r="AM635" s="90" t="s">
        <v>379</v>
      </c>
      <c r="AN635" s="90">
        <v>-1</v>
      </c>
      <c r="AQ635" s="90">
        <v>356</v>
      </c>
      <c r="AR635" s="90" t="s">
        <v>380</v>
      </c>
      <c r="AS635" s="90" t="s">
        <v>246</v>
      </c>
      <c r="AT635" s="90" t="s">
        <v>244</v>
      </c>
      <c r="AU635" s="90">
        <v>175.87190000000001</v>
      </c>
      <c r="AV635" s="90">
        <v>112.722844275838</v>
      </c>
      <c r="AW635" s="90">
        <v>322.863418197908</v>
      </c>
      <c r="AX635" s="90">
        <v>0.24078934099999999</v>
      </c>
    </row>
    <row r="636" spans="1:50" x14ac:dyDescent="0.25">
      <c r="A636" s="102">
        <v>830000</v>
      </c>
      <c r="B636" s="102">
        <v>2400000</v>
      </c>
      <c r="C636" s="102">
        <v>2400000</v>
      </c>
      <c r="D636" s="90" t="s">
        <v>374</v>
      </c>
      <c r="E636" s="90" t="s">
        <v>68</v>
      </c>
      <c r="F636" s="90" t="s">
        <v>375</v>
      </c>
      <c r="G636" s="90" t="s">
        <v>376</v>
      </c>
      <c r="H636" s="90">
        <v>0.59</v>
      </c>
      <c r="I636" s="90">
        <v>0.64</v>
      </c>
      <c r="J636" s="90" t="s">
        <v>381</v>
      </c>
      <c r="K636" s="90">
        <v>2.784858141211E-2</v>
      </c>
      <c r="L636" s="90">
        <v>3721.3394832283602</v>
      </c>
      <c r="M636" s="90">
        <v>8.2695381231297596</v>
      </c>
      <c r="N636" s="90">
        <v>1.1221468200854801</v>
      </c>
      <c r="O636" s="90">
        <v>0.23029490566256</v>
      </c>
      <c r="P636" s="90">
        <v>3.1250197075489997E-2</v>
      </c>
      <c r="Q636" s="90">
        <v>103.634025560799</v>
      </c>
      <c r="R636" s="90">
        <v>1850</v>
      </c>
      <c r="S636" s="90" t="s">
        <v>388</v>
      </c>
      <c r="T636" s="90">
        <v>1850</v>
      </c>
      <c r="U636" s="90" t="s">
        <v>382</v>
      </c>
      <c r="V636" s="90" t="s">
        <v>381</v>
      </c>
      <c r="Z636" s="90">
        <v>0</v>
      </c>
      <c r="AA636" s="90">
        <v>1</v>
      </c>
      <c r="AB636" s="90">
        <v>0.23029490566256</v>
      </c>
      <c r="AC636" s="90">
        <v>3.1250197075489997E-2</v>
      </c>
      <c r="AD636" s="90">
        <v>103.63402556080101</v>
      </c>
      <c r="AF636" s="90">
        <v>-1</v>
      </c>
      <c r="AG636" s="90">
        <v>-1</v>
      </c>
      <c r="AH636" s="90">
        <v>-1</v>
      </c>
      <c r="AI636" s="90">
        <v>-1</v>
      </c>
      <c r="AJ636" s="90">
        <v>0</v>
      </c>
      <c r="AM636" s="90" t="s">
        <v>379</v>
      </c>
      <c r="AN636" s="90">
        <v>-1</v>
      </c>
      <c r="AQ636" s="90">
        <v>356</v>
      </c>
      <c r="AR636" s="90" t="s">
        <v>380</v>
      </c>
      <c r="AS636" s="90" t="s">
        <v>246</v>
      </c>
      <c r="AT636" s="90" t="s">
        <v>244</v>
      </c>
      <c r="AU636" s="90">
        <v>175.87190000000001</v>
      </c>
      <c r="AV636" s="90">
        <v>104.55706706600201</v>
      </c>
      <c r="AW636" s="90">
        <v>112.69921054234401</v>
      </c>
      <c r="AX636" s="90">
        <v>8.40503046E-2</v>
      </c>
    </row>
    <row r="637" spans="1:50" x14ac:dyDescent="0.25">
      <c r="A637" s="102">
        <v>830000</v>
      </c>
      <c r="B637" s="102">
        <v>2400000</v>
      </c>
      <c r="C637" s="102">
        <v>2400000</v>
      </c>
      <c r="D637" s="90" t="s">
        <v>374</v>
      </c>
      <c r="E637" s="90" t="s">
        <v>68</v>
      </c>
      <c r="F637" s="90" t="s">
        <v>375</v>
      </c>
      <c r="G637" s="90" t="s">
        <v>376</v>
      </c>
      <c r="H637" s="90">
        <v>0.59</v>
      </c>
      <c r="I637" s="90">
        <v>0.64</v>
      </c>
      <c r="J637" s="90" t="s">
        <v>381</v>
      </c>
      <c r="K637" s="90">
        <v>0.2606146255638</v>
      </c>
      <c r="L637" s="90">
        <v>3721.3394832283602</v>
      </c>
      <c r="M637" s="90">
        <v>8.2695381231297596</v>
      </c>
      <c r="N637" s="90">
        <v>1.1221468200854801</v>
      </c>
      <c r="O637" s="90">
        <v>2.1551625815450799</v>
      </c>
      <c r="P637" s="90">
        <v>0.29244787334418998</v>
      </c>
      <c r="Q637" s="90">
        <v>969.83549601736604</v>
      </c>
      <c r="R637" s="90">
        <v>8140</v>
      </c>
      <c r="S637" s="90" t="s">
        <v>386</v>
      </c>
      <c r="T637" s="90">
        <v>8140</v>
      </c>
      <c r="U637" s="90" t="s">
        <v>382</v>
      </c>
      <c r="V637" s="90" t="s">
        <v>381</v>
      </c>
      <c r="Z637" s="90">
        <v>0</v>
      </c>
      <c r="AA637" s="90">
        <v>1</v>
      </c>
      <c r="AB637" s="90">
        <v>2.1551625815450799</v>
      </c>
      <c r="AC637" s="90">
        <v>0.29244787334418998</v>
      </c>
      <c r="AD637" s="90">
        <v>969.83549601736604</v>
      </c>
      <c r="AF637" s="90">
        <v>-1</v>
      </c>
      <c r="AG637" s="90">
        <v>-1</v>
      </c>
      <c r="AH637" s="90">
        <v>-1</v>
      </c>
      <c r="AI637" s="90">
        <v>-1</v>
      </c>
      <c r="AJ637" s="90">
        <v>0</v>
      </c>
      <c r="AM637" s="90" t="s">
        <v>379</v>
      </c>
      <c r="AN637" s="90">
        <v>-1</v>
      </c>
      <c r="AQ637" s="90">
        <v>356</v>
      </c>
      <c r="AR637" s="90" t="s">
        <v>380</v>
      </c>
      <c r="AS637" s="90" t="s">
        <v>246</v>
      </c>
      <c r="AT637" s="90" t="s">
        <v>244</v>
      </c>
      <c r="AU637" s="90">
        <v>175.87190000000001</v>
      </c>
      <c r="AV637" s="90">
        <v>142.48597173393199</v>
      </c>
      <c r="AW637" s="90">
        <v>1054.6699712342499</v>
      </c>
      <c r="AX637" s="90">
        <v>0.7865656902</v>
      </c>
    </row>
    <row r="638" spans="1:50" x14ac:dyDescent="0.25">
      <c r="A638" s="102">
        <v>830000</v>
      </c>
      <c r="B638" s="102">
        <v>2400000</v>
      </c>
      <c r="C638" s="102">
        <v>2400000</v>
      </c>
      <c r="D638" s="90" t="s">
        <v>374</v>
      </c>
      <c r="E638" s="90" t="s">
        <v>68</v>
      </c>
      <c r="F638" s="90" t="s">
        <v>375</v>
      </c>
      <c r="G638" s="90" t="s">
        <v>376</v>
      </c>
      <c r="H638" s="90">
        <v>0.59</v>
      </c>
      <c r="I638" s="90">
        <v>0.64</v>
      </c>
      <c r="J638" s="90" t="s">
        <v>381</v>
      </c>
      <c r="K638" s="90">
        <v>4.2361457281560003E-2</v>
      </c>
      <c r="L638" s="90">
        <v>3758.0075340928902</v>
      </c>
      <c r="M638" s="90">
        <v>9.5327557722830392</v>
      </c>
      <c r="N638" s="90">
        <v>1.34727642155907</v>
      </c>
      <c r="O638" s="90">
        <v>0.40382142642316998</v>
      </c>
      <c r="P638" s="90">
        <v>5.707259257833E-2</v>
      </c>
      <c r="Q638" s="90">
        <v>159.194675619283</v>
      </c>
      <c r="R638" s="90">
        <v>1300</v>
      </c>
      <c r="S638" s="90" t="s">
        <v>387</v>
      </c>
      <c r="T638" s="90">
        <v>1300</v>
      </c>
      <c r="U638" s="90" t="s">
        <v>382</v>
      </c>
      <c r="V638" s="90" t="s">
        <v>381</v>
      </c>
      <c r="Z638" s="90">
        <v>0</v>
      </c>
      <c r="AA638" s="90">
        <v>1</v>
      </c>
      <c r="AB638" s="90">
        <v>0.40382142642316998</v>
      </c>
      <c r="AC638" s="90">
        <v>5.707259257833E-2</v>
      </c>
      <c r="AD638" s="90">
        <v>159.19467561928101</v>
      </c>
      <c r="AF638" s="90">
        <v>-1</v>
      </c>
      <c r="AG638" s="90">
        <v>-1</v>
      </c>
      <c r="AH638" s="90">
        <v>-1</v>
      </c>
      <c r="AI638" s="90">
        <v>-1</v>
      </c>
      <c r="AJ638" s="90">
        <v>0</v>
      </c>
      <c r="AM638" s="90" t="s">
        <v>379</v>
      </c>
      <c r="AN638" s="90">
        <v>-1</v>
      </c>
      <c r="AQ638" s="90">
        <v>356</v>
      </c>
      <c r="AR638" s="90" t="s">
        <v>380</v>
      </c>
      <c r="AS638" s="90" t="s">
        <v>246</v>
      </c>
      <c r="AT638" s="90" t="s">
        <v>244</v>
      </c>
      <c r="AU638" s="90">
        <v>175.87190000000001</v>
      </c>
      <c r="AV638" s="90">
        <v>107.099028228392</v>
      </c>
      <c r="AW638" s="90">
        <v>171.43073546213</v>
      </c>
      <c r="AX638" s="90">
        <v>0.1291116591</v>
      </c>
    </row>
    <row r="639" spans="1:50" x14ac:dyDescent="0.25">
      <c r="A639" s="102">
        <v>830000</v>
      </c>
      <c r="B639" s="102">
        <v>2400000</v>
      </c>
      <c r="C639" s="102">
        <v>2400000</v>
      </c>
      <c r="D639" s="90" t="s">
        <v>374</v>
      </c>
      <c r="E639" s="90" t="s">
        <v>68</v>
      </c>
      <c r="F639" s="90" t="s">
        <v>375</v>
      </c>
      <c r="G639" s="90" t="s">
        <v>376</v>
      </c>
      <c r="H639" s="90">
        <v>0.59</v>
      </c>
      <c r="I639" s="90">
        <v>0.64</v>
      </c>
      <c r="J639" s="90" t="s">
        <v>244</v>
      </c>
      <c r="K639" s="90">
        <v>2.1535939793900002E-3</v>
      </c>
      <c r="L639" s="90">
        <v>3758.0075340928902</v>
      </c>
      <c r="M639" s="90">
        <v>9.5327557722830392</v>
      </c>
      <c r="N639" s="90">
        <v>1.34727642155907</v>
      </c>
      <c r="O639" s="90">
        <v>2.0529685438269999E-2</v>
      </c>
      <c r="P639" s="90">
        <v>2.9014863900500001E-3</v>
      </c>
      <c r="Q639" s="90">
        <v>8.0932223999585293</v>
      </c>
      <c r="R639" s="90">
        <v>1400</v>
      </c>
      <c r="S639" s="90" t="s">
        <v>324</v>
      </c>
      <c r="T639" s="90">
        <v>1400</v>
      </c>
      <c r="U639" s="90" t="s">
        <v>378</v>
      </c>
      <c r="V639" s="90" t="s">
        <v>244</v>
      </c>
      <c r="Z639" s="90">
        <v>0</v>
      </c>
      <c r="AA639" s="90">
        <v>1</v>
      </c>
      <c r="AB639" s="90">
        <v>2.0529685438269999E-2</v>
      </c>
      <c r="AC639" s="90">
        <v>2.9014863900500001E-3</v>
      </c>
      <c r="AD639" s="90">
        <v>8.0932223999604105</v>
      </c>
      <c r="AF639" s="90">
        <v>-1</v>
      </c>
      <c r="AG639" s="90">
        <v>-1</v>
      </c>
      <c r="AH639" s="90">
        <v>-1</v>
      </c>
      <c r="AI639" s="90">
        <v>-1</v>
      </c>
      <c r="AJ639" s="90">
        <v>0</v>
      </c>
      <c r="AM639" s="90" t="s">
        <v>379</v>
      </c>
      <c r="AN639" s="90">
        <v>-1</v>
      </c>
      <c r="AQ639" s="90">
        <v>356</v>
      </c>
      <c r="AR639" s="90" t="s">
        <v>380</v>
      </c>
      <c r="AS639" s="90" t="s">
        <v>246</v>
      </c>
      <c r="AT639" s="90" t="s">
        <v>244</v>
      </c>
      <c r="AU639" s="90">
        <v>175.87190000000001</v>
      </c>
      <c r="AV639" s="90">
        <v>100.380301697457</v>
      </c>
      <c r="AW639" s="90">
        <v>8.7152856267748202</v>
      </c>
      <c r="AX639" s="90">
        <v>6.5638462E-3</v>
      </c>
    </row>
    <row r="640" spans="1:50" x14ac:dyDescent="0.25">
      <c r="A640" s="102">
        <v>830000</v>
      </c>
      <c r="B640" s="102">
        <v>2400000</v>
      </c>
      <c r="C640" s="102">
        <v>2400000</v>
      </c>
      <c r="D640" s="90" t="s">
        <v>374</v>
      </c>
      <c r="E640" s="90" t="s">
        <v>68</v>
      </c>
      <c r="F640" s="90" t="s">
        <v>375</v>
      </c>
      <c r="G640" s="90" t="s">
        <v>376</v>
      </c>
      <c r="H640" s="90">
        <v>0.59</v>
      </c>
      <c r="I640" s="90">
        <v>0.64</v>
      </c>
      <c r="J640" s="90" t="s">
        <v>381</v>
      </c>
      <c r="K640" s="90">
        <v>5.7669204575029998E-2</v>
      </c>
      <c r="L640" s="90">
        <v>3758.0075340928902</v>
      </c>
      <c r="M640" s="90">
        <v>9.5327557722830392</v>
      </c>
      <c r="N640" s="90">
        <v>1.34727642155907</v>
      </c>
      <c r="O640" s="90">
        <v>0.54974644279559004</v>
      </c>
      <c r="P640" s="90">
        <v>7.7696359574000007E-2</v>
      </c>
      <c r="Q640" s="90">
        <v>216.72130527811001</v>
      </c>
      <c r="R640" s="90">
        <v>1400</v>
      </c>
      <c r="S640" s="90" t="s">
        <v>324</v>
      </c>
      <c r="T640" s="90">
        <v>1400</v>
      </c>
      <c r="U640" s="90" t="s">
        <v>382</v>
      </c>
      <c r="V640" s="90" t="s">
        <v>381</v>
      </c>
      <c r="Z640" s="90">
        <v>0</v>
      </c>
      <c r="AA640" s="90">
        <v>1</v>
      </c>
      <c r="AB640" s="90">
        <v>0.54974644279559004</v>
      </c>
      <c r="AC640" s="90">
        <v>7.7696359574000007E-2</v>
      </c>
      <c r="AD640" s="90">
        <v>216.72130527810901</v>
      </c>
      <c r="AF640" s="90">
        <v>-1</v>
      </c>
      <c r="AG640" s="90">
        <v>-1</v>
      </c>
      <c r="AH640" s="90">
        <v>-1</v>
      </c>
      <c r="AI640" s="90">
        <v>-1</v>
      </c>
      <c r="AJ640" s="90">
        <v>0</v>
      </c>
      <c r="AM640" s="90" t="s">
        <v>379</v>
      </c>
      <c r="AN640" s="90">
        <v>-1</v>
      </c>
      <c r="AQ640" s="90">
        <v>356</v>
      </c>
      <c r="AR640" s="90" t="s">
        <v>380</v>
      </c>
      <c r="AS640" s="90" t="s">
        <v>246</v>
      </c>
      <c r="AT640" s="90" t="s">
        <v>244</v>
      </c>
      <c r="AU640" s="90">
        <v>175.87190000000001</v>
      </c>
      <c r="AV640" s="90">
        <v>109.41468646479601</v>
      </c>
      <c r="AW640" s="90">
        <v>233.37899090916201</v>
      </c>
      <c r="AX640" s="90">
        <v>0.175767482</v>
      </c>
    </row>
    <row r="641" spans="1:50" x14ac:dyDescent="0.25">
      <c r="A641" s="102">
        <v>830000</v>
      </c>
      <c r="B641" s="102">
        <v>2400000</v>
      </c>
      <c r="C641" s="102">
        <v>2400000</v>
      </c>
      <c r="D641" s="90" t="s">
        <v>374</v>
      </c>
      <c r="E641" s="90" t="s">
        <v>68</v>
      </c>
      <c r="F641" s="90" t="s">
        <v>375</v>
      </c>
      <c r="G641" s="90" t="s">
        <v>376</v>
      </c>
      <c r="H641" s="90">
        <v>0.59</v>
      </c>
      <c r="I641" s="90">
        <v>0.64</v>
      </c>
      <c r="J641" s="90" t="s">
        <v>381</v>
      </c>
      <c r="K641" s="90">
        <v>0.27748032337817002</v>
      </c>
      <c r="L641" s="90">
        <v>3758.0075340928902</v>
      </c>
      <c r="M641" s="90">
        <v>9.5327557722830392</v>
      </c>
      <c r="N641" s="90">
        <v>1.34727642155907</v>
      </c>
      <c r="O641" s="90">
        <v>2.6451521543782301</v>
      </c>
      <c r="P641" s="90">
        <v>0.37384269713398999</v>
      </c>
      <c r="Q641" s="90">
        <v>1042.7731458177</v>
      </c>
      <c r="R641" s="90">
        <v>8140</v>
      </c>
      <c r="S641" s="90" t="s">
        <v>386</v>
      </c>
      <c r="T641" s="90">
        <v>8140</v>
      </c>
      <c r="U641" s="90" t="s">
        <v>382</v>
      </c>
      <c r="V641" s="90" t="s">
        <v>381</v>
      </c>
      <c r="Z641" s="90">
        <v>0</v>
      </c>
      <c r="AA641" s="90">
        <v>1</v>
      </c>
      <c r="AB641" s="90">
        <v>2.6451521543782301</v>
      </c>
      <c r="AC641" s="90">
        <v>0.37384269713398999</v>
      </c>
      <c r="AD641" s="90">
        <v>1042.7731458177</v>
      </c>
      <c r="AF641" s="90">
        <v>-1</v>
      </c>
      <c r="AG641" s="90">
        <v>-1</v>
      </c>
      <c r="AH641" s="90">
        <v>-1</v>
      </c>
      <c r="AI641" s="90">
        <v>-1</v>
      </c>
      <c r="AJ641" s="90">
        <v>0</v>
      </c>
      <c r="AM641" s="90" t="s">
        <v>379</v>
      </c>
      <c r="AN641" s="90">
        <v>-1</v>
      </c>
      <c r="AQ641" s="90">
        <v>356</v>
      </c>
      <c r="AR641" s="90" t="s">
        <v>380</v>
      </c>
      <c r="AS641" s="90" t="s">
        <v>246</v>
      </c>
      <c r="AT641" s="90" t="s">
        <v>244</v>
      </c>
      <c r="AU641" s="90">
        <v>175.87190000000001</v>
      </c>
      <c r="AV641" s="90">
        <v>144.961500605921</v>
      </c>
      <c r="AW641" s="90">
        <v>1122.92302875258</v>
      </c>
      <c r="AX641" s="90">
        <v>0.84572031290000005</v>
      </c>
    </row>
    <row r="642" spans="1:50" x14ac:dyDescent="0.25">
      <c r="A642" s="102">
        <v>830000</v>
      </c>
      <c r="B642" s="102">
        <v>2400000</v>
      </c>
      <c r="C642" s="102">
        <v>2400000</v>
      </c>
      <c r="D642" s="90" t="s">
        <v>374</v>
      </c>
      <c r="E642" s="90" t="s">
        <v>68</v>
      </c>
      <c r="F642" s="90" t="s">
        <v>375</v>
      </c>
      <c r="G642" s="90" t="s">
        <v>376</v>
      </c>
      <c r="H642" s="90">
        <v>0.59</v>
      </c>
      <c r="I642" s="90">
        <v>0.64</v>
      </c>
      <c r="J642" s="90" t="s">
        <v>244</v>
      </c>
      <c r="K642" s="90">
        <v>3.6778198665529997E-2</v>
      </c>
      <c r="L642" s="90">
        <v>3758.0075340928902</v>
      </c>
      <c r="M642" s="90">
        <v>9.5327557722830392</v>
      </c>
      <c r="N642" s="90">
        <v>1.34727642155907</v>
      </c>
      <c r="O642" s="90">
        <v>0.35059758562308002</v>
      </c>
      <c r="P642" s="90">
        <v>4.9550399889489997E-2</v>
      </c>
      <c r="Q642" s="90">
        <v>138.21274767546001</v>
      </c>
      <c r="R642" s="90">
        <v>1300</v>
      </c>
      <c r="S642" s="90" t="s">
        <v>387</v>
      </c>
      <c r="T642" s="90">
        <v>1300</v>
      </c>
      <c r="U642" s="90" t="s">
        <v>378</v>
      </c>
      <c r="V642" s="90" t="s">
        <v>244</v>
      </c>
      <c r="Z642" s="90">
        <v>0</v>
      </c>
      <c r="AA642" s="90">
        <v>1</v>
      </c>
      <c r="AB642" s="90">
        <v>0.35059758562308002</v>
      </c>
      <c r="AC642" s="90">
        <v>4.9550399889489997E-2</v>
      </c>
      <c r="AD642" s="90">
        <v>138.21274767546001</v>
      </c>
      <c r="AF642" s="90">
        <v>-1</v>
      </c>
      <c r="AG642" s="90">
        <v>-1</v>
      </c>
      <c r="AH642" s="90">
        <v>-1</v>
      </c>
      <c r="AI642" s="90">
        <v>-1</v>
      </c>
      <c r="AJ642" s="90">
        <v>0</v>
      </c>
      <c r="AM642" s="90" t="s">
        <v>379</v>
      </c>
      <c r="AN642" s="90">
        <v>-1</v>
      </c>
      <c r="AQ642" s="90">
        <v>356</v>
      </c>
      <c r="AR642" s="90" t="s">
        <v>380</v>
      </c>
      <c r="AS642" s="90" t="s">
        <v>246</v>
      </c>
      <c r="AT642" s="90" t="s">
        <v>244</v>
      </c>
      <c r="AU642" s="90">
        <v>175.87190000000001</v>
      </c>
      <c r="AV642" s="90">
        <v>96.997342028311607</v>
      </c>
      <c r="AW642" s="90">
        <v>148.83608947393901</v>
      </c>
      <c r="AX642" s="90">
        <v>0.1120946859</v>
      </c>
    </row>
    <row r="643" spans="1:50" x14ac:dyDescent="0.25">
      <c r="A643" s="102">
        <v>830000</v>
      </c>
      <c r="B643" s="102">
        <v>2400000</v>
      </c>
      <c r="C643" s="102">
        <v>2400000</v>
      </c>
      <c r="D643" s="90" t="s">
        <v>374</v>
      </c>
      <c r="E643" s="90" t="s">
        <v>68</v>
      </c>
      <c r="F643" s="90" t="s">
        <v>375</v>
      </c>
      <c r="G643" s="90" t="s">
        <v>376</v>
      </c>
      <c r="H643" s="90">
        <v>0.59</v>
      </c>
      <c r="I643" s="90">
        <v>0.64</v>
      </c>
      <c r="J643" s="90" t="s">
        <v>381</v>
      </c>
      <c r="K643" s="90">
        <v>2.0301378331E-3</v>
      </c>
      <c r="L643" s="90">
        <v>3758.0075340928902</v>
      </c>
      <c r="M643" s="90">
        <v>9.5327557722830392</v>
      </c>
      <c r="N643" s="90">
        <v>1.34727642155907</v>
      </c>
      <c r="O643" s="90">
        <v>1.9352808147040001E-2</v>
      </c>
      <c r="P643" s="90">
        <v>2.7351568350499999E-3</v>
      </c>
      <c r="Q643" s="90">
        <v>7.6292732720480902</v>
      </c>
      <c r="R643" s="90">
        <v>1300</v>
      </c>
      <c r="S643" s="90" t="s">
        <v>387</v>
      </c>
      <c r="T643" s="90">
        <v>1300</v>
      </c>
      <c r="U643" s="90" t="s">
        <v>382</v>
      </c>
      <c r="V643" s="90" t="s">
        <v>381</v>
      </c>
      <c r="Z643" s="90">
        <v>0</v>
      </c>
      <c r="AA643" s="90">
        <v>1</v>
      </c>
      <c r="AB643" s="90">
        <v>1.9352808147040001E-2</v>
      </c>
      <c r="AC643" s="90">
        <v>2.7351568350499999E-3</v>
      </c>
      <c r="AD643" s="90">
        <v>7.6292732720492902</v>
      </c>
      <c r="AF643" s="90">
        <v>-1</v>
      </c>
      <c r="AG643" s="90">
        <v>-1</v>
      </c>
      <c r="AH643" s="90">
        <v>-1</v>
      </c>
      <c r="AI643" s="90">
        <v>-1</v>
      </c>
      <c r="AJ643" s="90">
        <v>0</v>
      </c>
      <c r="AM643" s="90" t="s">
        <v>379</v>
      </c>
      <c r="AN643" s="90">
        <v>-1</v>
      </c>
      <c r="AQ643" s="90">
        <v>356</v>
      </c>
      <c r="AR643" s="90" t="s">
        <v>380</v>
      </c>
      <c r="AS643" s="90" t="s">
        <v>246</v>
      </c>
      <c r="AT643" s="90" t="s">
        <v>244</v>
      </c>
      <c r="AU643" s="90">
        <v>175.87190000000001</v>
      </c>
      <c r="AV643" s="90">
        <v>91.022912512775306</v>
      </c>
      <c r="AW643" s="90">
        <v>8.2156763282513907</v>
      </c>
      <c r="AX643" s="90">
        <v>6.1875695999999997E-3</v>
      </c>
    </row>
    <row r="644" spans="1:50" x14ac:dyDescent="0.25">
      <c r="A644" s="102">
        <v>830000</v>
      </c>
      <c r="B644" s="102">
        <v>2400000</v>
      </c>
      <c r="C644" s="102">
        <v>2400000</v>
      </c>
      <c r="D644" s="90" t="s">
        <v>374</v>
      </c>
      <c r="E644" s="90" t="s">
        <v>68</v>
      </c>
      <c r="F644" s="90" t="s">
        <v>375</v>
      </c>
      <c r="G644" s="90" t="s">
        <v>376</v>
      </c>
      <c r="H644" s="90">
        <v>0.59</v>
      </c>
      <c r="I644" s="90">
        <v>0.64</v>
      </c>
      <c r="J644" s="90" t="s">
        <v>244</v>
      </c>
      <c r="K644" s="90">
        <v>9.7102619803690005E-2</v>
      </c>
      <c r="L644" s="90">
        <v>3758.0075340928902</v>
      </c>
      <c r="M644" s="90">
        <v>9.5327557722830392</v>
      </c>
      <c r="N644" s="90">
        <v>1.34727642155907</v>
      </c>
      <c r="O644" s="90">
        <v>0.92565555943746003</v>
      </c>
      <c r="P644" s="90">
        <v>0.13082407013312999</v>
      </c>
      <c r="Q644" s="90">
        <v>364.91237680243597</v>
      </c>
      <c r="R644" s="90">
        <v>1430</v>
      </c>
      <c r="S644" s="90" t="s">
        <v>326</v>
      </c>
      <c r="T644" s="90">
        <v>1430</v>
      </c>
      <c r="U644" s="90" t="s">
        <v>378</v>
      </c>
      <c r="V644" s="90" t="s">
        <v>244</v>
      </c>
      <c r="Z644" s="90">
        <v>0</v>
      </c>
      <c r="AA644" s="90">
        <v>1</v>
      </c>
      <c r="AB644" s="90">
        <v>0.92565555943746003</v>
      </c>
      <c r="AC644" s="90">
        <v>0.13082407013312999</v>
      </c>
      <c r="AD644" s="90">
        <v>364.91237680243501</v>
      </c>
      <c r="AF644" s="90">
        <v>-1</v>
      </c>
      <c r="AG644" s="90">
        <v>-1</v>
      </c>
      <c r="AH644" s="90">
        <v>-1</v>
      </c>
      <c r="AI644" s="90">
        <v>-1</v>
      </c>
      <c r="AJ644" s="90">
        <v>0</v>
      </c>
      <c r="AM644" s="90" t="s">
        <v>379</v>
      </c>
      <c r="AN644" s="90">
        <v>-1</v>
      </c>
      <c r="AQ644" s="90">
        <v>356</v>
      </c>
      <c r="AR644" s="90" t="s">
        <v>380</v>
      </c>
      <c r="AS644" s="90" t="s">
        <v>246</v>
      </c>
      <c r="AT644" s="90" t="s">
        <v>244</v>
      </c>
      <c r="AU644" s="90">
        <v>175.87190000000001</v>
      </c>
      <c r="AV644" s="90">
        <v>80.913470812201894</v>
      </c>
      <c r="AW644" s="90">
        <v>392.960360584439</v>
      </c>
      <c r="AX644" s="90">
        <v>0.29595488790000002</v>
      </c>
    </row>
    <row r="645" spans="1:50" x14ac:dyDescent="0.25">
      <c r="A645" s="102">
        <v>830000</v>
      </c>
      <c r="B645" s="102">
        <v>2400000</v>
      </c>
      <c r="C645" s="102">
        <v>2400000</v>
      </c>
      <c r="D645" s="90" t="s">
        <v>374</v>
      </c>
      <c r="E645" s="90" t="s">
        <v>68</v>
      </c>
      <c r="F645" s="90" t="s">
        <v>375</v>
      </c>
      <c r="G645" s="90" t="s">
        <v>376</v>
      </c>
      <c r="H645" s="90">
        <v>0.59</v>
      </c>
      <c r="I645" s="90">
        <v>0.64</v>
      </c>
      <c r="J645" s="90" t="s">
        <v>244</v>
      </c>
      <c r="K645" s="90">
        <v>2.3666052332400002E-3</v>
      </c>
      <c r="L645" s="90">
        <v>3758.0075340928902</v>
      </c>
      <c r="M645" s="90">
        <v>9.5327557722830392</v>
      </c>
      <c r="N645" s="90">
        <v>1.34727642155907</v>
      </c>
      <c r="O645" s="90">
        <v>2.2560269697969999E-2</v>
      </c>
      <c r="P645" s="90">
        <v>3.1884714298899999E-3</v>
      </c>
      <c r="Q645" s="90">
        <v>8.8937202967734095</v>
      </c>
      <c r="R645" s="90">
        <v>1300</v>
      </c>
      <c r="S645" s="90" t="s">
        <v>387</v>
      </c>
      <c r="T645" s="90">
        <v>1300</v>
      </c>
      <c r="U645" s="90" t="s">
        <v>378</v>
      </c>
      <c r="V645" s="90" t="s">
        <v>244</v>
      </c>
      <c r="Z645" s="90">
        <v>0</v>
      </c>
      <c r="AA645" s="90">
        <v>1</v>
      </c>
      <c r="AB645" s="90">
        <v>2.2560269697969999E-2</v>
      </c>
      <c r="AC645" s="90">
        <v>3.1884714298899999E-3</v>
      </c>
      <c r="AD645" s="90">
        <v>8.8937202967729903</v>
      </c>
      <c r="AF645" s="90">
        <v>-1</v>
      </c>
      <c r="AG645" s="90">
        <v>-1</v>
      </c>
      <c r="AH645" s="90">
        <v>-1</v>
      </c>
      <c r="AI645" s="90">
        <v>-1</v>
      </c>
      <c r="AJ645" s="90">
        <v>0</v>
      </c>
      <c r="AM645" s="90" t="s">
        <v>379</v>
      </c>
      <c r="AN645" s="90">
        <v>-1</v>
      </c>
      <c r="AQ645" s="90">
        <v>356</v>
      </c>
      <c r="AR645" s="90" t="s">
        <v>380</v>
      </c>
      <c r="AS645" s="90" t="s">
        <v>246</v>
      </c>
      <c r="AT645" s="90" t="s">
        <v>244</v>
      </c>
      <c r="AU645" s="90">
        <v>175.87190000000001</v>
      </c>
      <c r="AV645" s="90">
        <v>13.471499385473599</v>
      </c>
      <c r="AW645" s="90">
        <v>9.5773115874587003</v>
      </c>
      <c r="AX645" s="90">
        <v>7.2130739999999999E-3</v>
      </c>
    </row>
    <row r="646" spans="1:50" x14ac:dyDescent="0.25">
      <c r="A646" s="102">
        <v>830000</v>
      </c>
      <c r="B646" s="102">
        <v>2400000</v>
      </c>
      <c r="C646" s="102">
        <v>2400000</v>
      </c>
      <c r="D646" s="90" t="s">
        <v>374</v>
      </c>
      <c r="E646" s="90" t="s">
        <v>68</v>
      </c>
      <c r="F646" s="90" t="s">
        <v>375</v>
      </c>
      <c r="G646" s="90" t="s">
        <v>376</v>
      </c>
      <c r="H646" s="90">
        <v>0.59</v>
      </c>
      <c r="I646" s="90">
        <v>0.64</v>
      </c>
      <c r="J646" s="90" t="s">
        <v>381</v>
      </c>
      <c r="K646" s="90">
        <v>2.0808954456999999E-4</v>
      </c>
      <c r="L646" s="90">
        <v>3758.0075340928902</v>
      </c>
      <c r="M646" s="90">
        <v>9.5327557722830392</v>
      </c>
      <c r="N646" s="90">
        <v>1.34727642155907</v>
      </c>
      <c r="O646" s="90">
        <v>1.98366680721E-3</v>
      </c>
      <c r="P646" s="90">
        <v>2.8035413698000001E-4</v>
      </c>
      <c r="Q646" s="90">
        <v>0.78200207628632001</v>
      </c>
      <c r="R646" s="90">
        <v>1300</v>
      </c>
      <c r="S646" s="90" t="s">
        <v>387</v>
      </c>
      <c r="T646" s="90">
        <v>1300</v>
      </c>
      <c r="U646" s="90" t="s">
        <v>382</v>
      </c>
      <c r="V646" s="90" t="s">
        <v>381</v>
      </c>
      <c r="Z646" s="90">
        <v>0</v>
      </c>
      <c r="AA646" s="90">
        <v>1</v>
      </c>
      <c r="AB646" s="90">
        <v>1.98366680721E-3</v>
      </c>
      <c r="AC646" s="90">
        <v>2.8035413698000001E-4</v>
      </c>
      <c r="AD646" s="90">
        <v>0.78200207628546003</v>
      </c>
      <c r="AF646" s="90">
        <v>-1</v>
      </c>
      <c r="AG646" s="90">
        <v>-1</v>
      </c>
      <c r="AH646" s="90">
        <v>-1</v>
      </c>
      <c r="AI646" s="90">
        <v>-1</v>
      </c>
      <c r="AJ646" s="90">
        <v>0</v>
      </c>
      <c r="AM646" s="90" t="s">
        <v>379</v>
      </c>
      <c r="AN646" s="90">
        <v>-1</v>
      </c>
      <c r="AQ646" s="90">
        <v>356</v>
      </c>
      <c r="AR646" s="90" t="s">
        <v>380</v>
      </c>
      <c r="AS646" s="90" t="s">
        <v>246</v>
      </c>
      <c r="AT646" s="90" t="s">
        <v>244</v>
      </c>
      <c r="AU646" s="90">
        <v>175.87190000000001</v>
      </c>
      <c r="AV646" s="90">
        <v>9.7962970191787395</v>
      </c>
      <c r="AW646" s="90">
        <v>0.84210850990479003</v>
      </c>
      <c r="AX646" s="90">
        <v>6.3422719999999997E-4</v>
      </c>
    </row>
    <row r="647" spans="1:50" x14ac:dyDescent="0.25">
      <c r="A647" s="102">
        <v>830000</v>
      </c>
      <c r="B647" s="102">
        <v>2400000</v>
      </c>
      <c r="C647" s="102">
        <v>2400000</v>
      </c>
      <c r="D647" s="90" t="s">
        <v>374</v>
      </c>
      <c r="E647" s="90" t="s">
        <v>68</v>
      </c>
      <c r="F647" s="90" t="s">
        <v>375</v>
      </c>
      <c r="G647" s="90" t="s">
        <v>376</v>
      </c>
      <c r="H647" s="90">
        <v>0.59</v>
      </c>
      <c r="I647" s="90">
        <v>0.64</v>
      </c>
      <c r="J647" s="90" t="s">
        <v>244</v>
      </c>
      <c r="K647" s="90">
        <v>1.0385800920599999E-3</v>
      </c>
      <c r="L647" s="90">
        <v>3735.4140468885998</v>
      </c>
      <c r="M647" s="90">
        <v>9.7205595704070298</v>
      </c>
      <c r="N647" s="90">
        <v>1.53415664631892</v>
      </c>
      <c r="O647" s="90">
        <v>1.009557965354E-2</v>
      </c>
      <c r="P647" s="90">
        <v>1.5933445509700001E-3</v>
      </c>
      <c r="Q647" s="90">
        <v>3.87952666471472</v>
      </c>
      <c r="R647" s="90">
        <v>1400</v>
      </c>
      <c r="S647" s="90" t="s">
        <v>324</v>
      </c>
      <c r="T647" s="90">
        <v>1400</v>
      </c>
      <c r="U647" s="90" t="s">
        <v>378</v>
      </c>
      <c r="V647" s="90" t="s">
        <v>244</v>
      </c>
      <c r="Z647" s="90">
        <v>0</v>
      </c>
      <c r="AA647" s="90">
        <v>1</v>
      </c>
      <c r="AB647" s="90">
        <v>1.009557965354E-2</v>
      </c>
      <c r="AC647" s="90">
        <v>1.5933445509700001E-3</v>
      </c>
      <c r="AD647" s="90">
        <v>3.87952666471555</v>
      </c>
      <c r="AF647" s="90">
        <v>-1</v>
      </c>
      <c r="AG647" s="90">
        <v>-1</v>
      </c>
      <c r="AH647" s="90">
        <v>-1</v>
      </c>
      <c r="AI647" s="90">
        <v>-1</v>
      </c>
      <c r="AJ647" s="90">
        <v>0</v>
      </c>
      <c r="AM647" s="90" t="s">
        <v>379</v>
      </c>
      <c r="AN647" s="90">
        <v>-1</v>
      </c>
      <c r="AQ647" s="90">
        <v>356</v>
      </c>
      <c r="AR647" s="90" t="s">
        <v>380</v>
      </c>
      <c r="AS647" s="90" t="s">
        <v>246</v>
      </c>
      <c r="AT647" s="90" t="s">
        <v>244</v>
      </c>
      <c r="AU647" s="90">
        <v>175.87190000000001</v>
      </c>
      <c r="AV647" s="90">
        <v>39.315907683967197</v>
      </c>
      <c r="AW647" s="90">
        <v>4.2029845157468602</v>
      </c>
      <c r="AX647" s="90">
        <v>3.1464125000000001E-3</v>
      </c>
    </row>
    <row r="648" spans="1:50" x14ac:dyDescent="0.25">
      <c r="A648" s="102">
        <v>830000</v>
      </c>
      <c r="B648" s="102">
        <v>2400000</v>
      </c>
      <c r="C648" s="102">
        <v>2400000</v>
      </c>
      <c r="D648" s="90" t="s">
        <v>374</v>
      </c>
      <c r="E648" s="90" t="s">
        <v>68</v>
      </c>
      <c r="F648" s="90" t="s">
        <v>375</v>
      </c>
      <c r="G648" s="90" t="s">
        <v>376</v>
      </c>
      <c r="H648" s="90">
        <v>0.59</v>
      </c>
      <c r="I648" s="90">
        <v>0.64</v>
      </c>
      <c r="J648" s="90" t="s">
        <v>381</v>
      </c>
      <c r="K648" s="90">
        <v>6.0313317447979999E-2</v>
      </c>
      <c r="L648" s="90">
        <v>3735.4140468885998</v>
      </c>
      <c r="M648" s="90">
        <v>9.7205595704070298</v>
      </c>
      <c r="N648" s="90">
        <v>1.53415664631892</v>
      </c>
      <c r="O648" s="90">
        <v>0.58627919514201998</v>
      </c>
      <c r="P648" s="90">
        <v>9.2530076824370006E-2</v>
      </c>
      <c r="Q648" s="90">
        <v>225.29521320966199</v>
      </c>
      <c r="R648" s="90">
        <v>1400</v>
      </c>
      <c r="S648" s="90" t="s">
        <v>324</v>
      </c>
      <c r="T648" s="90">
        <v>1400</v>
      </c>
      <c r="U648" s="90" t="s">
        <v>382</v>
      </c>
      <c r="V648" s="90" t="s">
        <v>381</v>
      </c>
      <c r="Z648" s="90">
        <v>0</v>
      </c>
      <c r="AA648" s="90">
        <v>1</v>
      </c>
      <c r="AB648" s="90">
        <v>0.58627919514201998</v>
      </c>
      <c r="AC648" s="90">
        <v>9.2530076824370006E-2</v>
      </c>
      <c r="AD648" s="90">
        <v>225.29521320966199</v>
      </c>
      <c r="AF648" s="90">
        <v>-1</v>
      </c>
      <c r="AG648" s="90">
        <v>-1</v>
      </c>
      <c r="AH648" s="90">
        <v>-1</v>
      </c>
      <c r="AI648" s="90">
        <v>-1</v>
      </c>
      <c r="AJ648" s="90">
        <v>0</v>
      </c>
      <c r="AM648" s="90" t="s">
        <v>379</v>
      </c>
      <c r="AN648" s="90">
        <v>-1</v>
      </c>
      <c r="AQ648" s="90">
        <v>356</v>
      </c>
      <c r="AR648" s="90" t="s">
        <v>380</v>
      </c>
      <c r="AS648" s="90" t="s">
        <v>246</v>
      </c>
      <c r="AT648" s="90" t="s">
        <v>244</v>
      </c>
      <c r="AU648" s="90">
        <v>175.87190000000001</v>
      </c>
      <c r="AV648" s="90">
        <v>108.954894568062</v>
      </c>
      <c r="AW648" s="90">
        <v>244.079336070636</v>
      </c>
      <c r="AX648" s="90">
        <v>0.18272117860000001</v>
      </c>
    </row>
    <row r="649" spans="1:50" x14ac:dyDescent="0.25">
      <c r="A649" s="102">
        <v>830000</v>
      </c>
      <c r="B649" s="102">
        <v>2400000</v>
      </c>
      <c r="C649" s="102">
        <v>2400000</v>
      </c>
      <c r="D649" s="90" t="s">
        <v>374</v>
      </c>
      <c r="E649" s="90" t="s">
        <v>68</v>
      </c>
      <c r="F649" s="90" t="s">
        <v>375</v>
      </c>
      <c r="G649" s="90" t="s">
        <v>376</v>
      </c>
      <c r="H649" s="90">
        <v>0.59</v>
      </c>
      <c r="I649" s="90">
        <v>0.64</v>
      </c>
      <c r="J649" s="90" t="s">
        <v>381</v>
      </c>
      <c r="K649" s="90">
        <v>2.049533080184E-2</v>
      </c>
      <c r="L649" s="90">
        <v>3735.4140468885998</v>
      </c>
      <c r="M649" s="90">
        <v>9.7205595704070298</v>
      </c>
      <c r="N649" s="90">
        <v>1.53415664631892</v>
      </c>
      <c r="O649" s="90">
        <v>0.19922608397450001</v>
      </c>
      <c r="P649" s="90">
        <v>3.1443047968149999E-2</v>
      </c>
      <c r="Q649" s="90">
        <v>76.5585465728293</v>
      </c>
      <c r="R649" s="90">
        <v>4200</v>
      </c>
      <c r="S649" s="90" t="s">
        <v>390</v>
      </c>
      <c r="T649" s="90">
        <v>4200</v>
      </c>
      <c r="U649" s="90" t="s">
        <v>382</v>
      </c>
      <c r="V649" s="90" t="s">
        <v>381</v>
      </c>
      <c r="Y649" s="90" t="s">
        <v>389</v>
      </c>
      <c r="Z649" s="90">
        <v>0</v>
      </c>
      <c r="AA649" s="90">
        <v>1</v>
      </c>
      <c r="AB649" s="90">
        <v>0.19922608397450001</v>
      </c>
      <c r="AC649" s="90">
        <v>3.1443047968149999E-2</v>
      </c>
      <c r="AD649" s="90">
        <v>76.558546572829997</v>
      </c>
      <c r="AF649" s="90">
        <v>-1</v>
      </c>
      <c r="AG649" s="90">
        <v>-1</v>
      </c>
      <c r="AH649" s="90">
        <v>-1</v>
      </c>
      <c r="AI649" s="90">
        <v>-1</v>
      </c>
      <c r="AJ649" s="90">
        <v>0</v>
      </c>
      <c r="AM649" s="90" t="s">
        <v>379</v>
      </c>
      <c r="AN649" s="90">
        <v>-1</v>
      </c>
      <c r="AQ649" s="90">
        <v>356</v>
      </c>
      <c r="AR649" s="90" t="s">
        <v>380</v>
      </c>
      <c r="AS649" s="90" t="s">
        <v>246</v>
      </c>
      <c r="AT649" s="90" t="s">
        <v>244</v>
      </c>
      <c r="AU649" s="90">
        <v>175.87190000000001</v>
      </c>
      <c r="AV649" s="90">
        <v>105.022598382345</v>
      </c>
      <c r="AW649" s="90">
        <v>82.941661084647606</v>
      </c>
      <c r="AX649" s="90">
        <v>6.2091278600000001E-2</v>
      </c>
    </row>
    <row r="650" spans="1:50" x14ac:dyDescent="0.25">
      <c r="A650" s="102">
        <v>830000</v>
      </c>
      <c r="B650" s="102">
        <v>2400000</v>
      </c>
      <c r="C650" s="102">
        <v>2400000</v>
      </c>
      <c r="D650" s="90" t="s">
        <v>374</v>
      </c>
      <c r="E650" s="90" t="s">
        <v>68</v>
      </c>
      <c r="F650" s="90" t="s">
        <v>375</v>
      </c>
      <c r="G650" s="90" t="s">
        <v>376</v>
      </c>
      <c r="H650" s="90">
        <v>0.59</v>
      </c>
      <c r="I650" s="90">
        <v>0.64</v>
      </c>
      <c r="J650" s="90" t="s">
        <v>381</v>
      </c>
      <c r="K650" s="90">
        <v>0.28666174590907001</v>
      </c>
      <c r="L650" s="90">
        <v>3735.4140468885998</v>
      </c>
      <c r="M650" s="90">
        <v>9.7205595704070298</v>
      </c>
      <c r="N650" s="90">
        <v>1.53415664631892</v>
      </c>
      <c r="O650" s="90">
        <v>2.7865125776660302</v>
      </c>
      <c r="P650" s="90">
        <v>0.43978402273179001</v>
      </c>
      <c r="Q650" s="90">
        <v>1070.8003123743599</v>
      </c>
      <c r="R650" s="90">
        <v>8140</v>
      </c>
      <c r="S650" s="90" t="s">
        <v>386</v>
      </c>
      <c r="T650" s="90">
        <v>8140</v>
      </c>
      <c r="U650" s="90" t="s">
        <v>382</v>
      </c>
      <c r="V650" s="90" t="s">
        <v>381</v>
      </c>
      <c r="Z650" s="90">
        <v>0</v>
      </c>
      <c r="AA650" s="90">
        <v>1</v>
      </c>
      <c r="AB650" s="90">
        <v>2.7865125776660302</v>
      </c>
      <c r="AC650" s="90">
        <v>0.43978402273179001</v>
      </c>
      <c r="AD650" s="90">
        <v>1070.8003123743599</v>
      </c>
      <c r="AF650" s="90">
        <v>-1</v>
      </c>
      <c r="AG650" s="90">
        <v>-1</v>
      </c>
      <c r="AH650" s="90">
        <v>-1</v>
      </c>
      <c r="AI650" s="90">
        <v>-1</v>
      </c>
      <c r="AJ650" s="90">
        <v>0</v>
      </c>
      <c r="AM650" s="90" t="s">
        <v>379</v>
      </c>
      <c r="AN650" s="90">
        <v>-1</v>
      </c>
      <c r="AQ650" s="90">
        <v>356</v>
      </c>
      <c r="AR650" s="90" t="s">
        <v>380</v>
      </c>
      <c r="AS650" s="90" t="s">
        <v>246</v>
      </c>
      <c r="AT650" s="90" t="s">
        <v>244</v>
      </c>
      <c r="AU650" s="90">
        <v>175.87190000000001</v>
      </c>
      <c r="AV650" s="90">
        <v>149.59013615978799</v>
      </c>
      <c r="AW650" s="90">
        <v>1160.0789274885201</v>
      </c>
      <c r="AX650" s="90">
        <v>0.86845118600000004</v>
      </c>
    </row>
    <row r="651" spans="1:50" x14ac:dyDescent="0.25">
      <c r="A651" s="102">
        <v>830000</v>
      </c>
      <c r="B651" s="102">
        <v>2400000</v>
      </c>
      <c r="C651" s="102">
        <v>2400000</v>
      </c>
      <c r="D651" s="90" t="s">
        <v>374</v>
      </c>
      <c r="E651" s="90" t="s">
        <v>68</v>
      </c>
      <c r="F651" s="90" t="s">
        <v>375</v>
      </c>
      <c r="G651" s="90" t="s">
        <v>376</v>
      </c>
      <c r="H651" s="90">
        <v>0.59</v>
      </c>
      <c r="I651" s="90">
        <v>0.64</v>
      </c>
      <c r="J651" s="90" t="s">
        <v>244</v>
      </c>
      <c r="K651" s="90">
        <v>0.24046014044667</v>
      </c>
      <c r="L651" s="90">
        <v>3735.4140468885998</v>
      </c>
      <c r="M651" s="90">
        <v>9.7205595704070298</v>
      </c>
      <c r="N651" s="90">
        <v>1.53415664631892</v>
      </c>
      <c r="O651" s="90">
        <v>2.3374071195203201</v>
      </c>
      <c r="P651" s="90">
        <v>0.36890352264103998</v>
      </c>
      <c r="Q651" s="90">
        <v>898.21818634130898</v>
      </c>
      <c r="R651" s="90">
        <v>1300</v>
      </c>
      <c r="S651" s="90" t="s">
        <v>387</v>
      </c>
      <c r="T651" s="90">
        <v>1300</v>
      </c>
      <c r="U651" s="90" t="s">
        <v>378</v>
      </c>
      <c r="V651" s="90" t="s">
        <v>244</v>
      </c>
      <c r="Z651" s="90">
        <v>0</v>
      </c>
      <c r="AA651" s="90">
        <v>1</v>
      </c>
      <c r="AB651" s="90">
        <v>2.3374071195203201</v>
      </c>
      <c r="AC651" s="90">
        <v>0.36890352264103998</v>
      </c>
      <c r="AD651" s="90">
        <v>898.21818634130898</v>
      </c>
      <c r="AF651" s="90">
        <v>-1</v>
      </c>
      <c r="AG651" s="90">
        <v>-1</v>
      </c>
      <c r="AH651" s="90">
        <v>-1</v>
      </c>
      <c r="AI651" s="90">
        <v>-1</v>
      </c>
      <c r="AJ651" s="90">
        <v>0</v>
      </c>
      <c r="AM651" s="90" t="s">
        <v>379</v>
      </c>
      <c r="AN651" s="90">
        <v>-1</v>
      </c>
      <c r="AQ651" s="90">
        <v>356</v>
      </c>
      <c r="AR651" s="90" t="s">
        <v>380</v>
      </c>
      <c r="AS651" s="90" t="s">
        <v>246</v>
      </c>
      <c r="AT651" s="90" t="s">
        <v>244</v>
      </c>
      <c r="AU651" s="90">
        <v>175.87190000000001</v>
      </c>
      <c r="AV651" s="90">
        <v>139.345035273966</v>
      </c>
      <c r="AW651" s="90">
        <v>973.10766369782402</v>
      </c>
      <c r="AX651" s="90">
        <v>0.72848190300000004</v>
      </c>
    </row>
    <row r="652" spans="1:50" x14ac:dyDescent="0.25">
      <c r="A652" s="102">
        <v>830000</v>
      </c>
      <c r="B652" s="102">
        <v>2400000</v>
      </c>
      <c r="C652" s="102">
        <v>2400000</v>
      </c>
      <c r="D652" s="90" t="s">
        <v>374</v>
      </c>
      <c r="E652" s="90" t="s">
        <v>68</v>
      </c>
      <c r="F652" s="90" t="s">
        <v>375</v>
      </c>
      <c r="G652" s="90" t="s">
        <v>376</v>
      </c>
      <c r="H652" s="90">
        <v>0.59</v>
      </c>
      <c r="I652" s="90">
        <v>0.64</v>
      </c>
      <c r="J652" s="90" t="s">
        <v>381</v>
      </c>
      <c r="K652" s="90">
        <v>4.7272657813999999E-4</v>
      </c>
      <c r="L652" s="90">
        <v>3735.4140468885998</v>
      </c>
      <c r="M652" s="90">
        <v>9.7205595704070298</v>
      </c>
      <c r="N652" s="90">
        <v>1.53415664631892</v>
      </c>
      <c r="O652" s="90">
        <v>4.5951668634000003E-3</v>
      </c>
      <c r="P652" s="90">
        <v>7.2523662174999999E-4</v>
      </c>
      <c r="Q652" s="90">
        <v>1.76582950035162</v>
      </c>
      <c r="R652" s="90">
        <v>1300</v>
      </c>
      <c r="S652" s="90" t="s">
        <v>387</v>
      </c>
      <c r="T652" s="90">
        <v>1300</v>
      </c>
      <c r="U652" s="90" t="s">
        <v>382</v>
      </c>
      <c r="V652" s="90" t="s">
        <v>381</v>
      </c>
      <c r="Z652" s="90">
        <v>0</v>
      </c>
      <c r="AA652" s="90">
        <v>1</v>
      </c>
      <c r="AB652" s="90">
        <v>4.5951668634000003E-3</v>
      </c>
      <c r="AC652" s="90">
        <v>7.2523662174999999E-4</v>
      </c>
      <c r="AD652" s="90">
        <v>1.7658295003501101</v>
      </c>
      <c r="AF652" s="90">
        <v>-1</v>
      </c>
      <c r="AG652" s="90">
        <v>-1</v>
      </c>
      <c r="AH652" s="90">
        <v>-1</v>
      </c>
      <c r="AI652" s="90">
        <v>-1</v>
      </c>
      <c r="AJ652" s="90">
        <v>0</v>
      </c>
      <c r="AM652" s="90" t="s">
        <v>379</v>
      </c>
      <c r="AN652" s="90">
        <v>-1</v>
      </c>
      <c r="AQ652" s="90">
        <v>356</v>
      </c>
      <c r="AR652" s="90" t="s">
        <v>380</v>
      </c>
      <c r="AS652" s="90" t="s">
        <v>246</v>
      </c>
      <c r="AT652" s="90" t="s">
        <v>244</v>
      </c>
      <c r="AU652" s="90">
        <v>175.87190000000001</v>
      </c>
      <c r="AV652" s="90">
        <v>101.67528065539</v>
      </c>
      <c r="AW652" s="90">
        <v>1.91305658881577</v>
      </c>
      <c r="AX652" s="90">
        <v>1.4321407E-3</v>
      </c>
    </row>
    <row r="653" spans="1:50" x14ac:dyDescent="0.25">
      <c r="A653" s="102">
        <v>830000</v>
      </c>
      <c r="B653" s="102">
        <v>2400000</v>
      </c>
      <c r="C653" s="102">
        <v>2400000</v>
      </c>
      <c r="D653" s="90" t="s">
        <v>374</v>
      </c>
      <c r="E653" s="90" t="s">
        <v>68</v>
      </c>
      <c r="F653" s="90" t="s">
        <v>375</v>
      </c>
      <c r="G653" s="90" t="s">
        <v>376</v>
      </c>
      <c r="H653" s="90">
        <v>0.59</v>
      </c>
      <c r="I653" s="90">
        <v>0.64</v>
      </c>
      <c r="J653" s="90" t="s">
        <v>244</v>
      </c>
      <c r="K653" s="90">
        <v>8.3216123921200005E-3</v>
      </c>
      <c r="L653" s="90">
        <v>3735.4140468885998</v>
      </c>
      <c r="M653" s="90">
        <v>9.7205595704070298</v>
      </c>
      <c r="N653" s="90">
        <v>1.53415664631892</v>
      </c>
      <c r="O653" s="90">
        <v>8.0890728979489998E-2</v>
      </c>
      <c r="P653" s="90">
        <v>1.2766656959469999E-2</v>
      </c>
      <c r="Q653" s="90">
        <v>31.084667822309701</v>
      </c>
      <c r="R653" s="90">
        <v>1410</v>
      </c>
      <c r="S653" s="90" t="s">
        <v>325</v>
      </c>
      <c r="T653" s="90">
        <v>1410</v>
      </c>
      <c r="U653" s="90" t="s">
        <v>378</v>
      </c>
      <c r="V653" s="90" t="s">
        <v>244</v>
      </c>
      <c r="Z653" s="90">
        <v>0</v>
      </c>
      <c r="AA653" s="90">
        <v>1</v>
      </c>
      <c r="AB653" s="90">
        <v>8.0890728979489998E-2</v>
      </c>
      <c r="AC653" s="90">
        <v>1.2766656959469999E-2</v>
      </c>
      <c r="AD653" s="90">
        <v>31.0846678223113</v>
      </c>
      <c r="AF653" s="90">
        <v>-1</v>
      </c>
      <c r="AG653" s="90">
        <v>-1</v>
      </c>
      <c r="AH653" s="90">
        <v>-1</v>
      </c>
      <c r="AI653" s="90">
        <v>-1</v>
      </c>
      <c r="AJ653" s="90">
        <v>0</v>
      </c>
      <c r="AM653" s="90" t="s">
        <v>379</v>
      </c>
      <c r="AN653" s="90">
        <v>-1</v>
      </c>
      <c r="AQ653" s="90">
        <v>356</v>
      </c>
      <c r="AR653" s="90" t="s">
        <v>380</v>
      </c>
      <c r="AS653" s="90" t="s">
        <v>246</v>
      </c>
      <c r="AT653" s="90" t="s">
        <v>244</v>
      </c>
      <c r="AU653" s="90">
        <v>175.87190000000001</v>
      </c>
      <c r="AV653" s="90">
        <v>34.354568984469203</v>
      </c>
      <c r="AW653" s="90">
        <v>33.676370553800197</v>
      </c>
      <c r="AX653" s="90">
        <v>2.5210598399999999E-2</v>
      </c>
    </row>
    <row r="654" spans="1:50" x14ac:dyDescent="0.25">
      <c r="A654" s="102">
        <v>830000</v>
      </c>
      <c r="B654" s="102">
        <v>2400000</v>
      </c>
      <c r="C654" s="102">
        <v>2400000</v>
      </c>
      <c r="D654" s="90" t="s">
        <v>374</v>
      </c>
      <c r="E654" s="90" t="s">
        <v>68</v>
      </c>
      <c r="F654" s="90" t="s">
        <v>375</v>
      </c>
      <c r="G654" s="90" t="s">
        <v>376</v>
      </c>
      <c r="H654" s="90">
        <v>0.59</v>
      </c>
      <c r="I654" s="90">
        <v>0.64</v>
      </c>
      <c r="J654" s="90" t="s">
        <v>244</v>
      </c>
      <c r="K654" s="90">
        <v>0.25412204334823002</v>
      </c>
      <c r="L654" s="90">
        <v>3773.3571448747398</v>
      </c>
      <c r="M654" s="90">
        <v>9.3186148894409602</v>
      </c>
      <c r="N654" s="90">
        <v>1.6166485699161499</v>
      </c>
      <c r="O654" s="90">
        <v>2.3680654568800299</v>
      </c>
      <c r="P654" s="90">
        <v>0.41082603796308997</v>
      </c>
      <c r="Q654" s="90">
        <v>958.89322793823601</v>
      </c>
      <c r="R654" s="90">
        <v>1300</v>
      </c>
      <c r="S654" s="90" t="s">
        <v>387</v>
      </c>
      <c r="T654" s="90">
        <v>1300</v>
      </c>
      <c r="U654" s="90" t="s">
        <v>378</v>
      </c>
      <c r="V654" s="90" t="s">
        <v>244</v>
      </c>
      <c r="Z654" s="90">
        <v>0</v>
      </c>
      <c r="AA654" s="90">
        <v>1</v>
      </c>
      <c r="AB654" s="90">
        <v>2.3680654568800299</v>
      </c>
      <c r="AC654" s="90">
        <v>0.41082603796308997</v>
      </c>
      <c r="AD654" s="90">
        <v>958.89322793823601</v>
      </c>
      <c r="AF654" s="90">
        <v>-1</v>
      </c>
      <c r="AG654" s="90">
        <v>-1</v>
      </c>
      <c r="AH654" s="90">
        <v>-1</v>
      </c>
      <c r="AI654" s="90">
        <v>-1</v>
      </c>
      <c r="AJ654" s="90">
        <v>0</v>
      </c>
      <c r="AM654" s="90" t="s">
        <v>379</v>
      </c>
      <c r="AN654" s="90">
        <v>-1</v>
      </c>
      <c r="AQ654" s="90">
        <v>356</v>
      </c>
      <c r="AR654" s="90" t="s">
        <v>380</v>
      </c>
      <c r="AS654" s="90" t="s">
        <v>246</v>
      </c>
      <c r="AT654" s="90" t="s">
        <v>244</v>
      </c>
      <c r="AU654" s="90">
        <v>175.87190000000001</v>
      </c>
      <c r="AV654" s="90">
        <v>140.399039075856</v>
      </c>
      <c r="AW654" s="90">
        <v>1028.39542319722</v>
      </c>
      <c r="AX654" s="90">
        <v>0.77769118240000001</v>
      </c>
    </row>
    <row r="655" spans="1:50" x14ac:dyDescent="0.25">
      <c r="A655" s="102">
        <v>830000</v>
      </c>
      <c r="B655" s="102">
        <v>2400000</v>
      </c>
      <c r="C655" s="102">
        <v>2400000</v>
      </c>
      <c r="D655" s="90" t="s">
        <v>374</v>
      </c>
      <c r="E655" s="90" t="s">
        <v>68</v>
      </c>
      <c r="F655" s="90" t="s">
        <v>375</v>
      </c>
      <c r="G655" s="90" t="s">
        <v>376</v>
      </c>
      <c r="H655" s="90">
        <v>0.59</v>
      </c>
      <c r="I655" s="90">
        <v>0.64</v>
      </c>
      <c r="J655" s="90" t="s">
        <v>244</v>
      </c>
      <c r="K655" s="90">
        <v>7.8651953582670006E-2</v>
      </c>
      <c r="L655" s="90">
        <v>3773.3571448747398</v>
      </c>
      <c r="M655" s="90">
        <v>9.3186148894409602</v>
      </c>
      <c r="N655" s="90">
        <v>1.6166485699161499</v>
      </c>
      <c r="O655" s="90">
        <v>0.73292726573907996</v>
      </c>
      <c r="P655" s="90">
        <v>0.12715256828053001</v>
      </c>
      <c r="Q655" s="90">
        <v>296.78191100952398</v>
      </c>
      <c r="R655" s="90">
        <v>1300</v>
      </c>
      <c r="S655" s="90" t="s">
        <v>387</v>
      </c>
      <c r="T655" s="90">
        <v>1300</v>
      </c>
      <c r="U655" s="90" t="s">
        <v>378</v>
      </c>
      <c r="V655" s="90" t="s">
        <v>244</v>
      </c>
      <c r="Z655" s="90">
        <v>0</v>
      </c>
      <c r="AA655" s="90">
        <v>1</v>
      </c>
      <c r="AB655" s="90">
        <v>0.73292726573907996</v>
      </c>
      <c r="AC655" s="90">
        <v>0.12715256828053001</v>
      </c>
      <c r="AD655" s="90">
        <v>296.78191100952301</v>
      </c>
      <c r="AF655" s="90">
        <v>-1</v>
      </c>
      <c r="AG655" s="90">
        <v>-1</v>
      </c>
      <c r="AH655" s="90">
        <v>-1</v>
      </c>
      <c r="AI655" s="90">
        <v>-1</v>
      </c>
      <c r="AJ655" s="90">
        <v>0</v>
      </c>
      <c r="AM655" s="90" t="s">
        <v>379</v>
      </c>
      <c r="AN655" s="90">
        <v>-1</v>
      </c>
      <c r="AQ655" s="90">
        <v>356</v>
      </c>
      <c r="AR655" s="90" t="s">
        <v>380</v>
      </c>
      <c r="AS655" s="90" t="s">
        <v>246</v>
      </c>
      <c r="AT655" s="90" t="s">
        <v>244</v>
      </c>
      <c r="AU655" s="90">
        <v>175.87190000000001</v>
      </c>
      <c r="AV655" s="90">
        <v>72.377218857295503</v>
      </c>
      <c r="AW655" s="90">
        <v>318.29316349033297</v>
      </c>
      <c r="AX655" s="90">
        <v>0.24069903570000001</v>
      </c>
    </row>
    <row r="656" spans="1:50" x14ac:dyDescent="0.25">
      <c r="A656" s="102">
        <v>830000</v>
      </c>
      <c r="B656" s="102">
        <v>2400000</v>
      </c>
      <c r="C656" s="102">
        <v>2400000</v>
      </c>
      <c r="D656" s="90" t="s">
        <v>374</v>
      </c>
      <c r="E656" s="90" t="s">
        <v>68</v>
      </c>
      <c r="F656" s="90" t="s">
        <v>375</v>
      </c>
      <c r="G656" s="90" t="s">
        <v>376</v>
      </c>
      <c r="H656" s="90">
        <v>0.59</v>
      </c>
      <c r="I656" s="90">
        <v>0.64</v>
      </c>
      <c r="J656" s="90" t="s">
        <v>244</v>
      </c>
      <c r="K656" s="90">
        <v>3.1842812404400001E-3</v>
      </c>
      <c r="L656" s="90">
        <v>3773.3571448747398</v>
      </c>
      <c r="M656" s="90">
        <v>9.3186148894409602</v>
      </c>
      <c r="N656" s="90">
        <v>1.6166485699161499</v>
      </c>
      <c r="O656" s="90">
        <v>2.967309057933E-2</v>
      </c>
      <c r="P656" s="90">
        <v>5.1478637135600001E-3</v>
      </c>
      <c r="Q656" s="90">
        <v>12.0154303699048</v>
      </c>
      <c r="R656" s="90">
        <v>1300</v>
      </c>
      <c r="S656" s="90" t="s">
        <v>387</v>
      </c>
      <c r="T656" s="90">
        <v>1300</v>
      </c>
      <c r="U656" s="90" t="s">
        <v>378</v>
      </c>
      <c r="V656" s="90" t="s">
        <v>244</v>
      </c>
      <c r="Z656" s="90">
        <v>0</v>
      </c>
      <c r="AA656" s="90">
        <v>1</v>
      </c>
      <c r="AB656" s="90">
        <v>2.967309057933E-2</v>
      </c>
      <c r="AC656" s="90">
        <v>5.1478637135600001E-3</v>
      </c>
      <c r="AD656" s="90">
        <v>12.0154303699042</v>
      </c>
      <c r="AF656" s="90">
        <v>-1</v>
      </c>
      <c r="AG656" s="90">
        <v>-1</v>
      </c>
      <c r="AH656" s="90">
        <v>-1</v>
      </c>
      <c r="AI656" s="90">
        <v>-1</v>
      </c>
      <c r="AJ656" s="90">
        <v>0</v>
      </c>
      <c r="AM656" s="90" t="s">
        <v>379</v>
      </c>
      <c r="AN656" s="90">
        <v>-1</v>
      </c>
      <c r="AQ656" s="90">
        <v>356</v>
      </c>
      <c r="AR656" s="90" t="s">
        <v>380</v>
      </c>
      <c r="AS656" s="90" t="s">
        <v>246</v>
      </c>
      <c r="AT656" s="90" t="s">
        <v>244</v>
      </c>
      <c r="AU656" s="90">
        <v>175.87190000000001</v>
      </c>
      <c r="AV656" s="90">
        <v>40.270279191514703</v>
      </c>
      <c r="AW656" s="90">
        <v>12.886328988601701</v>
      </c>
      <c r="AX656" s="90">
        <v>9.7448745999999999E-3</v>
      </c>
    </row>
    <row r="657" spans="1:50" x14ac:dyDescent="0.25">
      <c r="A657" s="102">
        <v>830000</v>
      </c>
      <c r="B657" s="102">
        <v>2400000</v>
      </c>
      <c r="C657" s="102">
        <v>2400000</v>
      </c>
      <c r="D657" s="90" t="s">
        <v>374</v>
      </c>
      <c r="E657" s="90" t="s">
        <v>68</v>
      </c>
      <c r="F657" s="90" t="s">
        <v>375</v>
      </c>
      <c r="G657" s="90" t="s">
        <v>376</v>
      </c>
      <c r="H657" s="90">
        <v>0.59</v>
      </c>
      <c r="I657" s="90">
        <v>0.64</v>
      </c>
      <c r="J657" s="90" t="s">
        <v>244</v>
      </c>
      <c r="K657" s="90">
        <v>0.28180517549655998</v>
      </c>
      <c r="L657" s="90">
        <v>3773.3571448747398</v>
      </c>
      <c r="M657" s="90">
        <v>9.3186148894409602</v>
      </c>
      <c r="N657" s="90">
        <v>1.6166485699161499</v>
      </c>
      <c r="O657" s="90">
        <v>2.6260339043038301</v>
      </c>
      <c r="P657" s="90">
        <v>0.45557993396148999</v>
      </c>
      <c r="Q657" s="90">
        <v>1063.35157242265</v>
      </c>
      <c r="R657" s="90">
        <v>1300</v>
      </c>
      <c r="S657" s="90" t="s">
        <v>387</v>
      </c>
      <c r="T657" s="90">
        <v>1300</v>
      </c>
      <c r="U657" s="90" t="s">
        <v>378</v>
      </c>
      <c r="V657" s="90" t="s">
        <v>244</v>
      </c>
      <c r="Z657" s="90">
        <v>0</v>
      </c>
      <c r="AA657" s="90">
        <v>1</v>
      </c>
      <c r="AB657" s="90">
        <v>2.6260339043038301</v>
      </c>
      <c r="AC657" s="90">
        <v>0.45557993396148999</v>
      </c>
      <c r="AD657" s="90">
        <v>1063.35157242265</v>
      </c>
      <c r="AF657" s="90">
        <v>-1</v>
      </c>
      <c r="AG657" s="90">
        <v>-1</v>
      </c>
      <c r="AH657" s="90">
        <v>-1</v>
      </c>
      <c r="AI657" s="90">
        <v>-1</v>
      </c>
      <c r="AJ657" s="90">
        <v>0</v>
      </c>
      <c r="AM657" s="90" t="s">
        <v>379</v>
      </c>
      <c r="AN657" s="90">
        <v>-1</v>
      </c>
      <c r="AQ657" s="90">
        <v>356</v>
      </c>
      <c r="AR657" s="90" t="s">
        <v>380</v>
      </c>
      <c r="AS657" s="90" t="s">
        <v>246</v>
      </c>
      <c r="AT657" s="90" t="s">
        <v>244</v>
      </c>
      <c r="AU657" s="90">
        <v>175.87190000000001</v>
      </c>
      <c r="AV657" s="90">
        <v>157.95156746956499</v>
      </c>
      <c r="AW657" s="90">
        <v>1140.4250843238401</v>
      </c>
      <c r="AX657" s="90">
        <v>0.86241003439999997</v>
      </c>
    </row>
    <row r="658" spans="1:50" x14ac:dyDescent="0.25">
      <c r="A658" s="102">
        <v>830000</v>
      </c>
      <c r="B658" s="102">
        <v>2400000</v>
      </c>
      <c r="C658" s="102">
        <v>2400000</v>
      </c>
      <c r="D658" s="90" t="s">
        <v>374</v>
      </c>
      <c r="E658" s="90" t="s">
        <v>68</v>
      </c>
      <c r="F658" s="90" t="s">
        <v>375</v>
      </c>
      <c r="G658" s="90" t="s">
        <v>376</v>
      </c>
      <c r="H658" s="90">
        <v>0.59</v>
      </c>
      <c r="I658" s="90">
        <v>0.64</v>
      </c>
      <c r="J658" s="90" t="s">
        <v>244</v>
      </c>
      <c r="K658" s="90">
        <v>0.29582170585931999</v>
      </c>
      <c r="L658" s="90">
        <v>3752.22057715962</v>
      </c>
      <c r="M658" s="90">
        <v>10.7949393625053</v>
      </c>
      <c r="N658" s="90">
        <v>2.0799022004661998</v>
      </c>
      <c r="O658" s="90">
        <v>3.1933773768642899</v>
      </c>
      <c r="P658" s="90">
        <v>0.61528021696247004</v>
      </c>
      <c r="Q658" s="90">
        <v>1109.9882918958101</v>
      </c>
      <c r="R658" s="90">
        <v>1300</v>
      </c>
      <c r="S658" s="90" t="s">
        <v>387</v>
      </c>
      <c r="T658" s="90">
        <v>1300</v>
      </c>
      <c r="U658" s="90" t="s">
        <v>378</v>
      </c>
      <c r="V658" s="90" t="s">
        <v>244</v>
      </c>
      <c r="Z658" s="90">
        <v>0</v>
      </c>
      <c r="AA658" s="90">
        <v>1</v>
      </c>
      <c r="AB658" s="90">
        <v>3.1933773768642899</v>
      </c>
      <c r="AC658" s="90">
        <v>0.61528021696247004</v>
      </c>
      <c r="AD658" s="90">
        <v>1186.96416277721</v>
      </c>
      <c r="AF658" s="90">
        <v>-1</v>
      </c>
      <c r="AG658" s="90">
        <v>-1</v>
      </c>
      <c r="AH658" s="90">
        <v>-1</v>
      </c>
      <c r="AI658" s="90">
        <v>-1</v>
      </c>
      <c r="AJ658" s="90">
        <v>0</v>
      </c>
      <c r="AM658" s="90" t="s">
        <v>379</v>
      </c>
      <c r="AN658" s="90">
        <v>-1</v>
      </c>
      <c r="AQ658" s="90">
        <v>356</v>
      </c>
      <c r="AR658" s="90" t="s">
        <v>380</v>
      </c>
      <c r="AS658" s="90" t="s">
        <v>246</v>
      </c>
      <c r="AT658" s="90" t="s">
        <v>244</v>
      </c>
      <c r="AU658" s="90">
        <v>175.87190000000001</v>
      </c>
      <c r="AV658" s="90">
        <v>147.62530342870599</v>
      </c>
      <c r="AW658" s="90">
        <v>1197.14797024212</v>
      </c>
      <c r="AX658" s="90">
        <v>0.96266355459999997</v>
      </c>
    </row>
    <row r="659" spans="1:50" x14ac:dyDescent="0.25">
      <c r="A659" s="102">
        <v>830000</v>
      </c>
      <c r="B659" s="102">
        <v>2400000</v>
      </c>
      <c r="C659" s="102">
        <v>2400000</v>
      </c>
      <c r="D659" s="90" t="s">
        <v>374</v>
      </c>
      <c r="E659" s="90" t="s">
        <v>68</v>
      </c>
      <c r="F659" s="90" t="s">
        <v>375</v>
      </c>
      <c r="G659" s="90" t="s">
        <v>376</v>
      </c>
      <c r="H659" s="90">
        <v>0.59</v>
      </c>
      <c r="I659" s="90">
        <v>0.64</v>
      </c>
      <c r="J659" s="90" t="s">
        <v>244</v>
      </c>
      <c r="K659" s="90">
        <v>9.1645811160999998E-4</v>
      </c>
      <c r="L659" s="90">
        <v>3752.22057715962</v>
      </c>
      <c r="M659" s="90">
        <v>10.7949393625053</v>
      </c>
      <c r="N659" s="90">
        <v>2.0799022004661998</v>
      </c>
      <c r="O659" s="90">
        <v>9.8931097432000004E-3</v>
      </c>
      <c r="P659" s="90">
        <v>1.90614324299E-3</v>
      </c>
      <c r="Q659" s="90">
        <v>3.4387529845216598</v>
      </c>
      <c r="R659" s="90">
        <v>1300</v>
      </c>
      <c r="S659" s="90" t="s">
        <v>387</v>
      </c>
      <c r="T659" s="90">
        <v>1300</v>
      </c>
      <c r="U659" s="90" t="s">
        <v>378</v>
      </c>
      <c r="V659" s="90" t="s">
        <v>244</v>
      </c>
      <c r="Z659" s="90">
        <v>0</v>
      </c>
      <c r="AA659" s="90">
        <v>1</v>
      </c>
      <c r="AB659" s="90">
        <v>9.8931097432000004E-3</v>
      </c>
      <c r="AC659" s="90">
        <v>1.90614324299E-3</v>
      </c>
      <c r="AD659" s="90">
        <v>3.43875298452161</v>
      </c>
      <c r="AF659" s="90">
        <v>-1</v>
      </c>
      <c r="AG659" s="90">
        <v>-1</v>
      </c>
      <c r="AH659" s="90">
        <v>-1</v>
      </c>
      <c r="AI659" s="90">
        <v>-1</v>
      </c>
      <c r="AJ659" s="90">
        <v>0</v>
      </c>
      <c r="AM659" s="90" t="s">
        <v>379</v>
      </c>
      <c r="AN659" s="90">
        <v>-1</v>
      </c>
      <c r="AQ659" s="90">
        <v>356</v>
      </c>
      <c r="AR659" s="90" t="s">
        <v>380</v>
      </c>
      <c r="AS659" s="90" t="s">
        <v>246</v>
      </c>
      <c r="AT659" s="90" t="s">
        <v>244</v>
      </c>
      <c r="AU659" s="90">
        <v>175.87190000000001</v>
      </c>
      <c r="AV659" s="90">
        <v>35.410472996590499</v>
      </c>
      <c r="AW659" s="90">
        <v>3.7087743948658698</v>
      </c>
      <c r="AX659" s="90">
        <v>2.7889319E-3</v>
      </c>
    </row>
    <row r="660" spans="1:50" x14ac:dyDescent="0.25">
      <c r="A660" s="102">
        <v>830000</v>
      </c>
      <c r="B660" s="102">
        <v>2400000</v>
      </c>
      <c r="C660" s="102">
        <v>2400000</v>
      </c>
      <c r="D660" s="90" t="s">
        <v>374</v>
      </c>
      <c r="E660" s="90" t="s">
        <v>68</v>
      </c>
      <c r="F660" s="90" t="s">
        <v>375</v>
      </c>
      <c r="G660" s="90" t="s">
        <v>376</v>
      </c>
      <c r="H660" s="90">
        <v>0.59</v>
      </c>
      <c r="I660" s="90">
        <v>0.64</v>
      </c>
      <c r="J660" s="90" t="s">
        <v>381</v>
      </c>
      <c r="K660" s="90">
        <v>7.2535933570300002E-3</v>
      </c>
      <c r="L660" s="90">
        <v>3754.9962617741398</v>
      </c>
      <c r="M660" s="90">
        <v>10.0717757756765</v>
      </c>
      <c r="N660" s="90">
        <v>1.55732225670424</v>
      </c>
      <c r="O660" s="90">
        <v>7.3056565860020004E-2</v>
      </c>
      <c r="P660" s="90">
        <v>1.129618237599E-2</v>
      </c>
      <c r="Q660" s="90">
        <v>27.237215940107401</v>
      </c>
      <c r="R660" s="90">
        <v>1300</v>
      </c>
      <c r="S660" s="90" t="s">
        <v>387</v>
      </c>
      <c r="T660" s="90">
        <v>1300</v>
      </c>
      <c r="U660" s="90" t="s">
        <v>382</v>
      </c>
      <c r="V660" s="90" t="s">
        <v>381</v>
      </c>
      <c r="Z660" s="90">
        <v>0</v>
      </c>
      <c r="AA660" s="90">
        <v>1</v>
      </c>
      <c r="AB660" s="90">
        <v>7.3056565860020004E-2</v>
      </c>
      <c r="AC660" s="90">
        <v>1.129618237599E-2</v>
      </c>
      <c r="AD660" s="90">
        <v>27.2372159401069</v>
      </c>
      <c r="AF660" s="90">
        <v>-1</v>
      </c>
      <c r="AG660" s="90">
        <v>-1</v>
      </c>
      <c r="AH660" s="90">
        <v>-1</v>
      </c>
      <c r="AI660" s="90">
        <v>-1</v>
      </c>
      <c r="AJ660" s="90">
        <v>0</v>
      </c>
      <c r="AM660" s="90" t="s">
        <v>379</v>
      </c>
      <c r="AN660" s="90">
        <v>-1</v>
      </c>
      <c r="AQ660" s="90">
        <v>356</v>
      </c>
      <c r="AR660" s="90" t="s">
        <v>380</v>
      </c>
      <c r="AS660" s="90" t="s">
        <v>246</v>
      </c>
      <c r="AT660" s="90" t="s">
        <v>244</v>
      </c>
      <c r="AU660" s="90">
        <v>175.87190000000001</v>
      </c>
      <c r="AV660" s="90">
        <v>107.654674812859</v>
      </c>
      <c r="AW660" s="90">
        <v>29.354250862406602</v>
      </c>
      <c r="AX660" s="90">
        <v>2.2090199500000001E-2</v>
      </c>
    </row>
    <row r="661" spans="1:50" x14ac:dyDescent="0.25">
      <c r="A661" s="102">
        <v>830000</v>
      </c>
      <c r="B661" s="102">
        <v>2400000</v>
      </c>
      <c r="C661" s="102">
        <v>2400000</v>
      </c>
      <c r="D661" s="90" t="s">
        <v>374</v>
      </c>
      <c r="E661" s="90" t="s">
        <v>68</v>
      </c>
      <c r="F661" s="90" t="s">
        <v>375</v>
      </c>
      <c r="G661" s="90" t="s">
        <v>376</v>
      </c>
      <c r="H661" s="90">
        <v>0.59</v>
      </c>
      <c r="I661" s="90">
        <v>0.64</v>
      </c>
      <c r="J661" s="90" t="s">
        <v>244</v>
      </c>
      <c r="K661" s="90">
        <v>3.9816352329000003E-4</v>
      </c>
      <c r="L661" s="90">
        <v>3754.9962617741398</v>
      </c>
      <c r="M661" s="90">
        <v>10.0717757756765</v>
      </c>
      <c r="N661" s="90">
        <v>1.55732225670424</v>
      </c>
      <c r="O661" s="90">
        <v>4.0102137286400002E-3</v>
      </c>
      <c r="P661" s="90">
        <v>6.2006891662000005E-4</v>
      </c>
      <c r="Q661" s="90">
        <v>1.4951025415325201</v>
      </c>
      <c r="R661" s="90">
        <v>1400</v>
      </c>
      <c r="S661" s="90" t="s">
        <v>324</v>
      </c>
      <c r="T661" s="90">
        <v>1400</v>
      </c>
      <c r="U661" s="90" t="s">
        <v>378</v>
      </c>
      <c r="V661" s="90" t="s">
        <v>244</v>
      </c>
      <c r="Z661" s="90">
        <v>0</v>
      </c>
      <c r="AA661" s="90">
        <v>1</v>
      </c>
      <c r="AB661" s="90">
        <v>4.0102137286400002E-3</v>
      </c>
      <c r="AC661" s="90">
        <v>6.2006891662000005E-4</v>
      </c>
      <c r="AD661" s="90">
        <v>1.49510254153397</v>
      </c>
      <c r="AF661" s="90">
        <v>-1</v>
      </c>
      <c r="AG661" s="90">
        <v>-1</v>
      </c>
      <c r="AH661" s="90">
        <v>-1</v>
      </c>
      <c r="AI661" s="90">
        <v>-1</v>
      </c>
      <c r="AJ661" s="90">
        <v>0</v>
      </c>
      <c r="AM661" s="90" t="s">
        <v>379</v>
      </c>
      <c r="AN661" s="90">
        <v>-1</v>
      </c>
      <c r="AQ661" s="90">
        <v>356</v>
      </c>
      <c r="AR661" s="90" t="s">
        <v>380</v>
      </c>
      <c r="AS661" s="90" t="s">
        <v>246</v>
      </c>
      <c r="AT661" s="90" t="s">
        <v>244</v>
      </c>
      <c r="AU661" s="90">
        <v>175.87190000000001</v>
      </c>
      <c r="AV661" s="90">
        <v>64.806902462609898</v>
      </c>
      <c r="AW661" s="90">
        <v>1.61131061139715</v>
      </c>
      <c r="AX661" s="90">
        <v>1.212573E-3</v>
      </c>
    </row>
    <row r="662" spans="1:50" x14ac:dyDescent="0.25">
      <c r="A662" s="102">
        <v>830000</v>
      </c>
      <c r="B662" s="102">
        <v>2400000</v>
      </c>
      <c r="C662" s="102">
        <v>2400000</v>
      </c>
      <c r="D662" s="90" t="s">
        <v>374</v>
      </c>
      <c r="E662" s="90" t="s">
        <v>68</v>
      </c>
      <c r="F662" s="90" t="s">
        <v>375</v>
      </c>
      <c r="G662" s="90" t="s">
        <v>376</v>
      </c>
      <c r="H662" s="90">
        <v>0.59</v>
      </c>
      <c r="I662" s="90">
        <v>0.64</v>
      </c>
      <c r="J662" s="90" t="s">
        <v>381</v>
      </c>
      <c r="K662" s="90">
        <v>9.1724089709020004E-2</v>
      </c>
      <c r="L662" s="90">
        <v>3754.9962617741398</v>
      </c>
      <c r="M662" s="90">
        <v>10.0717757756765</v>
      </c>
      <c r="N662" s="90">
        <v>1.55732225670424</v>
      </c>
      <c r="O662" s="90">
        <v>0.92382446477737001</v>
      </c>
      <c r="P662" s="90">
        <v>0.14284396637980001</v>
      </c>
      <c r="Q662" s="90">
        <v>344.42361397203899</v>
      </c>
      <c r="R662" s="90">
        <v>1400</v>
      </c>
      <c r="S662" s="90" t="s">
        <v>324</v>
      </c>
      <c r="T662" s="90">
        <v>1400</v>
      </c>
      <c r="U662" s="90" t="s">
        <v>382</v>
      </c>
      <c r="V662" s="90" t="s">
        <v>381</v>
      </c>
      <c r="Z662" s="90">
        <v>0</v>
      </c>
      <c r="AA662" s="90">
        <v>1</v>
      </c>
      <c r="AB662" s="90">
        <v>0.92382446477737001</v>
      </c>
      <c r="AC662" s="90">
        <v>0.14284396637980001</v>
      </c>
      <c r="AD662" s="90">
        <v>344.42361397204098</v>
      </c>
      <c r="AF662" s="90">
        <v>-1</v>
      </c>
      <c r="AG662" s="90">
        <v>-1</v>
      </c>
      <c r="AH662" s="90">
        <v>-1</v>
      </c>
      <c r="AI662" s="90">
        <v>-1</v>
      </c>
      <c r="AJ662" s="90">
        <v>0</v>
      </c>
      <c r="AM662" s="90" t="s">
        <v>379</v>
      </c>
      <c r="AN662" s="90">
        <v>-1</v>
      </c>
      <c r="AQ662" s="90">
        <v>356</v>
      </c>
      <c r="AR662" s="90" t="s">
        <v>380</v>
      </c>
      <c r="AS662" s="90" t="s">
        <v>246</v>
      </c>
      <c r="AT662" s="90" t="s">
        <v>244</v>
      </c>
      <c r="AU662" s="90">
        <v>175.87190000000001</v>
      </c>
      <c r="AV662" s="90">
        <v>115.16188064692599</v>
      </c>
      <c r="AW662" s="90">
        <v>371.19422152777901</v>
      </c>
      <c r="AX662" s="90">
        <v>0.27933788640000001</v>
      </c>
    </row>
    <row r="663" spans="1:50" x14ac:dyDescent="0.25">
      <c r="A663" s="102">
        <v>830000</v>
      </c>
      <c r="B663" s="102">
        <v>2400000</v>
      </c>
      <c r="C663" s="102">
        <v>2400000</v>
      </c>
      <c r="D663" s="90" t="s">
        <v>374</v>
      </c>
      <c r="E663" s="90" t="s">
        <v>68</v>
      </c>
      <c r="F663" s="90" t="s">
        <v>375</v>
      </c>
      <c r="G663" s="90" t="s">
        <v>376</v>
      </c>
      <c r="H663" s="90">
        <v>0.59</v>
      </c>
      <c r="I663" s="90">
        <v>0.64</v>
      </c>
      <c r="J663" s="90" t="s">
        <v>381</v>
      </c>
      <c r="K663" s="90">
        <v>0.26352209247299002</v>
      </c>
      <c r="L663" s="90">
        <v>3754.9962617741398</v>
      </c>
      <c r="M663" s="90">
        <v>10.0717757756765</v>
      </c>
      <c r="N663" s="90">
        <v>1.55732225670424</v>
      </c>
      <c r="O663" s="90">
        <v>2.6541354273250901</v>
      </c>
      <c r="P663" s="90">
        <v>0.41038881974146002</v>
      </c>
      <c r="Q663" s="90">
        <v>989.52447213099504</v>
      </c>
      <c r="R663" s="90">
        <v>8140</v>
      </c>
      <c r="S663" s="90" t="s">
        <v>386</v>
      </c>
      <c r="T663" s="90">
        <v>8140</v>
      </c>
      <c r="U663" s="90" t="s">
        <v>382</v>
      </c>
      <c r="V663" s="90" t="s">
        <v>381</v>
      </c>
      <c r="Z663" s="90">
        <v>0</v>
      </c>
      <c r="AA663" s="90">
        <v>1</v>
      </c>
      <c r="AB663" s="90">
        <v>2.6541354273250901</v>
      </c>
      <c r="AC663" s="90">
        <v>0.41038881974146002</v>
      </c>
      <c r="AD663" s="90">
        <v>989.52447213099504</v>
      </c>
      <c r="AF663" s="90">
        <v>-1</v>
      </c>
      <c r="AG663" s="90">
        <v>-1</v>
      </c>
      <c r="AH663" s="90">
        <v>-1</v>
      </c>
      <c r="AI663" s="90">
        <v>-1</v>
      </c>
      <c r="AJ663" s="90">
        <v>0</v>
      </c>
      <c r="AM663" s="90" t="s">
        <v>379</v>
      </c>
      <c r="AN663" s="90">
        <v>-1</v>
      </c>
      <c r="AQ663" s="90">
        <v>356</v>
      </c>
      <c r="AR663" s="90" t="s">
        <v>380</v>
      </c>
      <c r="AS663" s="90" t="s">
        <v>246</v>
      </c>
      <c r="AT663" s="90" t="s">
        <v>244</v>
      </c>
      <c r="AU663" s="90">
        <v>175.87190000000001</v>
      </c>
      <c r="AV663" s="90">
        <v>148.90808071121899</v>
      </c>
      <c r="AW663" s="90">
        <v>1066.43607236862</v>
      </c>
      <c r="AX663" s="90">
        <v>0.80253404070000001</v>
      </c>
    </row>
    <row r="664" spans="1:50" x14ac:dyDescent="0.25">
      <c r="A664" s="102">
        <v>830000</v>
      </c>
      <c r="B664" s="102">
        <v>2400000</v>
      </c>
      <c r="C664" s="102">
        <v>2400000</v>
      </c>
      <c r="D664" s="90" t="s">
        <v>374</v>
      </c>
      <c r="E664" s="90" t="s">
        <v>68</v>
      </c>
      <c r="F664" s="90" t="s">
        <v>375</v>
      </c>
      <c r="G664" s="90" t="s">
        <v>376</v>
      </c>
      <c r="H664" s="90">
        <v>0.59</v>
      </c>
      <c r="I664" s="90">
        <v>0.64</v>
      </c>
      <c r="J664" s="90" t="s">
        <v>244</v>
      </c>
      <c r="K664" s="90">
        <v>3.1575639609679997E-2</v>
      </c>
      <c r="L664" s="90">
        <v>3754.9962617741398</v>
      </c>
      <c r="M664" s="90">
        <v>10.0717757756765</v>
      </c>
      <c r="N664" s="90">
        <v>1.55732225670424</v>
      </c>
      <c r="O664" s="90">
        <v>0.31802276212225999</v>
      </c>
      <c r="P664" s="90">
        <v>4.9173446333820002E-2</v>
      </c>
      <c r="Q664" s="90">
        <v>118.566408697475</v>
      </c>
      <c r="R664" s="90">
        <v>1410</v>
      </c>
      <c r="S664" s="90" t="s">
        <v>325</v>
      </c>
      <c r="T664" s="90">
        <v>1410</v>
      </c>
      <c r="U664" s="90" t="s">
        <v>378</v>
      </c>
      <c r="V664" s="90" t="s">
        <v>244</v>
      </c>
      <c r="Z664" s="90">
        <v>0</v>
      </c>
      <c r="AA664" s="90">
        <v>1</v>
      </c>
      <c r="AB664" s="90">
        <v>0.31802276212225999</v>
      </c>
      <c r="AC664" s="90">
        <v>4.9173446333820002E-2</v>
      </c>
      <c r="AD664" s="90">
        <v>118.566408697477</v>
      </c>
      <c r="AF664" s="90">
        <v>-1</v>
      </c>
      <c r="AG664" s="90">
        <v>-1</v>
      </c>
      <c r="AH664" s="90">
        <v>-1</v>
      </c>
      <c r="AI664" s="90">
        <v>-1</v>
      </c>
      <c r="AJ664" s="90">
        <v>0</v>
      </c>
      <c r="AM664" s="90" t="s">
        <v>379</v>
      </c>
      <c r="AN664" s="90">
        <v>-1</v>
      </c>
      <c r="AQ664" s="90">
        <v>356</v>
      </c>
      <c r="AR664" s="90" t="s">
        <v>380</v>
      </c>
      <c r="AS664" s="90" t="s">
        <v>246</v>
      </c>
      <c r="AT664" s="90" t="s">
        <v>244</v>
      </c>
      <c r="AU664" s="90">
        <v>175.87190000000001</v>
      </c>
      <c r="AV664" s="90">
        <v>63.624017896176397</v>
      </c>
      <c r="AW664" s="90">
        <v>127.78207994582201</v>
      </c>
      <c r="AX664" s="90">
        <v>9.6160915400000005E-2</v>
      </c>
    </row>
    <row r="665" spans="1:50" x14ac:dyDescent="0.25">
      <c r="A665" s="102">
        <v>830000</v>
      </c>
      <c r="B665" s="102">
        <v>2400000</v>
      </c>
      <c r="C665" s="102">
        <v>2400000</v>
      </c>
      <c r="D665" s="90" t="s">
        <v>374</v>
      </c>
      <c r="E665" s="90" t="s">
        <v>68</v>
      </c>
      <c r="F665" s="90" t="s">
        <v>375</v>
      </c>
      <c r="G665" s="90" t="s">
        <v>376</v>
      </c>
      <c r="H665" s="90">
        <v>0.59</v>
      </c>
      <c r="I665" s="90">
        <v>0.64</v>
      </c>
      <c r="J665" s="90" t="s">
        <v>244</v>
      </c>
      <c r="K665" s="90">
        <v>1.052661277911E-2</v>
      </c>
      <c r="L665" s="90">
        <v>3754.9962617741398</v>
      </c>
      <c r="M665" s="90">
        <v>10.0717757756765</v>
      </c>
      <c r="N665" s="90">
        <v>1.55732225670424</v>
      </c>
      <c r="O665" s="90">
        <v>0.10602168358865</v>
      </c>
      <c r="P665" s="90">
        <v>1.6393328368620001E-2</v>
      </c>
      <c r="Q665" s="90">
        <v>39.5273916347357</v>
      </c>
      <c r="R665" s="90">
        <v>1410</v>
      </c>
      <c r="S665" s="90" t="s">
        <v>325</v>
      </c>
      <c r="T665" s="90">
        <v>1410</v>
      </c>
      <c r="U665" s="90" t="s">
        <v>378</v>
      </c>
      <c r="V665" s="90" t="s">
        <v>244</v>
      </c>
      <c r="Z665" s="90">
        <v>0</v>
      </c>
      <c r="AA665" s="90">
        <v>1</v>
      </c>
      <c r="AB665" s="90">
        <v>0.10602168358865</v>
      </c>
      <c r="AC665" s="90">
        <v>1.6393328368620001E-2</v>
      </c>
      <c r="AD665" s="90">
        <v>39.527391634736396</v>
      </c>
      <c r="AF665" s="90">
        <v>-1</v>
      </c>
      <c r="AG665" s="90">
        <v>-1</v>
      </c>
      <c r="AH665" s="90">
        <v>-1</v>
      </c>
      <c r="AI665" s="90">
        <v>-1</v>
      </c>
      <c r="AJ665" s="90">
        <v>0</v>
      </c>
      <c r="AM665" s="90" t="s">
        <v>379</v>
      </c>
      <c r="AN665" s="90">
        <v>-1</v>
      </c>
      <c r="AQ665" s="90">
        <v>356</v>
      </c>
      <c r="AR665" s="90" t="s">
        <v>380</v>
      </c>
      <c r="AS665" s="90" t="s">
        <v>246</v>
      </c>
      <c r="AT665" s="90" t="s">
        <v>244</v>
      </c>
      <c r="AU665" s="90">
        <v>175.87190000000001</v>
      </c>
      <c r="AV665" s="90">
        <v>29.1841629983522</v>
      </c>
      <c r="AW665" s="90">
        <v>42.599690531296602</v>
      </c>
      <c r="AX665" s="90">
        <v>3.2057900799999997E-2</v>
      </c>
    </row>
    <row r="666" spans="1:50" x14ac:dyDescent="0.25">
      <c r="A666" s="102">
        <v>830000</v>
      </c>
      <c r="B666" s="102">
        <v>2400000</v>
      </c>
      <c r="C666" s="102">
        <v>2400000</v>
      </c>
      <c r="D666" s="90" t="s">
        <v>374</v>
      </c>
      <c r="E666" s="90" t="s">
        <v>68</v>
      </c>
      <c r="F666" s="90" t="s">
        <v>375</v>
      </c>
      <c r="G666" s="90" t="s">
        <v>376</v>
      </c>
      <c r="H666" s="90">
        <v>0.59</v>
      </c>
      <c r="I666" s="90">
        <v>0.64</v>
      </c>
      <c r="J666" s="90" t="s">
        <v>244</v>
      </c>
      <c r="K666" s="90">
        <v>0.21212354784779999</v>
      </c>
      <c r="L666" s="90">
        <v>3754.9962617741398</v>
      </c>
      <c r="M666" s="90">
        <v>10.0717757756765</v>
      </c>
      <c r="N666" s="90">
        <v>1.55732225670424</v>
      </c>
      <c r="O666" s="90">
        <v>2.1364608106640599</v>
      </c>
      <c r="P666" s="90">
        <v>0.33034472223444999</v>
      </c>
      <c r="Q666" s="90">
        <v>796.52312920277097</v>
      </c>
      <c r="R666" s="90">
        <v>1300</v>
      </c>
      <c r="S666" s="90" t="s">
        <v>387</v>
      </c>
      <c r="T666" s="90">
        <v>1300</v>
      </c>
      <c r="U666" s="90" t="s">
        <v>378</v>
      </c>
      <c r="V666" s="90" t="s">
        <v>244</v>
      </c>
      <c r="Z666" s="90">
        <v>0</v>
      </c>
      <c r="AA666" s="90">
        <v>1</v>
      </c>
      <c r="AB666" s="90">
        <v>2.1364608106640599</v>
      </c>
      <c r="AC666" s="90">
        <v>0.33034472223444999</v>
      </c>
      <c r="AD666" s="90">
        <v>796.52312920277097</v>
      </c>
      <c r="AF666" s="90">
        <v>-1</v>
      </c>
      <c r="AG666" s="90">
        <v>-1</v>
      </c>
      <c r="AH666" s="90">
        <v>-1</v>
      </c>
      <c r="AI666" s="90">
        <v>-1</v>
      </c>
      <c r="AJ666" s="90">
        <v>0</v>
      </c>
      <c r="AM666" s="90" t="s">
        <v>379</v>
      </c>
      <c r="AN666" s="90">
        <v>-1</v>
      </c>
      <c r="AQ666" s="90">
        <v>356</v>
      </c>
      <c r="AR666" s="90" t="s">
        <v>380</v>
      </c>
      <c r="AS666" s="90" t="s">
        <v>246</v>
      </c>
      <c r="AT666" s="90" t="s">
        <v>244</v>
      </c>
      <c r="AU666" s="90">
        <v>175.87190000000001</v>
      </c>
      <c r="AV666" s="90">
        <v>137.04426298521699</v>
      </c>
      <c r="AW666" s="90">
        <v>858.43354195016002</v>
      </c>
      <c r="AX666" s="90">
        <v>0.64600415990000004</v>
      </c>
    </row>
    <row r="667" spans="1:50" x14ac:dyDescent="0.25">
      <c r="A667" s="102">
        <v>830000</v>
      </c>
      <c r="B667" s="102">
        <v>2400000</v>
      </c>
      <c r="C667" s="102">
        <v>2400000</v>
      </c>
      <c r="D667" s="90" t="s">
        <v>374</v>
      </c>
      <c r="E667" s="90" t="s">
        <v>68</v>
      </c>
      <c r="F667" s="90" t="s">
        <v>375</v>
      </c>
      <c r="G667" s="90" t="s">
        <v>376</v>
      </c>
      <c r="H667" s="90">
        <v>0.59</v>
      </c>
      <c r="I667" s="90">
        <v>0.64</v>
      </c>
      <c r="J667" s="90" t="s">
        <v>381</v>
      </c>
      <c r="K667" s="90">
        <v>6.3971418483999996E-4</v>
      </c>
      <c r="L667" s="90">
        <v>3754.9962617741398</v>
      </c>
      <c r="M667" s="90">
        <v>10.0717757756765</v>
      </c>
      <c r="N667" s="90">
        <v>1.55732225670424</v>
      </c>
      <c r="O667" s="90">
        <v>6.4430578303000001E-3</v>
      </c>
      <c r="P667" s="90">
        <v>9.9624113798999999E-4</v>
      </c>
      <c r="Q667" s="90">
        <v>2.4021243727081298</v>
      </c>
      <c r="R667" s="90">
        <v>1300</v>
      </c>
      <c r="S667" s="90" t="s">
        <v>387</v>
      </c>
      <c r="T667" s="90">
        <v>1300</v>
      </c>
      <c r="U667" s="90" t="s">
        <v>382</v>
      </c>
      <c r="V667" s="90" t="s">
        <v>381</v>
      </c>
      <c r="Z667" s="90">
        <v>0</v>
      </c>
      <c r="AA667" s="90">
        <v>1</v>
      </c>
      <c r="AB667" s="90">
        <v>6.4430578303000001E-3</v>
      </c>
      <c r="AC667" s="90">
        <v>9.9624113798999999E-4</v>
      </c>
      <c r="AD667" s="90">
        <v>2.4021243727069299</v>
      </c>
      <c r="AF667" s="90">
        <v>-1</v>
      </c>
      <c r="AG667" s="90">
        <v>-1</v>
      </c>
      <c r="AH667" s="90">
        <v>-1</v>
      </c>
      <c r="AI667" s="90">
        <v>-1</v>
      </c>
      <c r="AJ667" s="90">
        <v>0</v>
      </c>
      <c r="AM667" s="90" t="s">
        <v>379</v>
      </c>
      <c r="AN667" s="90">
        <v>-1</v>
      </c>
      <c r="AQ667" s="90">
        <v>356</v>
      </c>
      <c r="AR667" s="90" t="s">
        <v>380</v>
      </c>
      <c r="AS667" s="90" t="s">
        <v>246</v>
      </c>
      <c r="AT667" s="90" t="s">
        <v>244</v>
      </c>
      <c r="AU667" s="90">
        <v>175.87190000000001</v>
      </c>
      <c r="AV667" s="90">
        <v>106.069145989406</v>
      </c>
      <c r="AW667" s="90">
        <v>2.5888314574512199</v>
      </c>
      <c r="AX667" s="90">
        <v>1.9481949E-3</v>
      </c>
    </row>
    <row r="668" spans="1:50" x14ac:dyDescent="0.25">
      <c r="A668" s="102">
        <v>830000</v>
      </c>
      <c r="B668" s="102">
        <v>2400000</v>
      </c>
      <c r="C668" s="102">
        <v>2400000</v>
      </c>
      <c r="D668" s="90" t="s">
        <v>374</v>
      </c>
      <c r="E668" s="90" t="s">
        <v>68</v>
      </c>
      <c r="F668" s="90" t="s">
        <v>375</v>
      </c>
      <c r="G668" s="90" t="s">
        <v>376</v>
      </c>
      <c r="H668" s="90">
        <v>0.59</v>
      </c>
      <c r="I668" s="90">
        <v>0.64</v>
      </c>
      <c r="J668" s="90" t="s">
        <v>244</v>
      </c>
      <c r="K668" s="90">
        <v>2.1506839060800001E-3</v>
      </c>
      <c r="L668" s="90">
        <v>3781.4657523627202</v>
      </c>
      <c r="M668" s="90">
        <v>11.211659378571699</v>
      </c>
      <c r="N668" s="90">
        <v>1.47846289516623</v>
      </c>
      <c r="O668" s="90">
        <v>2.4112735385969999E-2</v>
      </c>
      <c r="P668" s="90">
        <v>3.1797063543699999E-3</v>
      </c>
      <c r="Q668" s="90">
        <v>8.1327375350105395</v>
      </c>
      <c r="R668" s="90">
        <v>1400</v>
      </c>
      <c r="S668" s="90" t="s">
        <v>324</v>
      </c>
      <c r="T668" s="90">
        <v>1400</v>
      </c>
      <c r="U668" s="90" t="s">
        <v>378</v>
      </c>
      <c r="V668" s="90" t="s">
        <v>244</v>
      </c>
      <c r="Z668" s="90">
        <v>0</v>
      </c>
      <c r="AA668" s="90">
        <v>1</v>
      </c>
      <c r="AB668" s="90">
        <v>2.4112735385969999E-2</v>
      </c>
      <c r="AC668" s="90">
        <v>3.1797063543699999E-3</v>
      </c>
      <c r="AD668" s="90">
        <v>8.1327375350106603</v>
      </c>
      <c r="AF668" s="90">
        <v>-1</v>
      </c>
      <c r="AG668" s="90">
        <v>-1</v>
      </c>
      <c r="AH668" s="90">
        <v>-1</v>
      </c>
      <c r="AI668" s="90">
        <v>-1</v>
      </c>
      <c r="AJ668" s="90">
        <v>0</v>
      </c>
      <c r="AM668" s="90" t="s">
        <v>379</v>
      </c>
      <c r="AN668" s="90">
        <v>-1</v>
      </c>
      <c r="AQ668" s="90">
        <v>356</v>
      </c>
      <c r="AR668" s="90" t="s">
        <v>380</v>
      </c>
      <c r="AS668" s="90" t="s">
        <v>246</v>
      </c>
      <c r="AT668" s="90" t="s">
        <v>244</v>
      </c>
      <c r="AU668" s="90">
        <v>175.87190000000001</v>
      </c>
      <c r="AV668" s="90">
        <v>100.39225627297201</v>
      </c>
      <c r="AW668" s="90">
        <v>8.7035089778844394</v>
      </c>
      <c r="AX668" s="90">
        <v>6.5958941999999998E-3</v>
      </c>
    </row>
    <row r="669" spans="1:50" x14ac:dyDescent="0.25">
      <c r="A669" s="102">
        <v>830000</v>
      </c>
      <c r="B669" s="102">
        <v>2400000</v>
      </c>
      <c r="C669" s="102">
        <v>2400000</v>
      </c>
      <c r="D669" s="90" t="s">
        <v>374</v>
      </c>
      <c r="E669" s="90" t="s">
        <v>68</v>
      </c>
      <c r="F669" s="90" t="s">
        <v>375</v>
      </c>
      <c r="G669" s="90" t="s">
        <v>376</v>
      </c>
      <c r="H669" s="90">
        <v>0.59</v>
      </c>
      <c r="I669" s="90">
        <v>0.64</v>
      </c>
      <c r="J669" s="90" t="s">
        <v>381</v>
      </c>
      <c r="K669" s="90">
        <v>5.6467811620499998E-2</v>
      </c>
      <c r="L669" s="90">
        <v>3781.4657523627202</v>
      </c>
      <c r="M669" s="90">
        <v>11.211659378571699</v>
      </c>
      <c r="N669" s="90">
        <v>1.47846289516623</v>
      </c>
      <c r="O669" s="90">
        <v>0.63309786974242999</v>
      </c>
      <c r="P669" s="90">
        <v>8.3485564252149994E-2</v>
      </c>
      <c r="Q669" s="90">
        <v>213.531095753801</v>
      </c>
      <c r="R669" s="90">
        <v>1400</v>
      </c>
      <c r="S669" s="90" t="s">
        <v>324</v>
      </c>
      <c r="T669" s="90">
        <v>1400</v>
      </c>
      <c r="U669" s="90" t="s">
        <v>382</v>
      </c>
      <c r="V669" s="90" t="s">
        <v>381</v>
      </c>
      <c r="Z669" s="90">
        <v>0</v>
      </c>
      <c r="AA669" s="90">
        <v>1</v>
      </c>
      <c r="AB669" s="90">
        <v>0.63309786974242999</v>
      </c>
      <c r="AC669" s="90">
        <v>8.3485564252149994E-2</v>
      </c>
      <c r="AD669" s="90">
        <v>213.53109575379901</v>
      </c>
      <c r="AF669" s="90">
        <v>-1</v>
      </c>
      <c r="AG669" s="90">
        <v>-1</v>
      </c>
      <c r="AH669" s="90">
        <v>-1</v>
      </c>
      <c r="AI669" s="90">
        <v>-1</v>
      </c>
      <c r="AJ669" s="90">
        <v>0</v>
      </c>
      <c r="AM669" s="90" t="s">
        <v>379</v>
      </c>
      <c r="AN669" s="90">
        <v>-1</v>
      </c>
      <c r="AQ669" s="90">
        <v>356</v>
      </c>
      <c r="AR669" s="90" t="s">
        <v>380</v>
      </c>
      <c r="AS669" s="90" t="s">
        <v>246</v>
      </c>
      <c r="AT669" s="90" t="s">
        <v>244</v>
      </c>
      <c r="AU669" s="90">
        <v>175.87190000000001</v>
      </c>
      <c r="AV669" s="90">
        <v>109.247800274103</v>
      </c>
      <c r="AW669" s="90">
        <v>228.51712611530399</v>
      </c>
      <c r="AX669" s="90">
        <v>0.17318012629999999</v>
      </c>
    </row>
    <row r="670" spans="1:50" x14ac:dyDescent="0.25">
      <c r="A670" s="102">
        <v>830000</v>
      </c>
      <c r="B670" s="102">
        <v>2400000</v>
      </c>
      <c r="C670" s="102">
        <v>2400000</v>
      </c>
      <c r="D670" s="90" t="s">
        <v>374</v>
      </c>
      <c r="E670" s="90" t="s">
        <v>68</v>
      </c>
      <c r="F670" s="90" t="s">
        <v>375</v>
      </c>
      <c r="G670" s="90" t="s">
        <v>376</v>
      </c>
      <c r="H670" s="90">
        <v>0.59</v>
      </c>
      <c r="I670" s="90">
        <v>0.64</v>
      </c>
      <c r="J670" s="90" t="s">
        <v>381</v>
      </c>
      <c r="K670" s="90">
        <v>8.8517219685239998E-2</v>
      </c>
      <c r="L670" s="90">
        <v>3781.4657523627202</v>
      </c>
      <c r="M670" s="90">
        <v>11.211659378571699</v>
      </c>
      <c r="N670" s="90">
        <v>1.47846289516623</v>
      </c>
      <c r="O670" s="90">
        <v>0.99242491624915996</v>
      </c>
      <c r="P670" s="90">
        <v>0.13086942488791001</v>
      </c>
      <c r="Q670" s="90">
        <v>334.72483473412098</v>
      </c>
      <c r="R670" s="90">
        <v>8140</v>
      </c>
      <c r="S670" s="90" t="s">
        <v>386</v>
      </c>
      <c r="T670" s="90">
        <v>8140</v>
      </c>
      <c r="U670" s="90" t="s">
        <v>382</v>
      </c>
      <c r="V670" s="90" t="s">
        <v>381</v>
      </c>
      <c r="Z670" s="90">
        <v>0</v>
      </c>
      <c r="AA670" s="90">
        <v>1</v>
      </c>
      <c r="AB670" s="90">
        <v>0.99242491624915996</v>
      </c>
      <c r="AC670" s="90">
        <v>0.13086942488791001</v>
      </c>
      <c r="AD670" s="90">
        <v>334.72483473412098</v>
      </c>
      <c r="AF670" s="90">
        <v>-1</v>
      </c>
      <c r="AG670" s="90">
        <v>-1</v>
      </c>
      <c r="AH670" s="90">
        <v>-1</v>
      </c>
      <c r="AI670" s="90">
        <v>-1</v>
      </c>
      <c r="AJ670" s="90">
        <v>0</v>
      </c>
      <c r="AM670" s="90" t="s">
        <v>379</v>
      </c>
      <c r="AN670" s="90">
        <v>-1</v>
      </c>
      <c r="AQ670" s="90">
        <v>356</v>
      </c>
      <c r="AR670" s="90" t="s">
        <v>380</v>
      </c>
      <c r="AS670" s="90" t="s">
        <v>246</v>
      </c>
      <c r="AT670" s="90" t="s">
        <v>244</v>
      </c>
      <c r="AU670" s="90">
        <v>175.87190000000001</v>
      </c>
      <c r="AV670" s="90">
        <v>114.438599395018</v>
      </c>
      <c r="AW670" s="90">
        <v>358.21647897622603</v>
      </c>
      <c r="AX670" s="90">
        <v>0.2714718854</v>
      </c>
    </row>
    <row r="671" spans="1:50" x14ac:dyDescent="0.25">
      <c r="A671" s="102">
        <v>830000</v>
      </c>
      <c r="B671" s="102">
        <v>2400000</v>
      </c>
      <c r="C671" s="102">
        <v>2400000</v>
      </c>
      <c r="D671" s="90" t="s">
        <v>374</v>
      </c>
      <c r="E671" s="90" t="s">
        <v>68</v>
      </c>
      <c r="F671" s="90" t="s">
        <v>375</v>
      </c>
      <c r="G671" s="90" t="s">
        <v>376</v>
      </c>
      <c r="H671" s="90">
        <v>0.59</v>
      </c>
      <c r="I671" s="90">
        <v>0.64</v>
      </c>
      <c r="J671" s="90" t="s">
        <v>244</v>
      </c>
      <c r="K671" s="90">
        <v>0.46645667039514999</v>
      </c>
      <c r="L671" s="90">
        <v>3781.4657523627202</v>
      </c>
      <c r="M671" s="90">
        <v>11.211659378571699</v>
      </c>
      <c r="N671" s="90">
        <v>1.47846289516623</v>
      </c>
      <c r="O671" s="90">
        <v>5.2297533033332098</v>
      </c>
      <c r="P671" s="90">
        <v>0.68963887938201995</v>
      </c>
      <c r="Q671" s="90">
        <v>1763.8899240604301</v>
      </c>
      <c r="R671" s="90">
        <v>1450</v>
      </c>
      <c r="S671" s="90" t="s">
        <v>391</v>
      </c>
      <c r="T671" s="90">
        <v>1450</v>
      </c>
      <c r="U671" s="90" t="s">
        <v>378</v>
      </c>
      <c r="V671" s="90" t="s">
        <v>244</v>
      </c>
      <c r="Z671" s="90">
        <v>0</v>
      </c>
      <c r="AA671" s="90">
        <v>1</v>
      </c>
      <c r="AB671" s="90">
        <v>5.2297533033332098</v>
      </c>
      <c r="AC671" s="90">
        <v>0.68963887938201995</v>
      </c>
      <c r="AD671" s="90">
        <v>1779.6626758668101</v>
      </c>
      <c r="AF671" s="90">
        <v>-1</v>
      </c>
      <c r="AG671" s="90">
        <v>-1</v>
      </c>
      <c r="AH671" s="90">
        <v>-1</v>
      </c>
      <c r="AI671" s="90">
        <v>-1</v>
      </c>
      <c r="AJ671" s="90">
        <v>0</v>
      </c>
      <c r="AM671" s="90" t="s">
        <v>379</v>
      </c>
      <c r="AN671" s="90">
        <v>-1</v>
      </c>
      <c r="AQ671" s="90">
        <v>356</v>
      </c>
      <c r="AR671" s="90" t="s">
        <v>380</v>
      </c>
      <c r="AS671" s="90" t="s">
        <v>246</v>
      </c>
      <c r="AT671" s="90" t="s">
        <v>244</v>
      </c>
      <c r="AU671" s="90">
        <v>175.87190000000001</v>
      </c>
      <c r="AV671" s="90">
        <v>173.227647471946</v>
      </c>
      <c r="AW671" s="90">
        <v>1887.6831723599601</v>
      </c>
      <c r="AX671" s="90">
        <v>1.4433598344</v>
      </c>
    </row>
    <row r="672" spans="1:50" x14ac:dyDescent="0.25">
      <c r="A672" s="102">
        <v>830000</v>
      </c>
      <c r="B672" s="102">
        <v>2400000</v>
      </c>
      <c r="C672" s="102">
        <v>2400000</v>
      </c>
      <c r="D672" s="90" t="s">
        <v>374</v>
      </c>
      <c r="E672" s="90" t="s">
        <v>68</v>
      </c>
      <c r="F672" s="90" t="s">
        <v>375</v>
      </c>
      <c r="G672" s="90" t="s">
        <v>376</v>
      </c>
      <c r="H672" s="90">
        <v>0.59</v>
      </c>
      <c r="I672" s="90">
        <v>0.64</v>
      </c>
      <c r="J672" s="90" t="s">
        <v>244</v>
      </c>
      <c r="K672" s="90">
        <v>2.5393431054169999E-2</v>
      </c>
      <c r="L672" s="90">
        <v>3696.52287895274</v>
      </c>
      <c r="M672" s="90">
        <v>7.4312159128203401</v>
      </c>
      <c r="N672" s="90">
        <v>1.0145902486203</v>
      </c>
      <c r="O672" s="90">
        <v>0.18870406893086</v>
      </c>
      <c r="P672" s="90">
        <v>2.5763927526569998E-2</v>
      </c>
      <c r="Q672" s="90">
        <v>93.867398866855794</v>
      </c>
      <c r="R672" s="90">
        <v>1450</v>
      </c>
      <c r="S672" s="90" t="s">
        <v>391</v>
      </c>
      <c r="T672" s="90">
        <v>1450</v>
      </c>
      <c r="U672" s="90" t="s">
        <v>378</v>
      </c>
      <c r="V672" s="90" t="s">
        <v>244</v>
      </c>
      <c r="Z672" s="90">
        <v>0</v>
      </c>
      <c r="AA672" s="90">
        <v>1</v>
      </c>
      <c r="AB672" s="90">
        <v>0.18870406893086</v>
      </c>
      <c r="AC672" s="90">
        <v>2.5763927526569998E-2</v>
      </c>
      <c r="AD672" s="90">
        <v>93.867398866856902</v>
      </c>
      <c r="AF672" s="90">
        <v>-1</v>
      </c>
      <c r="AG672" s="90">
        <v>-1</v>
      </c>
      <c r="AH672" s="90">
        <v>-1</v>
      </c>
      <c r="AI672" s="90">
        <v>-1</v>
      </c>
      <c r="AJ672" s="90">
        <v>0</v>
      </c>
      <c r="AM672" s="90" t="s">
        <v>379</v>
      </c>
      <c r="AN672" s="90">
        <v>-1</v>
      </c>
      <c r="AQ672" s="90">
        <v>356</v>
      </c>
      <c r="AR672" s="90" t="s">
        <v>380</v>
      </c>
      <c r="AS672" s="90" t="s">
        <v>246</v>
      </c>
      <c r="AT672" s="90" t="s">
        <v>244</v>
      </c>
      <c r="AU672" s="90">
        <v>175.87190000000001</v>
      </c>
      <c r="AV672" s="90">
        <v>104.12646661868</v>
      </c>
      <c r="AW672" s="90">
        <v>102.763569548348</v>
      </c>
      <c r="AX672" s="90">
        <v>7.6129277300000006E-2</v>
      </c>
    </row>
    <row r="673" spans="1:50" x14ac:dyDescent="0.25">
      <c r="A673" s="102">
        <v>830000</v>
      </c>
      <c r="B673" s="102">
        <v>2400000</v>
      </c>
      <c r="C673" s="102">
        <v>2400000</v>
      </c>
      <c r="D673" s="90" t="s">
        <v>374</v>
      </c>
      <c r="E673" s="90" t="s">
        <v>68</v>
      </c>
      <c r="F673" s="90" t="s">
        <v>375</v>
      </c>
      <c r="G673" s="90" t="s">
        <v>376</v>
      </c>
      <c r="H673" s="90">
        <v>0.59</v>
      </c>
      <c r="I673" s="90">
        <v>0.64</v>
      </c>
      <c r="J673" s="90" t="s">
        <v>244</v>
      </c>
      <c r="K673" s="90">
        <v>0.61776345373694996</v>
      </c>
      <c r="L673" s="90">
        <v>3747.8979954699798</v>
      </c>
      <c r="M673" s="90">
        <v>10.782804743361799</v>
      </c>
      <c r="N673" s="90">
        <v>2.0775992158441898</v>
      </c>
      <c r="O673" s="90">
        <v>6.6612226992304402</v>
      </c>
      <c r="P673" s="90">
        <v>1.28346486706109</v>
      </c>
      <c r="Q673" s="90">
        <v>2315.3144099353399</v>
      </c>
      <c r="R673" s="90">
        <v>1300</v>
      </c>
      <c r="S673" s="90" t="s">
        <v>387</v>
      </c>
      <c r="T673" s="90">
        <v>1300</v>
      </c>
      <c r="U673" s="90" t="s">
        <v>378</v>
      </c>
      <c r="V673" s="90" t="s">
        <v>244</v>
      </c>
      <c r="Z673" s="90">
        <v>0</v>
      </c>
      <c r="AA673" s="90">
        <v>1</v>
      </c>
      <c r="AB673" s="90">
        <v>6.6612226992304402</v>
      </c>
      <c r="AC673" s="90">
        <v>1.28346486706109</v>
      </c>
      <c r="AD673" s="90">
        <v>2315.3144099353399</v>
      </c>
      <c r="AF673" s="90">
        <v>-1</v>
      </c>
      <c r="AG673" s="90">
        <v>-1</v>
      </c>
      <c r="AH673" s="90">
        <v>-1</v>
      </c>
      <c r="AI673" s="90">
        <v>-1</v>
      </c>
      <c r="AJ673" s="90">
        <v>0</v>
      </c>
      <c r="AM673" s="90" t="s">
        <v>379</v>
      </c>
      <c r="AN673" s="90">
        <v>-1</v>
      </c>
      <c r="AQ673" s="90">
        <v>356</v>
      </c>
      <c r="AR673" s="90" t="s">
        <v>380</v>
      </c>
      <c r="AS673" s="90" t="s">
        <v>246</v>
      </c>
      <c r="AT673" s="90" t="s">
        <v>244</v>
      </c>
      <c r="AU673" s="90">
        <v>175.87190000000001</v>
      </c>
      <c r="AV673" s="90">
        <v>200.00000001117499</v>
      </c>
      <c r="AW673" s="90">
        <v>2500.00000027939</v>
      </c>
      <c r="AX673" s="90">
        <v>1.8777894647</v>
      </c>
    </row>
    <row r="674" spans="1:50" x14ac:dyDescent="0.25">
      <c r="A674" s="102">
        <v>830000</v>
      </c>
      <c r="B674" s="102">
        <v>2400000</v>
      </c>
      <c r="C674" s="102">
        <v>2400000</v>
      </c>
      <c r="D674" s="90" t="s">
        <v>374</v>
      </c>
      <c r="E674" s="90" t="s">
        <v>68</v>
      </c>
      <c r="F674" s="90" t="s">
        <v>375</v>
      </c>
      <c r="G674" s="90" t="s">
        <v>376</v>
      </c>
      <c r="H674" s="90">
        <v>0.59</v>
      </c>
      <c r="I674" s="90">
        <v>0.64</v>
      </c>
      <c r="J674" s="90" t="s">
        <v>244</v>
      </c>
      <c r="K674" s="90">
        <v>0.53333609624175005</v>
      </c>
      <c r="L674" s="90">
        <v>3776.2696206113001</v>
      </c>
      <c r="M674" s="90">
        <v>11.6029931230923</v>
      </c>
      <c r="N674" s="90">
        <v>1.53188387429702</v>
      </c>
      <c r="O674" s="90">
        <v>6.1882950569899604</v>
      </c>
      <c r="P674" s="90">
        <v>0.81700896541325996</v>
      </c>
      <c r="Q674" s="90">
        <v>2014.02089781315</v>
      </c>
      <c r="R674" s="90">
        <v>1410</v>
      </c>
      <c r="S674" s="90" t="s">
        <v>325</v>
      </c>
      <c r="T674" s="90">
        <v>1410</v>
      </c>
      <c r="U674" s="90" t="s">
        <v>378</v>
      </c>
      <c r="V674" s="90" t="s">
        <v>244</v>
      </c>
      <c r="Z674" s="90">
        <v>0</v>
      </c>
      <c r="AA674" s="90">
        <v>1</v>
      </c>
      <c r="AB674" s="90">
        <v>6.1882950569899604</v>
      </c>
      <c r="AC674" s="90">
        <v>0.81700896541325996</v>
      </c>
      <c r="AD674" s="90">
        <v>2014.02089781315</v>
      </c>
      <c r="AF674" s="90">
        <v>-1</v>
      </c>
      <c r="AG674" s="90">
        <v>-1</v>
      </c>
      <c r="AH674" s="90">
        <v>-1</v>
      </c>
      <c r="AI674" s="90">
        <v>-1</v>
      </c>
      <c r="AJ674" s="90">
        <v>0</v>
      </c>
      <c r="AM674" s="90" t="s">
        <v>379</v>
      </c>
      <c r="AN674" s="90">
        <v>-1</v>
      </c>
      <c r="AQ674" s="90">
        <v>356</v>
      </c>
      <c r="AR674" s="90" t="s">
        <v>380</v>
      </c>
      <c r="AS674" s="90" t="s">
        <v>246</v>
      </c>
      <c r="AT674" s="90" t="s">
        <v>244</v>
      </c>
      <c r="AU674" s="90">
        <v>175.87190000000001</v>
      </c>
      <c r="AV674" s="90">
        <v>186.36998880357001</v>
      </c>
      <c r="AW674" s="90">
        <v>2158.3346063736799</v>
      </c>
      <c r="AX674" s="90">
        <v>1.6334313851</v>
      </c>
    </row>
    <row r="675" spans="1:50" x14ac:dyDescent="0.25">
      <c r="A675" s="102">
        <v>830000</v>
      </c>
      <c r="B675" s="102">
        <v>2400000</v>
      </c>
      <c r="C675" s="102">
        <v>2400000</v>
      </c>
      <c r="D675" s="90" t="s">
        <v>374</v>
      </c>
      <c r="E675" s="90" t="s">
        <v>68</v>
      </c>
      <c r="F675" s="90" t="s">
        <v>375</v>
      </c>
      <c r="G675" s="90" t="s">
        <v>376</v>
      </c>
      <c r="H675" s="90">
        <v>0.59</v>
      </c>
      <c r="I675" s="90">
        <v>0.64</v>
      </c>
      <c r="J675" s="90" t="s">
        <v>244</v>
      </c>
      <c r="K675" s="90">
        <v>8.4427357495200001E-2</v>
      </c>
      <c r="L675" s="90">
        <v>3776.2696206113001</v>
      </c>
      <c r="M675" s="90">
        <v>11.6029931230923</v>
      </c>
      <c r="N675" s="90">
        <v>1.53188387429702</v>
      </c>
      <c r="O675" s="90">
        <v>0.97961004841766997</v>
      </c>
      <c r="P675" s="90">
        <v>0.1293329074964</v>
      </c>
      <c r="Q675" s="90">
        <v>318.820465257617</v>
      </c>
      <c r="R675" s="90">
        <v>1410</v>
      </c>
      <c r="S675" s="90" t="s">
        <v>325</v>
      </c>
      <c r="T675" s="90">
        <v>1410</v>
      </c>
      <c r="U675" s="90" t="s">
        <v>378</v>
      </c>
      <c r="V675" s="90" t="s">
        <v>244</v>
      </c>
      <c r="Z675" s="90">
        <v>0</v>
      </c>
      <c r="AA675" s="90">
        <v>1</v>
      </c>
      <c r="AB675" s="90">
        <v>0.97961004841766997</v>
      </c>
      <c r="AC675" s="90">
        <v>0.1293329074964</v>
      </c>
      <c r="AD675" s="90">
        <v>318.82046525761598</v>
      </c>
      <c r="AF675" s="90">
        <v>-1</v>
      </c>
      <c r="AG675" s="90">
        <v>-1</v>
      </c>
      <c r="AH675" s="90">
        <v>-1</v>
      </c>
      <c r="AI675" s="90">
        <v>-1</v>
      </c>
      <c r="AJ675" s="90">
        <v>0</v>
      </c>
      <c r="AM675" s="90" t="s">
        <v>379</v>
      </c>
      <c r="AN675" s="90">
        <v>-1</v>
      </c>
      <c r="AQ675" s="90">
        <v>356</v>
      </c>
      <c r="AR675" s="90" t="s">
        <v>380</v>
      </c>
      <c r="AS675" s="90" t="s">
        <v>246</v>
      </c>
      <c r="AT675" s="90" t="s">
        <v>244</v>
      </c>
      <c r="AU675" s="90">
        <v>175.87190000000001</v>
      </c>
      <c r="AV675" s="90">
        <v>113.703220304851</v>
      </c>
      <c r="AW675" s="90">
        <v>341.66539390571398</v>
      </c>
      <c r="AX675" s="90">
        <v>0.2585729645</v>
      </c>
    </row>
    <row r="676" spans="1:50" x14ac:dyDescent="0.25">
      <c r="A676" s="102">
        <v>830000</v>
      </c>
      <c r="B676" s="102">
        <v>2400000</v>
      </c>
      <c r="C676" s="102">
        <v>2400000</v>
      </c>
      <c r="D676" s="90" t="s">
        <v>374</v>
      </c>
      <c r="E676" s="90" t="s">
        <v>68</v>
      </c>
      <c r="F676" s="90" t="s">
        <v>375</v>
      </c>
      <c r="G676" s="90" t="s">
        <v>376</v>
      </c>
      <c r="H676" s="90">
        <v>0.59</v>
      </c>
      <c r="I676" s="90">
        <v>0.64</v>
      </c>
      <c r="J676" s="90" t="s">
        <v>244</v>
      </c>
      <c r="K676" s="90">
        <v>0.22490585922044001</v>
      </c>
      <c r="L676" s="90">
        <v>3780.56027944158</v>
      </c>
      <c r="M676" s="90">
        <v>11.615912471890001</v>
      </c>
      <c r="N676" s="90">
        <v>1.53359216609481</v>
      </c>
      <c r="O676" s="90">
        <v>2.6124867751198702</v>
      </c>
      <c r="P676" s="90">
        <v>0.34491386380929001</v>
      </c>
      <c r="Q676" s="90">
        <v>850.27015798247896</v>
      </c>
      <c r="R676" s="90">
        <v>1410</v>
      </c>
      <c r="S676" s="90" t="s">
        <v>325</v>
      </c>
      <c r="T676" s="90">
        <v>1410</v>
      </c>
      <c r="U676" s="90" t="s">
        <v>378</v>
      </c>
      <c r="V676" s="90" t="s">
        <v>244</v>
      </c>
      <c r="Z676" s="90">
        <v>0</v>
      </c>
      <c r="AA676" s="90">
        <v>1</v>
      </c>
      <c r="AB676" s="90">
        <v>2.6124867751198702</v>
      </c>
      <c r="AC676" s="90">
        <v>0.34491386380929001</v>
      </c>
      <c r="AD676" s="90">
        <v>850.27015798247896</v>
      </c>
      <c r="AF676" s="90">
        <v>-1</v>
      </c>
      <c r="AG676" s="90">
        <v>-1</v>
      </c>
      <c r="AH676" s="90">
        <v>-1</v>
      </c>
      <c r="AI676" s="90">
        <v>-1</v>
      </c>
      <c r="AJ676" s="90">
        <v>0</v>
      </c>
      <c r="AM676" s="90" t="s">
        <v>379</v>
      </c>
      <c r="AN676" s="90">
        <v>-1</v>
      </c>
      <c r="AQ676" s="90">
        <v>356</v>
      </c>
      <c r="AR676" s="90" t="s">
        <v>380</v>
      </c>
      <c r="AS676" s="90" t="s">
        <v>246</v>
      </c>
      <c r="AT676" s="90" t="s">
        <v>244</v>
      </c>
      <c r="AU676" s="90">
        <v>175.87190000000001</v>
      </c>
      <c r="AV676" s="90">
        <v>136.408027861096</v>
      </c>
      <c r="AW676" s="90">
        <v>910.16172082163405</v>
      </c>
      <c r="AX676" s="90">
        <v>0.68959461310000003</v>
      </c>
    </row>
    <row r="677" spans="1:50" x14ac:dyDescent="0.25">
      <c r="A677" s="102">
        <v>830000</v>
      </c>
      <c r="B677" s="102">
        <v>2400000</v>
      </c>
      <c r="C677" s="102">
        <v>2400000</v>
      </c>
      <c r="D677" s="90" t="s">
        <v>374</v>
      </c>
      <c r="E677" s="90" t="s">
        <v>68</v>
      </c>
      <c r="F677" s="90" t="s">
        <v>375</v>
      </c>
      <c r="G677" s="90" t="s">
        <v>376</v>
      </c>
      <c r="H677" s="90">
        <v>0.59</v>
      </c>
      <c r="I677" s="90">
        <v>0.64</v>
      </c>
      <c r="J677" s="90" t="s">
        <v>244</v>
      </c>
      <c r="K677" s="90">
        <v>0.39285759444746998</v>
      </c>
      <c r="L677" s="90">
        <v>3780.56027944158</v>
      </c>
      <c r="M677" s="90">
        <v>11.615912471890001</v>
      </c>
      <c r="N677" s="90">
        <v>1.53359216609481</v>
      </c>
      <c r="O677" s="90">
        <v>4.5633994310191204</v>
      </c>
      <c r="P677" s="90">
        <v>0.60248332923548997</v>
      </c>
      <c r="Q677" s="90">
        <v>1485.2218170450799</v>
      </c>
      <c r="R677" s="90">
        <v>1430</v>
      </c>
      <c r="S677" s="90" t="s">
        <v>326</v>
      </c>
      <c r="T677" s="90">
        <v>1430</v>
      </c>
      <c r="U677" s="90" t="s">
        <v>378</v>
      </c>
      <c r="V677" s="90" t="s">
        <v>244</v>
      </c>
      <c r="Z677" s="90">
        <v>0</v>
      </c>
      <c r="AA677" s="90">
        <v>1</v>
      </c>
      <c r="AB677" s="90">
        <v>4.5633994310191204</v>
      </c>
      <c r="AC677" s="90">
        <v>0.60248332923548997</v>
      </c>
      <c r="AD677" s="90">
        <v>1485.2218170450799</v>
      </c>
      <c r="AF677" s="90">
        <v>-1</v>
      </c>
      <c r="AG677" s="90">
        <v>-1</v>
      </c>
      <c r="AH677" s="90">
        <v>-1</v>
      </c>
      <c r="AI677" s="90">
        <v>-1</v>
      </c>
      <c r="AJ677" s="90">
        <v>0</v>
      </c>
      <c r="AM677" s="90" t="s">
        <v>379</v>
      </c>
      <c r="AN677" s="90">
        <v>-1</v>
      </c>
      <c r="AQ677" s="90">
        <v>356</v>
      </c>
      <c r="AR677" s="90" t="s">
        <v>380</v>
      </c>
      <c r="AS677" s="90" t="s">
        <v>246</v>
      </c>
      <c r="AT677" s="90" t="s">
        <v>244</v>
      </c>
      <c r="AU677" s="90">
        <v>175.87190000000001</v>
      </c>
      <c r="AV677" s="90">
        <v>163.595090195365</v>
      </c>
      <c r="AW677" s="90">
        <v>1589.8382791783599</v>
      </c>
      <c r="AX677" s="90">
        <v>1.2045594623</v>
      </c>
    </row>
    <row r="678" spans="1:50" x14ac:dyDescent="0.25">
      <c r="A678" s="102">
        <v>830000</v>
      </c>
      <c r="B678" s="102">
        <v>2400000</v>
      </c>
      <c r="C678" s="102">
        <v>2400000</v>
      </c>
      <c r="D678" s="90" t="s">
        <v>374</v>
      </c>
      <c r="E678" s="90" t="s">
        <v>68</v>
      </c>
      <c r="F678" s="90" t="s">
        <v>375</v>
      </c>
      <c r="G678" s="90" t="s">
        <v>376</v>
      </c>
      <c r="H678" s="90">
        <v>0.59</v>
      </c>
      <c r="I678" s="90">
        <v>0.64</v>
      </c>
      <c r="J678" s="90" t="s">
        <v>244</v>
      </c>
      <c r="K678" s="90">
        <v>5.4177733391899997E-3</v>
      </c>
      <c r="L678" s="90">
        <v>3786.6260318945001</v>
      </c>
      <c r="M678" s="90">
        <v>8.2631182345887293</v>
      </c>
      <c r="N678" s="90">
        <v>1.28606253035997</v>
      </c>
      <c r="O678" s="90">
        <v>4.4767701669970003E-2</v>
      </c>
      <c r="P678" s="90">
        <v>6.96759528952E-3</v>
      </c>
      <c r="Q678" s="90">
        <v>20.515081561099802</v>
      </c>
      <c r="R678" s="90">
        <v>1450</v>
      </c>
      <c r="S678" s="90" t="s">
        <v>391</v>
      </c>
      <c r="T678" s="90">
        <v>1450</v>
      </c>
      <c r="U678" s="90" t="s">
        <v>378</v>
      </c>
      <c r="V678" s="90" t="s">
        <v>244</v>
      </c>
      <c r="Z678" s="90">
        <v>0</v>
      </c>
      <c r="AA678" s="90">
        <v>1</v>
      </c>
      <c r="AB678" s="90">
        <v>4.4767701669970003E-2</v>
      </c>
      <c r="AC678" s="90">
        <v>6.96759528952E-3</v>
      </c>
      <c r="AD678" s="90">
        <v>20.515081561099201</v>
      </c>
      <c r="AF678" s="90">
        <v>-1</v>
      </c>
      <c r="AG678" s="90">
        <v>-1</v>
      </c>
      <c r="AH678" s="90">
        <v>-1</v>
      </c>
      <c r="AI678" s="90">
        <v>-1</v>
      </c>
      <c r="AJ678" s="90">
        <v>0</v>
      </c>
      <c r="AM678" s="90" t="s">
        <v>379</v>
      </c>
      <c r="AN678" s="90">
        <v>-1</v>
      </c>
      <c r="AQ678" s="90">
        <v>356</v>
      </c>
      <c r="AR678" s="90" t="s">
        <v>380</v>
      </c>
      <c r="AS678" s="90" t="s">
        <v>246</v>
      </c>
      <c r="AT678" s="90" t="s">
        <v>244</v>
      </c>
      <c r="AU678" s="90">
        <v>175.87190000000001</v>
      </c>
      <c r="AV678" s="90">
        <v>24.834575771224099</v>
      </c>
      <c r="AW678" s="90">
        <v>21.924950832828198</v>
      </c>
      <c r="AX678" s="90">
        <v>1.6638346799999999E-2</v>
      </c>
    </row>
    <row r="679" spans="1:50" x14ac:dyDescent="0.25">
      <c r="A679" s="102">
        <v>830000</v>
      </c>
      <c r="B679" s="102">
        <v>2400000</v>
      </c>
      <c r="C679" s="102">
        <v>2400000</v>
      </c>
      <c r="D679" s="90" t="s">
        <v>374</v>
      </c>
      <c r="E679" s="90" t="s">
        <v>68</v>
      </c>
      <c r="F679" s="90" t="s">
        <v>375</v>
      </c>
      <c r="G679" s="90" t="s">
        <v>376</v>
      </c>
      <c r="H679" s="90">
        <v>0.59</v>
      </c>
      <c r="I679" s="90">
        <v>0.64</v>
      </c>
      <c r="J679" s="90" t="s">
        <v>244</v>
      </c>
      <c r="K679" s="90">
        <v>1.432999329921E-2</v>
      </c>
      <c r="L679" s="90">
        <v>3786.6260318945001</v>
      </c>
      <c r="M679" s="90">
        <v>8.2631182345887293</v>
      </c>
      <c r="N679" s="90">
        <v>1.28606253035997</v>
      </c>
      <c r="O679" s="90">
        <v>0.11841042893228</v>
      </c>
      <c r="P679" s="90">
        <v>1.8429267442430002E-2</v>
      </c>
      <c r="Q679" s="90">
        <v>54.262325663685097</v>
      </c>
      <c r="R679" s="90">
        <v>1300</v>
      </c>
      <c r="S679" s="90" t="s">
        <v>387</v>
      </c>
      <c r="T679" s="90">
        <v>1300</v>
      </c>
      <c r="U679" s="90" t="s">
        <v>378</v>
      </c>
      <c r="V679" s="90" t="s">
        <v>244</v>
      </c>
      <c r="Z679" s="90">
        <v>0</v>
      </c>
      <c r="AA679" s="90">
        <v>1</v>
      </c>
      <c r="AB679" s="90">
        <v>0.11841042893228</v>
      </c>
      <c r="AC679" s="90">
        <v>1.8429267442430002E-2</v>
      </c>
      <c r="AD679" s="90">
        <v>54.262325663684699</v>
      </c>
      <c r="AF679" s="90">
        <v>-1</v>
      </c>
      <c r="AG679" s="90">
        <v>-1</v>
      </c>
      <c r="AH679" s="90">
        <v>-1</v>
      </c>
      <c r="AI679" s="90">
        <v>-1</v>
      </c>
      <c r="AJ679" s="90">
        <v>0</v>
      </c>
      <c r="AM679" s="90" t="s">
        <v>379</v>
      </c>
      <c r="AN679" s="90">
        <v>-1</v>
      </c>
      <c r="AQ679" s="90">
        <v>356</v>
      </c>
      <c r="AR679" s="90" t="s">
        <v>380</v>
      </c>
      <c r="AS679" s="90" t="s">
        <v>246</v>
      </c>
      <c r="AT679" s="90" t="s">
        <v>244</v>
      </c>
      <c r="AU679" s="90">
        <v>175.87190000000001</v>
      </c>
      <c r="AV679" s="90">
        <v>31.7070782066736</v>
      </c>
      <c r="AW679" s="90">
        <v>57.991425415880698</v>
      </c>
      <c r="AX679" s="90">
        <v>4.4008374400000001E-2</v>
      </c>
    </row>
    <row r="680" spans="1:50" x14ac:dyDescent="0.25">
      <c r="A680" s="102">
        <v>830000</v>
      </c>
      <c r="B680" s="102">
        <v>2400000</v>
      </c>
      <c r="C680" s="102">
        <v>2400000</v>
      </c>
      <c r="D680" s="90" t="s">
        <v>374</v>
      </c>
      <c r="E680" s="90" t="s">
        <v>68</v>
      </c>
      <c r="F680" s="90" t="s">
        <v>375</v>
      </c>
      <c r="G680" s="90" t="s">
        <v>376</v>
      </c>
      <c r="H680" s="90">
        <v>0.59</v>
      </c>
      <c r="I680" s="90">
        <v>0.64</v>
      </c>
      <c r="J680" s="90" t="s">
        <v>244</v>
      </c>
      <c r="K680" s="90">
        <v>6.4207472501099996E-3</v>
      </c>
      <c r="L680" s="90">
        <v>3694.79515072614</v>
      </c>
      <c r="M680" s="90">
        <v>7.4204488561177397</v>
      </c>
      <c r="N680" s="90">
        <v>1.01317576059834</v>
      </c>
      <c r="O680" s="90">
        <v>4.7644826587539997E-2</v>
      </c>
      <c r="P680" s="90">
        <v>6.50534547874E-3</v>
      </c>
      <c r="Q680" s="90">
        <v>23.723345803766701</v>
      </c>
      <c r="R680" s="90">
        <v>1450</v>
      </c>
      <c r="S680" s="90" t="s">
        <v>391</v>
      </c>
      <c r="T680" s="90">
        <v>1450</v>
      </c>
      <c r="U680" s="90" t="s">
        <v>378</v>
      </c>
      <c r="V680" s="90" t="s">
        <v>244</v>
      </c>
      <c r="Z680" s="90">
        <v>0</v>
      </c>
      <c r="AA680" s="90">
        <v>1</v>
      </c>
      <c r="AB680" s="90">
        <v>4.7644826587539997E-2</v>
      </c>
      <c r="AC680" s="90">
        <v>6.50534547874E-3</v>
      </c>
      <c r="AD680" s="90">
        <v>23.723345803768201</v>
      </c>
      <c r="AF680" s="90">
        <v>-1</v>
      </c>
      <c r="AG680" s="90">
        <v>-1</v>
      </c>
      <c r="AH680" s="90">
        <v>-1</v>
      </c>
      <c r="AI680" s="90">
        <v>-1</v>
      </c>
      <c r="AJ680" s="90">
        <v>0</v>
      </c>
      <c r="AM680" s="90" t="s">
        <v>379</v>
      </c>
      <c r="AN680" s="90">
        <v>-1</v>
      </c>
      <c r="AQ680" s="90">
        <v>356</v>
      </c>
      <c r="AR680" s="90" t="s">
        <v>380</v>
      </c>
      <c r="AS680" s="90" t="s">
        <v>246</v>
      </c>
      <c r="AT680" s="90" t="s">
        <v>244</v>
      </c>
      <c r="AU680" s="90">
        <v>175.87190000000001</v>
      </c>
      <c r="AV680" s="90">
        <v>48.084299217341403</v>
      </c>
      <c r="AW680" s="90">
        <v>25.9838422457406</v>
      </c>
      <c r="AX680" s="90">
        <v>1.92403453E-2</v>
      </c>
    </row>
    <row r="681" spans="1:50" x14ac:dyDescent="0.25">
      <c r="A681" s="102">
        <v>830000</v>
      </c>
      <c r="B681" s="102">
        <v>2400000</v>
      </c>
      <c r="C681" s="102">
        <v>2400000</v>
      </c>
      <c r="D681" s="90" t="s">
        <v>374</v>
      </c>
      <c r="E681" s="90" t="s">
        <v>68</v>
      </c>
      <c r="F681" s="90" t="s">
        <v>375</v>
      </c>
      <c r="G681" s="90" t="s">
        <v>376</v>
      </c>
      <c r="H681" s="90">
        <v>0.59</v>
      </c>
      <c r="I681" s="90">
        <v>0.64</v>
      </c>
      <c r="J681" s="90" t="s">
        <v>244</v>
      </c>
      <c r="K681" s="90">
        <v>0.43485406014234002</v>
      </c>
      <c r="L681" s="90">
        <v>3775.16047431789</v>
      </c>
      <c r="M681" s="90">
        <v>11.4791547847888</v>
      </c>
      <c r="N681" s="90">
        <v>1.6211302421941001</v>
      </c>
      <c r="O681" s="90">
        <v>4.99175706516783</v>
      </c>
      <c r="P681" s="90">
        <v>0.70495506783763995</v>
      </c>
      <c r="Q681" s="90">
        <v>1641.64385994602</v>
      </c>
      <c r="R681" s="90">
        <v>1410</v>
      </c>
      <c r="S681" s="90" t="s">
        <v>325</v>
      </c>
      <c r="T681" s="90">
        <v>1410</v>
      </c>
      <c r="U681" s="90" t="s">
        <v>378</v>
      </c>
      <c r="V681" s="90" t="s">
        <v>244</v>
      </c>
      <c r="Z681" s="90">
        <v>0</v>
      </c>
      <c r="AA681" s="90">
        <v>1</v>
      </c>
      <c r="AB681" s="90">
        <v>4.99175706516783</v>
      </c>
      <c r="AC681" s="90">
        <v>0.70495506783763995</v>
      </c>
      <c r="AD681" s="90">
        <v>1955.9213603998501</v>
      </c>
      <c r="AF681" s="90">
        <v>-1</v>
      </c>
      <c r="AG681" s="90">
        <v>-1</v>
      </c>
      <c r="AH681" s="90">
        <v>-1</v>
      </c>
      <c r="AI681" s="90">
        <v>-1</v>
      </c>
      <c r="AJ681" s="90">
        <v>0</v>
      </c>
      <c r="AM681" s="90" t="s">
        <v>379</v>
      </c>
      <c r="AN681" s="90">
        <v>-1</v>
      </c>
      <c r="AQ681" s="90">
        <v>356</v>
      </c>
      <c r="AR681" s="90" t="s">
        <v>380</v>
      </c>
      <c r="AS681" s="90" t="s">
        <v>246</v>
      </c>
      <c r="AT681" s="90" t="s">
        <v>244</v>
      </c>
      <c r="AU681" s="90">
        <v>175.87190000000001</v>
      </c>
      <c r="AV681" s="90">
        <v>170.40641193747001</v>
      </c>
      <c r="AW681" s="90">
        <v>1759.7919460937501</v>
      </c>
      <c r="AX681" s="90">
        <v>1.5863109168</v>
      </c>
    </row>
    <row r="682" spans="1:50" x14ac:dyDescent="0.25">
      <c r="A682" s="102">
        <v>830000</v>
      </c>
      <c r="B682" s="102">
        <v>2400000</v>
      </c>
      <c r="C682" s="102">
        <v>2400000</v>
      </c>
      <c r="D682" s="90" t="s">
        <v>374</v>
      </c>
      <c r="E682" s="90" t="s">
        <v>68</v>
      </c>
      <c r="F682" s="90" t="s">
        <v>375</v>
      </c>
      <c r="G682" s="90" t="s">
        <v>376</v>
      </c>
      <c r="H682" s="90">
        <v>0.59</v>
      </c>
      <c r="I682" s="90">
        <v>0.64</v>
      </c>
      <c r="J682" s="90" t="s">
        <v>244</v>
      </c>
      <c r="K682" s="90">
        <v>0.55906249795777996</v>
      </c>
      <c r="L682" s="90">
        <v>3746.85701342926</v>
      </c>
      <c r="M682" s="90">
        <v>10.7802651989573</v>
      </c>
      <c r="N682" s="90">
        <v>2.0771628748215498</v>
      </c>
      <c r="O682" s="90">
        <v>6.0268419907764503</v>
      </c>
      <c r="P682" s="90">
        <v>1.1612638654628999</v>
      </c>
      <c r="Q682" s="90">
        <v>2094.7272414183899</v>
      </c>
      <c r="R682" s="90">
        <v>1300</v>
      </c>
      <c r="S682" s="90" t="s">
        <v>387</v>
      </c>
      <c r="T682" s="90">
        <v>1300</v>
      </c>
      <c r="U682" s="90" t="s">
        <v>378</v>
      </c>
      <c r="V682" s="90" t="s">
        <v>244</v>
      </c>
      <c r="Z682" s="90">
        <v>0</v>
      </c>
      <c r="AA682" s="90">
        <v>1</v>
      </c>
      <c r="AB682" s="90">
        <v>6.0268419907764503</v>
      </c>
      <c r="AC682" s="90">
        <v>1.1612638654628999</v>
      </c>
      <c r="AD682" s="90">
        <v>2094.7272414183899</v>
      </c>
      <c r="AF682" s="90">
        <v>-1</v>
      </c>
      <c r="AG682" s="90">
        <v>-1</v>
      </c>
      <c r="AH682" s="90">
        <v>-1</v>
      </c>
      <c r="AI682" s="90">
        <v>-1</v>
      </c>
      <c r="AJ682" s="90">
        <v>0</v>
      </c>
      <c r="AM682" s="90" t="s">
        <v>379</v>
      </c>
      <c r="AN682" s="90">
        <v>-1</v>
      </c>
      <c r="AQ682" s="90">
        <v>356</v>
      </c>
      <c r="AR682" s="90" t="s">
        <v>380</v>
      </c>
      <c r="AS682" s="90" t="s">
        <v>246</v>
      </c>
      <c r="AT682" s="90" t="s">
        <v>244</v>
      </c>
      <c r="AU682" s="90">
        <v>175.87190000000001</v>
      </c>
      <c r="AV682" s="90">
        <v>190.546062638069</v>
      </c>
      <c r="AW682" s="90">
        <v>2262.4456603834301</v>
      </c>
      <c r="AX682" s="90">
        <v>1.6988866516000001</v>
      </c>
    </row>
    <row r="683" spans="1:50" x14ac:dyDescent="0.25">
      <c r="A683" s="102">
        <v>830000</v>
      </c>
      <c r="B683" s="102">
        <v>2400000</v>
      </c>
      <c r="C683" s="102">
        <v>2400000</v>
      </c>
      <c r="D683" s="90" t="s">
        <v>374</v>
      </c>
      <c r="E683" s="90" t="s">
        <v>68</v>
      </c>
      <c r="F683" s="90" t="s">
        <v>375</v>
      </c>
      <c r="G683" s="90" t="s">
        <v>376</v>
      </c>
      <c r="H683" s="90">
        <v>0.59</v>
      </c>
      <c r="I683" s="90">
        <v>0.64</v>
      </c>
      <c r="J683" s="90" t="s">
        <v>244</v>
      </c>
      <c r="K683" s="90">
        <v>5.8700955779169998E-2</v>
      </c>
      <c r="L683" s="90">
        <v>3746.85701342926</v>
      </c>
      <c r="M683" s="90">
        <v>10.7802651989573</v>
      </c>
      <c r="N683" s="90">
        <v>2.0771628748215498</v>
      </c>
      <c r="O683" s="90">
        <v>0.63281187073173994</v>
      </c>
      <c r="P683" s="90">
        <v>0.12193144606103</v>
      </c>
      <c r="Q683" s="90">
        <v>219.944087856191</v>
      </c>
      <c r="R683" s="90">
        <v>1300</v>
      </c>
      <c r="S683" s="90" t="s">
        <v>387</v>
      </c>
      <c r="T683" s="90">
        <v>1300</v>
      </c>
      <c r="U683" s="90" t="s">
        <v>378</v>
      </c>
      <c r="V683" s="90" t="s">
        <v>244</v>
      </c>
      <c r="Z683" s="90">
        <v>0</v>
      </c>
      <c r="AA683" s="90">
        <v>1</v>
      </c>
      <c r="AB683" s="90">
        <v>0.63281187073173994</v>
      </c>
      <c r="AC683" s="90">
        <v>0.12193144606103</v>
      </c>
      <c r="AD683" s="90">
        <v>219.944087856191</v>
      </c>
      <c r="AF683" s="90">
        <v>-1</v>
      </c>
      <c r="AG683" s="90">
        <v>-1</v>
      </c>
      <c r="AH683" s="90">
        <v>-1</v>
      </c>
      <c r="AI683" s="90">
        <v>-1</v>
      </c>
      <c r="AJ683" s="90">
        <v>0</v>
      </c>
      <c r="AM683" s="90" t="s">
        <v>379</v>
      </c>
      <c r="AN683" s="90">
        <v>-1</v>
      </c>
      <c r="AQ683" s="90">
        <v>356</v>
      </c>
      <c r="AR683" s="90" t="s">
        <v>380</v>
      </c>
      <c r="AS683" s="90" t="s">
        <v>246</v>
      </c>
      <c r="AT683" s="90" t="s">
        <v>244</v>
      </c>
      <c r="AU683" s="90">
        <v>175.87190000000001</v>
      </c>
      <c r="AV683" s="90">
        <v>109.550409824605</v>
      </c>
      <c r="AW683" s="90">
        <v>237.55433989596</v>
      </c>
      <c r="AX683" s="90">
        <v>0.17838125539999999</v>
      </c>
    </row>
    <row r="684" spans="1:50" x14ac:dyDescent="0.25">
      <c r="A684" s="102">
        <v>830000</v>
      </c>
      <c r="B684" s="102">
        <v>2400000</v>
      </c>
      <c r="C684" s="102">
        <v>2400000</v>
      </c>
      <c r="D684" s="90" t="s">
        <v>374</v>
      </c>
      <c r="E684" s="90" t="s">
        <v>68</v>
      </c>
      <c r="F684" s="90" t="s">
        <v>375</v>
      </c>
      <c r="G684" s="90" t="s">
        <v>376</v>
      </c>
      <c r="H684" s="90">
        <v>0.59</v>
      </c>
      <c r="I684" s="90">
        <v>0.64</v>
      </c>
      <c r="J684" s="90" t="s">
        <v>244</v>
      </c>
      <c r="K684" s="90">
        <v>0.34375327527121002</v>
      </c>
      <c r="L684" s="90">
        <v>3882.5397266206</v>
      </c>
      <c r="M684" s="90">
        <v>8.6413777750127103</v>
      </c>
      <c r="N684" s="90">
        <v>1.1734423018989799</v>
      </c>
      <c r="O684" s="90">
        <v>2.9705019130164998</v>
      </c>
      <c r="P684" s="90">
        <v>0.40337463461957002</v>
      </c>
      <c r="Q684" s="90">
        <v>1334.6357473964399</v>
      </c>
      <c r="R684" s="90">
        <v>1450</v>
      </c>
      <c r="S684" s="90" t="s">
        <v>391</v>
      </c>
      <c r="T684" s="90">
        <v>1450</v>
      </c>
      <c r="U684" s="90" t="s">
        <v>378</v>
      </c>
      <c r="V684" s="90" t="s">
        <v>244</v>
      </c>
      <c r="Z684" s="90">
        <v>0</v>
      </c>
      <c r="AA684" s="90">
        <v>1</v>
      </c>
      <c r="AB684" s="90">
        <v>2.9705019130164998</v>
      </c>
      <c r="AC684" s="90">
        <v>0.40337463461957002</v>
      </c>
      <c r="AD684" s="90">
        <v>1334.6357473964399</v>
      </c>
      <c r="AF684" s="90">
        <v>-1</v>
      </c>
      <c r="AG684" s="90">
        <v>-1</v>
      </c>
      <c r="AH684" s="90">
        <v>-1</v>
      </c>
      <c r="AI684" s="90">
        <v>-1</v>
      </c>
      <c r="AJ684" s="90">
        <v>0</v>
      </c>
      <c r="AM684" s="90" t="s">
        <v>379</v>
      </c>
      <c r="AN684" s="90">
        <v>-1</v>
      </c>
      <c r="AQ684" s="90">
        <v>356</v>
      </c>
      <c r="AR684" s="90" t="s">
        <v>380</v>
      </c>
      <c r="AS684" s="90" t="s">
        <v>246</v>
      </c>
      <c r="AT684" s="90" t="s">
        <v>244</v>
      </c>
      <c r="AU684" s="90">
        <v>175.87190000000001</v>
      </c>
      <c r="AV684" s="90">
        <v>157.03306095697499</v>
      </c>
      <c r="AW684" s="90">
        <v>1391.12014975235</v>
      </c>
      <c r="AX684" s="90">
        <v>1.0824296410000001</v>
      </c>
    </row>
    <row r="685" spans="1:50" x14ac:dyDescent="0.25">
      <c r="A685" s="102">
        <v>830000</v>
      </c>
      <c r="B685" s="102">
        <v>2400000</v>
      </c>
      <c r="C685" s="102">
        <v>2400000</v>
      </c>
      <c r="D685" s="90" t="s">
        <v>374</v>
      </c>
      <c r="E685" s="90" t="s">
        <v>68</v>
      </c>
      <c r="F685" s="90" t="s">
        <v>375</v>
      </c>
      <c r="G685" s="90" t="s">
        <v>376</v>
      </c>
      <c r="H685" s="90">
        <v>0.59</v>
      </c>
      <c r="I685" s="90">
        <v>0.64</v>
      </c>
      <c r="J685" s="90" t="s">
        <v>244</v>
      </c>
      <c r="K685" s="90">
        <v>2.04495943044E-2</v>
      </c>
      <c r="L685" s="90">
        <v>3780.74914054176</v>
      </c>
      <c r="M685" s="90">
        <v>11.5043232729876</v>
      </c>
      <c r="N685" s="90">
        <v>1.61699261588536</v>
      </c>
      <c r="O685" s="90">
        <v>0.23525874367930999</v>
      </c>
      <c r="P685" s="90">
        <v>3.306684298807E-2</v>
      </c>
      <c r="Q685" s="90">
        <v>77.314786090803196</v>
      </c>
      <c r="R685" s="90">
        <v>1430</v>
      </c>
      <c r="S685" s="90" t="s">
        <v>326</v>
      </c>
      <c r="T685" s="90">
        <v>1430</v>
      </c>
      <c r="U685" s="90" t="s">
        <v>378</v>
      </c>
      <c r="V685" s="90" t="s">
        <v>244</v>
      </c>
      <c r="Z685" s="90">
        <v>0</v>
      </c>
      <c r="AA685" s="90">
        <v>1</v>
      </c>
      <c r="AB685" s="90">
        <v>0.23525874367930999</v>
      </c>
      <c r="AC685" s="90">
        <v>3.306684298807E-2</v>
      </c>
      <c r="AD685" s="90">
        <v>267.51906501527202</v>
      </c>
      <c r="AF685" s="90">
        <v>-1</v>
      </c>
      <c r="AG685" s="90">
        <v>-1</v>
      </c>
      <c r="AH685" s="90">
        <v>-1</v>
      </c>
      <c r="AI685" s="90">
        <v>-1</v>
      </c>
      <c r="AJ685" s="90">
        <v>0</v>
      </c>
      <c r="AM685" s="90" t="s">
        <v>379</v>
      </c>
      <c r="AN685" s="90">
        <v>-1</v>
      </c>
      <c r="AQ685" s="90">
        <v>356</v>
      </c>
      <c r="AR685" s="90" t="s">
        <v>380</v>
      </c>
      <c r="AS685" s="90" t="s">
        <v>246</v>
      </c>
      <c r="AT685" s="90" t="s">
        <v>244</v>
      </c>
      <c r="AU685" s="90">
        <v>175.87190000000001</v>
      </c>
      <c r="AV685" s="90">
        <v>90.738180368254802</v>
      </c>
      <c r="AW685" s="90">
        <v>82.756572046253197</v>
      </c>
      <c r="AX685" s="90">
        <v>0.21696598950000001</v>
      </c>
    </row>
    <row r="686" spans="1:50" x14ac:dyDescent="0.25">
      <c r="A686" s="102">
        <v>830000</v>
      </c>
      <c r="B686" s="102">
        <v>2400000</v>
      </c>
      <c r="C686" s="102">
        <v>2400000</v>
      </c>
      <c r="D686" s="90" t="s">
        <v>374</v>
      </c>
      <c r="E686" s="90" t="s">
        <v>68</v>
      </c>
      <c r="F686" s="90" t="s">
        <v>375</v>
      </c>
      <c r="G686" s="90" t="s">
        <v>376</v>
      </c>
      <c r="H686" s="90">
        <v>0.59</v>
      </c>
      <c r="I686" s="90">
        <v>0.64</v>
      </c>
      <c r="J686" s="90" t="s">
        <v>244</v>
      </c>
      <c r="K686" s="90">
        <v>1.7023849415000001E-3</v>
      </c>
      <c r="L686" s="90">
        <v>3780.74914054176</v>
      </c>
      <c r="M686" s="90">
        <v>11.5043232729876</v>
      </c>
      <c r="N686" s="90">
        <v>1.61699261588536</v>
      </c>
      <c r="O686" s="90">
        <v>1.9584786702139999E-2</v>
      </c>
      <c r="P686" s="90">
        <v>2.7527438798E-3</v>
      </c>
      <c r="Q686" s="90">
        <v>6.4362904044662699</v>
      </c>
      <c r="R686" s="90">
        <v>1300</v>
      </c>
      <c r="S686" s="90" t="s">
        <v>387</v>
      </c>
      <c r="T686" s="90">
        <v>1300</v>
      </c>
      <c r="U686" s="90" t="s">
        <v>378</v>
      </c>
      <c r="V686" s="90" t="s">
        <v>244</v>
      </c>
      <c r="Z686" s="90">
        <v>0</v>
      </c>
      <c r="AA686" s="90">
        <v>1</v>
      </c>
      <c r="AB686" s="90">
        <v>1.9584786702139999E-2</v>
      </c>
      <c r="AC686" s="90">
        <v>2.7527438798E-3</v>
      </c>
      <c r="AD686" s="90">
        <v>349.68709929564602</v>
      </c>
      <c r="AF686" s="90">
        <v>-1</v>
      </c>
      <c r="AG686" s="90">
        <v>-1</v>
      </c>
      <c r="AH686" s="90">
        <v>-1</v>
      </c>
      <c r="AI686" s="90">
        <v>-1</v>
      </c>
      <c r="AJ686" s="90">
        <v>0</v>
      </c>
      <c r="AM686" s="90" t="s">
        <v>379</v>
      </c>
      <c r="AN686" s="90">
        <v>-1</v>
      </c>
      <c r="AQ686" s="90">
        <v>356</v>
      </c>
      <c r="AR686" s="90" t="s">
        <v>380</v>
      </c>
      <c r="AS686" s="90" t="s">
        <v>246</v>
      </c>
      <c r="AT686" s="90" t="s">
        <v>244</v>
      </c>
      <c r="AU686" s="90">
        <v>175.87190000000001</v>
      </c>
      <c r="AV686" s="90">
        <v>15.206715089766</v>
      </c>
      <c r="AW686" s="90">
        <v>6.88930743392857</v>
      </c>
      <c r="AX686" s="90">
        <v>0.283606731</v>
      </c>
    </row>
    <row r="687" spans="1:50" x14ac:dyDescent="0.25">
      <c r="A687" s="102">
        <v>830000</v>
      </c>
      <c r="B687" s="102">
        <v>2400000</v>
      </c>
      <c r="C687" s="102">
        <v>2400000</v>
      </c>
      <c r="D687" s="90" t="s">
        <v>374</v>
      </c>
      <c r="E687" s="90" t="s">
        <v>68</v>
      </c>
      <c r="F687" s="90" t="s">
        <v>375</v>
      </c>
      <c r="G687" s="90" t="s">
        <v>376</v>
      </c>
      <c r="H687" s="90">
        <v>0.59</v>
      </c>
      <c r="I687" s="90">
        <v>0.64</v>
      </c>
      <c r="J687" s="90" t="s">
        <v>244</v>
      </c>
      <c r="K687" s="90">
        <v>1.5374372821E-4</v>
      </c>
      <c r="L687" s="90">
        <v>3776.2696213146801</v>
      </c>
      <c r="M687" s="90">
        <v>11.6029931252535</v>
      </c>
      <c r="N687" s="90">
        <v>1.53188387458235</v>
      </c>
      <c r="O687" s="90">
        <v>1.78388742155E-3</v>
      </c>
      <c r="P687" s="90">
        <v>2.3551753806999999E-4</v>
      </c>
      <c r="Q687" s="90">
        <v>0.58057777033350999</v>
      </c>
      <c r="R687" s="90">
        <v>1400</v>
      </c>
      <c r="S687" s="90" t="s">
        <v>324</v>
      </c>
      <c r="T687" s="90">
        <v>1400</v>
      </c>
      <c r="U687" s="90" t="s">
        <v>378</v>
      </c>
      <c r="V687" s="90" t="s">
        <v>244</v>
      </c>
      <c r="Z687" s="90">
        <v>0</v>
      </c>
      <c r="AA687" s="90">
        <v>1</v>
      </c>
      <c r="AB687" s="90">
        <v>1.78388742155E-3</v>
      </c>
      <c r="AC687" s="90">
        <v>2.3551753806999999E-4</v>
      </c>
      <c r="AD687" s="90">
        <v>0.58057777033294999</v>
      </c>
      <c r="AF687" s="90">
        <v>-1</v>
      </c>
      <c r="AG687" s="90">
        <v>-1</v>
      </c>
      <c r="AH687" s="90">
        <v>-1</v>
      </c>
      <c r="AI687" s="90">
        <v>-1</v>
      </c>
      <c r="AJ687" s="90">
        <v>0</v>
      </c>
      <c r="AM687" s="90" t="s">
        <v>379</v>
      </c>
      <c r="AN687" s="90">
        <v>-1</v>
      </c>
      <c r="AQ687" s="90">
        <v>356</v>
      </c>
      <c r="AR687" s="90" t="s">
        <v>380</v>
      </c>
      <c r="AS687" s="90" t="s">
        <v>246</v>
      </c>
      <c r="AT687" s="90" t="s">
        <v>244</v>
      </c>
      <c r="AU687" s="90">
        <v>175.87190000000001</v>
      </c>
      <c r="AV687" s="90">
        <v>32.948954134264497</v>
      </c>
      <c r="AW687" s="90">
        <v>0.62217879393807995</v>
      </c>
      <c r="AX687" s="90">
        <v>4.7086600000000001E-4</v>
      </c>
    </row>
    <row r="688" spans="1:50" x14ac:dyDescent="0.25">
      <c r="A688" s="102">
        <v>830000</v>
      </c>
      <c r="B688" s="102">
        <v>2400000</v>
      </c>
      <c r="C688" s="102">
        <v>2400000</v>
      </c>
      <c r="D688" s="90" t="s">
        <v>374</v>
      </c>
      <c r="E688" s="90" t="s">
        <v>68</v>
      </c>
      <c r="F688" s="90" t="s">
        <v>375</v>
      </c>
      <c r="G688" s="90" t="s">
        <v>376</v>
      </c>
      <c r="H688" s="90">
        <v>0.59</v>
      </c>
      <c r="I688" s="90">
        <v>0.64</v>
      </c>
      <c r="J688" s="90" t="s">
        <v>381</v>
      </c>
      <c r="K688" s="90">
        <v>1.8927358357449998E-2</v>
      </c>
      <c r="L688" s="90">
        <v>3776.2696213146801</v>
      </c>
      <c r="M688" s="90">
        <v>11.6029931252535</v>
      </c>
      <c r="N688" s="90">
        <v>1.53188387458235</v>
      </c>
      <c r="O688" s="90">
        <v>0.21961400890074001</v>
      </c>
      <c r="P688" s="90">
        <v>2.8994515056219999E-2</v>
      </c>
      <c r="Q688" s="90">
        <v>71.474808376990097</v>
      </c>
      <c r="R688" s="90">
        <v>1400</v>
      </c>
      <c r="S688" s="90" t="s">
        <v>324</v>
      </c>
      <c r="T688" s="90">
        <v>1400</v>
      </c>
      <c r="U688" s="90" t="s">
        <v>382</v>
      </c>
      <c r="V688" s="90" t="s">
        <v>381</v>
      </c>
      <c r="Z688" s="90">
        <v>0</v>
      </c>
      <c r="AA688" s="90">
        <v>1</v>
      </c>
      <c r="AB688" s="90">
        <v>0.21961400890074001</v>
      </c>
      <c r="AC688" s="90">
        <v>2.8994515056219999E-2</v>
      </c>
      <c r="AD688" s="90">
        <v>71.474808376991305</v>
      </c>
      <c r="AF688" s="90">
        <v>-1</v>
      </c>
      <c r="AG688" s="90">
        <v>-1</v>
      </c>
      <c r="AH688" s="90">
        <v>-1</v>
      </c>
      <c r="AI688" s="90">
        <v>-1</v>
      </c>
      <c r="AJ688" s="90">
        <v>0</v>
      </c>
      <c r="AM688" s="90" t="s">
        <v>379</v>
      </c>
      <c r="AN688" s="90">
        <v>-1</v>
      </c>
      <c r="AQ688" s="90">
        <v>356</v>
      </c>
      <c r="AR688" s="90" t="s">
        <v>380</v>
      </c>
      <c r="AS688" s="90" t="s">
        <v>246</v>
      </c>
      <c r="AT688" s="90" t="s">
        <v>244</v>
      </c>
      <c r="AU688" s="90">
        <v>175.87190000000001</v>
      </c>
      <c r="AV688" s="90">
        <v>48.192561663039598</v>
      </c>
      <c r="AW688" s="90">
        <v>76.596301727930197</v>
      </c>
      <c r="AX688" s="90">
        <v>5.7968214400000002E-2</v>
      </c>
    </row>
    <row r="689" spans="1:50" x14ac:dyDescent="0.25">
      <c r="A689" s="102">
        <v>830000</v>
      </c>
      <c r="B689" s="102">
        <v>2400000</v>
      </c>
      <c r="C689" s="102">
        <v>2400000</v>
      </c>
      <c r="D689" s="90" t="s">
        <v>374</v>
      </c>
      <c r="E689" s="90" t="s">
        <v>68</v>
      </c>
      <c r="F689" s="90" t="s">
        <v>375</v>
      </c>
      <c r="G689" s="90" t="s">
        <v>376</v>
      </c>
      <c r="H689" s="90">
        <v>0.59</v>
      </c>
      <c r="I689" s="90">
        <v>0.64</v>
      </c>
      <c r="J689" s="90" t="s">
        <v>244</v>
      </c>
      <c r="K689" s="90">
        <v>0.31399717760319001</v>
      </c>
      <c r="L689" s="90">
        <v>3776.2696213146801</v>
      </c>
      <c r="M689" s="90">
        <v>11.6029931252535</v>
      </c>
      <c r="N689" s="90">
        <v>1.53188387458235</v>
      </c>
      <c r="O689" s="90">
        <v>3.6433070930789202</v>
      </c>
      <c r="P689" s="90">
        <v>0.48100721303471</v>
      </c>
      <c r="Q689" s="90">
        <v>1185.7380029614999</v>
      </c>
      <c r="R689" s="90">
        <v>1410</v>
      </c>
      <c r="S689" s="90" t="s">
        <v>325</v>
      </c>
      <c r="T689" s="90">
        <v>1410</v>
      </c>
      <c r="U689" s="90" t="s">
        <v>378</v>
      </c>
      <c r="V689" s="90" t="s">
        <v>244</v>
      </c>
      <c r="Z689" s="90">
        <v>0</v>
      </c>
      <c r="AA689" s="90">
        <v>1</v>
      </c>
      <c r="AB689" s="90">
        <v>3.6433070930789202</v>
      </c>
      <c r="AC689" s="90">
        <v>0.48100721303471</v>
      </c>
      <c r="AD689" s="90">
        <v>1185.7380029614999</v>
      </c>
      <c r="AF689" s="90">
        <v>-1</v>
      </c>
      <c r="AG689" s="90">
        <v>-1</v>
      </c>
      <c r="AH689" s="90">
        <v>-1</v>
      </c>
      <c r="AI689" s="90">
        <v>-1</v>
      </c>
      <c r="AJ689" s="90">
        <v>0</v>
      </c>
      <c r="AM689" s="90" t="s">
        <v>379</v>
      </c>
      <c r="AN689" s="90">
        <v>-1</v>
      </c>
      <c r="AQ689" s="90">
        <v>356</v>
      </c>
      <c r="AR689" s="90" t="s">
        <v>380</v>
      </c>
      <c r="AS689" s="90" t="s">
        <v>246</v>
      </c>
      <c r="AT689" s="90" t="s">
        <v>244</v>
      </c>
      <c r="AU689" s="90">
        <v>175.87190000000001</v>
      </c>
      <c r="AV689" s="90">
        <v>140.39302653949301</v>
      </c>
      <c r="AW689" s="90">
        <v>1270.7014947989701</v>
      </c>
      <c r="AX689" s="90">
        <v>0.96166910220000001</v>
      </c>
    </row>
    <row r="690" spans="1:50" x14ac:dyDescent="0.25">
      <c r="A690" s="102">
        <v>830000</v>
      </c>
      <c r="B690" s="102">
        <v>2400000</v>
      </c>
      <c r="C690" s="102">
        <v>2400000</v>
      </c>
      <c r="D690" s="90" t="s">
        <v>374</v>
      </c>
      <c r="E690" s="90" t="s">
        <v>68</v>
      </c>
      <c r="F690" s="90" t="s">
        <v>375</v>
      </c>
      <c r="G690" s="90" t="s">
        <v>376</v>
      </c>
      <c r="H690" s="90">
        <v>0.59</v>
      </c>
      <c r="I690" s="90">
        <v>0.64</v>
      </c>
      <c r="J690" s="90" t="s">
        <v>244</v>
      </c>
      <c r="K690" s="90">
        <v>0.28467620726651</v>
      </c>
      <c r="L690" s="90">
        <v>3776.2696213146801</v>
      </c>
      <c r="M690" s="90">
        <v>11.6029931252535</v>
      </c>
      <c r="N690" s="90">
        <v>1.53188387458235</v>
      </c>
      <c r="O690" s="90">
        <v>3.3030960758365899</v>
      </c>
      <c r="P690" s="90">
        <v>0.43609089138883</v>
      </c>
      <c r="Q690" s="90">
        <v>1075.01411341161</v>
      </c>
      <c r="R690" s="90">
        <v>1410</v>
      </c>
      <c r="S690" s="90" t="s">
        <v>325</v>
      </c>
      <c r="T690" s="90">
        <v>1410</v>
      </c>
      <c r="U690" s="90" t="s">
        <v>378</v>
      </c>
      <c r="V690" s="90" t="s">
        <v>244</v>
      </c>
      <c r="Z690" s="90">
        <v>0</v>
      </c>
      <c r="AA690" s="90">
        <v>1</v>
      </c>
      <c r="AB690" s="90">
        <v>3.3030960758365899</v>
      </c>
      <c r="AC690" s="90">
        <v>0.43609089138883</v>
      </c>
      <c r="AD690" s="90">
        <v>1075.01411341161</v>
      </c>
      <c r="AF690" s="90">
        <v>-1</v>
      </c>
      <c r="AG690" s="90">
        <v>-1</v>
      </c>
      <c r="AH690" s="90">
        <v>-1</v>
      </c>
      <c r="AI690" s="90">
        <v>-1</v>
      </c>
      <c r="AJ690" s="90">
        <v>0</v>
      </c>
      <c r="AM690" s="90" t="s">
        <v>379</v>
      </c>
      <c r="AN690" s="90">
        <v>-1</v>
      </c>
      <c r="AQ690" s="90">
        <v>356</v>
      </c>
      <c r="AR690" s="90" t="s">
        <v>380</v>
      </c>
      <c r="AS690" s="90" t="s">
        <v>246</v>
      </c>
      <c r="AT690" s="90" t="s">
        <v>244</v>
      </c>
      <c r="AU690" s="90">
        <v>175.87190000000001</v>
      </c>
      <c r="AV690" s="90">
        <v>261.63843874066202</v>
      </c>
      <c r="AW690" s="90">
        <v>1152.04373768095</v>
      </c>
      <c r="AX690" s="90">
        <v>0.87186870510000003</v>
      </c>
    </row>
    <row r="691" spans="1:50" x14ac:dyDescent="0.25">
      <c r="A691" s="102">
        <v>830000</v>
      </c>
      <c r="B691" s="102">
        <v>2400000</v>
      </c>
      <c r="C691" s="102">
        <v>2400000</v>
      </c>
      <c r="D691" s="90" t="s">
        <v>374</v>
      </c>
      <c r="E691" s="90" t="s">
        <v>68</v>
      </c>
      <c r="F691" s="90" t="s">
        <v>375</v>
      </c>
      <c r="G691" s="90" t="s">
        <v>376</v>
      </c>
      <c r="H691" s="90">
        <v>0.59</v>
      </c>
      <c r="I691" s="90">
        <v>0.64</v>
      </c>
      <c r="J691" s="90" t="s">
        <v>381</v>
      </c>
      <c r="K691" s="102">
        <v>8.966666505E-6</v>
      </c>
      <c r="L691" s="90">
        <v>3776.2696213146801</v>
      </c>
      <c r="M691" s="90">
        <v>11.6029931252535</v>
      </c>
      <c r="N691" s="90">
        <v>1.53188387458235</v>
      </c>
      <c r="O691" s="90">
        <v>1.0404016981000001E-4</v>
      </c>
      <c r="P691" s="90">
        <v>1.373589182E-5</v>
      </c>
      <c r="Q691" s="90">
        <v>3.3860550327289997E-2</v>
      </c>
      <c r="R691" s="90">
        <v>1410</v>
      </c>
      <c r="S691" s="90" t="s">
        <v>325</v>
      </c>
      <c r="T691" s="90">
        <v>1410</v>
      </c>
      <c r="U691" s="90" t="s">
        <v>382</v>
      </c>
      <c r="V691" s="90" t="s">
        <v>381</v>
      </c>
      <c r="Z691" s="90">
        <v>0</v>
      </c>
      <c r="AA691" s="90">
        <v>1</v>
      </c>
      <c r="AB691" s="90">
        <v>1.0404016981000001E-4</v>
      </c>
      <c r="AC691" s="90">
        <v>1.373589182E-5</v>
      </c>
      <c r="AD691" s="90">
        <v>3.386055032614E-2</v>
      </c>
      <c r="AF691" s="90">
        <v>-1</v>
      </c>
      <c r="AG691" s="90">
        <v>-1</v>
      </c>
      <c r="AH691" s="90">
        <v>-1</v>
      </c>
      <c r="AI691" s="90">
        <v>-1</v>
      </c>
      <c r="AJ691" s="90">
        <v>0</v>
      </c>
      <c r="AM691" s="90" t="s">
        <v>379</v>
      </c>
      <c r="AN691" s="90">
        <v>-1</v>
      </c>
      <c r="AQ691" s="90">
        <v>356</v>
      </c>
      <c r="AR691" s="90" t="s">
        <v>380</v>
      </c>
      <c r="AS691" s="90" t="s">
        <v>246</v>
      </c>
      <c r="AT691" s="90" t="s">
        <v>244</v>
      </c>
      <c r="AU691" s="90">
        <v>175.87190000000001</v>
      </c>
      <c r="AV691" s="90">
        <v>9.3051104204329302</v>
      </c>
      <c r="AW691" s="90">
        <v>3.6286811932040003E-2</v>
      </c>
      <c r="AX691" s="90">
        <v>2.7461899999999999E-5</v>
      </c>
    </row>
    <row r="692" spans="1:50" x14ac:dyDescent="0.25">
      <c r="A692" s="102">
        <v>830000</v>
      </c>
      <c r="B692" s="102">
        <v>2400000</v>
      </c>
      <c r="C692" s="102">
        <v>2400000</v>
      </c>
      <c r="D692" s="90" t="s">
        <v>374</v>
      </c>
      <c r="E692" s="90" t="s">
        <v>68</v>
      </c>
      <c r="F692" s="90" t="s">
        <v>375</v>
      </c>
      <c r="G692" s="90" t="s">
        <v>376</v>
      </c>
      <c r="H692" s="90">
        <v>0.59</v>
      </c>
      <c r="I692" s="90">
        <v>0.64</v>
      </c>
      <c r="J692" s="90" t="s">
        <v>244</v>
      </c>
      <c r="K692" s="90">
        <v>0.14453395803576</v>
      </c>
      <c r="L692" s="90">
        <v>3702.25949186259</v>
      </c>
      <c r="M692" s="90">
        <v>9.2285786776937293</v>
      </c>
      <c r="N692" s="90">
        <v>1.3572742639619499</v>
      </c>
      <c r="O692" s="90">
        <v>1.3338430033315301</v>
      </c>
      <c r="P692" s="90">
        <v>0.19617222151050001</v>
      </c>
      <c r="Q692" s="90">
        <v>535.10221803437605</v>
      </c>
      <c r="R692" s="90">
        <v>1200</v>
      </c>
      <c r="S692" s="90" t="s">
        <v>384</v>
      </c>
      <c r="T692" s="90">
        <v>1200</v>
      </c>
      <c r="U692" s="90" t="s">
        <v>378</v>
      </c>
      <c r="V692" s="90" t="s">
        <v>244</v>
      </c>
      <c r="Z692" s="90">
        <v>0</v>
      </c>
      <c r="AA692" s="90">
        <v>1</v>
      </c>
      <c r="AB692" s="90">
        <v>1.3338430033315301</v>
      </c>
      <c r="AC692" s="90">
        <v>0.19617222151050001</v>
      </c>
      <c r="AD692" s="90">
        <v>535.10221803437605</v>
      </c>
      <c r="AF692" s="90">
        <v>-1</v>
      </c>
      <c r="AG692" s="90">
        <v>-1</v>
      </c>
      <c r="AH692" s="90">
        <v>-1</v>
      </c>
      <c r="AI692" s="90">
        <v>-1</v>
      </c>
      <c r="AJ692" s="90">
        <v>0</v>
      </c>
      <c r="AM692" s="90" t="s">
        <v>379</v>
      </c>
      <c r="AN692" s="90">
        <v>-1</v>
      </c>
      <c r="AQ692" s="90">
        <v>356</v>
      </c>
      <c r="AR692" s="90" t="s">
        <v>380</v>
      </c>
      <c r="AS692" s="90" t="s">
        <v>246</v>
      </c>
      <c r="AT692" s="90" t="s">
        <v>244</v>
      </c>
      <c r="AU692" s="90">
        <v>175.87190000000001</v>
      </c>
      <c r="AV692" s="90">
        <v>123.39342192955699</v>
      </c>
      <c r="AW692" s="90">
        <v>584.90817633192205</v>
      </c>
      <c r="AX692" s="90">
        <v>0.43398395620000002</v>
      </c>
    </row>
    <row r="693" spans="1:50" x14ac:dyDescent="0.25">
      <c r="A693" s="102">
        <v>830000</v>
      </c>
      <c r="B693" s="102">
        <v>2400000</v>
      </c>
      <c r="C693" s="102">
        <v>2400000</v>
      </c>
      <c r="D693" s="90" t="s">
        <v>374</v>
      </c>
      <c r="E693" s="90" t="s">
        <v>68</v>
      </c>
      <c r="F693" s="90" t="s">
        <v>375</v>
      </c>
      <c r="G693" s="90" t="s">
        <v>376</v>
      </c>
      <c r="H693" s="90">
        <v>0.59</v>
      </c>
      <c r="I693" s="90">
        <v>0.64</v>
      </c>
      <c r="J693" s="90" t="s">
        <v>244</v>
      </c>
      <c r="K693" s="90">
        <v>4.4796295904399999E-2</v>
      </c>
      <c r="L693" s="90">
        <v>3702.25949186259</v>
      </c>
      <c r="M693" s="90">
        <v>9.2285786776937293</v>
      </c>
      <c r="N693" s="90">
        <v>1.3572742639619499</v>
      </c>
      <c r="O693" s="90">
        <v>0.41340614122303998</v>
      </c>
      <c r="P693" s="90">
        <v>6.080085955187E-2</v>
      </c>
      <c r="Q693" s="90">
        <v>165.847511712364</v>
      </c>
      <c r="R693" s="90">
        <v>1210</v>
      </c>
      <c r="S693" s="90" t="s">
        <v>385</v>
      </c>
      <c r="T693" s="90">
        <v>1210</v>
      </c>
      <c r="U693" s="90" t="s">
        <v>378</v>
      </c>
      <c r="V693" s="90" t="s">
        <v>244</v>
      </c>
      <c r="Z693" s="90">
        <v>0</v>
      </c>
      <c r="AA693" s="90">
        <v>1</v>
      </c>
      <c r="AB693" s="90">
        <v>0.41340614122303998</v>
      </c>
      <c r="AC693" s="90">
        <v>6.080085955187E-2</v>
      </c>
      <c r="AD693" s="90">
        <v>165.84751171236499</v>
      </c>
      <c r="AF693" s="90">
        <v>-1</v>
      </c>
      <c r="AG693" s="90">
        <v>-1</v>
      </c>
      <c r="AH693" s="90">
        <v>-1</v>
      </c>
      <c r="AI693" s="90">
        <v>-1</v>
      </c>
      <c r="AJ693" s="90">
        <v>0</v>
      </c>
      <c r="AM693" s="90" t="s">
        <v>379</v>
      </c>
      <c r="AN693" s="90">
        <v>-1</v>
      </c>
      <c r="AQ693" s="90">
        <v>356</v>
      </c>
      <c r="AR693" s="90" t="s">
        <v>380</v>
      </c>
      <c r="AS693" s="90" t="s">
        <v>246</v>
      </c>
      <c r="AT693" s="90" t="s">
        <v>244</v>
      </c>
      <c r="AU693" s="90">
        <v>175.87190000000001</v>
      </c>
      <c r="AV693" s="90">
        <v>85.085467789020996</v>
      </c>
      <c r="AW693" s="90">
        <v>181.28417778046801</v>
      </c>
      <c r="AX693" s="90">
        <v>0.1345073088</v>
      </c>
    </row>
    <row r="694" spans="1:50" x14ac:dyDescent="0.25">
      <c r="A694" s="102">
        <v>830000</v>
      </c>
      <c r="B694" s="102">
        <v>2400000</v>
      </c>
      <c r="C694" s="102">
        <v>2400000</v>
      </c>
      <c r="D694" s="90" t="s">
        <v>374</v>
      </c>
      <c r="E694" s="90" t="s">
        <v>68</v>
      </c>
      <c r="F694" s="90" t="s">
        <v>375</v>
      </c>
      <c r="G694" s="90" t="s">
        <v>376</v>
      </c>
      <c r="H694" s="90">
        <v>0.59</v>
      </c>
      <c r="I694" s="90">
        <v>0.64</v>
      </c>
      <c r="J694" s="90" t="s">
        <v>244</v>
      </c>
      <c r="K694" s="90">
        <v>0.35477297885690001</v>
      </c>
      <c r="L694" s="90">
        <v>3702.25949186259</v>
      </c>
      <c r="M694" s="90">
        <v>9.2285786776937293</v>
      </c>
      <c r="N694" s="90">
        <v>1.3572742639619499</v>
      </c>
      <c r="O694" s="90">
        <v>3.2740503481007002</v>
      </c>
      <c r="P694" s="90">
        <v>0.48152423375158998</v>
      </c>
      <c r="Q694" s="90">
        <v>1313.4616284293299</v>
      </c>
      <c r="R694" s="90">
        <v>1210</v>
      </c>
      <c r="S694" s="90" t="s">
        <v>385</v>
      </c>
      <c r="T694" s="90">
        <v>1210</v>
      </c>
      <c r="U694" s="90" t="s">
        <v>378</v>
      </c>
      <c r="V694" s="90" t="s">
        <v>244</v>
      </c>
      <c r="Z694" s="90">
        <v>0</v>
      </c>
      <c r="AA694" s="90">
        <v>1</v>
      </c>
      <c r="AB694" s="90">
        <v>3.2740503481007002</v>
      </c>
      <c r="AC694" s="90">
        <v>0.48152423375158998</v>
      </c>
      <c r="AD694" s="90">
        <v>1313.4616284293299</v>
      </c>
      <c r="AF694" s="90">
        <v>-1</v>
      </c>
      <c r="AG694" s="90">
        <v>-1</v>
      </c>
      <c r="AH694" s="90">
        <v>-1</v>
      </c>
      <c r="AI694" s="90">
        <v>-1</v>
      </c>
      <c r="AJ694" s="90">
        <v>0</v>
      </c>
      <c r="AM694" s="90" t="s">
        <v>379</v>
      </c>
      <c r="AN694" s="90">
        <v>-1</v>
      </c>
      <c r="AQ694" s="90">
        <v>356</v>
      </c>
      <c r="AR694" s="90" t="s">
        <v>380</v>
      </c>
      <c r="AS694" s="90" t="s">
        <v>246</v>
      </c>
      <c r="AT694" s="90" t="s">
        <v>244</v>
      </c>
      <c r="AU694" s="90">
        <v>175.87190000000001</v>
      </c>
      <c r="AV694" s="90">
        <v>152.90116372095301</v>
      </c>
      <c r="AW694" s="90">
        <v>1435.71530798103</v>
      </c>
      <c r="AX694" s="90">
        <v>1.0652567952000001</v>
      </c>
    </row>
    <row r="695" spans="1:50" x14ac:dyDescent="0.25">
      <c r="A695" s="102">
        <v>830000</v>
      </c>
      <c r="B695" s="102">
        <v>2400000</v>
      </c>
      <c r="C695" s="102">
        <v>2400000</v>
      </c>
      <c r="D695" s="90" t="s">
        <v>374</v>
      </c>
      <c r="E695" s="90" t="s">
        <v>68</v>
      </c>
      <c r="F695" s="90" t="s">
        <v>375</v>
      </c>
      <c r="G695" s="90" t="s">
        <v>376</v>
      </c>
      <c r="H695" s="90">
        <v>0.59</v>
      </c>
      <c r="I695" s="90">
        <v>0.64</v>
      </c>
      <c r="J695" s="90" t="s">
        <v>244</v>
      </c>
      <c r="K695" s="90">
        <v>7.3660221008920002E-2</v>
      </c>
      <c r="L695" s="90">
        <v>3702.25949186259</v>
      </c>
      <c r="M695" s="90">
        <v>9.2285786776937293</v>
      </c>
      <c r="N695" s="90">
        <v>1.3572742639619499</v>
      </c>
      <c r="O695" s="90">
        <v>0.67977914499715997</v>
      </c>
      <c r="P695" s="90">
        <v>9.9977122253159995E-2</v>
      </c>
      <c r="Q695" s="90">
        <v>272.70925240298499</v>
      </c>
      <c r="R695" s="90">
        <v>1210</v>
      </c>
      <c r="S695" s="90" t="s">
        <v>385</v>
      </c>
      <c r="T695" s="90">
        <v>1210</v>
      </c>
      <c r="U695" s="90" t="s">
        <v>378</v>
      </c>
      <c r="V695" s="90" t="s">
        <v>244</v>
      </c>
      <c r="Z695" s="90">
        <v>0</v>
      </c>
      <c r="AA695" s="90">
        <v>1</v>
      </c>
      <c r="AB695" s="90">
        <v>0.67977914499715997</v>
      </c>
      <c r="AC695" s="90">
        <v>9.9977122253159995E-2</v>
      </c>
      <c r="AD695" s="90">
        <v>272.709252402983</v>
      </c>
      <c r="AF695" s="90">
        <v>-1</v>
      </c>
      <c r="AG695" s="90">
        <v>-1</v>
      </c>
      <c r="AH695" s="90">
        <v>-1</v>
      </c>
      <c r="AI695" s="90">
        <v>-1</v>
      </c>
      <c r="AJ695" s="90">
        <v>0</v>
      </c>
      <c r="AM695" s="90" t="s">
        <v>379</v>
      </c>
      <c r="AN695" s="90">
        <v>-1</v>
      </c>
      <c r="AQ695" s="90">
        <v>356</v>
      </c>
      <c r="AR695" s="90" t="s">
        <v>380</v>
      </c>
      <c r="AS695" s="90" t="s">
        <v>246</v>
      </c>
      <c r="AT695" s="90" t="s">
        <v>244</v>
      </c>
      <c r="AU695" s="90">
        <v>175.87190000000001</v>
      </c>
      <c r="AV695" s="90">
        <v>83.764024110622699</v>
      </c>
      <c r="AW695" s="90">
        <v>298.09233846536603</v>
      </c>
      <c r="AX695" s="90">
        <v>0.22117538719999999</v>
      </c>
    </row>
    <row r="696" spans="1:50" x14ac:dyDescent="0.25">
      <c r="A696" s="102">
        <v>830000</v>
      </c>
      <c r="B696" s="102">
        <v>2400000</v>
      </c>
      <c r="C696" s="102">
        <v>2400000</v>
      </c>
      <c r="D696" s="90" t="s">
        <v>374</v>
      </c>
      <c r="E696" s="90" t="s">
        <v>68</v>
      </c>
      <c r="F696" s="90" t="s">
        <v>375</v>
      </c>
      <c r="G696" s="90" t="s">
        <v>376</v>
      </c>
      <c r="H696" s="90">
        <v>0.59</v>
      </c>
      <c r="I696" s="90">
        <v>0.64</v>
      </c>
      <c r="J696" s="90" t="s">
        <v>244</v>
      </c>
      <c r="K696" s="90">
        <v>0.61776345362188001</v>
      </c>
      <c r="L696" s="90">
        <v>3771.2814536432602</v>
      </c>
      <c r="M696" s="90">
        <v>11.776536113031201</v>
      </c>
      <c r="N696" s="90">
        <v>1.5529253254695701</v>
      </c>
      <c r="O696" s="90">
        <v>7.2751136208890204</v>
      </c>
      <c r="P696" s="90">
        <v>0.95934051227896999</v>
      </c>
      <c r="Q696" s="90">
        <v>2329.7598553828302</v>
      </c>
      <c r="R696" s="90">
        <v>1450</v>
      </c>
      <c r="S696" s="90" t="s">
        <v>391</v>
      </c>
      <c r="T696" s="90">
        <v>1450</v>
      </c>
      <c r="U696" s="90" t="s">
        <v>378</v>
      </c>
      <c r="V696" s="90" t="s">
        <v>244</v>
      </c>
      <c r="Z696" s="90">
        <v>0</v>
      </c>
      <c r="AA696" s="90">
        <v>1</v>
      </c>
      <c r="AB696" s="90">
        <v>7.2751136208890204</v>
      </c>
      <c r="AC696" s="90">
        <v>0.95934051227896999</v>
      </c>
      <c r="AD696" s="90">
        <v>2329.7598553828302</v>
      </c>
      <c r="AF696" s="90">
        <v>-1</v>
      </c>
      <c r="AG696" s="90">
        <v>-1</v>
      </c>
      <c r="AH696" s="90">
        <v>-1</v>
      </c>
      <c r="AI696" s="90">
        <v>-1</v>
      </c>
      <c r="AJ696" s="90">
        <v>0</v>
      </c>
      <c r="AM696" s="90" t="s">
        <v>379</v>
      </c>
      <c r="AN696" s="90">
        <v>-1</v>
      </c>
      <c r="AQ696" s="90">
        <v>356</v>
      </c>
      <c r="AR696" s="90" t="s">
        <v>380</v>
      </c>
      <c r="AS696" s="90" t="s">
        <v>246</v>
      </c>
      <c r="AT696" s="90" t="s">
        <v>244</v>
      </c>
      <c r="AU696" s="90">
        <v>175.87190000000001</v>
      </c>
      <c r="AV696" s="90">
        <v>199.99999999254899</v>
      </c>
      <c r="AW696" s="90">
        <v>2499.99999981373</v>
      </c>
      <c r="AX696" s="90">
        <v>1.8895051544000001</v>
      </c>
    </row>
    <row r="697" spans="1:50" x14ac:dyDescent="0.25">
      <c r="A697" s="102">
        <v>830000</v>
      </c>
      <c r="B697" s="102">
        <v>2400000</v>
      </c>
      <c r="C697" s="102">
        <v>2400000</v>
      </c>
      <c r="D697" s="90" t="s">
        <v>374</v>
      </c>
      <c r="E697" s="90" t="s">
        <v>68</v>
      </c>
      <c r="F697" s="90" t="s">
        <v>375</v>
      </c>
      <c r="G697" s="90" t="s">
        <v>376</v>
      </c>
      <c r="H697" s="90">
        <v>0.59</v>
      </c>
      <c r="I697" s="90">
        <v>0.64</v>
      </c>
      <c r="J697" s="90" t="s">
        <v>244</v>
      </c>
      <c r="K697" s="90">
        <v>0.61771281999769001</v>
      </c>
      <c r="L697" s="90">
        <v>3752.9178027972498</v>
      </c>
      <c r="M697" s="90">
        <v>10.7970529175549</v>
      </c>
      <c r="N697" s="90">
        <v>2.0803219521854901</v>
      </c>
      <c r="O697" s="90">
        <v>6.6694780053671696</v>
      </c>
      <c r="P697" s="90">
        <v>1.2850415395876</v>
      </c>
      <c r="Q697" s="90">
        <v>2318.2254391854299</v>
      </c>
      <c r="R697" s="90">
        <v>1300</v>
      </c>
      <c r="S697" s="90" t="s">
        <v>387</v>
      </c>
      <c r="T697" s="90">
        <v>1300</v>
      </c>
      <c r="U697" s="90" t="s">
        <v>378</v>
      </c>
      <c r="V697" s="90" t="s">
        <v>244</v>
      </c>
      <c r="Z697" s="90">
        <v>0</v>
      </c>
      <c r="AA697" s="90">
        <v>1</v>
      </c>
      <c r="AB697" s="90">
        <v>6.6694780053671696</v>
      </c>
      <c r="AC697" s="90">
        <v>1.2850415395876</v>
      </c>
      <c r="AD697" s="90">
        <v>2318.2254391854299</v>
      </c>
      <c r="AF697" s="90">
        <v>-1</v>
      </c>
      <c r="AG697" s="90">
        <v>-1</v>
      </c>
      <c r="AH697" s="90">
        <v>-1</v>
      </c>
      <c r="AI697" s="90">
        <v>-1</v>
      </c>
      <c r="AJ697" s="90">
        <v>0</v>
      </c>
      <c r="AM697" s="90" t="s">
        <v>379</v>
      </c>
      <c r="AN697" s="90">
        <v>-1</v>
      </c>
      <c r="AQ697" s="90">
        <v>356</v>
      </c>
      <c r="AR697" s="90" t="s">
        <v>380</v>
      </c>
      <c r="AS697" s="90" t="s">
        <v>246</v>
      </c>
      <c r="AT697" s="90" t="s">
        <v>244</v>
      </c>
      <c r="AU697" s="90">
        <v>175.87190000000001</v>
      </c>
      <c r="AV697" s="90">
        <v>199.87869458367601</v>
      </c>
      <c r="AW697" s="90">
        <v>2499.7950928064702</v>
      </c>
      <c r="AX697" s="90">
        <v>1.8801503966999999</v>
      </c>
    </row>
    <row r="698" spans="1:50" x14ac:dyDescent="0.25">
      <c r="A698" s="102">
        <v>830000</v>
      </c>
      <c r="B698" s="102">
        <v>2400000</v>
      </c>
      <c r="C698" s="102">
        <v>2400000</v>
      </c>
      <c r="D698" s="90" t="s">
        <v>374</v>
      </c>
      <c r="E698" s="90" t="s">
        <v>68</v>
      </c>
      <c r="F698" s="90" t="s">
        <v>375</v>
      </c>
      <c r="G698" s="90" t="s">
        <v>376</v>
      </c>
      <c r="H698" s="90">
        <v>0.59</v>
      </c>
      <c r="I698" s="90">
        <v>0.64</v>
      </c>
      <c r="J698" s="90" t="s">
        <v>244</v>
      </c>
      <c r="K698" s="90">
        <v>5.0633716240000002E-5</v>
      </c>
      <c r="L698" s="90">
        <v>3752.9178027972498</v>
      </c>
      <c r="M698" s="90">
        <v>10.7970529175549</v>
      </c>
      <c r="N698" s="90">
        <v>2.0803219521854901</v>
      </c>
      <c r="O698" s="90">
        <v>5.4669491374999995E-4</v>
      </c>
      <c r="P698" s="90">
        <v>1.0533443143000001E-4</v>
      </c>
      <c r="Q698" s="90">
        <v>0.19002417513264999</v>
      </c>
      <c r="R698" s="90">
        <v>1300</v>
      </c>
      <c r="S698" s="90" t="s">
        <v>387</v>
      </c>
      <c r="T698" s="90">
        <v>1300</v>
      </c>
      <c r="U698" s="90" t="s">
        <v>378</v>
      </c>
      <c r="V698" s="90" t="s">
        <v>244</v>
      </c>
      <c r="Z698" s="90">
        <v>0</v>
      </c>
      <c r="AA698" s="90">
        <v>1</v>
      </c>
      <c r="AB698" s="90">
        <v>5.4669491374999995E-4</v>
      </c>
      <c r="AC698" s="90">
        <v>1.0533443143000001E-4</v>
      </c>
      <c r="AD698" s="90">
        <v>0.19002417513124001</v>
      </c>
      <c r="AF698" s="90">
        <v>-1</v>
      </c>
      <c r="AG698" s="90">
        <v>-1</v>
      </c>
      <c r="AH698" s="90">
        <v>-1</v>
      </c>
      <c r="AI698" s="90">
        <v>-1</v>
      </c>
      <c r="AJ698" s="90">
        <v>0</v>
      </c>
      <c r="AM698" s="90" t="s">
        <v>379</v>
      </c>
      <c r="AN698" s="90">
        <v>-1</v>
      </c>
      <c r="AQ698" s="90">
        <v>356</v>
      </c>
      <c r="AR698" s="90" t="s">
        <v>380</v>
      </c>
      <c r="AS698" s="90" t="s">
        <v>246</v>
      </c>
      <c r="AT698" s="90" t="s">
        <v>244</v>
      </c>
      <c r="AU698" s="90">
        <v>175.87190000000001</v>
      </c>
      <c r="AV698" s="90">
        <v>6.7567425565936201</v>
      </c>
      <c r="AW698" s="90">
        <v>0.20490737979071999</v>
      </c>
      <c r="AX698" s="90">
        <v>1.5411529999999999E-4</v>
      </c>
    </row>
    <row r="699" spans="1:50" x14ac:dyDescent="0.25">
      <c r="A699" s="102">
        <v>830000</v>
      </c>
      <c r="B699" s="102">
        <v>2400000</v>
      </c>
      <c r="C699" s="102">
        <v>2400000</v>
      </c>
      <c r="D699" s="90" t="s">
        <v>374</v>
      </c>
      <c r="E699" s="90" t="s">
        <v>68</v>
      </c>
      <c r="F699" s="90" t="s">
        <v>375</v>
      </c>
      <c r="G699" s="90" t="s">
        <v>376</v>
      </c>
      <c r="H699" s="90">
        <v>0.59</v>
      </c>
      <c r="I699" s="90">
        <v>0.64</v>
      </c>
      <c r="J699" s="90" t="s">
        <v>244</v>
      </c>
      <c r="K699" s="90">
        <v>0.11476303874322</v>
      </c>
      <c r="L699" s="90">
        <v>3725.5452556959399</v>
      </c>
      <c r="M699" s="90">
        <v>8.4578375471489107</v>
      </c>
      <c r="N699" s="90">
        <v>1.1916338024236599</v>
      </c>
      <c r="O699" s="90">
        <v>0.97064713810734005</v>
      </c>
      <c r="P699" s="90">
        <v>0.13675551623528001</v>
      </c>
      <c r="Q699" s="90">
        <v>427.55489451906698</v>
      </c>
      <c r="R699" s="90">
        <v>1410</v>
      </c>
      <c r="S699" s="90" t="s">
        <v>325</v>
      </c>
      <c r="T699" s="90">
        <v>1410</v>
      </c>
      <c r="U699" s="90" t="s">
        <v>378</v>
      </c>
      <c r="V699" s="90" t="s">
        <v>244</v>
      </c>
      <c r="Z699" s="90">
        <v>0</v>
      </c>
      <c r="AA699" s="90">
        <v>1</v>
      </c>
      <c r="AB699" s="90">
        <v>0.97064713810734005</v>
      </c>
      <c r="AC699" s="90">
        <v>0.13675551623528001</v>
      </c>
      <c r="AD699" s="90">
        <v>427.55489451906698</v>
      </c>
      <c r="AF699" s="90">
        <v>-1</v>
      </c>
      <c r="AG699" s="90">
        <v>-1</v>
      </c>
      <c r="AH699" s="90">
        <v>-1</v>
      </c>
      <c r="AI699" s="90">
        <v>-1</v>
      </c>
      <c r="AJ699" s="90">
        <v>0</v>
      </c>
      <c r="AM699" s="90" t="s">
        <v>379</v>
      </c>
      <c r="AN699" s="90">
        <v>-1</v>
      </c>
      <c r="AQ699" s="90">
        <v>356</v>
      </c>
      <c r="AR699" s="90" t="s">
        <v>380</v>
      </c>
      <c r="AS699" s="90" t="s">
        <v>246</v>
      </c>
      <c r="AT699" s="90" t="s">
        <v>244</v>
      </c>
      <c r="AU699" s="90">
        <v>175.87190000000001</v>
      </c>
      <c r="AV699" s="90">
        <v>113.551455248595</v>
      </c>
      <c r="AW699" s="90">
        <v>464.42954039215499</v>
      </c>
      <c r="AX699" s="90">
        <v>0.3467598496</v>
      </c>
    </row>
    <row r="700" spans="1:50" x14ac:dyDescent="0.25">
      <c r="A700" s="102">
        <v>830000</v>
      </c>
      <c r="B700" s="102">
        <v>2400000</v>
      </c>
      <c r="C700" s="102">
        <v>2400000</v>
      </c>
      <c r="D700" s="90" t="s">
        <v>374</v>
      </c>
      <c r="E700" s="90" t="s">
        <v>68</v>
      </c>
      <c r="F700" s="90" t="s">
        <v>375</v>
      </c>
      <c r="G700" s="90" t="s">
        <v>376</v>
      </c>
      <c r="H700" s="90">
        <v>0.59</v>
      </c>
      <c r="I700" s="90">
        <v>0.64</v>
      </c>
      <c r="J700" s="90" t="s">
        <v>244</v>
      </c>
      <c r="K700" s="90">
        <v>9.2869373591600007E-3</v>
      </c>
      <c r="L700" s="90">
        <v>3725.5452556959399</v>
      </c>
      <c r="M700" s="90">
        <v>8.4578375471489107</v>
      </c>
      <c r="N700" s="90">
        <v>1.1916338024236599</v>
      </c>
      <c r="O700" s="90">
        <v>7.8547407494329993E-2</v>
      </c>
      <c r="P700" s="90">
        <v>1.106662847816E-2</v>
      </c>
      <c r="Q700" s="90">
        <v>34.5989054183676</v>
      </c>
      <c r="R700" s="90">
        <v>1300</v>
      </c>
      <c r="S700" s="90" t="s">
        <v>387</v>
      </c>
      <c r="T700" s="90">
        <v>1300</v>
      </c>
      <c r="U700" s="90" t="s">
        <v>378</v>
      </c>
      <c r="V700" s="90" t="s">
        <v>244</v>
      </c>
      <c r="Z700" s="90">
        <v>0</v>
      </c>
      <c r="AA700" s="90">
        <v>1</v>
      </c>
      <c r="AB700" s="90">
        <v>7.8547407494329993E-2</v>
      </c>
      <c r="AC700" s="90">
        <v>1.106662847816E-2</v>
      </c>
      <c r="AD700" s="90">
        <v>34.598905418367202</v>
      </c>
      <c r="AF700" s="90">
        <v>-1</v>
      </c>
      <c r="AG700" s="90">
        <v>-1</v>
      </c>
      <c r="AH700" s="90">
        <v>-1</v>
      </c>
      <c r="AI700" s="90">
        <v>-1</v>
      </c>
      <c r="AJ700" s="90">
        <v>0</v>
      </c>
      <c r="AM700" s="90" t="s">
        <v>379</v>
      </c>
      <c r="AN700" s="90">
        <v>-1</v>
      </c>
      <c r="AQ700" s="90">
        <v>356</v>
      </c>
      <c r="AR700" s="90" t="s">
        <v>380</v>
      </c>
      <c r="AS700" s="90" t="s">
        <v>246</v>
      </c>
      <c r="AT700" s="90" t="s">
        <v>244</v>
      </c>
      <c r="AU700" s="90">
        <v>175.87190000000001</v>
      </c>
      <c r="AV700" s="90">
        <v>25.666910699536</v>
      </c>
      <c r="AW700" s="90">
        <v>37.5829020963467</v>
      </c>
      <c r="AX700" s="90">
        <v>2.8060750499999999E-2</v>
      </c>
    </row>
    <row r="701" spans="1:50" x14ac:dyDescent="0.25">
      <c r="A701" s="102">
        <v>830000</v>
      </c>
      <c r="B701" s="102">
        <v>2400000</v>
      </c>
      <c r="C701" s="102">
        <v>2400000</v>
      </c>
      <c r="D701" s="90" t="s">
        <v>374</v>
      </c>
      <c r="E701" s="90" t="s">
        <v>68</v>
      </c>
      <c r="F701" s="90" t="s">
        <v>375</v>
      </c>
      <c r="G701" s="90" t="s">
        <v>376</v>
      </c>
      <c r="H701" s="90">
        <v>0.59</v>
      </c>
      <c r="I701" s="90">
        <v>0.64</v>
      </c>
      <c r="J701" s="90" t="s">
        <v>244</v>
      </c>
      <c r="K701" s="90">
        <v>3.7948086799909998E-2</v>
      </c>
      <c r="L701" s="90">
        <v>3725.5452556959399</v>
      </c>
      <c r="M701" s="90">
        <v>8.4578375471489107</v>
      </c>
      <c r="N701" s="90">
        <v>1.1916338024236599</v>
      </c>
      <c r="O701" s="90">
        <v>0.32095875337878998</v>
      </c>
      <c r="P701" s="90">
        <v>4.5220222968080002E-2</v>
      </c>
      <c r="Q701" s="90">
        <v>141.377314740164</v>
      </c>
      <c r="R701" s="90">
        <v>1300</v>
      </c>
      <c r="S701" s="90" t="s">
        <v>387</v>
      </c>
      <c r="T701" s="90">
        <v>1300</v>
      </c>
      <c r="U701" s="90" t="s">
        <v>378</v>
      </c>
      <c r="V701" s="90" t="s">
        <v>244</v>
      </c>
      <c r="Z701" s="90">
        <v>0</v>
      </c>
      <c r="AA701" s="90">
        <v>1</v>
      </c>
      <c r="AB701" s="90">
        <v>0.32095875337878998</v>
      </c>
      <c r="AC701" s="90">
        <v>4.5220222968080002E-2</v>
      </c>
      <c r="AD701" s="90">
        <v>141.37731474016601</v>
      </c>
      <c r="AF701" s="90">
        <v>-1</v>
      </c>
      <c r="AG701" s="90">
        <v>-1</v>
      </c>
      <c r="AH701" s="90">
        <v>-1</v>
      </c>
      <c r="AI701" s="90">
        <v>-1</v>
      </c>
      <c r="AJ701" s="90">
        <v>0</v>
      </c>
      <c r="AM701" s="90" t="s">
        <v>379</v>
      </c>
      <c r="AN701" s="90">
        <v>-1</v>
      </c>
      <c r="AQ701" s="90">
        <v>356</v>
      </c>
      <c r="AR701" s="90" t="s">
        <v>380</v>
      </c>
      <c r="AS701" s="90" t="s">
        <v>246</v>
      </c>
      <c r="AT701" s="90" t="s">
        <v>244</v>
      </c>
      <c r="AU701" s="90">
        <v>175.87190000000001</v>
      </c>
      <c r="AV701" s="90">
        <v>90.744344280592699</v>
      </c>
      <c r="AW701" s="90">
        <v>153.570458784034</v>
      </c>
      <c r="AX701" s="90">
        <v>0.1146612447</v>
      </c>
    </row>
    <row r="702" spans="1:50" x14ac:dyDescent="0.25">
      <c r="A702" s="102">
        <v>830000</v>
      </c>
      <c r="B702" s="102">
        <v>2400000</v>
      </c>
      <c r="C702" s="102">
        <v>2400000</v>
      </c>
      <c r="D702" s="90" t="s">
        <v>374</v>
      </c>
      <c r="E702" s="90" t="s">
        <v>68</v>
      </c>
      <c r="F702" s="90" t="s">
        <v>375</v>
      </c>
      <c r="G702" s="90" t="s">
        <v>376</v>
      </c>
      <c r="H702" s="90">
        <v>0.59</v>
      </c>
      <c r="I702" s="90">
        <v>0.64</v>
      </c>
      <c r="J702" s="90" t="s">
        <v>389</v>
      </c>
      <c r="K702" s="90">
        <v>0.39734522176720999</v>
      </c>
      <c r="L702" s="90">
        <v>3253.01849428888</v>
      </c>
      <c r="M702" s="90">
        <v>6.6497698063162902</v>
      </c>
      <c r="N702" s="90">
        <v>0.89634308465292001</v>
      </c>
      <c r="O702" s="90">
        <v>2.6422542583916799</v>
      </c>
      <c r="P702" s="90">
        <v>0.35615764175092002</v>
      </c>
      <c r="Q702" s="90">
        <v>1292.57135502607</v>
      </c>
      <c r="R702" s="90">
        <v>4200</v>
      </c>
      <c r="S702" s="90" t="s">
        <v>390</v>
      </c>
      <c r="T702" s="90">
        <v>4200</v>
      </c>
      <c r="U702" s="90" t="s">
        <v>378</v>
      </c>
      <c r="V702" s="90" t="s">
        <v>244</v>
      </c>
      <c r="Y702" s="90" t="s">
        <v>389</v>
      </c>
      <c r="Z702" s="90">
        <v>0</v>
      </c>
      <c r="AA702" s="90">
        <v>1</v>
      </c>
      <c r="AB702" s="90">
        <v>2.6422542583916799</v>
      </c>
      <c r="AC702" s="90">
        <v>0.35615764175092002</v>
      </c>
      <c r="AD702" s="90">
        <v>1292.57135502607</v>
      </c>
      <c r="AF702" s="90">
        <v>-1</v>
      </c>
      <c r="AG702" s="90">
        <v>-1</v>
      </c>
      <c r="AH702" s="90">
        <v>-1</v>
      </c>
      <c r="AI702" s="90">
        <v>-1</v>
      </c>
      <c r="AJ702" s="90">
        <v>0</v>
      </c>
      <c r="AM702" s="90" t="s">
        <v>379</v>
      </c>
      <c r="AN702" s="90">
        <v>-1</v>
      </c>
      <c r="AQ702" s="90">
        <v>356</v>
      </c>
      <c r="AR702" s="90" t="s">
        <v>380</v>
      </c>
      <c r="AS702" s="90" t="s">
        <v>246</v>
      </c>
      <c r="AT702" s="90" t="s">
        <v>244</v>
      </c>
      <c r="AU702" s="90">
        <v>175.87190000000001</v>
      </c>
      <c r="AV702" s="90">
        <v>164.73304059501001</v>
      </c>
      <c r="AW702" s="90">
        <v>1607.99906261861</v>
      </c>
      <c r="AX702" s="90">
        <v>1.0483141565</v>
      </c>
    </row>
    <row r="703" spans="1:50" x14ac:dyDescent="0.25">
      <c r="A703" s="102">
        <v>830000</v>
      </c>
      <c r="B703" s="102">
        <v>2400000</v>
      </c>
      <c r="C703" s="102">
        <v>2400000</v>
      </c>
      <c r="D703" s="90" t="s">
        <v>374</v>
      </c>
      <c r="E703" s="90" t="s">
        <v>68</v>
      </c>
      <c r="F703" s="90" t="s">
        <v>375</v>
      </c>
      <c r="G703" s="90" t="s">
        <v>376</v>
      </c>
      <c r="H703" s="90">
        <v>0.59</v>
      </c>
      <c r="I703" s="90">
        <v>0.64</v>
      </c>
      <c r="J703" s="90" t="s">
        <v>381</v>
      </c>
      <c r="K703" s="90">
        <v>9.1233992737850003E-2</v>
      </c>
      <c r="L703" s="90">
        <v>3253.01849428888</v>
      </c>
      <c r="M703" s="90">
        <v>6.6497698063162902</v>
      </c>
      <c r="N703" s="90">
        <v>0.89634308465292001</v>
      </c>
      <c r="O703" s="90">
        <v>0.60668505021784003</v>
      </c>
      <c r="P703" s="90">
        <v>8.1776958475840003E-2</v>
      </c>
      <c r="Q703" s="90">
        <v>296.785865684047</v>
      </c>
      <c r="R703" s="90">
        <v>4200</v>
      </c>
      <c r="S703" s="90" t="s">
        <v>390</v>
      </c>
      <c r="T703" s="90">
        <v>4200</v>
      </c>
      <c r="U703" s="90" t="s">
        <v>382</v>
      </c>
      <c r="V703" s="90" t="s">
        <v>381</v>
      </c>
      <c r="Y703" s="90" t="s">
        <v>389</v>
      </c>
      <c r="Z703" s="90">
        <v>0</v>
      </c>
      <c r="AA703" s="90">
        <v>1</v>
      </c>
      <c r="AB703" s="90">
        <v>0.60668505021784003</v>
      </c>
      <c r="AC703" s="90">
        <v>8.1776958475840003E-2</v>
      </c>
      <c r="AD703" s="90">
        <v>296.785865684047</v>
      </c>
      <c r="AF703" s="90">
        <v>-1</v>
      </c>
      <c r="AG703" s="90">
        <v>-1</v>
      </c>
      <c r="AH703" s="90">
        <v>-1</v>
      </c>
      <c r="AI703" s="90">
        <v>-1</v>
      </c>
      <c r="AJ703" s="90">
        <v>0</v>
      </c>
      <c r="AM703" s="90" t="s">
        <v>379</v>
      </c>
      <c r="AN703" s="90">
        <v>-1</v>
      </c>
      <c r="AQ703" s="90">
        <v>356</v>
      </c>
      <c r="AR703" s="90" t="s">
        <v>380</v>
      </c>
      <c r="AS703" s="90" t="s">
        <v>246</v>
      </c>
      <c r="AT703" s="90" t="s">
        <v>244</v>
      </c>
      <c r="AU703" s="90">
        <v>175.87190000000001</v>
      </c>
      <c r="AV703" s="90">
        <v>114.52557179735901</v>
      </c>
      <c r="AW703" s="90">
        <v>369.21086945236601</v>
      </c>
      <c r="AX703" s="90">
        <v>0.24070224309999999</v>
      </c>
    </row>
    <row r="704" spans="1:50" x14ac:dyDescent="0.25">
      <c r="A704" s="102">
        <v>830000</v>
      </c>
      <c r="B704" s="102">
        <v>2400000</v>
      </c>
      <c r="C704" s="102">
        <v>2400000</v>
      </c>
      <c r="D704" s="90" t="s">
        <v>374</v>
      </c>
      <c r="E704" s="90" t="s">
        <v>68</v>
      </c>
      <c r="F704" s="90" t="s">
        <v>375</v>
      </c>
      <c r="G704" s="90" t="s">
        <v>376</v>
      </c>
      <c r="H704" s="90">
        <v>0.59</v>
      </c>
      <c r="I704" s="90">
        <v>0.64</v>
      </c>
      <c r="J704" s="90" t="s">
        <v>381</v>
      </c>
      <c r="K704" s="90">
        <v>0.12918423918585001</v>
      </c>
      <c r="L704" s="90">
        <v>3253.01849428888</v>
      </c>
      <c r="M704" s="90">
        <v>6.6497698063162902</v>
      </c>
      <c r="N704" s="90">
        <v>0.89634308465292001</v>
      </c>
      <c r="O704" s="90">
        <v>0.85904545319005998</v>
      </c>
      <c r="P704" s="90">
        <v>0.11579339944038999</v>
      </c>
      <c r="Q704" s="90">
        <v>420.23871924223801</v>
      </c>
      <c r="R704" s="90">
        <v>8140</v>
      </c>
      <c r="S704" s="90" t="s">
        <v>386</v>
      </c>
      <c r="T704" s="90">
        <v>8140</v>
      </c>
      <c r="U704" s="90" t="s">
        <v>382</v>
      </c>
      <c r="V704" s="90" t="s">
        <v>381</v>
      </c>
      <c r="Z704" s="90">
        <v>0</v>
      </c>
      <c r="AA704" s="90">
        <v>1</v>
      </c>
      <c r="AB704" s="90">
        <v>0.85904545319005998</v>
      </c>
      <c r="AC704" s="90">
        <v>0.11579339944038999</v>
      </c>
      <c r="AD704" s="90">
        <v>420.23871924223801</v>
      </c>
      <c r="AF704" s="90">
        <v>-1</v>
      </c>
      <c r="AG704" s="90">
        <v>-1</v>
      </c>
      <c r="AH704" s="90">
        <v>-1</v>
      </c>
      <c r="AI704" s="90">
        <v>-1</v>
      </c>
      <c r="AJ704" s="90">
        <v>0</v>
      </c>
      <c r="AM704" s="90" t="s">
        <v>379</v>
      </c>
      <c r="AN704" s="90">
        <v>-1</v>
      </c>
      <c r="AQ704" s="90">
        <v>356</v>
      </c>
      <c r="AR704" s="90" t="s">
        <v>380</v>
      </c>
      <c r="AS704" s="90" t="s">
        <v>246</v>
      </c>
      <c r="AT704" s="90" t="s">
        <v>244</v>
      </c>
      <c r="AU704" s="90">
        <v>175.87190000000001</v>
      </c>
      <c r="AV704" s="90">
        <v>120.946995078388</v>
      </c>
      <c r="AW704" s="90">
        <v>522.79006802215304</v>
      </c>
      <c r="AX704" s="90">
        <v>0.34082621190000001</v>
      </c>
    </row>
    <row r="705" spans="1:50" x14ac:dyDescent="0.25">
      <c r="A705" s="102">
        <v>830000</v>
      </c>
      <c r="B705" s="102">
        <v>2400000</v>
      </c>
      <c r="C705" s="102">
        <v>2400000</v>
      </c>
      <c r="D705" s="90" t="s">
        <v>374</v>
      </c>
      <c r="E705" s="90" t="s">
        <v>68</v>
      </c>
      <c r="F705" s="90" t="s">
        <v>375</v>
      </c>
      <c r="G705" s="90" t="s">
        <v>376</v>
      </c>
      <c r="H705" s="90">
        <v>0.59</v>
      </c>
      <c r="I705" s="90">
        <v>0.64</v>
      </c>
      <c r="J705" s="90" t="s">
        <v>244</v>
      </c>
      <c r="K705" s="90">
        <v>0.29836104550663001</v>
      </c>
      <c r="L705" s="90">
        <v>3752.2321466220101</v>
      </c>
      <c r="M705" s="90">
        <v>10.7949726472352</v>
      </c>
      <c r="N705" s="90">
        <v>2.0799086135623499</v>
      </c>
      <c r="O705" s="90">
        <v>3.2207993252446201</v>
      </c>
      <c r="P705" s="90">
        <v>0.62056370850070997</v>
      </c>
      <c r="Q705" s="90">
        <v>1119.51990624974</v>
      </c>
      <c r="R705" s="90">
        <v>1300</v>
      </c>
      <c r="S705" s="90" t="s">
        <v>387</v>
      </c>
      <c r="T705" s="90">
        <v>1300</v>
      </c>
      <c r="U705" s="90" t="s">
        <v>378</v>
      </c>
      <c r="V705" s="90" t="s">
        <v>244</v>
      </c>
      <c r="Z705" s="90">
        <v>0</v>
      </c>
      <c r="AA705" s="90">
        <v>1</v>
      </c>
      <c r="AB705" s="90">
        <v>3.2207993252446201</v>
      </c>
      <c r="AC705" s="90">
        <v>0.62056370850070997</v>
      </c>
      <c r="AD705" s="90">
        <v>1119.51990624974</v>
      </c>
      <c r="AF705" s="90">
        <v>-1</v>
      </c>
      <c r="AG705" s="90">
        <v>-1</v>
      </c>
      <c r="AH705" s="90">
        <v>-1</v>
      </c>
      <c r="AI705" s="90">
        <v>-1</v>
      </c>
      <c r="AJ705" s="90">
        <v>0</v>
      </c>
      <c r="AM705" s="90" t="s">
        <v>379</v>
      </c>
      <c r="AN705" s="90">
        <v>-1</v>
      </c>
      <c r="AQ705" s="90">
        <v>356</v>
      </c>
      <c r="AR705" s="90" t="s">
        <v>380</v>
      </c>
      <c r="AS705" s="90" t="s">
        <v>246</v>
      </c>
      <c r="AT705" s="90" t="s">
        <v>244</v>
      </c>
      <c r="AU705" s="90">
        <v>175.87190000000001</v>
      </c>
      <c r="AV705" s="90">
        <v>148.31933719216701</v>
      </c>
      <c r="AW705" s="90">
        <v>1207.4243132024999</v>
      </c>
      <c r="AX705" s="90">
        <v>0.90796423859999997</v>
      </c>
    </row>
    <row r="706" spans="1:50" x14ac:dyDescent="0.25">
      <c r="A706" s="102">
        <v>830000</v>
      </c>
      <c r="B706" s="102">
        <v>2400000</v>
      </c>
      <c r="C706" s="102">
        <v>2400000</v>
      </c>
      <c r="D706" s="90" t="s">
        <v>374</v>
      </c>
      <c r="E706" s="90" t="s">
        <v>68</v>
      </c>
      <c r="F706" s="90" t="s">
        <v>375</v>
      </c>
      <c r="G706" s="90" t="s">
        <v>376</v>
      </c>
      <c r="H706" s="90">
        <v>0.59</v>
      </c>
      <c r="I706" s="90">
        <v>0.64</v>
      </c>
      <c r="J706" s="90" t="s">
        <v>244</v>
      </c>
      <c r="K706" s="90">
        <v>3.9518509131429999E-2</v>
      </c>
      <c r="L706" s="90">
        <v>3752.2321466220101</v>
      </c>
      <c r="M706" s="90">
        <v>10.7949726472352</v>
      </c>
      <c r="N706" s="90">
        <v>2.0799086135623499</v>
      </c>
      <c r="O706" s="90">
        <v>0.42660122513336002</v>
      </c>
      <c r="P706" s="90">
        <v>8.2194887537610006E-2</v>
      </c>
      <c r="Q706" s="90">
        <v>148.28262034954901</v>
      </c>
      <c r="R706" s="90">
        <v>1300</v>
      </c>
      <c r="S706" s="90" t="s">
        <v>387</v>
      </c>
      <c r="T706" s="90">
        <v>1300</v>
      </c>
      <c r="U706" s="90" t="s">
        <v>378</v>
      </c>
      <c r="V706" s="90" t="s">
        <v>244</v>
      </c>
      <c r="Z706" s="90">
        <v>0</v>
      </c>
      <c r="AA706" s="90">
        <v>1</v>
      </c>
      <c r="AB706" s="90">
        <v>0.42660122513336002</v>
      </c>
      <c r="AC706" s="90">
        <v>8.2194887537610006E-2</v>
      </c>
      <c r="AD706" s="90">
        <v>148.28262034954901</v>
      </c>
      <c r="AF706" s="90">
        <v>-1</v>
      </c>
      <c r="AG706" s="90">
        <v>-1</v>
      </c>
      <c r="AH706" s="90">
        <v>-1</v>
      </c>
      <c r="AI706" s="90">
        <v>-1</v>
      </c>
      <c r="AJ706" s="90">
        <v>0</v>
      </c>
      <c r="AM706" s="90" t="s">
        <v>379</v>
      </c>
      <c r="AN706" s="90">
        <v>-1</v>
      </c>
      <c r="AQ706" s="90">
        <v>356</v>
      </c>
      <c r="AR706" s="90" t="s">
        <v>380</v>
      </c>
      <c r="AS706" s="90" t="s">
        <v>246</v>
      </c>
      <c r="AT706" s="90" t="s">
        <v>244</v>
      </c>
      <c r="AU706" s="90">
        <v>175.87190000000001</v>
      </c>
      <c r="AV706" s="90">
        <v>106.405679069456</v>
      </c>
      <c r="AW706" s="90">
        <v>159.92573248222399</v>
      </c>
      <c r="AX706" s="90">
        <v>0.12026165480000001</v>
      </c>
    </row>
    <row r="707" spans="1:50" x14ac:dyDescent="0.25">
      <c r="A707" s="102">
        <v>830000</v>
      </c>
      <c r="B707" s="102">
        <v>2400000</v>
      </c>
      <c r="C707" s="102">
        <v>2400000</v>
      </c>
      <c r="D707" s="90" t="s">
        <v>374</v>
      </c>
      <c r="E707" s="90" t="s">
        <v>68</v>
      </c>
      <c r="F707" s="90" t="s">
        <v>375</v>
      </c>
      <c r="G707" s="90" t="s">
        <v>376</v>
      </c>
      <c r="H707" s="90">
        <v>0.59</v>
      </c>
      <c r="I707" s="90">
        <v>0.64</v>
      </c>
      <c r="J707" s="90" t="s">
        <v>244</v>
      </c>
      <c r="K707" s="90">
        <v>0.27988389909888001</v>
      </c>
      <c r="L707" s="90">
        <v>3752.2321466220101</v>
      </c>
      <c r="M707" s="90">
        <v>10.7949726472352</v>
      </c>
      <c r="N707" s="90">
        <v>2.0799086135623499</v>
      </c>
      <c r="O707" s="90">
        <v>3.0213390351739902</v>
      </c>
      <c r="P707" s="90">
        <v>0.58213293253317999</v>
      </c>
      <c r="Q707" s="90">
        <v>1050.18936352074</v>
      </c>
      <c r="R707" s="90">
        <v>1300</v>
      </c>
      <c r="S707" s="90" t="s">
        <v>387</v>
      </c>
      <c r="T707" s="90">
        <v>1300</v>
      </c>
      <c r="U707" s="90" t="s">
        <v>378</v>
      </c>
      <c r="V707" s="90" t="s">
        <v>244</v>
      </c>
      <c r="Z707" s="90">
        <v>0</v>
      </c>
      <c r="AA707" s="90">
        <v>1</v>
      </c>
      <c r="AB707" s="90">
        <v>3.0213390351739902</v>
      </c>
      <c r="AC707" s="90">
        <v>0.58213293253317999</v>
      </c>
      <c r="AD707" s="90">
        <v>1050.18936352074</v>
      </c>
      <c r="AF707" s="90">
        <v>-1</v>
      </c>
      <c r="AG707" s="90">
        <v>-1</v>
      </c>
      <c r="AH707" s="90">
        <v>-1</v>
      </c>
      <c r="AI707" s="90">
        <v>-1</v>
      </c>
      <c r="AJ707" s="90">
        <v>0</v>
      </c>
      <c r="AM707" s="90" t="s">
        <v>379</v>
      </c>
      <c r="AN707" s="90">
        <v>-1</v>
      </c>
      <c r="AQ707" s="90">
        <v>356</v>
      </c>
      <c r="AR707" s="90" t="s">
        <v>380</v>
      </c>
      <c r="AS707" s="90" t="s">
        <v>246</v>
      </c>
      <c r="AT707" s="90" t="s">
        <v>244</v>
      </c>
      <c r="AU707" s="90">
        <v>175.87190000000001</v>
      </c>
      <c r="AV707" s="90">
        <v>145.33701261802099</v>
      </c>
      <c r="AW707" s="90">
        <v>1132.6499545946699</v>
      </c>
      <c r="AX707" s="90">
        <v>0.85173508799999997</v>
      </c>
    </row>
    <row r="708" spans="1:50" x14ac:dyDescent="0.25">
      <c r="A708" s="102">
        <v>830000</v>
      </c>
      <c r="B708" s="102">
        <v>2400000</v>
      </c>
      <c r="C708" s="102">
        <v>2400000</v>
      </c>
      <c r="D708" s="90" t="s">
        <v>374</v>
      </c>
      <c r="E708" s="90" t="s">
        <v>68</v>
      </c>
      <c r="F708" s="90" t="s">
        <v>375</v>
      </c>
      <c r="G708" s="90" t="s">
        <v>376</v>
      </c>
      <c r="H708" s="90">
        <v>0.59</v>
      </c>
      <c r="I708" s="90">
        <v>0.64</v>
      </c>
      <c r="J708" s="90" t="s">
        <v>389</v>
      </c>
      <c r="K708" s="90">
        <v>0.38419628608183998</v>
      </c>
      <c r="L708" s="90">
        <v>3280.3144795971998</v>
      </c>
      <c r="M708" s="90">
        <v>6.7570403898828602</v>
      </c>
      <c r="N708" s="90">
        <v>0.90898801609568003</v>
      </c>
      <c r="O708" s="90">
        <v>2.5960298226980298</v>
      </c>
      <c r="P708" s="90">
        <v>0.34922981987686003</v>
      </c>
      <c r="Q708" s="90">
        <v>1260.2846402417499</v>
      </c>
      <c r="R708" s="90">
        <v>4200</v>
      </c>
      <c r="S708" s="90" t="s">
        <v>390</v>
      </c>
      <c r="T708" s="90">
        <v>4200</v>
      </c>
      <c r="U708" s="90" t="s">
        <v>378</v>
      </c>
      <c r="V708" s="90" t="s">
        <v>244</v>
      </c>
      <c r="Y708" s="90" t="s">
        <v>389</v>
      </c>
      <c r="Z708" s="90">
        <v>0</v>
      </c>
      <c r="AA708" s="90">
        <v>1</v>
      </c>
      <c r="AB708" s="90">
        <v>2.5960298226980298</v>
      </c>
      <c r="AC708" s="90">
        <v>0.34922981987686003</v>
      </c>
      <c r="AD708" s="90">
        <v>1260.2846402417499</v>
      </c>
      <c r="AF708" s="90">
        <v>-1</v>
      </c>
      <c r="AG708" s="90">
        <v>-1</v>
      </c>
      <c r="AH708" s="90">
        <v>-1</v>
      </c>
      <c r="AI708" s="90">
        <v>-1</v>
      </c>
      <c r="AJ708" s="90">
        <v>0</v>
      </c>
      <c r="AM708" s="90" t="s">
        <v>379</v>
      </c>
      <c r="AN708" s="90">
        <v>-1</v>
      </c>
      <c r="AQ708" s="90">
        <v>356</v>
      </c>
      <c r="AR708" s="90" t="s">
        <v>380</v>
      </c>
      <c r="AS708" s="90" t="s">
        <v>246</v>
      </c>
      <c r="AT708" s="90" t="s">
        <v>244</v>
      </c>
      <c r="AU708" s="90">
        <v>175.87190000000001</v>
      </c>
      <c r="AV708" s="90">
        <v>162.54857335099601</v>
      </c>
      <c r="AW708" s="90">
        <v>1554.7872077925399</v>
      </c>
      <c r="AX708" s="90">
        <v>1.0221286620000001</v>
      </c>
    </row>
    <row r="709" spans="1:50" x14ac:dyDescent="0.25">
      <c r="A709" s="102">
        <v>830000</v>
      </c>
      <c r="B709" s="102">
        <v>2400000</v>
      </c>
      <c r="C709" s="102">
        <v>2400000</v>
      </c>
      <c r="D709" s="90" t="s">
        <v>374</v>
      </c>
      <c r="E709" s="90" t="s">
        <v>68</v>
      </c>
      <c r="F709" s="90" t="s">
        <v>375</v>
      </c>
      <c r="G709" s="90" t="s">
        <v>376</v>
      </c>
      <c r="H709" s="90">
        <v>0.59</v>
      </c>
      <c r="I709" s="90">
        <v>0.64</v>
      </c>
      <c r="J709" s="90" t="s">
        <v>381</v>
      </c>
      <c r="K709" s="90">
        <v>8.0083399260519994E-2</v>
      </c>
      <c r="L709" s="90">
        <v>3280.3144795971998</v>
      </c>
      <c r="M709" s="90">
        <v>6.7570403898828602</v>
      </c>
      <c r="N709" s="90">
        <v>0.90898801609568003</v>
      </c>
      <c r="O709" s="90">
        <v>0.54112676336247001</v>
      </c>
      <c r="P709" s="90">
        <v>7.2794850216020002E-2</v>
      </c>
      <c r="Q709" s="90">
        <v>262.69873416966101</v>
      </c>
      <c r="R709" s="90">
        <v>4200</v>
      </c>
      <c r="S709" s="90" t="s">
        <v>390</v>
      </c>
      <c r="T709" s="90">
        <v>4200</v>
      </c>
      <c r="U709" s="90" t="s">
        <v>382</v>
      </c>
      <c r="V709" s="90" t="s">
        <v>381</v>
      </c>
      <c r="Y709" s="90" t="s">
        <v>389</v>
      </c>
      <c r="Z709" s="90">
        <v>0</v>
      </c>
      <c r="AA709" s="90">
        <v>1</v>
      </c>
      <c r="AB709" s="90">
        <v>0.54112676336247001</v>
      </c>
      <c r="AC709" s="90">
        <v>7.2794850216020002E-2</v>
      </c>
      <c r="AD709" s="90">
        <v>262.69873416965999</v>
      </c>
      <c r="AF709" s="90">
        <v>-1</v>
      </c>
      <c r="AG709" s="90">
        <v>-1</v>
      </c>
      <c r="AH709" s="90">
        <v>-1</v>
      </c>
      <c r="AI709" s="90">
        <v>-1</v>
      </c>
      <c r="AJ709" s="90">
        <v>0</v>
      </c>
      <c r="AM709" s="90" t="s">
        <v>379</v>
      </c>
      <c r="AN709" s="90">
        <v>-1</v>
      </c>
      <c r="AQ709" s="90">
        <v>356</v>
      </c>
      <c r="AR709" s="90" t="s">
        <v>380</v>
      </c>
      <c r="AS709" s="90" t="s">
        <v>246</v>
      </c>
      <c r="AT709" s="90" t="s">
        <v>244</v>
      </c>
      <c r="AU709" s="90">
        <v>175.87190000000001</v>
      </c>
      <c r="AV709" s="90">
        <v>113.31223621907399</v>
      </c>
      <c r="AW709" s="90">
        <v>324.08601862507402</v>
      </c>
      <c r="AX709" s="90">
        <v>0.21305655649999999</v>
      </c>
    </row>
    <row r="710" spans="1:50" x14ac:dyDescent="0.25">
      <c r="A710" s="102">
        <v>830000</v>
      </c>
      <c r="B710" s="102">
        <v>2400000</v>
      </c>
      <c r="C710" s="102">
        <v>2400000</v>
      </c>
      <c r="D710" s="90" t="s">
        <v>374</v>
      </c>
      <c r="E710" s="90" t="s">
        <v>68</v>
      </c>
      <c r="F710" s="90" t="s">
        <v>375</v>
      </c>
      <c r="G710" s="90" t="s">
        <v>376</v>
      </c>
      <c r="H710" s="90">
        <v>0.59</v>
      </c>
      <c r="I710" s="90">
        <v>0.64</v>
      </c>
      <c r="J710" s="90" t="s">
        <v>381</v>
      </c>
      <c r="K710" s="90">
        <v>0.15348376841759001</v>
      </c>
      <c r="L710" s="90">
        <v>3280.3144795971998</v>
      </c>
      <c r="M710" s="90">
        <v>6.7570403898828602</v>
      </c>
      <c r="N710" s="90">
        <v>0.90898801609568003</v>
      </c>
      <c r="O710" s="90">
        <v>1.0370960223891299</v>
      </c>
      <c r="P710" s="90">
        <v>0.13951490615680001</v>
      </c>
      <c r="Q710" s="90">
        <v>503.47502792338702</v>
      </c>
      <c r="R710" s="90">
        <v>8140</v>
      </c>
      <c r="S710" s="90" t="s">
        <v>386</v>
      </c>
      <c r="T710" s="90">
        <v>8140</v>
      </c>
      <c r="U710" s="90" t="s">
        <v>382</v>
      </c>
      <c r="V710" s="90" t="s">
        <v>381</v>
      </c>
      <c r="Z710" s="90">
        <v>0</v>
      </c>
      <c r="AA710" s="90">
        <v>1</v>
      </c>
      <c r="AB710" s="90">
        <v>1.0370960223891299</v>
      </c>
      <c r="AC710" s="90">
        <v>0.13951490615680001</v>
      </c>
      <c r="AD710" s="90">
        <v>503.47502792338702</v>
      </c>
      <c r="AF710" s="90">
        <v>-1</v>
      </c>
      <c r="AG710" s="90">
        <v>-1</v>
      </c>
      <c r="AH710" s="90">
        <v>-1</v>
      </c>
      <c r="AI710" s="90">
        <v>-1</v>
      </c>
      <c r="AJ710" s="90">
        <v>0</v>
      </c>
      <c r="AM710" s="90" t="s">
        <v>379</v>
      </c>
      <c r="AN710" s="90">
        <v>-1</v>
      </c>
      <c r="AQ710" s="90">
        <v>356</v>
      </c>
      <c r="AR710" s="90" t="s">
        <v>380</v>
      </c>
      <c r="AS710" s="90" t="s">
        <v>246</v>
      </c>
      <c r="AT710" s="90" t="s">
        <v>244</v>
      </c>
      <c r="AU710" s="90">
        <v>175.87190000000001</v>
      </c>
      <c r="AV710" s="90">
        <v>124.21061232769</v>
      </c>
      <c r="AW710" s="90">
        <v>621.12677395490505</v>
      </c>
      <c r="AX710" s="90">
        <v>0.40833335599999998</v>
      </c>
    </row>
    <row r="711" spans="1:50" x14ac:dyDescent="0.25">
      <c r="A711" s="102">
        <v>830000</v>
      </c>
      <c r="B711" s="102">
        <v>2400000</v>
      </c>
      <c r="C711" s="102">
        <v>2400000</v>
      </c>
      <c r="D711" s="90" t="s">
        <v>374</v>
      </c>
      <c r="E711" s="90" t="s">
        <v>68</v>
      </c>
      <c r="F711" s="90" t="s">
        <v>375</v>
      </c>
      <c r="G711" s="90" t="s">
        <v>376</v>
      </c>
      <c r="H711" s="90">
        <v>0.59</v>
      </c>
      <c r="I711" s="90">
        <v>0.64</v>
      </c>
      <c r="J711" s="90" t="s">
        <v>244</v>
      </c>
      <c r="K711" s="90">
        <v>0.26746006067213002</v>
      </c>
      <c r="L711" s="90">
        <v>3753.8259817634798</v>
      </c>
      <c r="M711" s="90">
        <v>9.6361025859285494</v>
      </c>
      <c r="N711" s="90">
        <v>1.36153364180382</v>
      </c>
      <c r="O711" s="90">
        <v>2.5772725822753699</v>
      </c>
      <c r="P711" s="90">
        <v>0.364155870444</v>
      </c>
      <c r="Q711" s="90">
        <v>1003.9985248351001</v>
      </c>
      <c r="R711" s="90">
        <v>1430</v>
      </c>
      <c r="S711" s="90" t="s">
        <v>326</v>
      </c>
      <c r="T711" s="90">
        <v>1430</v>
      </c>
      <c r="U711" s="90" t="s">
        <v>378</v>
      </c>
      <c r="V711" s="90" t="s">
        <v>244</v>
      </c>
      <c r="Z711" s="90">
        <v>0</v>
      </c>
      <c r="AA711" s="90">
        <v>1</v>
      </c>
      <c r="AB711" s="90">
        <v>2.5772725822753699</v>
      </c>
      <c r="AC711" s="90">
        <v>0.364155870444</v>
      </c>
      <c r="AD711" s="90">
        <v>1003.9985248351001</v>
      </c>
      <c r="AF711" s="90">
        <v>-1</v>
      </c>
      <c r="AG711" s="90">
        <v>-1</v>
      </c>
      <c r="AH711" s="90">
        <v>-1</v>
      </c>
      <c r="AI711" s="90">
        <v>-1</v>
      </c>
      <c r="AJ711" s="90">
        <v>0</v>
      </c>
      <c r="AM711" s="90" t="s">
        <v>379</v>
      </c>
      <c r="AN711" s="90">
        <v>-1</v>
      </c>
      <c r="AQ711" s="90">
        <v>356</v>
      </c>
      <c r="AR711" s="90" t="s">
        <v>380</v>
      </c>
      <c r="AS711" s="90" t="s">
        <v>246</v>
      </c>
      <c r="AT711" s="90" t="s">
        <v>244</v>
      </c>
      <c r="AU711" s="90">
        <v>175.87190000000001</v>
      </c>
      <c r="AV711" s="90">
        <v>137.12792656821199</v>
      </c>
      <c r="AW711" s="90">
        <v>1082.37246426652</v>
      </c>
      <c r="AX711" s="90">
        <v>0.81427293170000004</v>
      </c>
    </row>
    <row r="712" spans="1:50" x14ac:dyDescent="0.25">
      <c r="A712" s="102">
        <v>830000</v>
      </c>
      <c r="B712" s="102">
        <v>2400000</v>
      </c>
      <c r="C712" s="102">
        <v>2400000</v>
      </c>
      <c r="D712" s="90" t="s">
        <v>374</v>
      </c>
      <c r="E712" s="90" t="s">
        <v>68</v>
      </c>
      <c r="F712" s="90" t="s">
        <v>375</v>
      </c>
      <c r="G712" s="90" t="s">
        <v>376</v>
      </c>
      <c r="H712" s="90">
        <v>0.59</v>
      </c>
      <c r="I712" s="90">
        <v>0.64</v>
      </c>
      <c r="J712" s="90" t="s">
        <v>244</v>
      </c>
      <c r="K712" s="90">
        <v>6.96831353668E-2</v>
      </c>
      <c r="L712" s="90">
        <v>3753.8259817634798</v>
      </c>
      <c r="M712" s="90">
        <v>9.6361025859285494</v>
      </c>
      <c r="N712" s="90">
        <v>1.36153364180382</v>
      </c>
      <c r="O712" s="90">
        <v>0.67147384090365003</v>
      </c>
      <c r="P712" s="90">
        <v>9.4875933068269996E-2</v>
      </c>
      <c r="Q712" s="90">
        <v>261.578364030643</v>
      </c>
      <c r="R712" s="90">
        <v>1300</v>
      </c>
      <c r="S712" s="90" t="s">
        <v>387</v>
      </c>
      <c r="T712" s="90">
        <v>1300</v>
      </c>
      <c r="U712" s="90" t="s">
        <v>378</v>
      </c>
      <c r="V712" s="90" t="s">
        <v>244</v>
      </c>
      <c r="Z712" s="90">
        <v>0</v>
      </c>
      <c r="AA712" s="90">
        <v>1</v>
      </c>
      <c r="AB712" s="90">
        <v>0.67147384090365003</v>
      </c>
      <c r="AC712" s="90">
        <v>9.4875933068269996E-2</v>
      </c>
      <c r="AD712" s="90">
        <v>261.57836403064402</v>
      </c>
      <c r="AF712" s="90">
        <v>-1</v>
      </c>
      <c r="AG712" s="90">
        <v>-1</v>
      </c>
      <c r="AH712" s="90">
        <v>-1</v>
      </c>
      <c r="AI712" s="90">
        <v>-1</v>
      </c>
      <c r="AJ712" s="90">
        <v>0</v>
      </c>
      <c r="AM712" s="90" t="s">
        <v>379</v>
      </c>
      <c r="AN712" s="90">
        <v>-1</v>
      </c>
      <c r="AQ712" s="90">
        <v>356</v>
      </c>
      <c r="AR712" s="90" t="s">
        <v>380</v>
      </c>
      <c r="AS712" s="90" t="s">
        <v>246</v>
      </c>
      <c r="AT712" s="90" t="s">
        <v>244</v>
      </c>
      <c r="AU712" s="90">
        <v>175.87190000000001</v>
      </c>
      <c r="AV712" s="90">
        <v>111.246035802053</v>
      </c>
      <c r="AW712" s="90">
        <v>281.99764389211202</v>
      </c>
      <c r="AX712" s="90">
        <v>0.2121479027</v>
      </c>
    </row>
    <row r="713" spans="1:50" x14ac:dyDescent="0.25">
      <c r="A713" s="102">
        <v>830000</v>
      </c>
      <c r="B713" s="102">
        <v>2400000</v>
      </c>
      <c r="C713" s="102">
        <v>2400000</v>
      </c>
      <c r="D713" s="90" t="s">
        <v>374</v>
      </c>
      <c r="E713" s="90" t="s">
        <v>68</v>
      </c>
      <c r="F713" s="90" t="s">
        <v>375</v>
      </c>
      <c r="G713" s="90" t="s">
        <v>376</v>
      </c>
      <c r="H713" s="90">
        <v>0.59</v>
      </c>
      <c r="I713" s="90">
        <v>0.64</v>
      </c>
      <c r="J713" s="90" t="s">
        <v>244</v>
      </c>
      <c r="K713" s="90">
        <v>0.61776345373694996</v>
      </c>
      <c r="L713" s="90">
        <v>3747.7351297346399</v>
      </c>
      <c r="M713" s="90">
        <v>10.782714416832</v>
      </c>
      <c r="N713" s="90">
        <v>2.0776258092302702</v>
      </c>
      <c r="O713" s="90">
        <v>6.6611668988014401</v>
      </c>
      <c r="P713" s="90">
        <v>1.2834812954831301</v>
      </c>
      <c r="Q713" s="90">
        <v>2315.2137974361799</v>
      </c>
      <c r="R713" s="90">
        <v>1300</v>
      </c>
      <c r="S713" s="90" t="s">
        <v>387</v>
      </c>
      <c r="T713" s="90">
        <v>1300</v>
      </c>
      <c r="U713" s="90" t="s">
        <v>378</v>
      </c>
      <c r="V713" s="90" t="s">
        <v>244</v>
      </c>
      <c r="Z713" s="90">
        <v>0</v>
      </c>
      <c r="AA713" s="90">
        <v>1</v>
      </c>
      <c r="AB713" s="90">
        <v>6.6611668988014401</v>
      </c>
      <c r="AC713" s="90">
        <v>1.2834812954831301</v>
      </c>
      <c r="AD713" s="90">
        <v>2315.2137974361799</v>
      </c>
      <c r="AF713" s="90">
        <v>-1</v>
      </c>
      <c r="AG713" s="90">
        <v>-1</v>
      </c>
      <c r="AH713" s="90">
        <v>-1</v>
      </c>
      <c r="AI713" s="90">
        <v>-1</v>
      </c>
      <c r="AJ713" s="90">
        <v>0</v>
      </c>
      <c r="AM713" s="90" t="s">
        <v>379</v>
      </c>
      <c r="AN713" s="90">
        <v>-1</v>
      </c>
      <c r="AQ713" s="90">
        <v>356</v>
      </c>
      <c r="AR713" s="90" t="s">
        <v>380</v>
      </c>
      <c r="AS713" s="90" t="s">
        <v>246</v>
      </c>
      <c r="AT713" s="90" t="s">
        <v>244</v>
      </c>
      <c r="AU713" s="90">
        <v>175.87190000000001</v>
      </c>
      <c r="AV713" s="90">
        <v>200.00000001117499</v>
      </c>
      <c r="AW713" s="90">
        <v>2500.00000027939</v>
      </c>
      <c r="AX713" s="90">
        <v>1.8777078649000001</v>
      </c>
    </row>
    <row r="714" spans="1:50" x14ac:dyDescent="0.25">
      <c r="A714" s="102">
        <v>830000</v>
      </c>
      <c r="B714" s="102">
        <v>2400000</v>
      </c>
      <c r="C714" s="102">
        <v>2400000</v>
      </c>
      <c r="D714" s="90" t="s">
        <v>374</v>
      </c>
      <c r="E714" s="90" t="s">
        <v>68</v>
      </c>
      <c r="F714" s="90" t="s">
        <v>375</v>
      </c>
      <c r="G714" s="90" t="s">
        <v>376</v>
      </c>
      <c r="H714" s="90">
        <v>0.59</v>
      </c>
      <c r="I714" s="90">
        <v>0.64</v>
      </c>
      <c r="J714" s="90" t="s">
        <v>389</v>
      </c>
      <c r="K714" s="90">
        <v>2.3591148970669999E-2</v>
      </c>
      <c r="L714" s="90">
        <v>1414.03404281178</v>
      </c>
      <c r="M714" s="90">
        <v>4.2071112166454396</v>
      </c>
      <c r="N714" s="90">
        <v>0.82677034458118004</v>
      </c>
      <c r="O714" s="90">
        <v>9.9250587448069999E-2</v>
      </c>
      <c r="P714" s="90">
        <v>1.9504462363549999E-2</v>
      </c>
      <c r="Q714" s="90">
        <v>33.3586877535772</v>
      </c>
      <c r="R714" s="90">
        <v>5400</v>
      </c>
      <c r="S714" s="90" t="s">
        <v>392</v>
      </c>
      <c r="T714" s="90">
        <v>5400</v>
      </c>
      <c r="U714" s="90" t="s">
        <v>378</v>
      </c>
      <c r="V714" s="90" t="s">
        <v>244</v>
      </c>
      <c r="Y714" s="90" t="s">
        <v>389</v>
      </c>
      <c r="Z714" s="90">
        <v>0</v>
      </c>
      <c r="AA714" s="90">
        <v>1</v>
      </c>
      <c r="AB714" s="90">
        <v>9.9250587448069999E-2</v>
      </c>
      <c r="AC714" s="90">
        <v>1.9504462363549999E-2</v>
      </c>
      <c r="AD714" s="90">
        <v>359.20347317037601</v>
      </c>
      <c r="AF714" s="90">
        <v>-1</v>
      </c>
      <c r="AG714" s="90">
        <v>-1</v>
      </c>
      <c r="AH714" s="90">
        <v>-1</v>
      </c>
      <c r="AI714" s="90">
        <v>-1</v>
      </c>
      <c r="AJ714" s="90">
        <v>0</v>
      </c>
      <c r="AM714" s="90" t="s">
        <v>379</v>
      </c>
      <c r="AN714" s="90">
        <v>-1</v>
      </c>
      <c r="AQ714" s="90">
        <v>356</v>
      </c>
      <c r="AR714" s="90" t="s">
        <v>380</v>
      </c>
      <c r="AS714" s="90" t="s">
        <v>246</v>
      </c>
      <c r="AT714" s="90" t="s">
        <v>244</v>
      </c>
      <c r="AU714" s="90">
        <v>175.87190000000001</v>
      </c>
      <c r="AV714" s="90">
        <v>100.933896542114</v>
      </c>
      <c r="AW714" s="90">
        <v>95.469992723765301</v>
      </c>
      <c r="AX714" s="90">
        <v>0.29132479579999998</v>
      </c>
    </row>
    <row r="715" spans="1:50" x14ac:dyDescent="0.25">
      <c r="A715" s="102">
        <v>830000</v>
      </c>
      <c r="B715" s="102">
        <v>2400000</v>
      </c>
      <c r="C715" s="102">
        <v>2400000</v>
      </c>
      <c r="D715" s="90" t="s">
        <v>374</v>
      </c>
      <c r="E715" s="90" t="s">
        <v>68</v>
      </c>
      <c r="F715" s="90" t="s">
        <v>375</v>
      </c>
      <c r="G715" s="90" t="s">
        <v>376</v>
      </c>
      <c r="H715" s="90">
        <v>0.59</v>
      </c>
      <c r="I715" s="90">
        <v>0.64</v>
      </c>
      <c r="J715" s="90" t="s">
        <v>244</v>
      </c>
      <c r="K715" s="90">
        <v>0.25171481570010001</v>
      </c>
      <c r="L715" s="90">
        <v>1414.03404281178</v>
      </c>
      <c r="M715" s="90">
        <v>4.2071112166454396</v>
      </c>
      <c r="N715" s="90">
        <v>0.82677034458118004</v>
      </c>
      <c r="O715" s="90">
        <v>1.0589922245277501</v>
      </c>
      <c r="P715" s="90">
        <v>0.20811034491256</v>
      </c>
      <c r="Q715" s="90">
        <v>355.93331848004198</v>
      </c>
      <c r="R715" s="90">
        <v>1300</v>
      </c>
      <c r="S715" s="90" t="s">
        <v>387</v>
      </c>
      <c r="T715" s="90">
        <v>1300</v>
      </c>
      <c r="U715" s="90" t="s">
        <v>378</v>
      </c>
      <c r="V715" s="90" t="s">
        <v>244</v>
      </c>
      <c r="Z715" s="90">
        <v>0</v>
      </c>
      <c r="AA715" s="90">
        <v>1</v>
      </c>
      <c r="AB715" s="90">
        <v>1.0589922245277501</v>
      </c>
      <c r="AC715" s="90">
        <v>0.20811034491256</v>
      </c>
      <c r="AD715" s="90">
        <v>363.89098730978998</v>
      </c>
      <c r="AF715" s="90">
        <v>-1</v>
      </c>
      <c r="AG715" s="90">
        <v>-1</v>
      </c>
      <c r="AH715" s="90">
        <v>-1</v>
      </c>
      <c r="AI715" s="90">
        <v>-1</v>
      </c>
      <c r="AJ715" s="90">
        <v>0</v>
      </c>
      <c r="AM715" s="90" t="s">
        <v>379</v>
      </c>
      <c r="AN715" s="90">
        <v>-1</v>
      </c>
      <c r="AQ715" s="90">
        <v>356</v>
      </c>
      <c r="AR715" s="90" t="s">
        <v>380</v>
      </c>
      <c r="AS715" s="90" t="s">
        <v>246</v>
      </c>
      <c r="AT715" s="90" t="s">
        <v>244</v>
      </c>
      <c r="AU715" s="90">
        <v>175.87190000000001</v>
      </c>
      <c r="AV715" s="90">
        <v>139.47006359573899</v>
      </c>
      <c r="AW715" s="90">
        <v>1018.6537185292</v>
      </c>
      <c r="AX715" s="90">
        <v>0.29512651039999999</v>
      </c>
    </row>
    <row r="716" spans="1:50" x14ac:dyDescent="0.25">
      <c r="A716" s="102">
        <v>830000</v>
      </c>
      <c r="B716" s="102">
        <v>2400000</v>
      </c>
      <c r="C716" s="102">
        <v>2400000</v>
      </c>
      <c r="D716" s="90" t="s">
        <v>374</v>
      </c>
      <c r="E716" s="90" t="s">
        <v>68</v>
      </c>
      <c r="F716" s="90" t="s">
        <v>375</v>
      </c>
      <c r="G716" s="90" t="s">
        <v>376</v>
      </c>
      <c r="H716" s="90">
        <v>0.59</v>
      </c>
      <c r="I716" s="90">
        <v>0.64</v>
      </c>
      <c r="J716" s="90" t="s">
        <v>244</v>
      </c>
      <c r="K716" s="90">
        <v>3.7123622757250001E-2</v>
      </c>
      <c r="L716" s="90">
        <v>3773.5392049614502</v>
      </c>
      <c r="M716" s="90">
        <v>11.594993325188099</v>
      </c>
      <c r="N716" s="90">
        <v>1.53082384235918</v>
      </c>
      <c r="O716" s="90">
        <v>0.43044815807717002</v>
      </c>
      <c r="P716" s="90">
        <v>5.682972683155E-2</v>
      </c>
      <c r="Q716" s="90">
        <v>140.08744590470101</v>
      </c>
      <c r="R716" s="90">
        <v>1400</v>
      </c>
      <c r="S716" s="90" t="s">
        <v>324</v>
      </c>
      <c r="T716" s="90">
        <v>1400</v>
      </c>
      <c r="U716" s="90" t="s">
        <v>378</v>
      </c>
      <c r="V716" s="90" t="s">
        <v>244</v>
      </c>
      <c r="Z716" s="90">
        <v>0</v>
      </c>
      <c r="AA716" s="90">
        <v>1</v>
      </c>
      <c r="AB716" s="90">
        <v>0.43044815807717002</v>
      </c>
      <c r="AC716" s="90">
        <v>5.682972683155E-2</v>
      </c>
      <c r="AD716" s="90">
        <v>362.058804347739</v>
      </c>
      <c r="AF716" s="90">
        <v>-1</v>
      </c>
      <c r="AG716" s="90">
        <v>-1</v>
      </c>
      <c r="AH716" s="90">
        <v>-1</v>
      </c>
      <c r="AI716" s="90">
        <v>-1</v>
      </c>
      <c r="AJ716" s="90">
        <v>0</v>
      </c>
      <c r="AM716" s="90" t="s">
        <v>379</v>
      </c>
      <c r="AN716" s="90">
        <v>-1</v>
      </c>
      <c r="AQ716" s="90">
        <v>356</v>
      </c>
      <c r="AR716" s="90" t="s">
        <v>380</v>
      </c>
      <c r="AS716" s="90" t="s">
        <v>246</v>
      </c>
      <c r="AT716" s="90" t="s">
        <v>244</v>
      </c>
      <c r="AU716" s="90">
        <v>175.87190000000001</v>
      </c>
      <c r="AV716" s="90">
        <v>68.603136592935101</v>
      </c>
      <c r="AW716" s="90">
        <v>150.23397117795099</v>
      </c>
      <c r="AX716" s="90">
        <v>0.29364055500000003</v>
      </c>
    </row>
    <row r="717" spans="1:50" x14ac:dyDescent="0.25">
      <c r="A717" s="102">
        <v>830000</v>
      </c>
      <c r="B717" s="102">
        <v>2400000</v>
      </c>
      <c r="C717" s="102">
        <v>2400000</v>
      </c>
      <c r="D717" s="90" t="s">
        <v>374</v>
      </c>
      <c r="E717" s="90" t="s">
        <v>68</v>
      </c>
      <c r="F717" s="90" t="s">
        <v>375</v>
      </c>
      <c r="G717" s="90" t="s">
        <v>376</v>
      </c>
      <c r="H717" s="90">
        <v>0.59</v>
      </c>
      <c r="I717" s="90">
        <v>0.64</v>
      </c>
      <c r="J717" s="90" t="s">
        <v>381</v>
      </c>
      <c r="K717" s="90">
        <v>2.3601387652509999E-2</v>
      </c>
      <c r="L717" s="90">
        <v>3773.5392049614502</v>
      </c>
      <c r="M717" s="90">
        <v>11.594993325188099</v>
      </c>
      <c r="N717" s="90">
        <v>1.53082384235918</v>
      </c>
      <c r="O717" s="90">
        <v>0.27365793229613</v>
      </c>
      <c r="P717" s="90">
        <v>3.6129566931229998E-2</v>
      </c>
      <c r="Q717" s="90">
        <v>89.0607615982737</v>
      </c>
      <c r="R717" s="90">
        <v>1400</v>
      </c>
      <c r="S717" s="90" t="s">
        <v>324</v>
      </c>
      <c r="T717" s="90">
        <v>1400</v>
      </c>
      <c r="U717" s="90" t="s">
        <v>382</v>
      </c>
      <c r="V717" s="90" t="s">
        <v>381</v>
      </c>
      <c r="Z717" s="90">
        <v>0</v>
      </c>
      <c r="AA717" s="90">
        <v>1</v>
      </c>
      <c r="AB717" s="90">
        <v>0.27365793229613</v>
      </c>
      <c r="AC717" s="90">
        <v>3.6129566931229998E-2</v>
      </c>
      <c r="AD717" s="90">
        <v>603.78540914011</v>
      </c>
      <c r="AF717" s="90">
        <v>-1</v>
      </c>
      <c r="AG717" s="90">
        <v>-1</v>
      </c>
      <c r="AH717" s="90">
        <v>-1</v>
      </c>
      <c r="AI717" s="90">
        <v>-1</v>
      </c>
      <c r="AJ717" s="90">
        <v>0</v>
      </c>
      <c r="AM717" s="90" t="s">
        <v>379</v>
      </c>
      <c r="AN717" s="90">
        <v>-1</v>
      </c>
      <c r="AQ717" s="90">
        <v>356</v>
      </c>
      <c r="AR717" s="90" t="s">
        <v>380</v>
      </c>
      <c r="AS717" s="90" t="s">
        <v>246</v>
      </c>
      <c r="AT717" s="90" t="s">
        <v>244</v>
      </c>
      <c r="AU717" s="90">
        <v>175.87190000000001</v>
      </c>
      <c r="AV717" s="90">
        <v>60.244697888171999</v>
      </c>
      <c r="AW717" s="90">
        <v>95.511427199147903</v>
      </c>
      <c r="AX717" s="90">
        <v>0.48968808530000002</v>
      </c>
    </row>
    <row r="718" spans="1:50" x14ac:dyDescent="0.25">
      <c r="A718" s="102">
        <v>830000</v>
      </c>
      <c r="B718" s="102">
        <v>2400000</v>
      </c>
      <c r="C718" s="102">
        <v>2400000</v>
      </c>
      <c r="D718" s="90" t="s">
        <v>374</v>
      </c>
      <c r="E718" s="90" t="s">
        <v>68</v>
      </c>
      <c r="F718" s="90" t="s">
        <v>375</v>
      </c>
      <c r="G718" s="90" t="s">
        <v>376</v>
      </c>
      <c r="H718" s="90">
        <v>0.59</v>
      </c>
      <c r="I718" s="90">
        <v>0.64</v>
      </c>
      <c r="J718" s="90" t="s">
        <v>244</v>
      </c>
      <c r="K718" s="90">
        <v>8.9019273779999996E-4</v>
      </c>
      <c r="L718" s="90">
        <v>3773.5392049614502</v>
      </c>
      <c r="M718" s="90">
        <v>11.594993325188099</v>
      </c>
      <c r="N718" s="90">
        <v>1.53082384235918</v>
      </c>
      <c r="O718" s="90">
        <v>1.032177885292E-2</v>
      </c>
      <c r="P718" s="90">
        <v>1.36272826731E-3</v>
      </c>
      <c r="Q718" s="90">
        <v>3.3591771960602701</v>
      </c>
      <c r="R718" s="90">
        <v>1410</v>
      </c>
      <c r="S718" s="90" t="s">
        <v>325</v>
      </c>
      <c r="T718" s="90">
        <v>1410</v>
      </c>
      <c r="U718" s="90" t="s">
        <v>378</v>
      </c>
      <c r="V718" s="90" t="s">
        <v>244</v>
      </c>
      <c r="Z718" s="90">
        <v>0</v>
      </c>
      <c r="AA718" s="90">
        <v>1</v>
      </c>
      <c r="AB718" s="90">
        <v>1.032177885292E-2</v>
      </c>
      <c r="AC718" s="90">
        <v>1.36272826731E-3</v>
      </c>
      <c r="AD718" s="90">
        <v>3.3591771960609398</v>
      </c>
      <c r="AF718" s="90">
        <v>-1</v>
      </c>
      <c r="AG718" s="90">
        <v>-1</v>
      </c>
      <c r="AH718" s="90">
        <v>-1</v>
      </c>
      <c r="AI718" s="90">
        <v>-1</v>
      </c>
      <c r="AJ718" s="90">
        <v>0</v>
      </c>
      <c r="AM718" s="90" t="s">
        <v>379</v>
      </c>
      <c r="AN718" s="90">
        <v>-1</v>
      </c>
      <c r="AQ718" s="90">
        <v>356</v>
      </c>
      <c r="AR718" s="90" t="s">
        <v>380</v>
      </c>
      <c r="AS718" s="90" t="s">
        <v>246</v>
      </c>
      <c r="AT718" s="90" t="s">
        <v>244</v>
      </c>
      <c r="AU718" s="90">
        <v>175.87190000000001</v>
      </c>
      <c r="AV718" s="90">
        <v>29.137524153883099</v>
      </c>
      <c r="AW718" s="90">
        <v>3.60248219814049</v>
      </c>
      <c r="AX718" s="90">
        <v>2.7243935E-3</v>
      </c>
    </row>
    <row r="719" spans="1:50" x14ac:dyDescent="0.25">
      <c r="A719" s="102">
        <v>830000</v>
      </c>
      <c r="B719" s="102">
        <v>2400000</v>
      </c>
      <c r="C719" s="102">
        <v>2400000</v>
      </c>
      <c r="D719" s="90" t="s">
        <v>374</v>
      </c>
      <c r="E719" s="90" t="s">
        <v>68</v>
      </c>
      <c r="F719" s="90" t="s">
        <v>375</v>
      </c>
      <c r="G719" s="90" t="s">
        <v>376</v>
      </c>
      <c r="H719" s="90">
        <v>0.59</v>
      </c>
      <c r="I719" s="90">
        <v>0.64</v>
      </c>
      <c r="J719" s="90" t="s">
        <v>381</v>
      </c>
      <c r="K719" s="90">
        <v>1.981034955E-5</v>
      </c>
      <c r="L719" s="90">
        <v>3773.5392049614502</v>
      </c>
      <c r="M719" s="90">
        <v>11.594993325188099</v>
      </c>
      <c r="N719" s="90">
        <v>1.53082384235918</v>
      </c>
      <c r="O719" s="90">
        <v>2.2970087083999999E-4</v>
      </c>
      <c r="P719" s="90">
        <v>3.0326155420000001E-5</v>
      </c>
      <c r="Q719" s="90">
        <v>7.4755130705999998E-2</v>
      </c>
      <c r="R719" s="90">
        <v>1410</v>
      </c>
      <c r="S719" s="90" t="s">
        <v>325</v>
      </c>
      <c r="T719" s="90">
        <v>1410</v>
      </c>
      <c r="U719" s="90" t="s">
        <v>382</v>
      </c>
      <c r="V719" s="90" t="s">
        <v>381</v>
      </c>
      <c r="Z719" s="90">
        <v>0</v>
      </c>
      <c r="AA719" s="90">
        <v>1</v>
      </c>
      <c r="AB719" s="90">
        <v>2.2970087083999999E-4</v>
      </c>
      <c r="AC719" s="90">
        <v>3.0326155420000001E-5</v>
      </c>
      <c r="AD719" s="90">
        <v>7.475513070433E-2</v>
      </c>
      <c r="AF719" s="90">
        <v>-1</v>
      </c>
      <c r="AG719" s="90">
        <v>-1</v>
      </c>
      <c r="AH719" s="90">
        <v>-1</v>
      </c>
      <c r="AI719" s="90">
        <v>-1</v>
      </c>
      <c r="AJ719" s="90">
        <v>0</v>
      </c>
      <c r="AM719" s="90" t="s">
        <v>379</v>
      </c>
      <c r="AN719" s="90">
        <v>-1</v>
      </c>
      <c r="AQ719" s="90">
        <v>356</v>
      </c>
      <c r="AR719" s="90" t="s">
        <v>380</v>
      </c>
      <c r="AS719" s="90" t="s">
        <v>246</v>
      </c>
      <c r="AT719" s="90" t="s">
        <v>244</v>
      </c>
      <c r="AU719" s="90">
        <v>175.87190000000001</v>
      </c>
      <c r="AV719" s="90">
        <v>1.3290913937878099</v>
      </c>
      <c r="AW719" s="90">
        <v>8.0169640320790006E-2</v>
      </c>
      <c r="AX719" s="90">
        <v>6.0628699999999998E-5</v>
      </c>
    </row>
    <row r="720" spans="1:50" x14ac:dyDescent="0.25">
      <c r="A720" s="102">
        <v>830000</v>
      </c>
      <c r="B720" s="102">
        <v>2400000</v>
      </c>
      <c r="C720" s="102">
        <v>2400000</v>
      </c>
      <c r="D720" s="90" t="s">
        <v>374</v>
      </c>
      <c r="E720" s="90" t="s">
        <v>68</v>
      </c>
      <c r="F720" s="90" t="s">
        <v>375</v>
      </c>
      <c r="G720" s="90" t="s">
        <v>376</v>
      </c>
      <c r="H720" s="90">
        <v>0.59</v>
      </c>
      <c r="I720" s="90">
        <v>0.64</v>
      </c>
      <c r="J720" s="90" t="s">
        <v>244</v>
      </c>
      <c r="K720" s="90">
        <v>0.18571286266668999</v>
      </c>
      <c r="L720" s="90">
        <v>3789.9796564611902</v>
      </c>
      <c r="M720" s="90">
        <v>10.142130087959</v>
      </c>
      <c r="N720" s="90">
        <v>1.8062151284571599</v>
      </c>
      <c r="O720" s="90">
        <v>1.88352401217291</v>
      </c>
      <c r="P720" s="90">
        <v>0.33543738209766999</v>
      </c>
      <c r="Q720" s="90">
        <v>703.84797144995196</v>
      </c>
      <c r="R720" s="90">
        <v>1430</v>
      </c>
      <c r="S720" s="90" t="s">
        <v>326</v>
      </c>
      <c r="T720" s="90">
        <v>1430</v>
      </c>
      <c r="U720" s="90" t="s">
        <v>378</v>
      </c>
      <c r="V720" s="90" t="s">
        <v>244</v>
      </c>
      <c r="Z720" s="90">
        <v>0</v>
      </c>
      <c r="AA720" s="90">
        <v>1</v>
      </c>
      <c r="AB720" s="90">
        <v>1.88352401217291</v>
      </c>
      <c r="AC720" s="90">
        <v>0.33543738209766999</v>
      </c>
      <c r="AD720" s="90">
        <v>703.84797144995196</v>
      </c>
      <c r="AF720" s="90">
        <v>-1</v>
      </c>
      <c r="AG720" s="90">
        <v>-1</v>
      </c>
      <c r="AH720" s="90">
        <v>-1</v>
      </c>
      <c r="AI720" s="90">
        <v>-1</v>
      </c>
      <c r="AJ720" s="90">
        <v>0</v>
      </c>
      <c r="AM720" s="90" t="s">
        <v>379</v>
      </c>
      <c r="AN720" s="90">
        <v>-1</v>
      </c>
      <c r="AQ720" s="90">
        <v>356</v>
      </c>
      <c r="AR720" s="90" t="s">
        <v>380</v>
      </c>
      <c r="AS720" s="90" t="s">
        <v>246</v>
      </c>
      <c r="AT720" s="90" t="s">
        <v>244</v>
      </c>
      <c r="AU720" s="90">
        <v>175.87190000000001</v>
      </c>
      <c r="AV720" s="90">
        <v>111.236256768356</v>
      </c>
      <c r="AW720" s="90">
        <v>751.55329100501206</v>
      </c>
      <c r="AX720" s="90">
        <v>0.570841826</v>
      </c>
    </row>
    <row r="721" spans="1:50" x14ac:dyDescent="0.25">
      <c r="A721" s="102">
        <v>830000</v>
      </c>
      <c r="B721" s="102">
        <v>2400000</v>
      </c>
      <c r="C721" s="102">
        <v>2400000</v>
      </c>
      <c r="D721" s="90" t="s">
        <v>374</v>
      </c>
      <c r="E721" s="90" t="s">
        <v>68</v>
      </c>
      <c r="F721" s="90" t="s">
        <v>375</v>
      </c>
      <c r="G721" s="90" t="s">
        <v>376</v>
      </c>
      <c r="H721" s="90">
        <v>0.59</v>
      </c>
      <c r="I721" s="90">
        <v>0.64</v>
      </c>
      <c r="J721" s="90" t="s">
        <v>244</v>
      </c>
      <c r="K721" s="90">
        <v>0.43205059107025001</v>
      </c>
      <c r="L721" s="90">
        <v>3789.9796564611902</v>
      </c>
      <c r="M721" s="90">
        <v>10.142130087959</v>
      </c>
      <c r="N721" s="90">
        <v>1.8062151284571599</v>
      </c>
      <c r="O721" s="90">
        <v>4.3819132992141396</v>
      </c>
      <c r="P721" s="90">
        <v>0.78037631384994999</v>
      </c>
      <c r="Q721" s="90">
        <v>1637.4629507182999</v>
      </c>
      <c r="R721" s="90">
        <v>1300</v>
      </c>
      <c r="S721" s="90" t="s">
        <v>387</v>
      </c>
      <c r="T721" s="90">
        <v>1300</v>
      </c>
      <c r="U721" s="90" t="s">
        <v>378</v>
      </c>
      <c r="V721" s="90" t="s">
        <v>244</v>
      </c>
      <c r="Z721" s="90">
        <v>0</v>
      </c>
      <c r="AA721" s="90">
        <v>1</v>
      </c>
      <c r="AB721" s="90">
        <v>4.3819132992141396</v>
      </c>
      <c r="AC721" s="90">
        <v>0.78037631384994999</v>
      </c>
      <c r="AD721" s="90">
        <v>1637.4629507182999</v>
      </c>
      <c r="AF721" s="90">
        <v>-1</v>
      </c>
      <c r="AG721" s="90">
        <v>-1</v>
      </c>
      <c r="AH721" s="90">
        <v>-1</v>
      </c>
      <c r="AI721" s="90">
        <v>-1</v>
      </c>
      <c r="AJ721" s="90">
        <v>0</v>
      </c>
      <c r="AM721" s="90" t="s">
        <v>379</v>
      </c>
      <c r="AN721" s="90">
        <v>-1</v>
      </c>
      <c r="AQ721" s="90">
        <v>356</v>
      </c>
      <c r="AR721" s="90" t="s">
        <v>380</v>
      </c>
      <c r="AS721" s="90" t="s">
        <v>246</v>
      </c>
      <c r="AT721" s="90" t="s">
        <v>244</v>
      </c>
      <c r="AU721" s="90">
        <v>175.87190000000001</v>
      </c>
      <c r="AV721" s="90">
        <v>199.801874489884</v>
      </c>
      <c r="AW721" s="90">
        <v>1748.4467092743801</v>
      </c>
      <c r="AX721" s="90">
        <v>1.3280315901999999</v>
      </c>
    </row>
    <row r="722" spans="1:50" x14ac:dyDescent="0.25">
      <c r="A722" s="102">
        <v>830000</v>
      </c>
      <c r="B722" s="102">
        <v>2400000</v>
      </c>
      <c r="C722" s="102">
        <v>2400000</v>
      </c>
      <c r="D722" s="90" t="s">
        <v>374</v>
      </c>
      <c r="E722" s="90" t="s">
        <v>68</v>
      </c>
      <c r="F722" s="90" t="s">
        <v>375</v>
      </c>
      <c r="G722" s="90" t="s">
        <v>376</v>
      </c>
      <c r="H722" s="90">
        <v>0.59</v>
      </c>
      <c r="I722" s="90">
        <v>0.64</v>
      </c>
      <c r="J722" s="90" t="s">
        <v>244</v>
      </c>
      <c r="K722" s="90">
        <v>7.9914706095829999E-2</v>
      </c>
      <c r="L722" s="90">
        <v>3773.7335084823499</v>
      </c>
      <c r="M722" s="90">
        <v>9.2915667043999406</v>
      </c>
      <c r="N722" s="90">
        <v>1.60816480371724</v>
      </c>
      <c r="O722" s="90">
        <v>0.74253282235198004</v>
      </c>
      <c r="P722" s="90">
        <v>0.12851601764272999</v>
      </c>
      <c r="Q722" s="90">
        <v>301.576804214378</v>
      </c>
      <c r="R722" s="90">
        <v>1300</v>
      </c>
      <c r="S722" s="90" t="s">
        <v>387</v>
      </c>
      <c r="T722" s="90">
        <v>1300</v>
      </c>
      <c r="U722" s="90" t="s">
        <v>378</v>
      </c>
      <c r="V722" s="90" t="s">
        <v>244</v>
      </c>
      <c r="Z722" s="90">
        <v>0</v>
      </c>
      <c r="AA722" s="90">
        <v>1</v>
      </c>
      <c r="AB722" s="90">
        <v>0.74253282235198004</v>
      </c>
      <c r="AC722" s="90">
        <v>0.12851601764272999</v>
      </c>
      <c r="AD722" s="90">
        <v>301.576804214378</v>
      </c>
      <c r="AF722" s="90">
        <v>-1</v>
      </c>
      <c r="AG722" s="90">
        <v>-1</v>
      </c>
      <c r="AH722" s="90">
        <v>-1</v>
      </c>
      <c r="AI722" s="90">
        <v>-1</v>
      </c>
      <c r="AJ722" s="90">
        <v>0</v>
      </c>
      <c r="AM722" s="90" t="s">
        <v>379</v>
      </c>
      <c r="AN722" s="90">
        <v>-1</v>
      </c>
      <c r="AQ722" s="90">
        <v>356</v>
      </c>
      <c r="AR722" s="90" t="s">
        <v>380</v>
      </c>
      <c r="AS722" s="90" t="s">
        <v>246</v>
      </c>
      <c r="AT722" s="90" t="s">
        <v>244</v>
      </c>
      <c r="AU722" s="90">
        <v>175.87190000000001</v>
      </c>
      <c r="AV722" s="90">
        <v>72.400643737266194</v>
      </c>
      <c r="AW722" s="90">
        <v>323.40334160814501</v>
      </c>
      <c r="AX722" s="90">
        <v>0.244587838</v>
      </c>
    </row>
    <row r="723" spans="1:50" x14ac:dyDescent="0.25">
      <c r="A723" s="102">
        <v>830000</v>
      </c>
      <c r="B723" s="102">
        <v>2400000</v>
      </c>
      <c r="C723" s="102">
        <v>2400000</v>
      </c>
      <c r="D723" s="90" t="s">
        <v>374</v>
      </c>
      <c r="E723" s="90" t="s">
        <v>68</v>
      </c>
      <c r="F723" s="90" t="s">
        <v>375</v>
      </c>
      <c r="G723" s="90" t="s">
        <v>376</v>
      </c>
      <c r="H723" s="90">
        <v>0.59</v>
      </c>
      <c r="I723" s="90">
        <v>0.64</v>
      </c>
      <c r="J723" s="90" t="s">
        <v>244</v>
      </c>
      <c r="K723" s="90">
        <v>0.11700975770782</v>
      </c>
      <c r="L723" s="90">
        <v>3773.7335084823499</v>
      </c>
      <c r="M723" s="90">
        <v>9.2915667043999406</v>
      </c>
      <c r="N723" s="90">
        <v>1.60816480371724</v>
      </c>
      <c r="O723" s="90">
        <v>1.0872039688079</v>
      </c>
      <c r="P723" s="90">
        <v>0.18817097403720001</v>
      </c>
      <c r="Q723" s="90">
        <v>441.56364348140801</v>
      </c>
      <c r="R723" s="90">
        <v>1300</v>
      </c>
      <c r="S723" s="90" t="s">
        <v>387</v>
      </c>
      <c r="T723" s="90">
        <v>1300</v>
      </c>
      <c r="U723" s="90" t="s">
        <v>378</v>
      </c>
      <c r="V723" s="90" t="s">
        <v>244</v>
      </c>
      <c r="Z723" s="90">
        <v>0</v>
      </c>
      <c r="AA723" s="90">
        <v>1</v>
      </c>
      <c r="AB723" s="90">
        <v>1.0872039688079</v>
      </c>
      <c r="AC723" s="90">
        <v>0.18817097403720001</v>
      </c>
      <c r="AD723" s="90">
        <v>441.56364348140801</v>
      </c>
      <c r="AF723" s="90">
        <v>-1</v>
      </c>
      <c r="AG723" s="90">
        <v>-1</v>
      </c>
      <c r="AH723" s="90">
        <v>-1</v>
      </c>
      <c r="AI723" s="90">
        <v>-1</v>
      </c>
      <c r="AJ723" s="90">
        <v>0</v>
      </c>
      <c r="AM723" s="90" t="s">
        <v>379</v>
      </c>
      <c r="AN723" s="90">
        <v>-1</v>
      </c>
      <c r="AQ723" s="90">
        <v>356</v>
      </c>
      <c r="AR723" s="90" t="s">
        <v>380</v>
      </c>
      <c r="AS723" s="90" t="s">
        <v>246</v>
      </c>
      <c r="AT723" s="90" t="s">
        <v>244</v>
      </c>
      <c r="AU723" s="90">
        <v>175.87190000000001</v>
      </c>
      <c r="AV723" s="90">
        <v>92.126734128965794</v>
      </c>
      <c r="AW723" s="90">
        <v>473.52168946336502</v>
      </c>
      <c r="AX723" s="90">
        <v>0.3581213654</v>
      </c>
    </row>
    <row r="724" spans="1:50" x14ac:dyDescent="0.25">
      <c r="A724" s="102">
        <v>830000</v>
      </c>
      <c r="B724" s="102">
        <v>2400000</v>
      </c>
      <c r="C724" s="102">
        <v>2400000</v>
      </c>
      <c r="D724" s="90" t="s">
        <v>374</v>
      </c>
      <c r="E724" s="90" t="s">
        <v>68</v>
      </c>
      <c r="F724" s="90" t="s">
        <v>375</v>
      </c>
      <c r="G724" s="90" t="s">
        <v>376</v>
      </c>
      <c r="H724" s="90">
        <v>0.59</v>
      </c>
      <c r="I724" s="90">
        <v>0.64</v>
      </c>
      <c r="J724" s="90" t="s">
        <v>381</v>
      </c>
      <c r="K724" s="90">
        <v>3.8091023444719999E-2</v>
      </c>
      <c r="L724" s="90">
        <v>3752.2490536059199</v>
      </c>
      <c r="M724" s="90">
        <v>10.4180301627669</v>
      </c>
      <c r="N724" s="90">
        <v>1.9097355296182801</v>
      </c>
      <c r="O724" s="90">
        <v>0.39683343117775</v>
      </c>
      <c r="P724" s="90">
        <v>7.2743780831900001E-2</v>
      </c>
      <c r="Q724" s="90">
        <v>142.92700667133099</v>
      </c>
      <c r="R724" s="90">
        <v>1300</v>
      </c>
      <c r="S724" s="90" t="s">
        <v>387</v>
      </c>
      <c r="T724" s="90">
        <v>1300</v>
      </c>
      <c r="U724" s="90" t="s">
        <v>382</v>
      </c>
      <c r="V724" s="90" t="s">
        <v>381</v>
      </c>
      <c r="Z724" s="90">
        <v>0</v>
      </c>
      <c r="AA724" s="90">
        <v>1</v>
      </c>
      <c r="AB724" s="90">
        <v>0.39683343117775</v>
      </c>
      <c r="AC724" s="90">
        <v>7.2743780831900001E-2</v>
      </c>
      <c r="AD724" s="90">
        <v>142.92700667132999</v>
      </c>
      <c r="AF724" s="90">
        <v>-1</v>
      </c>
      <c r="AG724" s="90">
        <v>-1</v>
      </c>
      <c r="AH724" s="90">
        <v>-1</v>
      </c>
      <c r="AI724" s="90">
        <v>-1</v>
      </c>
      <c r="AJ724" s="90">
        <v>0</v>
      </c>
      <c r="AM724" s="90" t="s">
        <v>379</v>
      </c>
      <c r="AN724" s="90">
        <v>-1</v>
      </c>
      <c r="AQ724" s="90">
        <v>356</v>
      </c>
      <c r="AR724" s="90" t="s">
        <v>380</v>
      </c>
      <c r="AS724" s="90" t="s">
        <v>246</v>
      </c>
      <c r="AT724" s="90" t="s">
        <v>244</v>
      </c>
      <c r="AU724" s="90">
        <v>175.87190000000001</v>
      </c>
      <c r="AV724" s="90">
        <v>105.60764510134899</v>
      </c>
      <c r="AW724" s="90">
        <v>154.148902863053</v>
      </c>
      <c r="AX724" s="90">
        <v>0.11591809140000001</v>
      </c>
    </row>
    <row r="725" spans="1:50" x14ac:dyDescent="0.25">
      <c r="A725" s="102">
        <v>830000</v>
      </c>
      <c r="B725" s="102">
        <v>2400000</v>
      </c>
      <c r="C725" s="102">
        <v>2400000</v>
      </c>
      <c r="D725" s="90" t="s">
        <v>374</v>
      </c>
      <c r="E725" s="90" t="s">
        <v>68</v>
      </c>
      <c r="F725" s="90" t="s">
        <v>375</v>
      </c>
      <c r="G725" s="90" t="s">
        <v>376</v>
      </c>
      <c r="H725" s="90">
        <v>0.59</v>
      </c>
      <c r="I725" s="90">
        <v>0.64</v>
      </c>
      <c r="J725" s="90" t="s">
        <v>381</v>
      </c>
      <c r="K725" s="90">
        <v>0.11150632715774</v>
      </c>
      <c r="L725" s="90">
        <v>3752.2490536059199</v>
      </c>
      <c r="M725" s="90">
        <v>10.4180301627669</v>
      </c>
      <c r="N725" s="90">
        <v>1.9097355296182801</v>
      </c>
      <c r="O725" s="90">
        <v>1.1616762796687501</v>
      </c>
      <c r="P725" s="90">
        <v>0.21294759475038</v>
      </c>
      <c r="Q725" s="90">
        <v>418.39951054872103</v>
      </c>
      <c r="R725" s="90">
        <v>8140</v>
      </c>
      <c r="S725" s="90" t="s">
        <v>386</v>
      </c>
      <c r="T725" s="90">
        <v>8140</v>
      </c>
      <c r="U725" s="90" t="s">
        <v>382</v>
      </c>
      <c r="V725" s="90" t="s">
        <v>381</v>
      </c>
      <c r="Z725" s="90">
        <v>0</v>
      </c>
      <c r="AA725" s="90">
        <v>1</v>
      </c>
      <c r="AB725" s="90">
        <v>1.1616762796687501</v>
      </c>
      <c r="AC725" s="90">
        <v>0.21294759475038</v>
      </c>
      <c r="AD725" s="90">
        <v>418.39951054872103</v>
      </c>
      <c r="AF725" s="90">
        <v>-1</v>
      </c>
      <c r="AG725" s="90">
        <v>-1</v>
      </c>
      <c r="AH725" s="90">
        <v>-1</v>
      </c>
      <c r="AI725" s="90">
        <v>-1</v>
      </c>
      <c r="AJ725" s="90">
        <v>0</v>
      </c>
      <c r="AM725" s="90" t="s">
        <v>379</v>
      </c>
      <c r="AN725" s="90">
        <v>-1</v>
      </c>
      <c r="AQ725" s="90">
        <v>356</v>
      </c>
      <c r="AR725" s="90" t="s">
        <v>380</v>
      </c>
      <c r="AS725" s="90" t="s">
        <v>246</v>
      </c>
      <c r="AT725" s="90" t="s">
        <v>244</v>
      </c>
      <c r="AU725" s="90">
        <v>175.87190000000001</v>
      </c>
      <c r="AV725" s="90">
        <v>119.015412222769</v>
      </c>
      <c r="AW725" s="90">
        <v>451.25009619655498</v>
      </c>
      <c r="AX725" s="90">
        <v>0.33933455839999999</v>
      </c>
    </row>
    <row r="726" spans="1:50" x14ac:dyDescent="0.25">
      <c r="A726" s="102">
        <v>830000</v>
      </c>
      <c r="B726" s="102">
        <v>2400000</v>
      </c>
      <c r="C726" s="102">
        <v>2400000</v>
      </c>
      <c r="D726" s="90" t="s">
        <v>374</v>
      </c>
      <c r="E726" s="90" t="s">
        <v>68</v>
      </c>
      <c r="F726" s="90" t="s">
        <v>375</v>
      </c>
      <c r="G726" s="90" t="s">
        <v>376</v>
      </c>
      <c r="H726" s="90">
        <v>0.59</v>
      </c>
      <c r="I726" s="90">
        <v>0.64</v>
      </c>
      <c r="J726" s="90" t="s">
        <v>244</v>
      </c>
      <c r="K726" s="90">
        <v>0.39936462340152001</v>
      </c>
      <c r="L726" s="90">
        <v>3752.2490536059199</v>
      </c>
      <c r="M726" s="90">
        <v>10.4180301627669</v>
      </c>
      <c r="N726" s="90">
        <v>1.9097355296182801</v>
      </c>
      <c r="O726" s="90">
        <v>4.1605926925391499</v>
      </c>
      <c r="P726" s="90">
        <v>0.76268081058251003</v>
      </c>
      <c r="Q726" s="90">
        <v>1498.5155302020501</v>
      </c>
      <c r="R726" s="90">
        <v>1300</v>
      </c>
      <c r="S726" s="90" t="s">
        <v>387</v>
      </c>
      <c r="T726" s="90">
        <v>1300</v>
      </c>
      <c r="U726" s="90" t="s">
        <v>378</v>
      </c>
      <c r="V726" s="90" t="s">
        <v>244</v>
      </c>
      <c r="Z726" s="90">
        <v>0</v>
      </c>
      <c r="AA726" s="90">
        <v>1</v>
      </c>
      <c r="AB726" s="90">
        <v>4.1605926925391499</v>
      </c>
      <c r="AC726" s="90">
        <v>0.76268081058251003</v>
      </c>
      <c r="AD726" s="90">
        <v>1498.5155302020501</v>
      </c>
      <c r="AF726" s="90">
        <v>-1</v>
      </c>
      <c r="AG726" s="90">
        <v>-1</v>
      </c>
      <c r="AH726" s="90">
        <v>-1</v>
      </c>
      <c r="AI726" s="90">
        <v>-1</v>
      </c>
      <c r="AJ726" s="90">
        <v>0</v>
      </c>
      <c r="AM726" s="90" t="s">
        <v>379</v>
      </c>
      <c r="AN726" s="90">
        <v>-1</v>
      </c>
      <c r="AQ726" s="90">
        <v>356</v>
      </c>
      <c r="AR726" s="90" t="s">
        <v>380</v>
      </c>
      <c r="AS726" s="90" t="s">
        <v>246</v>
      </c>
      <c r="AT726" s="90" t="s">
        <v>244</v>
      </c>
      <c r="AU726" s="90">
        <v>175.87190000000001</v>
      </c>
      <c r="AV726" s="90">
        <v>196.63133326376001</v>
      </c>
      <c r="AW726" s="90">
        <v>1616.17129109181</v>
      </c>
      <c r="AX726" s="90">
        <v>1.2153410626000001</v>
      </c>
    </row>
    <row r="727" spans="1:50" x14ac:dyDescent="0.25">
      <c r="A727" s="102">
        <v>830000</v>
      </c>
      <c r="B727" s="102">
        <v>2400000</v>
      </c>
      <c r="C727" s="102">
        <v>2400000</v>
      </c>
      <c r="D727" s="90" t="s">
        <v>374</v>
      </c>
      <c r="E727" s="90" t="s">
        <v>68</v>
      </c>
      <c r="F727" s="90" t="s">
        <v>375</v>
      </c>
      <c r="G727" s="90" t="s">
        <v>376</v>
      </c>
      <c r="H727" s="90">
        <v>0.59</v>
      </c>
      <c r="I727" s="90">
        <v>0.64</v>
      </c>
      <c r="J727" s="90" t="s">
        <v>381</v>
      </c>
      <c r="K727" s="90">
        <v>1.4143782467999999E-3</v>
      </c>
      <c r="L727" s="90">
        <v>3752.2490536059199</v>
      </c>
      <c r="M727" s="90">
        <v>10.4180301627669</v>
      </c>
      <c r="N727" s="90">
        <v>1.9097355296182801</v>
      </c>
      <c r="O727" s="90">
        <v>1.4735035236809999E-2</v>
      </c>
      <c r="P727" s="90">
        <v>2.7010883902500002E-3</v>
      </c>
      <c r="Q727" s="90">
        <v>5.3070994380298702</v>
      </c>
      <c r="R727" s="90">
        <v>1300</v>
      </c>
      <c r="S727" s="90" t="s">
        <v>387</v>
      </c>
      <c r="T727" s="90">
        <v>1300</v>
      </c>
      <c r="U727" s="90" t="s">
        <v>382</v>
      </c>
      <c r="V727" s="90" t="s">
        <v>381</v>
      </c>
      <c r="Z727" s="90">
        <v>0</v>
      </c>
      <c r="AA727" s="90">
        <v>1</v>
      </c>
      <c r="AB727" s="90">
        <v>1.4735035236809999E-2</v>
      </c>
      <c r="AC727" s="90">
        <v>2.7010883902500002E-3</v>
      </c>
      <c r="AD727" s="90">
        <v>5.3070994380296099</v>
      </c>
      <c r="AF727" s="90">
        <v>-1</v>
      </c>
      <c r="AG727" s="90">
        <v>-1</v>
      </c>
      <c r="AH727" s="90">
        <v>-1</v>
      </c>
      <c r="AI727" s="90">
        <v>-1</v>
      </c>
      <c r="AJ727" s="90">
        <v>0</v>
      </c>
      <c r="AM727" s="90" t="s">
        <v>379</v>
      </c>
      <c r="AN727" s="90">
        <v>-1</v>
      </c>
      <c r="AQ727" s="90">
        <v>356</v>
      </c>
      <c r="AR727" s="90" t="s">
        <v>380</v>
      </c>
      <c r="AS727" s="90" t="s">
        <v>246</v>
      </c>
      <c r="AT727" s="90" t="s">
        <v>244</v>
      </c>
      <c r="AU727" s="90">
        <v>175.87190000000001</v>
      </c>
      <c r="AV727" s="90">
        <v>100.25585808155699</v>
      </c>
      <c r="AW727" s="90">
        <v>5.7237856918015604</v>
      </c>
      <c r="AX727" s="90">
        <v>4.3042169000000003E-3</v>
      </c>
    </row>
    <row r="728" spans="1:50" x14ac:dyDescent="0.25">
      <c r="A728" s="102">
        <v>830000</v>
      </c>
      <c r="B728" s="102">
        <v>2400000</v>
      </c>
      <c r="C728" s="102">
        <v>2400000</v>
      </c>
      <c r="D728" s="90" t="s">
        <v>374</v>
      </c>
      <c r="E728" s="90" t="s">
        <v>68</v>
      </c>
      <c r="F728" s="90" t="s">
        <v>375</v>
      </c>
      <c r="G728" s="90" t="s">
        <v>376</v>
      </c>
      <c r="H728" s="90">
        <v>0.59</v>
      </c>
      <c r="I728" s="90">
        <v>0.64</v>
      </c>
      <c r="J728" s="90" t="s">
        <v>244</v>
      </c>
      <c r="K728" s="90">
        <v>6.7387101371080005E-2</v>
      </c>
      <c r="L728" s="90">
        <v>3752.2490536059199</v>
      </c>
      <c r="M728" s="90">
        <v>10.4180301627669</v>
      </c>
      <c r="N728" s="90">
        <v>1.9097355296182801</v>
      </c>
      <c r="O728" s="90">
        <v>0.70204085466543997</v>
      </c>
      <c r="P728" s="90">
        <v>0.12869154172635</v>
      </c>
      <c r="Q728" s="90">
        <v>252.853187344915</v>
      </c>
      <c r="R728" s="90">
        <v>1300</v>
      </c>
      <c r="S728" s="90" t="s">
        <v>387</v>
      </c>
      <c r="T728" s="90">
        <v>1300</v>
      </c>
      <c r="U728" s="90" t="s">
        <v>378</v>
      </c>
      <c r="V728" s="90" t="s">
        <v>244</v>
      </c>
      <c r="Z728" s="90">
        <v>0</v>
      </c>
      <c r="AA728" s="90">
        <v>1</v>
      </c>
      <c r="AB728" s="90">
        <v>0.70204085466543997</v>
      </c>
      <c r="AC728" s="90">
        <v>0.12869154172635</v>
      </c>
      <c r="AD728" s="90">
        <v>252.85318734491599</v>
      </c>
      <c r="AF728" s="90">
        <v>-1</v>
      </c>
      <c r="AG728" s="90">
        <v>-1</v>
      </c>
      <c r="AH728" s="90">
        <v>-1</v>
      </c>
      <c r="AI728" s="90">
        <v>-1</v>
      </c>
      <c r="AJ728" s="90">
        <v>0</v>
      </c>
      <c r="AM728" s="90" t="s">
        <v>379</v>
      </c>
      <c r="AN728" s="90">
        <v>-1</v>
      </c>
      <c r="AQ728" s="90">
        <v>356</v>
      </c>
      <c r="AR728" s="90" t="s">
        <v>380</v>
      </c>
      <c r="AS728" s="90" t="s">
        <v>246</v>
      </c>
      <c r="AT728" s="90" t="s">
        <v>244</v>
      </c>
      <c r="AU728" s="90">
        <v>175.87190000000001</v>
      </c>
      <c r="AV728" s="90">
        <v>72.532600166541798</v>
      </c>
      <c r="AW728" s="90">
        <v>272.705923970512</v>
      </c>
      <c r="AX728" s="90">
        <v>0.2050715226</v>
      </c>
    </row>
    <row r="729" spans="1:50" x14ac:dyDescent="0.25">
      <c r="A729" s="102">
        <v>830000</v>
      </c>
      <c r="B729" s="102">
        <v>2400000</v>
      </c>
      <c r="C729" s="102">
        <v>2500000</v>
      </c>
      <c r="D729" s="90" t="s">
        <v>374</v>
      </c>
      <c r="E729" s="90" t="s">
        <v>68</v>
      </c>
      <c r="F729" s="90" t="s">
        <v>375</v>
      </c>
      <c r="G729" s="90" t="s">
        <v>376</v>
      </c>
      <c r="H729" s="90">
        <v>0.59</v>
      </c>
      <c r="I729" s="90">
        <v>0.64</v>
      </c>
      <c r="J729" s="90" t="s">
        <v>244</v>
      </c>
      <c r="K729" s="90">
        <v>0.35542056491781998</v>
      </c>
      <c r="L729" s="90">
        <v>3835.3197866671098</v>
      </c>
      <c r="M729" s="90">
        <v>10.373605483848101</v>
      </c>
      <c r="N729" s="90">
        <v>1.3835467572833899</v>
      </c>
      <c r="O729" s="90">
        <v>3.6869927213039699</v>
      </c>
      <c r="P729" s="90">
        <v>0.49174097006389</v>
      </c>
      <c r="Q729" s="90">
        <v>1363.1515252177301</v>
      </c>
      <c r="R729" s="90">
        <v>1410</v>
      </c>
      <c r="S729" s="90" t="s">
        <v>325</v>
      </c>
      <c r="T729" s="90">
        <v>1410</v>
      </c>
      <c r="U729" s="90" t="s">
        <v>378</v>
      </c>
      <c r="V729" s="90" t="s">
        <v>244</v>
      </c>
      <c r="Z729" s="90">
        <v>0</v>
      </c>
      <c r="AA729" s="90">
        <v>1</v>
      </c>
      <c r="AB729" s="90">
        <v>3.6869927213039699</v>
      </c>
      <c r="AC729" s="90">
        <v>0.49174097006389</v>
      </c>
      <c r="AD729" s="90">
        <v>1363.1515252177301</v>
      </c>
      <c r="AF729" s="90">
        <v>-1</v>
      </c>
      <c r="AG729" s="90">
        <v>-1</v>
      </c>
      <c r="AH729" s="90">
        <v>-1</v>
      </c>
      <c r="AI729" s="90">
        <v>-1</v>
      </c>
      <c r="AJ729" s="90">
        <v>0</v>
      </c>
      <c r="AM729" s="90" t="s">
        <v>379</v>
      </c>
      <c r="AN729" s="90">
        <v>-1</v>
      </c>
      <c r="AQ729" s="90">
        <v>356</v>
      </c>
      <c r="AR729" s="90" t="s">
        <v>380</v>
      </c>
      <c r="AS729" s="90" t="s">
        <v>246</v>
      </c>
      <c r="AT729" s="90" t="s">
        <v>244</v>
      </c>
      <c r="AU729" s="90">
        <v>175.87190000000001</v>
      </c>
      <c r="AV729" s="90">
        <v>157.536511746652</v>
      </c>
      <c r="AW729" s="90">
        <v>1438.3359957907301</v>
      </c>
      <c r="AX729" s="90">
        <v>1.1055567926000001</v>
      </c>
    </row>
    <row r="730" spans="1:50" x14ac:dyDescent="0.25">
      <c r="A730" s="102">
        <v>830000</v>
      </c>
      <c r="B730" s="102">
        <v>2400000</v>
      </c>
      <c r="C730" s="102">
        <v>2500000</v>
      </c>
      <c r="D730" s="90" t="s">
        <v>374</v>
      </c>
      <c r="E730" s="90" t="s">
        <v>68</v>
      </c>
      <c r="F730" s="90" t="s">
        <v>375</v>
      </c>
      <c r="G730" s="90" t="s">
        <v>376</v>
      </c>
      <c r="H730" s="90">
        <v>0.59</v>
      </c>
      <c r="I730" s="90">
        <v>0.64</v>
      </c>
      <c r="J730" s="90" t="s">
        <v>244</v>
      </c>
      <c r="K730" s="90">
        <v>0.26234288877310002</v>
      </c>
      <c r="L730" s="90">
        <v>3835.3197866671098</v>
      </c>
      <c r="M730" s="90">
        <v>10.373605483848101</v>
      </c>
      <c r="N730" s="90">
        <v>1.3835467572833899</v>
      </c>
      <c r="O730" s="90">
        <v>2.72144162962522</v>
      </c>
      <c r="P730" s="90">
        <v>0.36296365305838002</v>
      </c>
      <c r="Q730" s="90">
        <v>1006.16887220288</v>
      </c>
      <c r="R730" s="90">
        <v>1410</v>
      </c>
      <c r="S730" s="90" t="s">
        <v>325</v>
      </c>
      <c r="T730" s="90">
        <v>1410</v>
      </c>
      <c r="U730" s="90" t="s">
        <v>378</v>
      </c>
      <c r="V730" s="90" t="s">
        <v>244</v>
      </c>
      <c r="Z730" s="90">
        <v>0</v>
      </c>
      <c r="AA730" s="90">
        <v>1</v>
      </c>
      <c r="AB730" s="90">
        <v>2.72144162962522</v>
      </c>
      <c r="AC730" s="90">
        <v>0.36296365305838002</v>
      </c>
      <c r="AD730" s="90">
        <v>1006.16887220288</v>
      </c>
      <c r="AF730" s="90">
        <v>-1</v>
      </c>
      <c r="AG730" s="90">
        <v>-1</v>
      </c>
      <c r="AH730" s="90">
        <v>-1</v>
      </c>
      <c r="AI730" s="90">
        <v>-1</v>
      </c>
      <c r="AJ730" s="90">
        <v>0</v>
      </c>
      <c r="AM730" s="90" t="s">
        <v>379</v>
      </c>
      <c r="AN730" s="90">
        <v>-1</v>
      </c>
      <c r="AQ730" s="90">
        <v>356</v>
      </c>
      <c r="AR730" s="90" t="s">
        <v>380</v>
      </c>
      <c r="AS730" s="90" t="s">
        <v>246</v>
      </c>
      <c r="AT730" s="90" t="s">
        <v>244</v>
      </c>
      <c r="AU730" s="90">
        <v>175.87190000000001</v>
      </c>
      <c r="AV730" s="90">
        <v>142.46963209048599</v>
      </c>
      <c r="AW730" s="90">
        <v>1061.6640043023899</v>
      </c>
      <c r="AX730" s="90">
        <v>0.81603314859999998</v>
      </c>
    </row>
    <row r="731" spans="1:50" x14ac:dyDescent="0.25">
      <c r="A731" s="102">
        <v>830000</v>
      </c>
      <c r="B731" s="102">
        <v>2400000</v>
      </c>
      <c r="C731" s="102">
        <v>2500000</v>
      </c>
      <c r="D731" s="90" t="s">
        <v>374</v>
      </c>
      <c r="E731" s="90" t="s">
        <v>68</v>
      </c>
      <c r="F731" s="90" t="s">
        <v>375</v>
      </c>
      <c r="G731" s="90" t="s">
        <v>376</v>
      </c>
      <c r="H731" s="90">
        <v>0.59</v>
      </c>
      <c r="I731" s="90">
        <v>0.64</v>
      </c>
      <c r="J731" s="90" t="s">
        <v>244</v>
      </c>
      <c r="K731" s="90">
        <v>4.6277486194999998E-4</v>
      </c>
      <c r="L731" s="90">
        <v>3733.4819079490499</v>
      </c>
      <c r="M731" s="90">
        <v>11.7942550344107</v>
      </c>
      <c r="N731" s="90">
        <v>2.3949589695612898</v>
      </c>
      <c r="O731" s="90">
        <v>5.4580847454100004E-3</v>
      </c>
      <c r="P731" s="90">
        <v>1.1083268065200001E-3</v>
      </c>
      <c r="Q731" s="90">
        <v>1.72776157456261</v>
      </c>
      <c r="R731" s="90">
        <v>1300</v>
      </c>
      <c r="S731" s="90" t="s">
        <v>387</v>
      </c>
      <c r="T731" s="90">
        <v>1300</v>
      </c>
      <c r="U731" s="90" t="s">
        <v>378</v>
      </c>
      <c r="V731" s="90" t="s">
        <v>244</v>
      </c>
      <c r="Z731" s="90">
        <v>0</v>
      </c>
      <c r="AA731" s="90">
        <v>1</v>
      </c>
      <c r="AB731" s="90">
        <v>5.4580847454100004E-3</v>
      </c>
      <c r="AC731" s="90">
        <v>1.1083268065200001E-3</v>
      </c>
      <c r="AD731" s="90">
        <v>1.7277615745633701</v>
      </c>
      <c r="AF731" s="90">
        <v>-1</v>
      </c>
      <c r="AG731" s="90">
        <v>-1</v>
      </c>
      <c r="AH731" s="90">
        <v>-1</v>
      </c>
      <c r="AI731" s="90">
        <v>-1</v>
      </c>
      <c r="AJ731" s="90">
        <v>0</v>
      </c>
      <c r="AM731" s="90" t="s">
        <v>379</v>
      </c>
      <c r="AN731" s="90">
        <v>-1</v>
      </c>
      <c r="AQ731" s="90">
        <v>356</v>
      </c>
      <c r="AR731" s="90" t="s">
        <v>380</v>
      </c>
      <c r="AS731" s="90" t="s">
        <v>246</v>
      </c>
      <c r="AT731" s="90" t="s">
        <v>244</v>
      </c>
      <c r="AU731" s="90">
        <v>175.87190000000001</v>
      </c>
      <c r="AV731" s="90">
        <v>13.526250421374201</v>
      </c>
      <c r="AW731" s="90">
        <v>1.8727834222286801</v>
      </c>
      <c r="AX731" s="90">
        <v>1.4012664999999999E-3</v>
      </c>
    </row>
    <row r="732" spans="1:50" x14ac:dyDescent="0.25">
      <c r="A732" s="102">
        <v>830000</v>
      </c>
      <c r="B732" s="102">
        <v>2400000</v>
      </c>
      <c r="C732" s="102">
        <v>2500000</v>
      </c>
      <c r="D732" s="90" t="s">
        <v>374</v>
      </c>
      <c r="E732" s="90" t="s">
        <v>68</v>
      </c>
      <c r="F732" s="90" t="s">
        <v>375</v>
      </c>
      <c r="G732" s="90" t="s">
        <v>376</v>
      </c>
      <c r="H732" s="90">
        <v>0.59</v>
      </c>
      <c r="I732" s="90">
        <v>0.64</v>
      </c>
      <c r="J732" s="90" t="s">
        <v>244</v>
      </c>
      <c r="K732" s="90">
        <v>0.28691844095838998</v>
      </c>
      <c r="L732" s="90">
        <v>3747.7324764447999</v>
      </c>
      <c r="M732" s="90">
        <v>10.7827067829668</v>
      </c>
      <c r="N732" s="90">
        <v>2.07762433832715</v>
      </c>
      <c r="O732" s="90">
        <v>3.0937574194803399</v>
      </c>
      <c r="P732" s="90">
        <v>0.59610873605004</v>
      </c>
      <c r="Q732" s="90">
        <v>1075.2935592706799</v>
      </c>
      <c r="R732" s="90">
        <v>1300</v>
      </c>
      <c r="S732" s="90" t="s">
        <v>387</v>
      </c>
      <c r="T732" s="90">
        <v>1300</v>
      </c>
      <c r="U732" s="90" t="s">
        <v>378</v>
      </c>
      <c r="V732" s="90" t="s">
        <v>244</v>
      </c>
      <c r="Z732" s="90">
        <v>0</v>
      </c>
      <c r="AA732" s="90">
        <v>1</v>
      </c>
      <c r="AB732" s="90">
        <v>3.0937574194803399</v>
      </c>
      <c r="AC732" s="90">
        <v>0.59610873605004</v>
      </c>
      <c r="AD732" s="90">
        <v>1075.2935592706799</v>
      </c>
      <c r="AF732" s="90">
        <v>-1</v>
      </c>
      <c r="AG732" s="90">
        <v>-1</v>
      </c>
      <c r="AH732" s="90">
        <v>-1</v>
      </c>
      <c r="AI732" s="90">
        <v>-1</v>
      </c>
      <c r="AJ732" s="90">
        <v>0</v>
      </c>
      <c r="AM732" s="90" t="s">
        <v>379</v>
      </c>
      <c r="AN732" s="90">
        <v>-1</v>
      </c>
      <c r="AQ732" s="90">
        <v>356</v>
      </c>
      <c r="AR732" s="90" t="s">
        <v>380</v>
      </c>
      <c r="AS732" s="90" t="s">
        <v>246</v>
      </c>
      <c r="AT732" s="90" t="s">
        <v>244</v>
      </c>
      <c r="AU732" s="90">
        <v>175.87190000000001</v>
      </c>
      <c r="AV732" s="90">
        <v>137.63255341215199</v>
      </c>
      <c r="AW732" s="90">
        <v>1161.11773549746</v>
      </c>
      <c r="AX732" s="90">
        <v>0.8720953441</v>
      </c>
    </row>
    <row r="733" spans="1:50" x14ac:dyDescent="0.25">
      <c r="A733" s="102">
        <v>830000</v>
      </c>
      <c r="B733" s="102">
        <v>2400000</v>
      </c>
      <c r="C733" s="102">
        <v>2500000</v>
      </c>
      <c r="D733" s="90" t="s">
        <v>374</v>
      </c>
      <c r="E733" s="90" t="s">
        <v>68</v>
      </c>
      <c r="F733" s="90" t="s">
        <v>375</v>
      </c>
      <c r="G733" s="90" t="s">
        <v>376</v>
      </c>
      <c r="H733" s="90">
        <v>0.59</v>
      </c>
      <c r="I733" s="90">
        <v>0.64</v>
      </c>
      <c r="J733" s="90" t="s">
        <v>244</v>
      </c>
      <c r="K733" s="90">
        <v>0.20408137898975001</v>
      </c>
      <c r="L733" s="90">
        <v>3747.7324764447999</v>
      </c>
      <c r="M733" s="90">
        <v>10.7827067829668</v>
      </c>
      <c r="N733" s="90">
        <v>2.07762433832715</v>
      </c>
      <c r="O733" s="90">
        <v>2.20054966951002</v>
      </c>
      <c r="P733" s="90">
        <v>0.42400443998846998</v>
      </c>
      <c r="Q733" s="90">
        <v>764.84241187753003</v>
      </c>
      <c r="R733" s="90">
        <v>1300</v>
      </c>
      <c r="S733" s="90" t="s">
        <v>387</v>
      </c>
      <c r="T733" s="90">
        <v>1300</v>
      </c>
      <c r="U733" s="90" t="s">
        <v>378</v>
      </c>
      <c r="V733" s="90" t="s">
        <v>244</v>
      </c>
      <c r="Z733" s="90">
        <v>0</v>
      </c>
      <c r="AA733" s="90">
        <v>1</v>
      </c>
      <c r="AB733" s="90">
        <v>2.20054966951002</v>
      </c>
      <c r="AC733" s="90">
        <v>0.42400443998846998</v>
      </c>
      <c r="AD733" s="90">
        <v>764.84241187753003</v>
      </c>
      <c r="AF733" s="90">
        <v>-1</v>
      </c>
      <c r="AG733" s="90">
        <v>-1</v>
      </c>
      <c r="AH733" s="90">
        <v>-1</v>
      </c>
      <c r="AI733" s="90">
        <v>-1</v>
      </c>
      <c r="AJ733" s="90">
        <v>0</v>
      </c>
      <c r="AM733" s="90" t="s">
        <v>379</v>
      </c>
      <c r="AN733" s="90">
        <v>-1</v>
      </c>
      <c r="AQ733" s="90">
        <v>356</v>
      </c>
      <c r="AR733" s="90" t="s">
        <v>380</v>
      </c>
      <c r="AS733" s="90" t="s">
        <v>246</v>
      </c>
      <c r="AT733" s="90" t="s">
        <v>244</v>
      </c>
      <c r="AU733" s="90">
        <v>175.87190000000001</v>
      </c>
      <c r="AV733" s="90">
        <v>122.543330937259</v>
      </c>
      <c r="AW733" s="90">
        <v>825.88803925692196</v>
      </c>
      <c r="AX733" s="90">
        <v>0.62031014750000002</v>
      </c>
    </row>
    <row r="734" spans="1:50" x14ac:dyDescent="0.25">
      <c r="A734" s="102">
        <v>830000</v>
      </c>
      <c r="B734" s="102">
        <v>2400000</v>
      </c>
      <c r="C734" s="102">
        <v>2500000</v>
      </c>
      <c r="D734" s="90" t="s">
        <v>374</v>
      </c>
      <c r="E734" s="90" t="s">
        <v>68</v>
      </c>
      <c r="F734" s="90" t="s">
        <v>375</v>
      </c>
      <c r="G734" s="90" t="s">
        <v>376</v>
      </c>
      <c r="H734" s="90">
        <v>0.59</v>
      </c>
      <c r="I734" s="90">
        <v>0.64</v>
      </c>
      <c r="J734" s="90" t="s">
        <v>244</v>
      </c>
      <c r="K734" s="90">
        <v>0.13438919496919</v>
      </c>
      <c r="L734" s="90">
        <v>3776.3232294009199</v>
      </c>
      <c r="M734" s="90">
        <v>11.417467670615499</v>
      </c>
      <c r="N734" s="90">
        <v>1.6703562190400301</v>
      </c>
      <c r="O734" s="90">
        <v>1.5343842888408601</v>
      </c>
      <c r="P734" s="90">
        <v>0.22447782758858001</v>
      </c>
      <c r="Q734" s="90">
        <v>507.49703874266697</v>
      </c>
      <c r="R734" s="90">
        <v>1300</v>
      </c>
      <c r="S734" s="90" t="s">
        <v>387</v>
      </c>
      <c r="T734" s="90">
        <v>1300</v>
      </c>
      <c r="U734" s="90" t="s">
        <v>378</v>
      </c>
      <c r="V734" s="90" t="s">
        <v>244</v>
      </c>
      <c r="Z734" s="90">
        <v>0</v>
      </c>
      <c r="AA734" s="90">
        <v>1</v>
      </c>
      <c r="AB734" s="90">
        <v>1.5343842888408601</v>
      </c>
      <c r="AC734" s="90">
        <v>0.22447782758858001</v>
      </c>
      <c r="AD734" s="90">
        <v>507.49703874266697</v>
      </c>
      <c r="AF734" s="90">
        <v>-1</v>
      </c>
      <c r="AG734" s="90">
        <v>-1</v>
      </c>
      <c r="AH734" s="90">
        <v>-1</v>
      </c>
      <c r="AI734" s="90">
        <v>-1</v>
      </c>
      <c r="AJ734" s="90">
        <v>0</v>
      </c>
      <c r="AM734" s="90" t="s">
        <v>379</v>
      </c>
      <c r="AN734" s="90">
        <v>-1</v>
      </c>
      <c r="AQ734" s="90">
        <v>356</v>
      </c>
      <c r="AR734" s="90" t="s">
        <v>380</v>
      </c>
      <c r="AS734" s="90" t="s">
        <v>246</v>
      </c>
      <c r="AT734" s="90" t="s">
        <v>244</v>
      </c>
      <c r="AU734" s="90">
        <v>175.87190000000001</v>
      </c>
      <c r="AV734" s="90">
        <v>121.76016333955999</v>
      </c>
      <c r="AW734" s="90">
        <v>543.85377676226199</v>
      </c>
      <c r="AX734" s="90">
        <v>0.41159532739999999</v>
      </c>
    </row>
    <row r="735" spans="1:50" x14ac:dyDescent="0.25">
      <c r="A735" s="102">
        <v>830000</v>
      </c>
      <c r="B735" s="102">
        <v>2400000</v>
      </c>
      <c r="C735" s="102">
        <v>2500000</v>
      </c>
      <c r="D735" s="90" t="s">
        <v>374</v>
      </c>
      <c r="E735" s="90" t="s">
        <v>68</v>
      </c>
      <c r="F735" s="90" t="s">
        <v>375</v>
      </c>
      <c r="G735" s="90" t="s">
        <v>376</v>
      </c>
      <c r="H735" s="90">
        <v>0.59</v>
      </c>
      <c r="I735" s="90">
        <v>0.64</v>
      </c>
      <c r="J735" s="90" t="s">
        <v>244</v>
      </c>
      <c r="K735" s="90">
        <v>5.8825331850629999E-2</v>
      </c>
      <c r="L735" s="90">
        <v>3776.3232294009199</v>
      </c>
      <c r="M735" s="90">
        <v>11.417467670615499</v>
      </c>
      <c r="N735" s="90">
        <v>1.6703562190400301</v>
      </c>
      <c r="O735" s="90">
        <v>0.67163632461787004</v>
      </c>
      <c r="P735" s="90">
        <v>9.8259258893799994E-2</v>
      </c>
      <c r="Q735" s="90">
        <v>222.14346714477401</v>
      </c>
      <c r="R735" s="90">
        <v>1400</v>
      </c>
      <c r="S735" s="90" t="s">
        <v>324</v>
      </c>
      <c r="T735" s="90">
        <v>1400</v>
      </c>
      <c r="U735" s="90" t="s">
        <v>378</v>
      </c>
      <c r="V735" s="90" t="s">
        <v>244</v>
      </c>
      <c r="Z735" s="90">
        <v>0</v>
      </c>
      <c r="AA735" s="90">
        <v>1</v>
      </c>
      <c r="AB735" s="90">
        <v>0.67163632461787004</v>
      </c>
      <c r="AC735" s="90">
        <v>9.8259258893799994E-2</v>
      </c>
      <c r="AD735" s="90">
        <v>222.143467144775</v>
      </c>
      <c r="AF735" s="90">
        <v>-1</v>
      </c>
      <c r="AG735" s="90">
        <v>-1</v>
      </c>
      <c r="AH735" s="90">
        <v>-1</v>
      </c>
      <c r="AI735" s="90">
        <v>-1</v>
      </c>
      <c r="AJ735" s="90">
        <v>0</v>
      </c>
      <c r="AM735" s="90" t="s">
        <v>379</v>
      </c>
      <c r="AN735" s="90">
        <v>-1</v>
      </c>
      <c r="AQ735" s="90">
        <v>356</v>
      </c>
      <c r="AR735" s="90" t="s">
        <v>380</v>
      </c>
      <c r="AS735" s="90" t="s">
        <v>246</v>
      </c>
      <c r="AT735" s="90" t="s">
        <v>244</v>
      </c>
      <c r="AU735" s="90">
        <v>175.87190000000001</v>
      </c>
      <c r="AV735" s="90">
        <v>109.53034537162399</v>
      </c>
      <c r="AW735" s="90">
        <v>238.05767199955801</v>
      </c>
      <c r="AX735" s="90">
        <v>0.18016501800000001</v>
      </c>
    </row>
    <row r="736" spans="1:50" x14ac:dyDescent="0.25">
      <c r="A736" s="102">
        <v>830000</v>
      </c>
      <c r="B736" s="102">
        <v>2400000</v>
      </c>
      <c r="C736" s="102">
        <v>2500000</v>
      </c>
      <c r="D736" s="90" t="s">
        <v>374</v>
      </c>
      <c r="E736" s="90" t="s">
        <v>68</v>
      </c>
      <c r="F736" s="90" t="s">
        <v>375</v>
      </c>
      <c r="G736" s="90" t="s">
        <v>376</v>
      </c>
      <c r="H736" s="90">
        <v>0.59</v>
      </c>
      <c r="I736" s="90">
        <v>0.64</v>
      </c>
      <c r="J736" s="90" t="s">
        <v>244</v>
      </c>
      <c r="K736" s="90">
        <v>0.40524937249991</v>
      </c>
      <c r="L736" s="90">
        <v>3776.3232294009199</v>
      </c>
      <c r="M736" s="90">
        <v>11.417467670615499</v>
      </c>
      <c r="N736" s="90">
        <v>1.6703562190400301</v>
      </c>
      <c r="O736" s="90">
        <v>4.6269216090550298</v>
      </c>
      <c r="P736" s="90">
        <v>0.67691080961729999</v>
      </c>
      <c r="Q736" s="90">
        <v>1530.35261907157</v>
      </c>
      <c r="R736" s="90">
        <v>1410</v>
      </c>
      <c r="S736" s="90" t="s">
        <v>325</v>
      </c>
      <c r="T736" s="90">
        <v>1410</v>
      </c>
      <c r="U736" s="90" t="s">
        <v>378</v>
      </c>
      <c r="V736" s="90" t="s">
        <v>244</v>
      </c>
      <c r="Z736" s="90">
        <v>0</v>
      </c>
      <c r="AA736" s="90">
        <v>1</v>
      </c>
      <c r="AB736" s="90">
        <v>4.6269216090550298</v>
      </c>
      <c r="AC736" s="90">
        <v>0.67691080961729999</v>
      </c>
      <c r="AD736" s="90">
        <v>1530.35261907157</v>
      </c>
      <c r="AF736" s="90">
        <v>-1</v>
      </c>
      <c r="AG736" s="90">
        <v>-1</v>
      </c>
      <c r="AH736" s="90">
        <v>-1</v>
      </c>
      <c r="AI736" s="90">
        <v>-1</v>
      </c>
      <c r="AJ736" s="90">
        <v>0</v>
      </c>
      <c r="AM736" s="90" t="s">
        <v>379</v>
      </c>
      <c r="AN736" s="90">
        <v>-1</v>
      </c>
      <c r="AQ736" s="90">
        <v>356</v>
      </c>
      <c r="AR736" s="90" t="s">
        <v>380</v>
      </c>
      <c r="AS736" s="90" t="s">
        <v>246</v>
      </c>
      <c r="AT736" s="90" t="s">
        <v>244</v>
      </c>
      <c r="AU736" s="90">
        <v>175.87190000000001</v>
      </c>
      <c r="AV736" s="90">
        <v>165.60482819379899</v>
      </c>
      <c r="AW736" s="90">
        <v>1639.9860257748501</v>
      </c>
      <c r="AX736" s="90">
        <v>1.2411618971</v>
      </c>
    </row>
    <row r="737" spans="1:50" x14ac:dyDescent="0.25">
      <c r="A737" s="102">
        <v>830000</v>
      </c>
      <c r="B737" s="102">
        <v>2400000</v>
      </c>
      <c r="C737" s="102">
        <v>2500000</v>
      </c>
      <c r="D737" s="90" t="s">
        <v>374</v>
      </c>
      <c r="E737" s="90" t="s">
        <v>68</v>
      </c>
      <c r="F737" s="90" t="s">
        <v>375</v>
      </c>
      <c r="G737" s="90" t="s">
        <v>376</v>
      </c>
      <c r="H737" s="90">
        <v>0.59</v>
      </c>
      <c r="I737" s="90">
        <v>0.64</v>
      </c>
      <c r="J737" s="90" t="s">
        <v>244</v>
      </c>
      <c r="K737" s="90">
        <v>1.9299554302130002E-2</v>
      </c>
      <c r="L737" s="90">
        <v>3776.3232294009199</v>
      </c>
      <c r="M737" s="90">
        <v>11.417467670615499</v>
      </c>
      <c r="N737" s="90">
        <v>1.6703562190400301</v>
      </c>
      <c r="O737" s="90">
        <v>0.22035203730194999</v>
      </c>
      <c r="P737" s="90">
        <v>3.2237130553270002E-2</v>
      </c>
      <c r="Q737" s="90">
        <v>72.881355228248097</v>
      </c>
      <c r="R737" s="90">
        <v>1300</v>
      </c>
      <c r="S737" s="90" t="s">
        <v>387</v>
      </c>
      <c r="T737" s="90">
        <v>1300</v>
      </c>
      <c r="U737" s="90" t="s">
        <v>378</v>
      </c>
      <c r="V737" s="90" t="s">
        <v>244</v>
      </c>
      <c r="Z737" s="90">
        <v>0</v>
      </c>
      <c r="AA737" s="90">
        <v>1</v>
      </c>
      <c r="AB737" s="90">
        <v>0.22035203730194999</v>
      </c>
      <c r="AC737" s="90">
        <v>3.2237130553270002E-2</v>
      </c>
      <c r="AD737" s="90">
        <v>72.881355228246605</v>
      </c>
      <c r="AF737" s="90">
        <v>-1</v>
      </c>
      <c r="AG737" s="90">
        <v>-1</v>
      </c>
      <c r="AH737" s="90">
        <v>-1</v>
      </c>
      <c r="AI737" s="90">
        <v>-1</v>
      </c>
      <c r="AJ737" s="90">
        <v>0</v>
      </c>
      <c r="AM737" s="90" t="s">
        <v>379</v>
      </c>
      <c r="AN737" s="90">
        <v>-1</v>
      </c>
      <c r="AQ737" s="90">
        <v>356</v>
      </c>
      <c r="AR737" s="90" t="s">
        <v>380</v>
      </c>
      <c r="AS737" s="90" t="s">
        <v>246</v>
      </c>
      <c r="AT737" s="90" t="s">
        <v>244</v>
      </c>
      <c r="AU737" s="90">
        <v>175.87190000000001</v>
      </c>
      <c r="AV737" s="90">
        <v>103.127461951315</v>
      </c>
      <c r="AW737" s="90">
        <v>78.102525277063194</v>
      </c>
      <c r="AX737" s="90">
        <v>5.91089661E-2</v>
      </c>
    </row>
    <row r="738" spans="1:50" x14ac:dyDescent="0.25">
      <c r="A738" s="102">
        <v>830000</v>
      </c>
      <c r="B738" s="102">
        <v>2400000</v>
      </c>
      <c r="C738" s="102">
        <v>2500000</v>
      </c>
      <c r="D738" s="90" t="s">
        <v>374</v>
      </c>
      <c r="E738" s="90" t="s">
        <v>68</v>
      </c>
      <c r="F738" s="90" t="s">
        <v>375</v>
      </c>
      <c r="G738" s="90" t="s">
        <v>376</v>
      </c>
      <c r="H738" s="90">
        <v>0.59</v>
      </c>
      <c r="I738" s="90">
        <v>0.64</v>
      </c>
      <c r="J738" s="90" t="s">
        <v>244</v>
      </c>
      <c r="K738" s="90">
        <v>0.30908323515698999</v>
      </c>
      <c r="L738" s="90">
        <v>3752.2211386261602</v>
      </c>
      <c r="M738" s="90">
        <v>10.7949409778162</v>
      </c>
      <c r="N738" s="90">
        <v>2.0799025116944998</v>
      </c>
      <c r="O738" s="90">
        <v>3.3365352807522202</v>
      </c>
      <c r="P738" s="90">
        <v>0.64286299712567996</v>
      </c>
      <c r="Q738" s="90">
        <v>1159.7486485510201</v>
      </c>
      <c r="R738" s="90">
        <v>1300</v>
      </c>
      <c r="S738" s="90" t="s">
        <v>387</v>
      </c>
      <c r="T738" s="90">
        <v>1300</v>
      </c>
      <c r="U738" s="90" t="s">
        <v>378</v>
      </c>
      <c r="V738" s="90" t="s">
        <v>244</v>
      </c>
      <c r="Z738" s="90">
        <v>0</v>
      </c>
      <c r="AA738" s="90">
        <v>1</v>
      </c>
      <c r="AB738" s="90">
        <v>3.3365352807522202</v>
      </c>
      <c r="AC738" s="90">
        <v>0.64286299712567996</v>
      </c>
      <c r="AD738" s="90">
        <v>1209.11576514594</v>
      </c>
      <c r="AF738" s="90">
        <v>-1</v>
      </c>
      <c r="AG738" s="90">
        <v>-1</v>
      </c>
      <c r="AH738" s="90">
        <v>-1</v>
      </c>
      <c r="AI738" s="90">
        <v>-1</v>
      </c>
      <c r="AJ738" s="90">
        <v>0</v>
      </c>
      <c r="AM738" s="90" t="s">
        <v>379</v>
      </c>
      <c r="AN738" s="90">
        <v>-1</v>
      </c>
      <c r="AQ738" s="90">
        <v>356</v>
      </c>
      <c r="AR738" s="90" t="s">
        <v>380</v>
      </c>
      <c r="AS738" s="90" t="s">
        <v>246</v>
      </c>
      <c r="AT738" s="90" t="s">
        <v>244</v>
      </c>
      <c r="AU738" s="90">
        <v>175.87190000000001</v>
      </c>
      <c r="AV738" s="90">
        <v>150.042602512049</v>
      </c>
      <c r="AW738" s="90">
        <v>1250.8154752512301</v>
      </c>
      <c r="AX738" s="90">
        <v>0.98062916879999995</v>
      </c>
    </row>
    <row r="739" spans="1:50" x14ac:dyDescent="0.25">
      <c r="A739" s="102">
        <v>830000</v>
      </c>
      <c r="B739" s="102">
        <v>2400000</v>
      </c>
      <c r="C739" s="102">
        <v>2500000</v>
      </c>
      <c r="D739" s="90" t="s">
        <v>374</v>
      </c>
      <c r="E739" s="90" t="s">
        <v>68</v>
      </c>
      <c r="F739" s="90" t="s">
        <v>375</v>
      </c>
      <c r="G739" s="90" t="s">
        <v>376</v>
      </c>
      <c r="H739" s="90">
        <v>0.59</v>
      </c>
      <c r="I739" s="90">
        <v>0.64</v>
      </c>
      <c r="J739" s="90" t="s">
        <v>244</v>
      </c>
      <c r="K739" s="90">
        <v>0.22356828009485</v>
      </c>
      <c r="L739" s="90">
        <v>3734.9656204394601</v>
      </c>
      <c r="M739" s="90">
        <v>10.038896624898699</v>
      </c>
      <c r="N739" s="90">
        <v>1.4179640223344401</v>
      </c>
      <c r="O739" s="90">
        <v>2.2443788524786599</v>
      </c>
      <c r="P739" s="90">
        <v>0.31701177770969002</v>
      </c>
      <c r="Q739" s="90">
        <v>835.01983997506295</v>
      </c>
      <c r="R739" s="90">
        <v>1200</v>
      </c>
      <c r="S739" s="90" t="s">
        <v>384</v>
      </c>
      <c r="T739" s="90">
        <v>1200</v>
      </c>
      <c r="U739" s="90" t="s">
        <v>378</v>
      </c>
      <c r="V739" s="90" t="s">
        <v>244</v>
      </c>
      <c r="Z739" s="90">
        <v>0</v>
      </c>
      <c r="AA739" s="90">
        <v>1</v>
      </c>
      <c r="AB739" s="90">
        <v>2.2443788524786599</v>
      </c>
      <c r="AC739" s="90">
        <v>0.31701177770969002</v>
      </c>
      <c r="AD739" s="90">
        <v>835.01983997506295</v>
      </c>
      <c r="AF739" s="90">
        <v>-1</v>
      </c>
      <c r="AG739" s="90">
        <v>-1</v>
      </c>
      <c r="AH739" s="90">
        <v>-1</v>
      </c>
      <c r="AI739" s="90">
        <v>-1</v>
      </c>
      <c r="AJ739" s="90">
        <v>0</v>
      </c>
      <c r="AM739" s="90" t="s">
        <v>379</v>
      </c>
      <c r="AN739" s="90">
        <v>-1</v>
      </c>
      <c r="AQ739" s="90">
        <v>356</v>
      </c>
      <c r="AR739" s="90" t="s">
        <v>380</v>
      </c>
      <c r="AS739" s="90" t="s">
        <v>246</v>
      </c>
      <c r="AT739" s="90" t="s">
        <v>244</v>
      </c>
      <c r="AU739" s="90">
        <v>175.87190000000001</v>
      </c>
      <c r="AV739" s="90">
        <v>164.066346896027</v>
      </c>
      <c r="AW739" s="90">
        <v>904.74873014678701</v>
      </c>
      <c r="AX739" s="90">
        <v>0.67722614759999999</v>
      </c>
    </row>
    <row r="740" spans="1:50" x14ac:dyDescent="0.25">
      <c r="A740" s="102">
        <v>830000</v>
      </c>
      <c r="B740" s="102">
        <v>2400000</v>
      </c>
      <c r="C740" s="102">
        <v>2500000</v>
      </c>
      <c r="D740" s="90" t="s">
        <v>374</v>
      </c>
      <c r="E740" s="90" t="s">
        <v>68</v>
      </c>
      <c r="F740" s="90" t="s">
        <v>375</v>
      </c>
      <c r="G740" s="90" t="s">
        <v>376</v>
      </c>
      <c r="H740" s="90">
        <v>0.59</v>
      </c>
      <c r="I740" s="90">
        <v>0.64</v>
      </c>
      <c r="J740" s="90" t="s">
        <v>244</v>
      </c>
      <c r="K740" s="90">
        <v>0.20209010958465001</v>
      </c>
      <c r="L740" s="90">
        <v>3734.9656204394601</v>
      </c>
      <c r="M740" s="90">
        <v>10.038896624898699</v>
      </c>
      <c r="N740" s="90">
        <v>1.4179640223344401</v>
      </c>
      <c r="O740" s="90">
        <v>2.0287617190347702</v>
      </c>
      <c r="P740" s="90">
        <v>0.28655650466066002</v>
      </c>
      <c r="Q740" s="90">
        <v>754.799611529515</v>
      </c>
      <c r="R740" s="90">
        <v>1430</v>
      </c>
      <c r="S740" s="90" t="s">
        <v>326</v>
      </c>
      <c r="T740" s="90">
        <v>1430</v>
      </c>
      <c r="U740" s="90" t="s">
        <v>378</v>
      </c>
      <c r="V740" s="90" t="s">
        <v>244</v>
      </c>
      <c r="Z740" s="90">
        <v>0</v>
      </c>
      <c r="AA740" s="90">
        <v>1</v>
      </c>
      <c r="AB740" s="90">
        <v>2.0287617190347702</v>
      </c>
      <c r="AC740" s="90">
        <v>0.28655650466066002</v>
      </c>
      <c r="AD740" s="90">
        <v>754.799611529515</v>
      </c>
      <c r="AF740" s="90">
        <v>-1</v>
      </c>
      <c r="AG740" s="90">
        <v>-1</v>
      </c>
      <c r="AH740" s="90">
        <v>-1</v>
      </c>
      <c r="AI740" s="90">
        <v>-1</v>
      </c>
      <c r="AJ740" s="90">
        <v>0</v>
      </c>
      <c r="AM740" s="90" t="s">
        <v>379</v>
      </c>
      <c r="AN740" s="90">
        <v>-1</v>
      </c>
      <c r="AQ740" s="90">
        <v>356</v>
      </c>
      <c r="AR740" s="90" t="s">
        <v>380</v>
      </c>
      <c r="AS740" s="90" t="s">
        <v>246</v>
      </c>
      <c r="AT740" s="90" t="s">
        <v>244</v>
      </c>
      <c r="AU740" s="90">
        <v>175.87190000000001</v>
      </c>
      <c r="AV740" s="90">
        <v>131.62496368081</v>
      </c>
      <c r="AW740" s="90">
        <v>817.82965787616502</v>
      </c>
      <c r="AX740" s="90">
        <v>0.61216513510000004</v>
      </c>
    </row>
    <row r="741" spans="1:50" x14ac:dyDescent="0.25">
      <c r="A741" s="102">
        <v>830000</v>
      </c>
      <c r="B741" s="102">
        <v>2400000</v>
      </c>
      <c r="C741" s="102">
        <v>2500000</v>
      </c>
      <c r="D741" s="90" t="s">
        <v>374</v>
      </c>
      <c r="E741" s="90" t="s">
        <v>68</v>
      </c>
      <c r="F741" s="90" t="s">
        <v>375</v>
      </c>
      <c r="G741" s="90" t="s">
        <v>376</v>
      </c>
      <c r="H741" s="90">
        <v>0.59</v>
      </c>
      <c r="I741" s="90">
        <v>0.64</v>
      </c>
      <c r="J741" s="90" t="s">
        <v>244</v>
      </c>
      <c r="K741" s="90">
        <v>4.1476692948E-3</v>
      </c>
      <c r="L741" s="90">
        <v>3734.9656204394601</v>
      </c>
      <c r="M741" s="90">
        <v>10.038896624898699</v>
      </c>
      <c r="N741" s="90">
        <v>1.4179640223344401</v>
      </c>
      <c r="O741" s="90">
        <v>4.1638023284770002E-2</v>
      </c>
      <c r="P741" s="90">
        <v>5.8812458365600003E-3</v>
      </c>
      <c r="Q741" s="90">
        <v>15.4914022210341</v>
      </c>
      <c r="R741" s="90">
        <v>1430</v>
      </c>
      <c r="S741" s="90" t="s">
        <v>326</v>
      </c>
      <c r="T741" s="90">
        <v>1430</v>
      </c>
      <c r="U741" s="90" t="s">
        <v>378</v>
      </c>
      <c r="V741" s="90" t="s">
        <v>244</v>
      </c>
      <c r="Z741" s="90">
        <v>0</v>
      </c>
      <c r="AA741" s="90">
        <v>1</v>
      </c>
      <c r="AB741" s="90">
        <v>4.1638023284770002E-2</v>
      </c>
      <c r="AC741" s="90">
        <v>5.8812458365600003E-3</v>
      </c>
      <c r="AD741" s="90">
        <v>15.4914022210324</v>
      </c>
      <c r="AF741" s="90">
        <v>-1</v>
      </c>
      <c r="AG741" s="90">
        <v>-1</v>
      </c>
      <c r="AH741" s="90">
        <v>-1</v>
      </c>
      <c r="AI741" s="90">
        <v>-1</v>
      </c>
      <c r="AJ741" s="90">
        <v>0</v>
      </c>
      <c r="AM741" s="90" t="s">
        <v>379</v>
      </c>
      <c r="AN741" s="90">
        <v>-1</v>
      </c>
      <c r="AQ741" s="90">
        <v>356</v>
      </c>
      <c r="AR741" s="90" t="s">
        <v>380</v>
      </c>
      <c r="AS741" s="90" t="s">
        <v>246</v>
      </c>
      <c r="AT741" s="90" t="s">
        <v>244</v>
      </c>
      <c r="AU741" s="90">
        <v>175.87190000000001</v>
      </c>
      <c r="AV741" s="90">
        <v>36.947271137573303</v>
      </c>
      <c r="AW741" s="90">
        <v>16.785022123654802</v>
      </c>
      <c r="AX741" s="90">
        <v>1.2563992100000001E-2</v>
      </c>
    </row>
    <row r="742" spans="1:50" x14ac:dyDescent="0.25">
      <c r="A742" s="102">
        <v>830000</v>
      </c>
      <c r="B742" s="102">
        <v>2400000</v>
      </c>
      <c r="C742" s="102">
        <v>2500000</v>
      </c>
      <c r="D742" s="90" t="s">
        <v>374</v>
      </c>
      <c r="E742" s="90" t="s">
        <v>68</v>
      </c>
      <c r="F742" s="90" t="s">
        <v>375</v>
      </c>
      <c r="G742" s="90" t="s">
        <v>376</v>
      </c>
      <c r="H742" s="90">
        <v>0.59</v>
      </c>
      <c r="I742" s="90">
        <v>0.64</v>
      </c>
      <c r="J742" s="90" t="s">
        <v>244</v>
      </c>
      <c r="K742" s="90">
        <v>0.17798539528070001</v>
      </c>
      <c r="L742" s="90">
        <v>3734.9656204394601</v>
      </c>
      <c r="M742" s="90">
        <v>10.038896624898699</v>
      </c>
      <c r="N742" s="90">
        <v>1.4179640223344401</v>
      </c>
      <c r="O742" s="90">
        <v>1.7867769839647001</v>
      </c>
      <c r="P742" s="90">
        <v>0.25237688700900002</v>
      </c>
      <c r="Q742" s="90">
        <v>664.76933231374596</v>
      </c>
      <c r="R742" s="90">
        <v>1210</v>
      </c>
      <c r="S742" s="90" t="s">
        <v>385</v>
      </c>
      <c r="T742" s="90">
        <v>1210</v>
      </c>
      <c r="U742" s="90" t="s">
        <v>378</v>
      </c>
      <c r="V742" s="90" t="s">
        <v>244</v>
      </c>
      <c r="Z742" s="90">
        <v>0</v>
      </c>
      <c r="AA742" s="90">
        <v>1</v>
      </c>
      <c r="AB742" s="90">
        <v>1.7867769839647001</v>
      </c>
      <c r="AC742" s="90">
        <v>0.25237688700900002</v>
      </c>
      <c r="AD742" s="90">
        <v>664.76933231374596</v>
      </c>
      <c r="AF742" s="90">
        <v>-1</v>
      </c>
      <c r="AG742" s="90">
        <v>-1</v>
      </c>
      <c r="AH742" s="90">
        <v>-1</v>
      </c>
      <c r="AI742" s="90">
        <v>-1</v>
      </c>
      <c r="AJ742" s="90">
        <v>0</v>
      </c>
      <c r="AM742" s="90" t="s">
        <v>379</v>
      </c>
      <c r="AN742" s="90">
        <v>-1</v>
      </c>
      <c r="AQ742" s="90">
        <v>356</v>
      </c>
      <c r="AR742" s="90" t="s">
        <v>380</v>
      </c>
      <c r="AS742" s="90" t="s">
        <v>246</v>
      </c>
      <c r="AT742" s="90" t="s">
        <v>244</v>
      </c>
      <c r="AU742" s="90">
        <v>175.87190000000001</v>
      </c>
      <c r="AV742" s="90">
        <v>115.556472732073</v>
      </c>
      <c r="AW742" s="90">
        <v>720.281339985106</v>
      </c>
      <c r="AX742" s="90">
        <v>0.539147877</v>
      </c>
    </row>
    <row r="743" spans="1:50" x14ac:dyDescent="0.25">
      <c r="A743" s="102">
        <v>830000</v>
      </c>
      <c r="B743" s="102">
        <v>2400000</v>
      </c>
      <c r="C743" s="102">
        <v>2500000</v>
      </c>
      <c r="D743" s="90" t="s">
        <v>374</v>
      </c>
      <c r="E743" s="90" t="s">
        <v>68</v>
      </c>
      <c r="F743" s="90" t="s">
        <v>375</v>
      </c>
      <c r="G743" s="90" t="s">
        <v>376</v>
      </c>
      <c r="H743" s="90">
        <v>0.59</v>
      </c>
      <c r="I743" s="90">
        <v>0.64</v>
      </c>
      <c r="J743" s="90" t="s">
        <v>244</v>
      </c>
      <c r="K743" s="90">
        <v>9.9719994128999994E-3</v>
      </c>
      <c r="L743" s="90">
        <v>3734.9656204394601</v>
      </c>
      <c r="M743" s="90">
        <v>10.038896624898699</v>
      </c>
      <c r="N743" s="90">
        <v>1.4179640223344401</v>
      </c>
      <c r="O743" s="90">
        <v>0.10010787124971</v>
      </c>
      <c r="P743" s="90">
        <v>1.4139936398240001E-2</v>
      </c>
      <c r="Q743" s="90">
        <v>37.2450749742464</v>
      </c>
      <c r="R743" s="90">
        <v>1210</v>
      </c>
      <c r="S743" s="90" t="s">
        <v>385</v>
      </c>
      <c r="T743" s="90">
        <v>1210</v>
      </c>
      <c r="U743" s="90" t="s">
        <v>378</v>
      </c>
      <c r="V743" s="90" t="s">
        <v>244</v>
      </c>
      <c r="Z743" s="90">
        <v>0</v>
      </c>
      <c r="AA743" s="90">
        <v>1</v>
      </c>
      <c r="AB743" s="90">
        <v>0.10010787124971</v>
      </c>
      <c r="AC743" s="90">
        <v>1.4139936398240001E-2</v>
      </c>
      <c r="AD743" s="90">
        <v>37.245074974245398</v>
      </c>
      <c r="AF743" s="90">
        <v>-1</v>
      </c>
      <c r="AG743" s="90">
        <v>-1</v>
      </c>
      <c r="AH743" s="90">
        <v>-1</v>
      </c>
      <c r="AI743" s="90">
        <v>-1</v>
      </c>
      <c r="AJ743" s="90">
        <v>0</v>
      </c>
      <c r="AM743" s="90" t="s">
        <v>379</v>
      </c>
      <c r="AN743" s="90">
        <v>-1</v>
      </c>
      <c r="AQ743" s="90">
        <v>356</v>
      </c>
      <c r="AR743" s="90" t="s">
        <v>380</v>
      </c>
      <c r="AS743" s="90" t="s">
        <v>246</v>
      </c>
      <c r="AT743" s="90" t="s">
        <v>244</v>
      </c>
      <c r="AU743" s="90">
        <v>175.87190000000001</v>
      </c>
      <c r="AV743" s="90">
        <v>34.433280257524899</v>
      </c>
      <c r="AW743" s="90">
        <v>40.355249868286599</v>
      </c>
      <c r="AX743" s="90">
        <v>3.0206873499999998E-2</v>
      </c>
    </row>
    <row r="744" spans="1:50" x14ac:dyDescent="0.25">
      <c r="A744" s="102">
        <v>830000</v>
      </c>
      <c r="B744" s="102">
        <v>2400000</v>
      </c>
      <c r="C744" s="102">
        <v>2500000</v>
      </c>
      <c r="D744" s="90" t="s">
        <v>374</v>
      </c>
      <c r="E744" s="90" t="s">
        <v>68</v>
      </c>
      <c r="F744" s="90" t="s">
        <v>375</v>
      </c>
      <c r="G744" s="90" t="s">
        <v>376</v>
      </c>
      <c r="H744" s="90">
        <v>0.59</v>
      </c>
      <c r="I744" s="90">
        <v>0.64</v>
      </c>
      <c r="J744" s="90" t="s">
        <v>244</v>
      </c>
      <c r="K744" s="90">
        <v>3.2135938506400001E-3</v>
      </c>
      <c r="L744" s="90">
        <v>3773.5392045397298</v>
      </c>
      <c r="M744" s="90">
        <v>11.5949933238923</v>
      </c>
      <c r="N744" s="90">
        <v>1.5308238421881</v>
      </c>
      <c r="O744" s="90">
        <v>3.7261599243889998E-2</v>
      </c>
      <c r="P744" s="90">
        <v>4.9194460856699998E-3</v>
      </c>
      <c r="Q744" s="90">
        <v>12.1266223828653</v>
      </c>
      <c r="R744" s="90">
        <v>1400</v>
      </c>
      <c r="S744" s="90" t="s">
        <v>324</v>
      </c>
      <c r="T744" s="90">
        <v>1400</v>
      </c>
      <c r="U744" s="90" t="s">
        <v>378</v>
      </c>
      <c r="V744" s="90" t="s">
        <v>244</v>
      </c>
      <c r="Z744" s="90">
        <v>0</v>
      </c>
      <c r="AA744" s="90">
        <v>1</v>
      </c>
      <c r="AB744" s="90">
        <v>3.7261599243889998E-2</v>
      </c>
      <c r="AC744" s="90">
        <v>4.9194460856699998E-3</v>
      </c>
      <c r="AD744" s="90">
        <v>12.1266223828639</v>
      </c>
      <c r="AF744" s="90">
        <v>-1</v>
      </c>
      <c r="AG744" s="90">
        <v>-1</v>
      </c>
      <c r="AH744" s="90">
        <v>-1</v>
      </c>
      <c r="AI744" s="90">
        <v>-1</v>
      </c>
      <c r="AJ744" s="90">
        <v>0</v>
      </c>
      <c r="AM744" s="90" t="s">
        <v>379</v>
      </c>
      <c r="AN744" s="90">
        <v>-1</v>
      </c>
      <c r="AQ744" s="90">
        <v>356</v>
      </c>
      <c r="AR744" s="90" t="s">
        <v>380</v>
      </c>
      <c r="AS744" s="90" t="s">
        <v>246</v>
      </c>
      <c r="AT744" s="90" t="s">
        <v>244</v>
      </c>
      <c r="AU744" s="90">
        <v>175.87190000000001</v>
      </c>
      <c r="AV744" s="90">
        <v>147.62880759766</v>
      </c>
      <c r="AW744" s="90">
        <v>13.004952913454099</v>
      </c>
      <c r="AX744" s="90">
        <v>9.8350546000000004E-3</v>
      </c>
    </row>
    <row r="745" spans="1:50" x14ac:dyDescent="0.25">
      <c r="A745" s="102">
        <v>830000</v>
      </c>
      <c r="B745" s="102">
        <v>2400000</v>
      </c>
      <c r="C745" s="102">
        <v>2500000</v>
      </c>
      <c r="D745" s="90" t="s">
        <v>374</v>
      </c>
      <c r="E745" s="90" t="s">
        <v>68</v>
      </c>
      <c r="F745" s="90" t="s">
        <v>375</v>
      </c>
      <c r="G745" s="90" t="s">
        <v>376</v>
      </c>
      <c r="H745" s="90">
        <v>0.59</v>
      </c>
      <c r="I745" s="90">
        <v>0.64</v>
      </c>
      <c r="J745" s="90" t="s">
        <v>381</v>
      </c>
      <c r="K745" s="90">
        <v>0.36488663685521</v>
      </c>
      <c r="L745" s="90">
        <v>3773.5392045397298</v>
      </c>
      <c r="M745" s="90">
        <v>11.5949933238923</v>
      </c>
      <c r="N745" s="90">
        <v>1.5308238421881</v>
      </c>
      <c r="O745" s="90">
        <v>4.2308581183136802</v>
      </c>
      <c r="P745" s="90">
        <v>0.55857716339378005</v>
      </c>
      <c r="Q745" s="90">
        <v>1376.9140293857799</v>
      </c>
      <c r="R745" s="90">
        <v>1400</v>
      </c>
      <c r="S745" s="90" t="s">
        <v>324</v>
      </c>
      <c r="T745" s="90">
        <v>1400</v>
      </c>
      <c r="U745" s="90" t="s">
        <v>382</v>
      </c>
      <c r="V745" s="90" t="s">
        <v>381</v>
      </c>
      <c r="Z745" s="90">
        <v>0</v>
      </c>
      <c r="AA745" s="90">
        <v>1</v>
      </c>
      <c r="AB745" s="90">
        <v>4.2308581183136802</v>
      </c>
      <c r="AC745" s="90">
        <v>0.55857716339378005</v>
      </c>
      <c r="AD745" s="90">
        <v>1382.99573863351</v>
      </c>
      <c r="AF745" s="90">
        <v>-1</v>
      </c>
      <c r="AG745" s="90">
        <v>-1</v>
      </c>
      <c r="AH745" s="90">
        <v>-1</v>
      </c>
      <c r="AI745" s="90">
        <v>-1</v>
      </c>
      <c r="AJ745" s="90">
        <v>0</v>
      </c>
      <c r="AM745" s="90" t="s">
        <v>379</v>
      </c>
      <c r="AN745" s="90">
        <v>-1</v>
      </c>
      <c r="AQ745" s="90">
        <v>356</v>
      </c>
      <c r="AR745" s="90" t="s">
        <v>380</v>
      </c>
      <c r="AS745" s="90" t="s">
        <v>246</v>
      </c>
      <c r="AT745" s="90" t="s">
        <v>244</v>
      </c>
      <c r="AU745" s="90">
        <v>175.87190000000001</v>
      </c>
      <c r="AV745" s="90">
        <v>262.33856977960897</v>
      </c>
      <c r="AW745" s="90">
        <v>1476.64382980544</v>
      </c>
      <c r="AX745" s="90">
        <v>1.1216510450999999</v>
      </c>
    </row>
    <row r="746" spans="1:50" x14ac:dyDescent="0.25">
      <c r="A746" s="102">
        <v>830000</v>
      </c>
      <c r="B746" s="102">
        <v>2400000</v>
      </c>
      <c r="C746" s="102">
        <v>2500000</v>
      </c>
      <c r="D746" s="90" t="s">
        <v>374</v>
      </c>
      <c r="E746" s="90" t="s">
        <v>68</v>
      </c>
      <c r="F746" s="90" t="s">
        <v>375</v>
      </c>
      <c r="G746" s="90" t="s">
        <v>376</v>
      </c>
      <c r="H746" s="90">
        <v>0.59</v>
      </c>
      <c r="I746" s="90">
        <v>0.64</v>
      </c>
      <c r="J746" s="90" t="s">
        <v>244</v>
      </c>
      <c r="K746" s="90">
        <v>2.6703788069700001E-3</v>
      </c>
      <c r="L746" s="90">
        <v>3773.5392045397298</v>
      </c>
      <c r="M746" s="90">
        <v>11.5949933238923</v>
      </c>
      <c r="N746" s="90">
        <v>1.5308238421881</v>
      </c>
      <c r="O746" s="90">
        <v>3.096302443915E-2</v>
      </c>
      <c r="P746" s="90">
        <v>4.0878795453899996E-3</v>
      </c>
      <c r="Q746" s="90">
        <v>10.0767791190959</v>
      </c>
      <c r="R746" s="90">
        <v>1410</v>
      </c>
      <c r="S746" s="90" t="s">
        <v>325</v>
      </c>
      <c r="T746" s="90">
        <v>1410</v>
      </c>
      <c r="U746" s="90" t="s">
        <v>378</v>
      </c>
      <c r="V746" s="90" t="s">
        <v>244</v>
      </c>
      <c r="Z746" s="90">
        <v>0</v>
      </c>
      <c r="AA746" s="90">
        <v>1</v>
      </c>
      <c r="AB746" s="90">
        <v>3.096302443915E-2</v>
      </c>
      <c r="AC746" s="90">
        <v>4.0878795453899996E-3</v>
      </c>
      <c r="AD746" s="90">
        <v>10.0767791190945</v>
      </c>
      <c r="AF746" s="90">
        <v>-1</v>
      </c>
      <c r="AG746" s="90">
        <v>-1</v>
      </c>
      <c r="AH746" s="90">
        <v>-1</v>
      </c>
      <c r="AI746" s="90">
        <v>-1</v>
      </c>
      <c r="AJ746" s="90">
        <v>0</v>
      </c>
      <c r="AM746" s="90" t="s">
        <v>379</v>
      </c>
      <c r="AN746" s="90">
        <v>-1</v>
      </c>
      <c r="AQ746" s="90">
        <v>356</v>
      </c>
      <c r="AR746" s="90" t="s">
        <v>380</v>
      </c>
      <c r="AS746" s="90" t="s">
        <v>246</v>
      </c>
      <c r="AT746" s="90" t="s">
        <v>244</v>
      </c>
      <c r="AU746" s="90">
        <v>175.87190000000001</v>
      </c>
      <c r="AV746" s="90">
        <v>13.446420698801299</v>
      </c>
      <c r="AW746" s="90">
        <v>10.806639625250099</v>
      </c>
      <c r="AX746" s="90">
        <v>8.1725702999999993E-3</v>
      </c>
    </row>
    <row r="747" spans="1:50" x14ac:dyDescent="0.25">
      <c r="A747" s="102">
        <v>830000</v>
      </c>
      <c r="B747" s="102">
        <v>2400000</v>
      </c>
      <c r="C747" s="102">
        <v>2500000</v>
      </c>
      <c r="D747" s="90" t="s">
        <v>374</v>
      </c>
      <c r="E747" s="90" t="s">
        <v>68</v>
      </c>
      <c r="F747" s="90" t="s">
        <v>375</v>
      </c>
      <c r="G747" s="90" t="s">
        <v>376</v>
      </c>
      <c r="H747" s="90">
        <v>0.59</v>
      </c>
      <c r="I747" s="90">
        <v>0.64</v>
      </c>
      <c r="J747" s="90" t="s">
        <v>381</v>
      </c>
      <c r="K747" s="90">
        <v>3.8615079410000001E-5</v>
      </c>
      <c r="L747" s="90">
        <v>3773.5392045397298</v>
      </c>
      <c r="M747" s="90">
        <v>11.5949933238923</v>
      </c>
      <c r="N747" s="90">
        <v>1.5308238421881</v>
      </c>
      <c r="O747" s="90">
        <v>4.4774158798000001E-4</v>
      </c>
      <c r="P747" s="90">
        <v>5.9112884229999997E-5</v>
      </c>
      <c r="Q747" s="90">
        <v>0.14571551604759</v>
      </c>
      <c r="R747" s="90">
        <v>1410</v>
      </c>
      <c r="S747" s="90" t="s">
        <v>325</v>
      </c>
      <c r="T747" s="90">
        <v>1410</v>
      </c>
      <c r="U747" s="90" t="s">
        <v>382</v>
      </c>
      <c r="V747" s="90" t="s">
        <v>381</v>
      </c>
      <c r="Z747" s="90">
        <v>0</v>
      </c>
      <c r="AA747" s="90">
        <v>1</v>
      </c>
      <c r="AB747" s="90">
        <v>4.4774158798000001E-4</v>
      </c>
      <c r="AC747" s="90">
        <v>5.9112884229999997E-5</v>
      </c>
      <c r="AD747" s="90">
        <v>0.14571551604663999</v>
      </c>
      <c r="AF747" s="90">
        <v>-1</v>
      </c>
      <c r="AG747" s="90">
        <v>-1</v>
      </c>
      <c r="AH747" s="90">
        <v>-1</v>
      </c>
      <c r="AI747" s="90">
        <v>-1</v>
      </c>
      <c r="AJ747" s="90">
        <v>0</v>
      </c>
      <c r="AM747" s="90" t="s">
        <v>379</v>
      </c>
      <c r="AN747" s="90">
        <v>-1</v>
      </c>
      <c r="AQ747" s="90">
        <v>356</v>
      </c>
      <c r="AR747" s="90" t="s">
        <v>380</v>
      </c>
      <c r="AS747" s="90" t="s">
        <v>246</v>
      </c>
      <c r="AT747" s="90" t="s">
        <v>244</v>
      </c>
      <c r="AU747" s="90">
        <v>175.87190000000001</v>
      </c>
      <c r="AV747" s="90">
        <v>7.88522374032339</v>
      </c>
      <c r="AW747" s="90">
        <v>0.15626968211892001</v>
      </c>
      <c r="AX747" s="90">
        <v>1.181797E-4</v>
      </c>
    </row>
    <row r="748" spans="1:50" x14ac:dyDescent="0.25">
      <c r="A748" s="102">
        <v>830000</v>
      </c>
      <c r="B748" s="102">
        <v>2400000</v>
      </c>
      <c r="C748" s="102">
        <v>2500000</v>
      </c>
      <c r="D748" s="90" t="s">
        <v>374</v>
      </c>
      <c r="E748" s="90" t="s">
        <v>68</v>
      </c>
      <c r="F748" s="90" t="s">
        <v>375</v>
      </c>
      <c r="G748" s="90" t="s">
        <v>376</v>
      </c>
      <c r="H748" s="90">
        <v>0.59</v>
      </c>
      <c r="I748" s="90">
        <v>0.64</v>
      </c>
      <c r="J748" s="90" t="s">
        <v>244</v>
      </c>
      <c r="K748" s="90">
        <v>0.24316119748998999</v>
      </c>
      <c r="L748" s="90">
        <v>3773.5392045397298</v>
      </c>
      <c r="M748" s="90">
        <v>11.5949933238923</v>
      </c>
      <c r="N748" s="90">
        <v>1.5308238421881</v>
      </c>
      <c r="O748" s="90">
        <v>2.8194524615261898</v>
      </c>
      <c r="P748" s="90">
        <v>0.37223695861270001</v>
      </c>
      <c r="Q748" s="90">
        <v>917.57831175133504</v>
      </c>
      <c r="R748" s="90">
        <v>1410</v>
      </c>
      <c r="S748" s="90" t="s">
        <v>325</v>
      </c>
      <c r="T748" s="90">
        <v>1410</v>
      </c>
      <c r="U748" s="90" t="s">
        <v>378</v>
      </c>
      <c r="V748" s="90" t="s">
        <v>244</v>
      </c>
      <c r="Z748" s="90">
        <v>0</v>
      </c>
      <c r="AA748" s="90">
        <v>1</v>
      </c>
      <c r="AB748" s="90">
        <v>2.8194524615261898</v>
      </c>
      <c r="AC748" s="90">
        <v>0.37223695861270001</v>
      </c>
      <c r="AD748" s="90">
        <v>917.57831175133504</v>
      </c>
      <c r="AF748" s="90">
        <v>-1</v>
      </c>
      <c r="AG748" s="90">
        <v>-1</v>
      </c>
      <c r="AH748" s="90">
        <v>-1</v>
      </c>
      <c r="AI748" s="90">
        <v>-1</v>
      </c>
      <c r="AJ748" s="90">
        <v>0</v>
      </c>
      <c r="AM748" s="90" t="s">
        <v>379</v>
      </c>
      <c r="AN748" s="90">
        <v>-1</v>
      </c>
      <c r="AQ748" s="90">
        <v>356</v>
      </c>
      <c r="AR748" s="90" t="s">
        <v>380</v>
      </c>
      <c r="AS748" s="90" t="s">
        <v>246</v>
      </c>
      <c r="AT748" s="90" t="s">
        <v>244</v>
      </c>
      <c r="AU748" s="90">
        <v>175.87190000000001</v>
      </c>
      <c r="AV748" s="90">
        <v>139.36589417794301</v>
      </c>
      <c r="AW748" s="90">
        <v>984.038453740872</v>
      </c>
      <c r="AX748" s="90">
        <v>0.7441835456</v>
      </c>
    </row>
    <row r="749" spans="1:50" x14ac:dyDescent="0.25">
      <c r="A749" s="102">
        <v>830000</v>
      </c>
      <c r="B749" s="102">
        <v>2400000</v>
      </c>
      <c r="C749" s="102">
        <v>2500000</v>
      </c>
      <c r="D749" s="90" t="s">
        <v>374</v>
      </c>
      <c r="E749" s="90" t="s">
        <v>68</v>
      </c>
      <c r="F749" s="90" t="s">
        <v>375</v>
      </c>
      <c r="G749" s="90" t="s">
        <v>376</v>
      </c>
      <c r="H749" s="90">
        <v>0.59</v>
      </c>
      <c r="I749" s="90">
        <v>0.64</v>
      </c>
      <c r="J749" s="90" t="s">
        <v>381</v>
      </c>
      <c r="K749" s="90">
        <v>2.1813592314500001E-3</v>
      </c>
      <c r="L749" s="90">
        <v>3773.5392045397298</v>
      </c>
      <c r="M749" s="90">
        <v>11.5949933238923</v>
      </c>
      <c r="N749" s="90">
        <v>1.5308238421881</v>
      </c>
      <c r="O749" s="90">
        <v>2.5292845725759999E-2</v>
      </c>
      <c r="P749" s="90">
        <v>3.33927671989E-3</v>
      </c>
      <c r="Q749" s="90">
        <v>8.2314445790914199</v>
      </c>
      <c r="R749" s="90">
        <v>1410</v>
      </c>
      <c r="S749" s="90" t="s">
        <v>325</v>
      </c>
      <c r="T749" s="90">
        <v>1410</v>
      </c>
      <c r="U749" s="90" t="s">
        <v>382</v>
      </c>
      <c r="V749" s="90" t="s">
        <v>381</v>
      </c>
      <c r="Z749" s="90">
        <v>0</v>
      </c>
      <c r="AA749" s="90">
        <v>1</v>
      </c>
      <c r="AB749" s="90">
        <v>2.5292845725759999E-2</v>
      </c>
      <c r="AC749" s="90">
        <v>3.33927671989E-3</v>
      </c>
      <c r="AD749" s="90">
        <v>8.2314445790907396</v>
      </c>
      <c r="AF749" s="90">
        <v>-1</v>
      </c>
      <c r="AG749" s="90">
        <v>-1</v>
      </c>
      <c r="AH749" s="90">
        <v>-1</v>
      </c>
      <c r="AI749" s="90">
        <v>-1</v>
      </c>
      <c r="AJ749" s="90">
        <v>0</v>
      </c>
      <c r="AM749" s="90" t="s">
        <v>379</v>
      </c>
      <c r="AN749" s="90">
        <v>-1</v>
      </c>
      <c r="AQ749" s="90">
        <v>356</v>
      </c>
      <c r="AR749" s="90" t="s">
        <v>380</v>
      </c>
      <c r="AS749" s="90" t="s">
        <v>246</v>
      </c>
      <c r="AT749" s="90" t="s">
        <v>244</v>
      </c>
      <c r="AU749" s="90">
        <v>175.87190000000001</v>
      </c>
      <c r="AV749" s="90">
        <v>102.38626486283</v>
      </c>
      <c r="AW749" s="90">
        <v>8.8276476153865904</v>
      </c>
      <c r="AX749" s="90">
        <v>6.6759486000000003E-3</v>
      </c>
    </row>
    <row r="750" spans="1:50" x14ac:dyDescent="0.25">
      <c r="A750" s="102">
        <v>830000</v>
      </c>
      <c r="B750" s="102">
        <v>2400000</v>
      </c>
      <c r="C750" s="102">
        <v>2500000</v>
      </c>
      <c r="D750" s="90" t="s">
        <v>374</v>
      </c>
      <c r="E750" s="90" t="s">
        <v>68</v>
      </c>
      <c r="F750" s="90" t="s">
        <v>375</v>
      </c>
      <c r="G750" s="90" t="s">
        <v>376</v>
      </c>
      <c r="H750" s="90">
        <v>0.59</v>
      </c>
      <c r="I750" s="90">
        <v>0.64</v>
      </c>
      <c r="J750" s="90" t="s">
        <v>244</v>
      </c>
      <c r="K750" s="90">
        <v>0.20876872522185999</v>
      </c>
      <c r="L750" s="90">
        <v>3761.6745980614</v>
      </c>
      <c r="M750" s="90">
        <v>8.0510729966278003</v>
      </c>
      <c r="N750" s="90">
        <v>1.1085781312279701</v>
      </c>
      <c r="O750" s="90">
        <v>1.6808122461741299</v>
      </c>
      <c r="P750" s="90">
        <v>0.23143644326529</v>
      </c>
      <c r="Q750" s="90">
        <v>785.32001053673503</v>
      </c>
      <c r="R750" s="90">
        <v>1400</v>
      </c>
      <c r="S750" s="90" t="s">
        <v>324</v>
      </c>
      <c r="T750" s="90">
        <v>1400</v>
      </c>
      <c r="U750" s="90" t="s">
        <v>378</v>
      </c>
      <c r="V750" s="90" t="s">
        <v>244</v>
      </c>
      <c r="Z750" s="90">
        <v>0</v>
      </c>
      <c r="AA750" s="90">
        <v>1</v>
      </c>
      <c r="AB750" s="90">
        <v>1.6808122461741299</v>
      </c>
      <c r="AC750" s="90">
        <v>0.23143644326529</v>
      </c>
      <c r="AD750" s="90">
        <v>785.32001053673503</v>
      </c>
      <c r="AF750" s="90">
        <v>-1</v>
      </c>
      <c r="AG750" s="90">
        <v>-1</v>
      </c>
      <c r="AH750" s="90">
        <v>-1</v>
      </c>
      <c r="AI750" s="90">
        <v>-1</v>
      </c>
      <c r="AJ750" s="90">
        <v>0</v>
      </c>
      <c r="AM750" s="90" t="s">
        <v>379</v>
      </c>
      <c r="AN750" s="90">
        <v>-1</v>
      </c>
      <c r="AQ750" s="90">
        <v>356</v>
      </c>
      <c r="AR750" s="90" t="s">
        <v>380</v>
      </c>
      <c r="AS750" s="90" t="s">
        <v>246</v>
      </c>
      <c r="AT750" s="90" t="s">
        <v>244</v>
      </c>
      <c r="AU750" s="90">
        <v>175.87190000000001</v>
      </c>
      <c r="AV750" s="90">
        <v>133.78453417177801</v>
      </c>
      <c r="AW750" s="90">
        <v>844.85705646035001</v>
      </c>
      <c r="AX750" s="90">
        <v>0.63691809450000003</v>
      </c>
    </row>
    <row r="751" spans="1:50" x14ac:dyDescent="0.25">
      <c r="A751" s="102">
        <v>830000</v>
      </c>
      <c r="B751" s="102">
        <v>2400000</v>
      </c>
      <c r="C751" s="102">
        <v>2500000</v>
      </c>
      <c r="D751" s="90" t="s">
        <v>374</v>
      </c>
      <c r="E751" s="90" t="s">
        <v>68</v>
      </c>
      <c r="F751" s="90" t="s">
        <v>375</v>
      </c>
      <c r="G751" s="90" t="s">
        <v>376</v>
      </c>
      <c r="H751" s="90">
        <v>0.59</v>
      </c>
      <c r="I751" s="90">
        <v>0.64</v>
      </c>
      <c r="J751" s="90" t="s">
        <v>244</v>
      </c>
      <c r="K751" s="90">
        <v>2.404006002287E-2</v>
      </c>
      <c r="L751" s="90">
        <v>3761.6745980614</v>
      </c>
      <c r="M751" s="90">
        <v>8.0510729966278003</v>
      </c>
      <c r="N751" s="90">
        <v>1.1085781312279701</v>
      </c>
      <c r="O751" s="90">
        <v>0.19354827808746</v>
      </c>
      <c r="P751" s="90">
        <v>2.6650284814759999E-2</v>
      </c>
      <c r="Q751" s="90">
        <v>90.430883123912693</v>
      </c>
      <c r="R751" s="90">
        <v>1410</v>
      </c>
      <c r="S751" s="90" t="s">
        <v>325</v>
      </c>
      <c r="T751" s="90">
        <v>1410</v>
      </c>
      <c r="U751" s="90" t="s">
        <v>378</v>
      </c>
      <c r="V751" s="90" t="s">
        <v>244</v>
      </c>
      <c r="Z751" s="90">
        <v>0</v>
      </c>
      <c r="AA751" s="90">
        <v>1</v>
      </c>
      <c r="AB751" s="90">
        <v>0.19354827808746</v>
      </c>
      <c r="AC751" s="90">
        <v>2.6650284814759999E-2</v>
      </c>
      <c r="AD751" s="90">
        <v>90.430883123911599</v>
      </c>
      <c r="AF751" s="90">
        <v>-1</v>
      </c>
      <c r="AG751" s="90">
        <v>-1</v>
      </c>
      <c r="AH751" s="90">
        <v>-1</v>
      </c>
      <c r="AI751" s="90">
        <v>-1</v>
      </c>
      <c r="AJ751" s="90">
        <v>0</v>
      </c>
      <c r="AM751" s="90" t="s">
        <v>379</v>
      </c>
      <c r="AN751" s="90">
        <v>-1</v>
      </c>
      <c r="AQ751" s="90">
        <v>356</v>
      </c>
      <c r="AR751" s="90" t="s">
        <v>380</v>
      </c>
      <c r="AS751" s="90" t="s">
        <v>246</v>
      </c>
      <c r="AT751" s="90" t="s">
        <v>244</v>
      </c>
      <c r="AU751" s="90">
        <v>175.87190000000001</v>
      </c>
      <c r="AV751" s="90">
        <v>72.013621430222798</v>
      </c>
      <c r="AW751" s="90">
        <v>97.286671298444006</v>
      </c>
      <c r="AX751" s="90">
        <v>7.3342159899999995E-2</v>
      </c>
    </row>
    <row r="752" spans="1:50" x14ac:dyDescent="0.25">
      <c r="A752" s="102">
        <v>830000</v>
      </c>
      <c r="B752" s="102">
        <v>2400000</v>
      </c>
      <c r="C752" s="102">
        <v>2500000</v>
      </c>
      <c r="D752" s="90" t="s">
        <v>374</v>
      </c>
      <c r="E752" s="90" t="s">
        <v>68</v>
      </c>
      <c r="F752" s="90" t="s">
        <v>375</v>
      </c>
      <c r="G752" s="90" t="s">
        <v>376</v>
      </c>
      <c r="H752" s="90">
        <v>0.59</v>
      </c>
      <c r="I752" s="90">
        <v>0.64</v>
      </c>
      <c r="J752" s="90" t="s">
        <v>244</v>
      </c>
      <c r="K752" s="90">
        <v>1.3644149372420001E-2</v>
      </c>
      <c r="L752" s="90">
        <v>3761.6745980614</v>
      </c>
      <c r="M752" s="90">
        <v>8.0510729966278003</v>
      </c>
      <c r="N752" s="90">
        <v>1.1085781312279701</v>
      </c>
      <c r="O752" s="90">
        <v>0.10985004257431</v>
      </c>
      <c r="P752" s="90">
        <v>1.512560561348E-2</v>
      </c>
      <c r="Q752" s="90">
        <v>51.324850106417799</v>
      </c>
      <c r="R752" s="90">
        <v>1300</v>
      </c>
      <c r="S752" s="90" t="s">
        <v>387</v>
      </c>
      <c r="T752" s="90">
        <v>1300</v>
      </c>
      <c r="U752" s="90" t="s">
        <v>378</v>
      </c>
      <c r="V752" s="90" t="s">
        <v>244</v>
      </c>
      <c r="Z752" s="90">
        <v>0</v>
      </c>
      <c r="AA752" s="90">
        <v>1</v>
      </c>
      <c r="AB752" s="90">
        <v>0.10985004257431</v>
      </c>
      <c r="AC752" s="90">
        <v>1.512560561348E-2</v>
      </c>
      <c r="AD752" s="90">
        <v>51.324850106417003</v>
      </c>
      <c r="AF752" s="90">
        <v>-1</v>
      </c>
      <c r="AG752" s="90">
        <v>-1</v>
      </c>
      <c r="AH752" s="90">
        <v>-1</v>
      </c>
      <c r="AI752" s="90">
        <v>-1</v>
      </c>
      <c r="AJ752" s="90">
        <v>0</v>
      </c>
      <c r="AM752" s="90" t="s">
        <v>379</v>
      </c>
      <c r="AN752" s="90">
        <v>-1</v>
      </c>
      <c r="AQ752" s="90">
        <v>356</v>
      </c>
      <c r="AR752" s="90" t="s">
        <v>380</v>
      </c>
      <c r="AS752" s="90" t="s">
        <v>246</v>
      </c>
      <c r="AT752" s="90" t="s">
        <v>244</v>
      </c>
      <c r="AU752" s="90">
        <v>175.87190000000001</v>
      </c>
      <c r="AV752" s="90">
        <v>40.395484977688</v>
      </c>
      <c r="AW752" s="90">
        <v>55.215913515994302</v>
      </c>
      <c r="AX752" s="90">
        <v>4.1625993600000001E-2</v>
      </c>
    </row>
    <row r="753" spans="1:50" x14ac:dyDescent="0.25">
      <c r="A753" s="102">
        <v>830000</v>
      </c>
      <c r="B753" s="102">
        <v>2400000</v>
      </c>
      <c r="C753" s="102">
        <v>2500000</v>
      </c>
      <c r="D753" s="90" t="s">
        <v>374</v>
      </c>
      <c r="E753" s="90" t="s">
        <v>68</v>
      </c>
      <c r="F753" s="90" t="s">
        <v>375</v>
      </c>
      <c r="G753" s="90" t="s">
        <v>376</v>
      </c>
      <c r="H753" s="90">
        <v>0.59</v>
      </c>
      <c r="I753" s="90">
        <v>0.64</v>
      </c>
      <c r="J753" s="90" t="s">
        <v>244</v>
      </c>
      <c r="K753" s="90">
        <v>2.6681674044579998E-2</v>
      </c>
      <c r="L753" s="90">
        <v>3752.2321466220101</v>
      </c>
      <c r="M753" s="90">
        <v>10.7949726472352</v>
      </c>
      <c r="N753" s="90">
        <v>2.0799086135623499</v>
      </c>
      <c r="O753" s="90">
        <v>0.28802794149376998</v>
      </c>
      <c r="P753" s="90">
        <v>5.5495443669599999E-2</v>
      </c>
      <c r="Q753" s="90">
        <v>100.115835075793</v>
      </c>
      <c r="R753" s="90">
        <v>1300</v>
      </c>
      <c r="S753" s="90" t="s">
        <v>387</v>
      </c>
      <c r="T753" s="90">
        <v>1300</v>
      </c>
      <c r="U753" s="90" t="s">
        <v>378</v>
      </c>
      <c r="V753" s="90" t="s">
        <v>244</v>
      </c>
      <c r="Z753" s="90">
        <v>0</v>
      </c>
      <c r="AA753" s="90">
        <v>1</v>
      </c>
      <c r="AB753" s="90">
        <v>0.28802794149376998</v>
      </c>
      <c r="AC753" s="90">
        <v>5.5495443669599999E-2</v>
      </c>
      <c r="AD753" s="90">
        <v>100.115835075794</v>
      </c>
      <c r="AF753" s="90">
        <v>-1</v>
      </c>
      <c r="AG753" s="90">
        <v>-1</v>
      </c>
      <c r="AH753" s="90">
        <v>-1</v>
      </c>
      <c r="AI753" s="90">
        <v>-1</v>
      </c>
      <c r="AJ753" s="90">
        <v>0</v>
      </c>
      <c r="AM753" s="90" t="s">
        <v>379</v>
      </c>
      <c r="AN753" s="90">
        <v>-1</v>
      </c>
      <c r="AQ753" s="90">
        <v>356</v>
      </c>
      <c r="AR753" s="90" t="s">
        <v>380</v>
      </c>
      <c r="AS753" s="90" t="s">
        <v>246</v>
      </c>
      <c r="AT753" s="90" t="s">
        <v>244</v>
      </c>
      <c r="AU753" s="90">
        <v>175.87190000000001</v>
      </c>
      <c r="AV753" s="90">
        <v>58.660465991912503</v>
      </c>
      <c r="AW753" s="90">
        <v>107.97690396772499</v>
      </c>
      <c r="AX753" s="90">
        <v>8.1196946500000006E-2</v>
      </c>
    </row>
    <row r="754" spans="1:50" x14ac:dyDescent="0.25">
      <c r="A754" s="102">
        <v>830000</v>
      </c>
      <c r="B754" s="102">
        <v>2400000</v>
      </c>
      <c r="C754" s="102">
        <v>2500000</v>
      </c>
      <c r="D754" s="90" t="s">
        <v>374</v>
      </c>
      <c r="E754" s="90" t="s">
        <v>68</v>
      </c>
      <c r="F754" s="90" t="s">
        <v>375</v>
      </c>
      <c r="G754" s="90" t="s">
        <v>376</v>
      </c>
      <c r="H754" s="90">
        <v>0.59</v>
      </c>
      <c r="I754" s="90">
        <v>0.64</v>
      </c>
      <c r="J754" s="90" t="s">
        <v>244</v>
      </c>
      <c r="K754" s="90">
        <v>4.3376806638299997E-3</v>
      </c>
      <c r="L754" s="90">
        <v>3752.2321466220101</v>
      </c>
      <c r="M754" s="90">
        <v>10.7949726472352</v>
      </c>
      <c r="N754" s="90">
        <v>2.0799086135623499</v>
      </c>
      <c r="O754" s="90">
        <v>4.6825144118579999E-2</v>
      </c>
      <c r="P754" s="90">
        <v>9.0219793756000002E-3</v>
      </c>
      <c r="Q754" s="90">
        <v>16.275984828637402</v>
      </c>
      <c r="R754" s="90">
        <v>1300</v>
      </c>
      <c r="S754" s="90" t="s">
        <v>387</v>
      </c>
      <c r="T754" s="90">
        <v>1300</v>
      </c>
      <c r="U754" s="90" t="s">
        <v>378</v>
      </c>
      <c r="V754" s="90" t="s">
        <v>244</v>
      </c>
      <c r="Z754" s="90">
        <v>0</v>
      </c>
      <c r="AA754" s="90">
        <v>1</v>
      </c>
      <c r="AB754" s="90">
        <v>4.6825144118579999E-2</v>
      </c>
      <c r="AC754" s="90">
        <v>9.0219793756000002E-3</v>
      </c>
      <c r="AD754" s="90">
        <v>16.275984828635799</v>
      </c>
      <c r="AF754" s="90">
        <v>-1</v>
      </c>
      <c r="AG754" s="90">
        <v>-1</v>
      </c>
      <c r="AH754" s="90">
        <v>-1</v>
      </c>
      <c r="AI754" s="90">
        <v>-1</v>
      </c>
      <c r="AJ754" s="90">
        <v>0</v>
      </c>
      <c r="AM754" s="90" t="s">
        <v>379</v>
      </c>
      <c r="AN754" s="90">
        <v>-1</v>
      </c>
      <c r="AQ754" s="90">
        <v>356</v>
      </c>
      <c r="AR754" s="90" t="s">
        <v>380</v>
      </c>
      <c r="AS754" s="90" t="s">
        <v>246</v>
      </c>
      <c r="AT754" s="90" t="s">
        <v>244</v>
      </c>
      <c r="AU754" s="90">
        <v>175.87190000000001</v>
      </c>
      <c r="AV754" s="90">
        <v>18.493615026779</v>
      </c>
      <c r="AW754" s="90">
        <v>17.5539708527754</v>
      </c>
      <c r="AX754" s="90">
        <v>1.32003121E-2</v>
      </c>
    </row>
    <row r="755" spans="1:50" x14ac:dyDescent="0.25">
      <c r="A755" s="102">
        <v>830000</v>
      </c>
      <c r="B755" s="102">
        <v>2400000</v>
      </c>
      <c r="C755" s="102">
        <v>2500000</v>
      </c>
      <c r="D755" s="90" t="s">
        <v>374</v>
      </c>
      <c r="E755" s="90" t="s">
        <v>68</v>
      </c>
      <c r="F755" s="90" t="s">
        <v>375</v>
      </c>
      <c r="G755" s="90" t="s">
        <v>376</v>
      </c>
      <c r="H755" s="90">
        <v>0.59</v>
      </c>
      <c r="I755" s="90">
        <v>0.64</v>
      </c>
      <c r="J755" s="90" t="s">
        <v>244</v>
      </c>
      <c r="K755" s="90">
        <v>0.29032528181061001</v>
      </c>
      <c r="L755" s="90">
        <v>3752.2321466220101</v>
      </c>
      <c r="M755" s="90">
        <v>10.7949726472352</v>
      </c>
      <c r="N755" s="90">
        <v>2.0799086135623499</v>
      </c>
      <c r="O755" s="90">
        <v>3.1340534759464602</v>
      </c>
      <c r="P755" s="90">
        <v>0.60385005437281003</v>
      </c>
      <c r="Q755" s="90">
        <v>1089.3678553868899</v>
      </c>
      <c r="R755" s="90">
        <v>1300</v>
      </c>
      <c r="S755" s="90" t="s">
        <v>387</v>
      </c>
      <c r="T755" s="90">
        <v>1300</v>
      </c>
      <c r="U755" s="90" t="s">
        <v>378</v>
      </c>
      <c r="V755" s="90" t="s">
        <v>244</v>
      </c>
      <c r="Z755" s="90">
        <v>0</v>
      </c>
      <c r="AA755" s="90">
        <v>1</v>
      </c>
      <c r="AB755" s="90">
        <v>3.1340534759464602</v>
      </c>
      <c r="AC755" s="90">
        <v>0.60385005437281003</v>
      </c>
      <c r="AD755" s="90">
        <v>1089.3678553868899</v>
      </c>
      <c r="AF755" s="90">
        <v>-1</v>
      </c>
      <c r="AG755" s="90">
        <v>-1</v>
      </c>
      <c r="AH755" s="90">
        <v>-1</v>
      </c>
      <c r="AI755" s="90">
        <v>-1</v>
      </c>
      <c r="AJ755" s="90">
        <v>0</v>
      </c>
      <c r="AM755" s="90" t="s">
        <v>379</v>
      </c>
      <c r="AN755" s="90">
        <v>-1</v>
      </c>
      <c r="AQ755" s="90">
        <v>356</v>
      </c>
      <c r="AR755" s="90" t="s">
        <v>380</v>
      </c>
      <c r="AS755" s="90" t="s">
        <v>246</v>
      </c>
      <c r="AT755" s="90" t="s">
        <v>244</v>
      </c>
      <c r="AU755" s="90">
        <v>175.87190000000001</v>
      </c>
      <c r="AV755" s="90">
        <v>142.89983901852801</v>
      </c>
      <c r="AW755" s="90">
        <v>1174.90473128038</v>
      </c>
      <c r="AX755" s="90">
        <v>0.88351002059999995</v>
      </c>
    </row>
    <row r="756" spans="1:50" x14ac:dyDescent="0.25">
      <c r="A756" s="102">
        <v>830000</v>
      </c>
      <c r="B756" s="102">
        <v>2400000</v>
      </c>
      <c r="C756" s="102">
        <v>2500000</v>
      </c>
      <c r="D756" s="90" t="s">
        <v>374</v>
      </c>
      <c r="E756" s="90" t="s">
        <v>68</v>
      </c>
      <c r="F756" s="90" t="s">
        <v>375</v>
      </c>
      <c r="G756" s="90" t="s">
        <v>376</v>
      </c>
      <c r="H756" s="90">
        <v>0.59</v>
      </c>
      <c r="I756" s="90">
        <v>0.64</v>
      </c>
      <c r="J756" s="90" t="s">
        <v>244</v>
      </c>
      <c r="K756" s="90">
        <v>0.29641881735599002</v>
      </c>
      <c r="L756" s="90">
        <v>3752.2321466220101</v>
      </c>
      <c r="M756" s="90">
        <v>10.7949726472352</v>
      </c>
      <c r="N756" s="90">
        <v>2.0799086135623499</v>
      </c>
      <c r="O756" s="90">
        <v>3.1998330254837501</v>
      </c>
      <c r="P756" s="90">
        <v>0.61652405144069</v>
      </c>
      <c r="Q756" s="90">
        <v>1112.2322153468299</v>
      </c>
      <c r="R756" s="90">
        <v>1300</v>
      </c>
      <c r="S756" s="90" t="s">
        <v>387</v>
      </c>
      <c r="T756" s="90">
        <v>1300</v>
      </c>
      <c r="U756" s="90" t="s">
        <v>378</v>
      </c>
      <c r="V756" s="90" t="s">
        <v>244</v>
      </c>
      <c r="Z756" s="90">
        <v>0</v>
      </c>
      <c r="AA756" s="90">
        <v>1</v>
      </c>
      <c r="AB756" s="90">
        <v>3.1998330254837501</v>
      </c>
      <c r="AC756" s="90">
        <v>0.61652405144069</v>
      </c>
      <c r="AD756" s="90">
        <v>1112.2322153468299</v>
      </c>
      <c r="AF756" s="90">
        <v>-1</v>
      </c>
      <c r="AG756" s="90">
        <v>-1</v>
      </c>
      <c r="AH756" s="90">
        <v>-1</v>
      </c>
      <c r="AI756" s="90">
        <v>-1</v>
      </c>
      <c r="AJ756" s="90">
        <v>0</v>
      </c>
      <c r="AM756" s="90" t="s">
        <v>379</v>
      </c>
      <c r="AN756" s="90">
        <v>-1</v>
      </c>
      <c r="AQ756" s="90">
        <v>356</v>
      </c>
      <c r="AR756" s="90" t="s">
        <v>380</v>
      </c>
      <c r="AS756" s="90" t="s">
        <v>246</v>
      </c>
      <c r="AT756" s="90" t="s">
        <v>244</v>
      </c>
      <c r="AU756" s="90">
        <v>175.87190000000001</v>
      </c>
      <c r="AV756" s="90">
        <v>148.38311650492599</v>
      </c>
      <c r="AW756" s="90">
        <v>1199.5643947373001</v>
      </c>
      <c r="AX756" s="90">
        <v>0.90205370259999995</v>
      </c>
    </row>
    <row r="757" spans="1:50" x14ac:dyDescent="0.25">
      <c r="A757" s="102">
        <v>830000</v>
      </c>
      <c r="B757" s="102">
        <v>2400000</v>
      </c>
      <c r="C757" s="102">
        <v>2500000</v>
      </c>
      <c r="D757" s="90" t="s">
        <v>374</v>
      </c>
      <c r="E757" s="90" t="s">
        <v>68</v>
      </c>
      <c r="F757" s="90" t="s">
        <v>375</v>
      </c>
      <c r="G757" s="90" t="s">
        <v>376</v>
      </c>
      <c r="H757" s="90">
        <v>0.59</v>
      </c>
      <c r="I757" s="90">
        <v>0.64</v>
      </c>
      <c r="J757" s="90" t="s">
        <v>244</v>
      </c>
      <c r="K757" s="90">
        <v>1.1790116307399999E-2</v>
      </c>
      <c r="L757" s="90">
        <v>3746.0545282992498</v>
      </c>
      <c r="M757" s="90">
        <v>10.777906385108301</v>
      </c>
      <c r="N757" s="90">
        <v>2.0767025645612001</v>
      </c>
      <c r="O757" s="90">
        <v>0.12707276983075</v>
      </c>
      <c r="P757" s="90">
        <v>2.448456477206E-2</v>
      </c>
      <c r="Q757" s="90">
        <v>44.166418582529403</v>
      </c>
      <c r="R757" s="90">
        <v>1300</v>
      </c>
      <c r="S757" s="90" t="s">
        <v>387</v>
      </c>
      <c r="T757" s="90">
        <v>1300</v>
      </c>
      <c r="U757" s="90" t="s">
        <v>378</v>
      </c>
      <c r="V757" s="90" t="s">
        <v>244</v>
      </c>
      <c r="Z757" s="90">
        <v>0</v>
      </c>
      <c r="AA757" s="90">
        <v>1</v>
      </c>
      <c r="AB757" s="90">
        <v>0.12707276983075</v>
      </c>
      <c r="AC757" s="90">
        <v>2.448456477206E-2</v>
      </c>
      <c r="AD757" s="90">
        <v>44.1664185825313</v>
      </c>
      <c r="AF757" s="90">
        <v>-1</v>
      </c>
      <c r="AG757" s="90">
        <v>-1</v>
      </c>
      <c r="AH757" s="90">
        <v>-1</v>
      </c>
      <c r="AI757" s="90">
        <v>-1</v>
      </c>
      <c r="AJ757" s="90">
        <v>0</v>
      </c>
      <c r="AM757" s="90" t="s">
        <v>379</v>
      </c>
      <c r="AN757" s="90">
        <v>-1</v>
      </c>
      <c r="AQ757" s="90">
        <v>356</v>
      </c>
      <c r="AR757" s="90" t="s">
        <v>380</v>
      </c>
      <c r="AS757" s="90" t="s">
        <v>246</v>
      </c>
      <c r="AT757" s="90" t="s">
        <v>244</v>
      </c>
      <c r="AU757" s="90">
        <v>175.87190000000001</v>
      </c>
      <c r="AV757" s="90">
        <v>27.675290445609999</v>
      </c>
      <c r="AW757" s="90">
        <v>47.712907899466799</v>
      </c>
      <c r="AX757" s="90">
        <v>3.5820290800000001E-2</v>
      </c>
    </row>
    <row r="758" spans="1:50" x14ac:dyDescent="0.25">
      <c r="A758" s="102">
        <v>830000</v>
      </c>
      <c r="B758" s="102">
        <v>2400000</v>
      </c>
      <c r="C758" s="102">
        <v>2500000</v>
      </c>
      <c r="D758" s="90" t="s">
        <v>374</v>
      </c>
      <c r="E758" s="90" t="s">
        <v>68</v>
      </c>
      <c r="F758" s="90" t="s">
        <v>375</v>
      </c>
      <c r="G758" s="90" t="s">
        <v>376</v>
      </c>
      <c r="H758" s="90">
        <v>0.59</v>
      </c>
      <c r="I758" s="90">
        <v>0.64</v>
      </c>
      <c r="J758" s="90" t="s">
        <v>244</v>
      </c>
      <c r="K758" s="90">
        <v>3.8204428426550002E-2</v>
      </c>
      <c r="L758" s="90">
        <v>3746.0545282992498</v>
      </c>
      <c r="M758" s="90">
        <v>10.777906385108301</v>
      </c>
      <c r="N758" s="90">
        <v>2.0767025645612001</v>
      </c>
      <c r="O758" s="90">
        <v>0.41176375307794</v>
      </c>
      <c r="P758" s="90">
        <v>7.9339234491010005E-2</v>
      </c>
      <c r="Q758" s="90">
        <v>143.11587210836601</v>
      </c>
      <c r="R758" s="90">
        <v>1300</v>
      </c>
      <c r="S758" s="90" t="s">
        <v>387</v>
      </c>
      <c r="T758" s="90">
        <v>1300</v>
      </c>
      <c r="U758" s="90" t="s">
        <v>378</v>
      </c>
      <c r="V758" s="90" t="s">
        <v>244</v>
      </c>
      <c r="Z758" s="90">
        <v>0</v>
      </c>
      <c r="AA758" s="90">
        <v>1</v>
      </c>
      <c r="AB758" s="90">
        <v>0.41176375307794</v>
      </c>
      <c r="AC758" s="90">
        <v>7.9339234491010005E-2</v>
      </c>
      <c r="AD758" s="90">
        <v>143.115872108367</v>
      </c>
      <c r="AF758" s="90">
        <v>-1</v>
      </c>
      <c r="AG758" s="90">
        <v>-1</v>
      </c>
      <c r="AH758" s="90">
        <v>-1</v>
      </c>
      <c r="AI758" s="90">
        <v>-1</v>
      </c>
      <c r="AJ758" s="90">
        <v>0</v>
      </c>
      <c r="AM758" s="90" t="s">
        <v>379</v>
      </c>
      <c r="AN758" s="90">
        <v>-1</v>
      </c>
      <c r="AQ758" s="90">
        <v>356</v>
      </c>
      <c r="AR758" s="90" t="s">
        <v>380</v>
      </c>
      <c r="AS758" s="90" t="s">
        <v>246</v>
      </c>
      <c r="AT758" s="90" t="s">
        <v>244</v>
      </c>
      <c r="AU758" s="90">
        <v>175.87190000000001</v>
      </c>
      <c r="AV758" s="90">
        <v>78.812735135580397</v>
      </c>
      <c r="AW758" s="90">
        <v>154.60783654210999</v>
      </c>
      <c r="AX758" s="90">
        <v>0.1160712669</v>
      </c>
    </row>
    <row r="759" spans="1:50" x14ac:dyDescent="0.25">
      <c r="A759" s="102">
        <v>830000</v>
      </c>
      <c r="B759" s="102">
        <v>2400000</v>
      </c>
      <c r="C759" s="102">
        <v>2500000</v>
      </c>
      <c r="D759" s="90" t="s">
        <v>374</v>
      </c>
      <c r="E759" s="90" t="s">
        <v>68</v>
      </c>
      <c r="F759" s="90" t="s">
        <v>375</v>
      </c>
      <c r="G759" s="90" t="s">
        <v>376</v>
      </c>
      <c r="H759" s="90">
        <v>0.59</v>
      </c>
      <c r="I759" s="90">
        <v>0.64</v>
      </c>
      <c r="J759" s="90" t="s">
        <v>244</v>
      </c>
      <c r="K759" s="90">
        <v>2.463601737243E-2</v>
      </c>
      <c r="L759" s="90">
        <v>3746.0545282992498</v>
      </c>
      <c r="M759" s="90">
        <v>10.777906385108301</v>
      </c>
      <c r="N759" s="90">
        <v>2.0767025645612001</v>
      </c>
      <c r="O759" s="90">
        <v>0.26552468894198</v>
      </c>
      <c r="P759" s="90">
        <v>5.1161680457899997E-2</v>
      </c>
      <c r="Q759" s="90">
        <v>92.287864437261803</v>
      </c>
      <c r="R759" s="90">
        <v>1300</v>
      </c>
      <c r="S759" s="90" t="s">
        <v>387</v>
      </c>
      <c r="T759" s="90">
        <v>1300</v>
      </c>
      <c r="U759" s="90" t="s">
        <v>378</v>
      </c>
      <c r="V759" s="90" t="s">
        <v>244</v>
      </c>
      <c r="Z759" s="90">
        <v>0</v>
      </c>
      <c r="AA759" s="90">
        <v>1</v>
      </c>
      <c r="AB759" s="90">
        <v>0.26552468894198</v>
      </c>
      <c r="AC759" s="90">
        <v>5.1161680457899997E-2</v>
      </c>
      <c r="AD759" s="90">
        <v>92.287864437262499</v>
      </c>
      <c r="AF759" s="90">
        <v>-1</v>
      </c>
      <c r="AG759" s="90">
        <v>-1</v>
      </c>
      <c r="AH759" s="90">
        <v>-1</v>
      </c>
      <c r="AI759" s="90">
        <v>-1</v>
      </c>
      <c r="AJ759" s="90">
        <v>0</v>
      </c>
      <c r="AM759" s="90" t="s">
        <v>379</v>
      </c>
      <c r="AN759" s="90">
        <v>-1</v>
      </c>
      <c r="AQ759" s="90">
        <v>356</v>
      </c>
      <c r="AR759" s="90" t="s">
        <v>380</v>
      </c>
      <c r="AS759" s="90" t="s">
        <v>246</v>
      </c>
      <c r="AT759" s="90" t="s">
        <v>244</v>
      </c>
      <c r="AU759" s="90">
        <v>175.87190000000001</v>
      </c>
      <c r="AV759" s="90">
        <v>47.125697495141502</v>
      </c>
      <c r="AW759" s="90">
        <v>99.698425125989303</v>
      </c>
      <c r="AX759" s="90">
        <v>7.4848227399999995E-2</v>
      </c>
    </row>
    <row r="760" spans="1:50" x14ac:dyDescent="0.25">
      <c r="A760" s="102">
        <v>830000</v>
      </c>
      <c r="B760" s="102">
        <v>2400000</v>
      </c>
      <c r="C760" s="102">
        <v>2500000</v>
      </c>
      <c r="D760" s="90" t="s">
        <v>374</v>
      </c>
      <c r="E760" s="90" t="s">
        <v>68</v>
      </c>
      <c r="F760" s="90" t="s">
        <v>375</v>
      </c>
      <c r="G760" s="90" t="s">
        <v>376</v>
      </c>
      <c r="H760" s="90">
        <v>0.59</v>
      </c>
      <c r="I760" s="90">
        <v>0.64</v>
      </c>
      <c r="J760" s="90" t="s">
        <v>244</v>
      </c>
      <c r="K760" s="90">
        <v>4.1084809443100003E-3</v>
      </c>
      <c r="L760" s="90">
        <v>3746.0545282992498</v>
      </c>
      <c r="M760" s="90">
        <v>10.777906385108301</v>
      </c>
      <c r="N760" s="90">
        <v>2.0767025645612001</v>
      </c>
      <c r="O760" s="90">
        <v>4.4280823002780002E-2</v>
      </c>
      <c r="P760" s="90">
        <v>8.5320929134999994E-3</v>
      </c>
      <c r="Q760" s="90">
        <v>15.3905936458674</v>
      </c>
      <c r="R760" s="90">
        <v>1300</v>
      </c>
      <c r="S760" s="90" t="s">
        <v>387</v>
      </c>
      <c r="T760" s="90">
        <v>1300</v>
      </c>
      <c r="U760" s="90" t="s">
        <v>378</v>
      </c>
      <c r="V760" s="90" t="s">
        <v>244</v>
      </c>
      <c r="Z760" s="90">
        <v>0</v>
      </c>
      <c r="AA760" s="90">
        <v>1</v>
      </c>
      <c r="AB760" s="90">
        <v>4.4280823002780002E-2</v>
      </c>
      <c r="AC760" s="90">
        <v>8.5320929134999994E-3</v>
      </c>
      <c r="AD760" s="90">
        <v>15.390593645867799</v>
      </c>
      <c r="AF760" s="90">
        <v>-1</v>
      </c>
      <c r="AG760" s="90">
        <v>-1</v>
      </c>
      <c r="AH760" s="90">
        <v>-1</v>
      </c>
      <c r="AI760" s="90">
        <v>-1</v>
      </c>
      <c r="AJ760" s="90">
        <v>0</v>
      </c>
      <c r="AM760" s="90" t="s">
        <v>379</v>
      </c>
      <c r="AN760" s="90">
        <v>-1</v>
      </c>
      <c r="AQ760" s="90">
        <v>356</v>
      </c>
      <c r="AR760" s="90" t="s">
        <v>380</v>
      </c>
      <c r="AS760" s="90" t="s">
        <v>246</v>
      </c>
      <c r="AT760" s="90" t="s">
        <v>244</v>
      </c>
      <c r="AU760" s="90">
        <v>175.87190000000001</v>
      </c>
      <c r="AV760" s="90">
        <v>16.360888180542101</v>
      </c>
      <c r="AW760" s="90">
        <v>16.626432495793399</v>
      </c>
      <c r="AX760" s="90">
        <v>1.2482233299999999E-2</v>
      </c>
    </row>
    <row r="761" spans="1:50" x14ac:dyDescent="0.25">
      <c r="A761" s="102">
        <v>830000</v>
      </c>
      <c r="B761" s="102">
        <v>2400000</v>
      </c>
      <c r="C761" s="102">
        <v>2500000</v>
      </c>
      <c r="D761" s="90" t="s">
        <v>374</v>
      </c>
      <c r="E761" s="90" t="s">
        <v>68</v>
      </c>
      <c r="F761" s="90" t="s">
        <v>375</v>
      </c>
      <c r="G761" s="90" t="s">
        <v>376</v>
      </c>
      <c r="H761" s="90">
        <v>0.59</v>
      </c>
      <c r="I761" s="90">
        <v>0.64</v>
      </c>
      <c r="J761" s="90" t="s">
        <v>244</v>
      </c>
      <c r="K761" s="90">
        <v>0.13194146833407</v>
      </c>
      <c r="L761" s="90">
        <v>3746.0545282992498</v>
      </c>
      <c r="M761" s="90">
        <v>10.777906385108301</v>
      </c>
      <c r="N761" s="90">
        <v>2.0767025645612001</v>
      </c>
      <c r="O761" s="90">
        <v>1.42205279401837</v>
      </c>
      <c r="P761" s="90">
        <v>0.27400318566132997</v>
      </c>
      <c r="Q761" s="90">
        <v>494.25993492330298</v>
      </c>
      <c r="R761" s="90">
        <v>1300</v>
      </c>
      <c r="S761" s="90" t="s">
        <v>387</v>
      </c>
      <c r="T761" s="90">
        <v>1300</v>
      </c>
      <c r="U761" s="90" t="s">
        <v>378</v>
      </c>
      <c r="V761" s="90" t="s">
        <v>244</v>
      </c>
      <c r="Z761" s="90">
        <v>0</v>
      </c>
      <c r="AA761" s="90">
        <v>1</v>
      </c>
      <c r="AB761" s="90">
        <v>1.42205279401837</v>
      </c>
      <c r="AC761" s="90">
        <v>0.27400318566132997</v>
      </c>
      <c r="AD761" s="90">
        <v>494.25993492330298</v>
      </c>
      <c r="AF761" s="90">
        <v>-1</v>
      </c>
      <c r="AG761" s="90">
        <v>-1</v>
      </c>
      <c r="AH761" s="90">
        <v>-1</v>
      </c>
      <c r="AI761" s="90">
        <v>-1</v>
      </c>
      <c r="AJ761" s="90">
        <v>0</v>
      </c>
      <c r="AM761" s="90" t="s">
        <v>379</v>
      </c>
      <c r="AN761" s="90">
        <v>-1</v>
      </c>
      <c r="AQ761" s="90">
        <v>356</v>
      </c>
      <c r="AR761" s="90" t="s">
        <v>380</v>
      </c>
      <c r="AS761" s="90" t="s">
        <v>246</v>
      </c>
      <c r="AT761" s="90" t="s">
        <v>244</v>
      </c>
      <c r="AU761" s="90">
        <v>175.87190000000001</v>
      </c>
      <c r="AV761" s="90">
        <v>157.476650714024</v>
      </c>
      <c r="AW761" s="90">
        <v>533.94817850862603</v>
      </c>
      <c r="AX761" s="90">
        <v>0.40085963899999999</v>
      </c>
    </row>
    <row r="762" spans="1:50" x14ac:dyDescent="0.25">
      <c r="A762" s="102">
        <v>830000</v>
      </c>
      <c r="B762" s="102">
        <v>2400000</v>
      </c>
      <c r="C762" s="102">
        <v>2500000</v>
      </c>
      <c r="D762" s="90" t="s">
        <v>374</v>
      </c>
      <c r="E762" s="90" t="s">
        <v>68</v>
      </c>
      <c r="F762" s="90" t="s">
        <v>375</v>
      </c>
      <c r="G762" s="90" t="s">
        <v>376</v>
      </c>
      <c r="H762" s="90">
        <v>0.59</v>
      </c>
      <c r="I762" s="90">
        <v>0.64</v>
      </c>
      <c r="J762" s="90" t="s">
        <v>244</v>
      </c>
      <c r="K762" s="90">
        <v>1.30243997952E-2</v>
      </c>
      <c r="L762" s="90">
        <v>3746.0545282992498</v>
      </c>
      <c r="M762" s="90">
        <v>10.777906385108301</v>
      </c>
      <c r="N762" s="90">
        <v>2.0767025645612001</v>
      </c>
      <c r="O762" s="90">
        <v>0.14037576171494001</v>
      </c>
      <c r="P762" s="90">
        <v>2.7047804456569999E-2</v>
      </c>
      <c r="Q762" s="90">
        <v>48.790111831207597</v>
      </c>
      <c r="R762" s="90">
        <v>1300</v>
      </c>
      <c r="S762" s="90" t="s">
        <v>387</v>
      </c>
      <c r="T762" s="90">
        <v>1300</v>
      </c>
      <c r="U762" s="90" t="s">
        <v>378</v>
      </c>
      <c r="V762" s="90" t="s">
        <v>244</v>
      </c>
      <c r="Z762" s="90">
        <v>0</v>
      </c>
      <c r="AA762" s="90">
        <v>1</v>
      </c>
      <c r="AB762" s="90">
        <v>0.14037576171494001</v>
      </c>
      <c r="AC762" s="90">
        <v>2.7047804456569999E-2</v>
      </c>
      <c r="AD762" s="90">
        <v>48.790111831207597</v>
      </c>
      <c r="AF762" s="90">
        <v>-1</v>
      </c>
      <c r="AG762" s="90">
        <v>-1</v>
      </c>
      <c r="AH762" s="90">
        <v>-1</v>
      </c>
      <c r="AI762" s="90">
        <v>-1</v>
      </c>
      <c r="AJ762" s="90">
        <v>0</v>
      </c>
      <c r="AM762" s="90" t="s">
        <v>379</v>
      </c>
      <c r="AN762" s="90">
        <v>-1</v>
      </c>
      <c r="AQ762" s="90">
        <v>356</v>
      </c>
      <c r="AR762" s="90" t="s">
        <v>380</v>
      </c>
      <c r="AS762" s="90" t="s">
        <v>246</v>
      </c>
      <c r="AT762" s="90" t="s">
        <v>244</v>
      </c>
      <c r="AU762" s="90">
        <v>175.87190000000001</v>
      </c>
      <c r="AV762" s="90">
        <v>29.752597259199501</v>
      </c>
      <c r="AW762" s="90">
        <v>52.707875959130497</v>
      </c>
      <c r="AX762" s="90">
        <v>3.9570244800000001E-2</v>
      </c>
    </row>
    <row r="763" spans="1:50" x14ac:dyDescent="0.25">
      <c r="A763" s="102">
        <v>830000</v>
      </c>
      <c r="B763" s="102">
        <v>2400000</v>
      </c>
      <c r="C763" s="102">
        <v>2500000</v>
      </c>
      <c r="D763" s="90" t="s">
        <v>374</v>
      </c>
      <c r="E763" s="90" t="s">
        <v>68</v>
      </c>
      <c r="F763" s="90" t="s">
        <v>375</v>
      </c>
      <c r="G763" s="90" t="s">
        <v>376</v>
      </c>
      <c r="H763" s="90">
        <v>0.59</v>
      </c>
      <c r="I763" s="90">
        <v>0.64</v>
      </c>
      <c r="J763" s="90" t="s">
        <v>244</v>
      </c>
      <c r="K763" s="90">
        <v>8.6939946717330005E-2</v>
      </c>
      <c r="L763" s="90">
        <v>3746.0545282992498</v>
      </c>
      <c r="M763" s="90">
        <v>10.777906385108301</v>
      </c>
      <c r="N763" s="90">
        <v>2.0767025645612001</v>
      </c>
      <c r="O763" s="90">
        <v>0.93703060684577999</v>
      </c>
      <c r="P763" s="90">
        <v>0.18054841031071001</v>
      </c>
      <c r="Q763" s="90">
        <v>325.68178109057999</v>
      </c>
      <c r="R763" s="90">
        <v>1300</v>
      </c>
      <c r="S763" s="90" t="s">
        <v>387</v>
      </c>
      <c r="T763" s="90">
        <v>1300</v>
      </c>
      <c r="U763" s="90" t="s">
        <v>378</v>
      </c>
      <c r="V763" s="90" t="s">
        <v>244</v>
      </c>
      <c r="Z763" s="90">
        <v>0</v>
      </c>
      <c r="AA763" s="90">
        <v>1</v>
      </c>
      <c r="AB763" s="90">
        <v>0.93703060684577999</v>
      </c>
      <c r="AC763" s="90">
        <v>0.18054841031071001</v>
      </c>
      <c r="AD763" s="90">
        <v>325.681781090578</v>
      </c>
      <c r="AF763" s="90">
        <v>-1</v>
      </c>
      <c r="AG763" s="90">
        <v>-1</v>
      </c>
      <c r="AH763" s="90">
        <v>-1</v>
      </c>
      <c r="AI763" s="90">
        <v>-1</v>
      </c>
      <c r="AJ763" s="90">
        <v>0</v>
      </c>
      <c r="AM763" s="90" t="s">
        <v>379</v>
      </c>
      <c r="AN763" s="90">
        <v>-1</v>
      </c>
      <c r="AQ763" s="90">
        <v>356</v>
      </c>
      <c r="AR763" s="90" t="s">
        <v>380</v>
      </c>
      <c r="AS763" s="90" t="s">
        <v>246</v>
      </c>
      <c r="AT763" s="90" t="s">
        <v>244</v>
      </c>
      <c r="AU763" s="90">
        <v>175.87190000000001</v>
      </c>
      <c r="AV763" s="90">
        <v>94.501988273461905</v>
      </c>
      <c r="AW763" s="90">
        <v>351.833481736171</v>
      </c>
      <c r="AX763" s="90">
        <v>0.2641376976</v>
      </c>
    </row>
    <row r="764" spans="1:50" x14ac:dyDescent="0.25">
      <c r="A764" s="102">
        <v>830000</v>
      </c>
      <c r="B764" s="102">
        <v>2400000</v>
      </c>
      <c r="C764" s="102">
        <v>2500000</v>
      </c>
      <c r="D764" s="90" t="s">
        <v>374</v>
      </c>
      <c r="E764" s="90" t="s">
        <v>68</v>
      </c>
      <c r="F764" s="90" t="s">
        <v>375</v>
      </c>
      <c r="G764" s="90" t="s">
        <v>376</v>
      </c>
      <c r="H764" s="90">
        <v>0.59</v>
      </c>
      <c r="I764" s="90">
        <v>0.64</v>
      </c>
      <c r="J764" s="90" t="s">
        <v>244</v>
      </c>
      <c r="K764" s="90">
        <v>2.9560045643339999E-2</v>
      </c>
      <c r="L764" s="90">
        <v>3786.63703694776</v>
      </c>
      <c r="M764" s="90">
        <v>8.26314224964778</v>
      </c>
      <c r="N764" s="90">
        <v>1.2860662680367001</v>
      </c>
      <c r="O764" s="90">
        <v>0.24425886205700001</v>
      </c>
      <c r="P764" s="90">
        <v>3.8016177583520001E-2</v>
      </c>
      <c r="Q764" s="90">
        <v>111.933163646937</v>
      </c>
      <c r="R764" s="90">
        <v>1300</v>
      </c>
      <c r="S764" s="90" t="s">
        <v>387</v>
      </c>
      <c r="T764" s="90">
        <v>1300</v>
      </c>
      <c r="U764" s="90" t="s">
        <v>378</v>
      </c>
      <c r="V764" s="90" t="s">
        <v>244</v>
      </c>
      <c r="Z764" s="90">
        <v>0</v>
      </c>
      <c r="AA764" s="90">
        <v>1</v>
      </c>
      <c r="AB764" s="90">
        <v>0.24425886205700001</v>
      </c>
      <c r="AC764" s="90">
        <v>3.8016177583520001E-2</v>
      </c>
      <c r="AD764" s="90">
        <v>111.933163646938</v>
      </c>
      <c r="AF764" s="90">
        <v>-1</v>
      </c>
      <c r="AG764" s="90">
        <v>-1</v>
      </c>
      <c r="AH764" s="90">
        <v>-1</v>
      </c>
      <c r="AI764" s="90">
        <v>-1</v>
      </c>
      <c r="AJ764" s="90">
        <v>0</v>
      </c>
      <c r="AM764" s="90" t="s">
        <v>379</v>
      </c>
      <c r="AN764" s="90">
        <v>-1</v>
      </c>
      <c r="AQ764" s="90">
        <v>356</v>
      </c>
      <c r="AR764" s="90" t="s">
        <v>380</v>
      </c>
      <c r="AS764" s="90" t="s">
        <v>246</v>
      </c>
      <c r="AT764" s="90" t="s">
        <v>244</v>
      </c>
      <c r="AU764" s="90">
        <v>175.87190000000001</v>
      </c>
      <c r="AV764" s="90">
        <v>46.143345756662001</v>
      </c>
      <c r="AW764" s="90">
        <v>119.625260558188</v>
      </c>
      <c r="AX764" s="90">
        <v>9.0781154599999997E-2</v>
      </c>
    </row>
    <row r="765" spans="1:50" x14ac:dyDescent="0.25">
      <c r="A765" s="102">
        <v>830000</v>
      </c>
      <c r="B765" s="102">
        <v>2400000</v>
      </c>
      <c r="C765" s="102">
        <v>2500000</v>
      </c>
      <c r="D765" s="90" t="s">
        <v>374</v>
      </c>
      <c r="E765" s="90" t="s">
        <v>68</v>
      </c>
      <c r="F765" s="90" t="s">
        <v>375</v>
      </c>
      <c r="G765" s="90" t="s">
        <v>376</v>
      </c>
      <c r="H765" s="90">
        <v>0.59</v>
      </c>
      <c r="I765" s="90">
        <v>0.64</v>
      </c>
      <c r="J765" s="90" t="s">
        <v>244</v>
      </c>
      <c r="K765" s="90">
        <v>0.58820340797853998</v>
      </c>
      <c r="L765" s="90">
        <v>3786.63703694776</v>
      </c>
      <c r="M765" s="90">
        <v>8.26314224964778</v>
      </c>
      <c r="N765" s="90">
        <v>1.2860662680367001</v>
      </c>
      <c r="O765" s="90">
        <v>4.8604084318543297</v>
      </c>
      <c r="P765" s="90">
        <v>0.75646856174543997</v>
      </c>
      <c r="Q765" s="90">
        <v>2227.3128099104601</v>
      </c>
      <c r="R765" s="90">
        <v>1300</v>
      </c>
      <c r="S765" s="90" t="s">
        <v>387</v>
      </c>
      <c r="T765" s="90">
        <v>1300</v>
      </c>
      <c r="U765" s="90" t="s">
        <v>378</v>
      </c>
      <c r="V765" s="90" t="s">
        <v>244</v>
      </c>
      <c r="Z765" s="90">
        <v>0</v>
      </c>
      <c r="AA765" s="90">
        <v>1</v>
      </c>
      <c r="AB765" s="90">
        <v>4.8604084318543297</v>
      </c>
      <c r="AC765" s="90">
        <v>0.75646856174543997</v>
      </c>
      <c r="AD765" s="90">
        <v>2227.3128099104601</v>
      </c>
      <c r="AF765" s="90">
        <v>-1</v>
      </c>
      <c r="AG765" s="90">
        <v>-1</v>
      </c>
      <c r="AH765" s="90">
        <v>-1</v>
      </c>
      <c r="AI765" s="90">
        <v>-1</v>
      </c>
      <c r="AJ765" s="90">
        <v>0</v>
      </c>
      <c r="AM765" s="90" t="s">
        <v>379</v>
      </c>
      <c r="AN765" s="90">
        <v>-1</v>
      </c>
      <c r="AQ765" s="90">
        <v>356</v>
      </c>
      <c r="AR765" s="90" t="s">
        <v>380</v>
      </c>
      <c r="AS765" s="90" t="s">
        <v>246</v>
      </c>
      <c r="AT765" s="90" t="s">
        <v>244</v>
      </c>
      <c r="AU765" s="90">
        <v>175.87190000000001</v>
      </c>
      <c r="AV765" s="90">
        <v>200.57182746214801</v>
      </c>
      <c r="AW765" s="90">
        <v>2380.3747392555401</v>
      </c>
      <c r="AX765" s="90">
        <v>1.8064175263</v>
      </c>
    </row>
    <row r="766" spans="1:50" x14ac:dyDescent="0.25">
      <c r="A766" s="102">
        <v>830000</v>
      </c>
      <c r="B766" s="102">
        <v>2400000</v>
      </c>
      <c r="C766" s="102">
        <v>2500000</v>
      </c>
      <c r="D766" s="90" t="s">
        <v>374</v>
      </c>
      <c r="E766" s="90" t="s">
        <v>68</v>
      </c>
      <c r="F766" s="90" t="s">
        <v>375</v>
      </c>
      <c r="G766" s="90" t="s">
        <v>376</v>
      </c>
      <c r="H766" s="90">
        <v>0.59</v>
      </c>
      <c r="I766" s="90">
        <v>0.64</v>
      </c>
      <c r="J766" s="90" t="s">
        <v>381</v>
      </c>
      <c r="K766" s="90">
        <v>0.11513204393213</v>
      </c>
      <c r="L766" s="90">
        <v>3681.1096196706799</v>
      </c>
      <c r="M766" s="90">
        <v>10.172352368758601</v>
      </c>
      <c r="N766" s="90">
        <v>1.73132796778581</v>
      </c>
      <c r="O766" s="90">
        <v>1.17116371981309</v>
      </c>
      <c r="P766" s="90">
        <v>0.19933132764805001</v>
      </c>
      <c r="Q766" s="90">
        <v>423.81367445093701</v>
      </c>
      <c r="R766" s="90">
        <v>1400</v>
      </c>
      <c r="S766" s="90" t="s">
        <v>324</v>
      </c>
      <c r="T766" s="90">
        <v>1400</v>
      </c>
      <c r="U766" s="90" t="s">
        <v>382</v>
      </c>
      <c r="V766" s="90" t="s">
        <v>381</v>
      </c>
      <c r="Z766" s="90">
        <v>0</v>
      </c>
      <c r="AA766" s="90">
        <v>1</v>
      </c>
      <c r="AB766" s="90">
        <v>1.17116371981309</v>
      </c>
      <c r="AC766" s="90">
        <v>0.19933132764805001</v>
      </c>
      <c r="AD766" s="90">
        <v>423.81367445093701</v>
      </c>
      <c r="AF766" s="90">
        <v>-1</v>
      </c>
      <c r="AG766" s="90">
        <v>-1</v>
      </c>
      <c r="AH766" s="90">
        <v>-1</v>
      </c>
      <c r="AI766" s="90">
        <v>-1</v>
      </c>
      <c r="AJ766" s="90">
        <v>0</v>
      </c>
      <c r="AM766" s="90" t="s">
        <v>379</v>
      </c>
      <c r="AN766" s="90">
        <v>-1</v>
      </c>
      <c r="AQ766" s="90">
        <v>356</v>
      </c>
      <c r="AR766" s="90" t="s">
        <v>380</v>
      </c>
      <c r="AS766" s="90" t="s">
        <v>246</v>
      </c>
      <c r="AT766" s="90" t="s">
        <v>244</v>
      </c>
      <c r="AU766" s="90">
        <v>175.87190000000001</v>
      </c>
      <c r="AV766" s="90">
        <v>89.815692324446005</v>
      </c>
      <c r="AW766" s="90">
        <v>465.922851410806</v>
      </c>
      <c r="AX766" s="90">
        <v>0.3437256078</v>
      </c>
    </row>
    <row r="767" spans="1:50" x14ac:dyDescent="0.25">
      <c r="A767" s="102">
        <v>830000</v>
      </c>
      <c r="B767" s="102">
        <v>2400000</v>
      </c>
      <c r="C767" s="102">
        <v>2500000</v>
      </c>
      <c r="D767" s="90" t="s">
        <v>374</v>
      </c>
      <c r="E767" s="90" t="s">
        <v>68</v>
      </c>
      <c r="F767" s="90" t="s">
        <v>375</v>
      </c>
      <c r="G767" s="90" t="s">
        <v>376</v>
      </c>
      <c r="H767" s="90">
        <v>0.59</v>
      </c>
      <c r="I767" s="90">
        <v>0.64</v>
      </c>
      <c r="J767" s="90" t="s">
        <v>389</v>
      </c>
      <c r="K767" s="90">
        <v>1.879306934434E-2</v>
      </c>
      <c r="L767" s="90">
        <v>3681.1096196706799</v>
      </c>
      <c r="M767" s="90">
        <v>10.172352368758601</v>
      </c>
      <c r="N767" s="90">
        <v>1.73132796778581</v>
      </c>
      <c r="O767" s="90">
        <v>0.19116972346114</v>
      </c>
      <c r="P767" s="90">
        <v>3.2536966556389997E-2</v>
      </c>
      <c r="Q767" s="90">
        <v>69.179348346588199</v>
      </c>
      <c r="R767" s="90">
        <v>3200</v>
      </c>
      <c r="S767" s="90" t="s">
        <v>393</v>
      </c>
      <c r="T767" s="90">
        <v>3200</v>
      </c>
      <c r="U767" s="90" t="s">
        <v>378</v>
      </c>
      <c r="V767" s="90" t="s">
        <v>244</v>
      </c>
      <c r="Y767" s="90" t="s">
        <v>389</v>
      </c>
      <c r="Z767" s="90">
        <v>0</v>
      </c>
      <c r="AA767" s="90">
        <v>1</v>
      </c>
      <c r="AB767" s="90">
        <v>0.19116972346114</v>
      </c>
      <c r="AC767" s="90">
        <v>3.2536966556389997E-2</v>
      </c>
      <c r="AD767" s="90">
        <v>69.179348346586707</v>
      </c>
      <c r="AF767" s="90">
        <v>-1</v>
      </c>
      <c r="AG767" s="90">
        <v>-1</v>
      </c>
      <c r="AH767" s="90">
        <v>-1</v>
      </c>
      <c r="AI767" s="90">
        <v>-1</v>
      </c>
      <c r="AJ767" s="90">
        <v>0</v>
      </c>
      <c r="AM767" s="90" t="s">
        <v>379</v>
      </c>
      <c r="AN767" s="90">
        <v>-1</v>
      </c>
      <c r="AQ767" s="90">
        <v>356</v>
      </c>
      <c r="AR767" s="90" t="s">
        <v>380</v>
      </c>
      <c r="AS767" s="90" t="s">
        <v>246</v>
      </c>
      <c r="AT767" s="90" t="s">
        <v>244</v>
      </c>
      <c r="AU767" s="90">
        <v>175.87190000000001</v>
      </c>
      <c r="AV767" s="90">
        <v>51.876831440283603</v>
      </c>
      <c r="AW767" s="90">
        <v>76.052853372749098</v>
      </c>
      <c r="AX767" s="90">
        <v>5.6106527500000003E-2</v>
      </c>
    </row>
    <row r="768" spans="1:50" x14ac:dyDescent="0.25">
      <c r="A768" s="102">
        <v>830000</v>
      </c>
      <c r="B768" s="102">
        <v>2400000</v>
      </c>
      <c r="C768" s="102">
        <v>2500000</v>
      </c>
      <c r="D768" s="90" t="s">
        <v>374</v>
      </c>
      <c r="E768" s="90" t="s">
        <v>68</v>
      </c>
      <c r="F768" s="90" t="s">
        <v>375</v>
      </c>
      <c r="G768" s="90" t="s">
        <v>376</v>
      </c>
      <c r="H768" s="90">
        <v>0.59</v>
      </c>
      <c r="I768" s="90">
        <v>0.64</v>
      </c>
      <c r="J768" s="90" t="s">
        <v>381</v>
      </c>
      <c r="K768" s="90">
        <v>5.2331698048699998E-2</v>
      </c>
      <c r="L768" s="90">
        <v>3681.1096196706799</v>
      </c>
      <c r="M768" s="90">
        <v>10.172352368758601</v>
      </c>
      <c r="N768" s="90">
        <v>1.73132796778581</v>
      </c>
      <c r="O768" s="90">
        <v>0.53233647260688</v>
      </c>
      <c r="P768" s="90">
        <v>9.0603332433440001E-2</v>
      </c>
      <c r="Q768" s="90">
        <v>192.638717100782</v>
      </c>
      <c r="R768" s="90">
        <v>3200</v>
      </c>
      <c r="S768" s="90" t="s">
        <v>393</v>
      </c>
      <c r="T768" s="90">
        <v>3200</v>
      </c>
      <c r="U768" s="90" t="s">
        <v>382</v>
      </c>
      <c r="V768" s="90" t="s">
        <v>381</v>
      </c>
      <c r="Y768" s="90" t="s">
        <v>389</v>
      </c>
      <c r="Z768" s="90">
        <v>0</v>
      </c>
      <c r="AA768" s="90">
        <v>1</v>
      </c>
      <c r="AB768" s="90">
        <v>0.53233647260688</v>
      </c>
      <c r="AC768" s="90">
        <v>9.0603332433440001E-2</v>
      </c>
      <c r="AD768" s="90">
        <v>192.638717100783</v>
      </c>
      <c r="AF768" s="90">
        <v>-1</v>
      </c>
      <c r="AG768" s="90">
        <v>-1</v>
      </c>
      <c r="AH768" s="90">
        <v>-1</v>
      </c>
      <c r="AI768" s="90">
        <v>-1</v>
      </c>
      <c r="AJ768" s="90">
        <v>0</v>
      </c>
      <c r="AM768" s="90" t="s">
        <v>379</v>
      </c>
      <c r="AN768" s="90">
        <v>-1</v>
      </c>
      <c r="AQ768" s="90">
        <v>356</v>
      </c>
      <c r="AR768" s="90" t="s">
        <v>380</v>
      </c>
      <c r="AS768" s="90" t="s">
        <v>246</v>
      </c>
      <c r="AT768" s="90" t="s">
        <v>244</v>
      </c>
      <c r="AU768" s="90">
        <v>175.87190000000001</v>
      </c>
      <c r="AV768" s="90">
        <v>113.872149494659</v>
      </c>
      <c r="AW768" s="90">
        <v>211.77886834349201</v>
      </c>
      <c r="AX768" s="90">
        <v>0.15623578029999999</v>
      </c>
    </row>
    <row r="769" spans="1:50" x14ac:dyDescent="0.25">
      <c r="A769" s="102">
        <v>830000</v>
      </c>
      <c r="B769" s="102">
        <v>2400000</v>
      </c>
      <c r="C769" s="102">
        <v>2500000</v>
      </c>
      <c r="D769" s="90" t="s">
        <v>374</v>
      </c>
      <c r="E769" s="90" t="s">
        <v>68</v>
      </c>
      <c r="F769" s="90" t="s">
        <v>375</v>
      </c>
      <c r="G769" s="90" t="s">
        <v>376</v>
      </c>
      <c r="H769" s="90">
        <v>0.59</v>
      </c>
      <c r="I769" s="90">
        <v>0.64</v>
      </c>
      <c r="J769" s="90" t="s">
        <v>381</v>
      </c>
      <c r="K769" s="90">
        <v>6.6607473384080004E-2</v>
      </c>
      <c r="L769" s="90">
        <v>3681.1096196706799</v>
      </c>
      <c r="M769" s="90">
        <v>10.172352368758601</v>
      </c>
      <c r="N769" s="90">
        <v>1.73132796778581</v>
      </c>
      <c r="O769" s="90">
        <v>0.67755468965564003</v>
      </c>
      <c r="P769" s="90">
        <v>0.11531938153341</v>
      </c>
      <c r="Q769" s="90">
        <v>245.189411016121</v>
      </c>
      <c r="R769" s="90">
        <v>8140</v>
      </c>
      <c r="S769" s="90" t="s">
        <v>386</v>
      </c>
      <c r="T769" s="90">
        <v>8140</v>
      </c>
      <c r="U769" s="90" t="s">
        <v>382</v>
      </c>
      <c r="V769" s="90" t="s">
        <v>381</v>
      </c>
      <c r="Z769" s="90">
        <v>0</v>
      </c>
      <c r="AA769" s="90">
        <v>1</v>
      </c>
      <c r="AB769" s="90">
        <v>0.67755468965564003</v>
      </c>
      <c r="AC769" s="90">
        <v>0.11531938153341</v>
      </c>
      <c r="AD769" s="90">
        <v>245.189411016121</v>
      </c>
      <c r="AF769" s="90">
        <v>-1</v>
      </c>
      <c r="AG769" s="90">
        <v>-1</v>
      </c>
      <c r="AH769" s="90">
        <v>-1</v>
      </c>
      <c r="AI769" s="90">
        <v>-1</v>
      </c>
      <c r="AJ769" s="90">
        <v>0</v>
      </c>
      <c r="AM769" s="90" t="s">
        <v>379</v>
      </c>
      <c r="AN769" s="90">
        <v>-1</v>
      </c>
      <c r="AQ769" s="90">
        <v>356</v>
      </c>
      <c r="AR769" s="90" t="s">
        <v>380</v>
      </c>
      <c r="AS769" s="90" t="s">
        <v>246</v>
      </c>
      <c r="AT769" s="90" t="s">
        <v>244</v>
      </c>
      <c r="AU769" s="90">
        <v>175.87190000000001</v>
      </c>
      <c r="AV769" s="90">
        <v>68.140905294019404</v>
      </c>
      <c r="AW769" s="90">
        <v>269.55088144422803</v>
      </c>
      <c r="AX769" s="90">
        <v>0.19885596999999999</v>
      </c>
    </row>
    <row r="770" spans="1:50" x14ac:dyDescent="0.25">
      <c r="A770" s="102">
        <v>830000</v>
      </c>
      <c r="B770" s="102">
        <v>2400000</v>
      </c>
      <c r="C770" s="102">
        <v>2500000</v>
      </c>
      <c r="D770" s="90" t="s">
        <v>374</v>
      </c>
      <c r="E770" s="90" t="s">
        <v>68</v>
      </c>
      <c r="F770" s="90" t="s">
        <v>375</v>
      </c>
      <c r="G770" s="90" t="s">
        <v>376</v>
      </c>
      <c r="H770" s="90">
        <v>0.59</v>
      </c>
      <c r="I770" s="90">
        <v>0.64</v>
      </c>
      <c r="J770" s="90" t="s">
        <v>244</v>
      </c>
      <c r="K770" s="90">
        <v>0.36435054363149999</v>
      </c>
      <c r="L770" s="90">
        <v>3681.1096196706799</v>
      </c>
      <c r="M770" s="90">
        <v>10.172352368758601</v>
      </c>
      <c r="N770" s="90">
        <v>1.73132796778581</v>
      </c>
      <c r="O770" s="90">
        <v>3.7063021155684601</v>
      </c>
      <c r="P770" s="90">
        <v>0.63081028626719005</v>
      </c>
      <c r="Q770" s="90">
        <v>1341.21429109418</v>
      </c>
      <c r="R770" s="90">
        <v>1300</v>
      </c>
      <c r="S770" s="90" t="s">
        <v>387</v>
      </c>
      <c r="T770" s="90">
        <v>1300</v>
      </c>
      <c r="U770" s="90" t="s">
        <v>378</v>
      </c>
      <c r="V770" s="90" t="s">
        <v>244</v>
      </c>
      <c r="Z770" s="90">
        <v>0</v>
      </c>
      <c r="AA770" s="90">
        <v>1</v>
      </c>
      <c r="AB770" s="90">
        <v>3.7063021155684601</v>
      </c>
      <c r="AC770" s="90">
        <v>0.63081028626719005</v>
      </c>
      <c r="AD770" s="90">
        <v>1341.21429109418</v>
      </c>
      <c r="AF770" s="90">
        <v>-1</v>
      </c>
      <c r="AG770" s="90">
        <v>-1</v>
      </c>
      <c r="AH770" s="90">
        <v>-1</v>
      </c>
      <c r="AI770" s="90">
        <v>-1</v>
      </c>
      <c r="AJ770" s="90">
        <v>0</v>
      </c>
      <c r="AM770" s="90" t="s">
        <v>379</v>
      </c>
      <c r="AN770" s="90">
        <v>-1</v>
      </c>
      <c r="AQ770" s="90">
        <v>356</v>
      </c>
      <c r="AR770" s="90" t="s">
        <v>380</v>
      </c>
      <c r="AS770" s="90" t="s">
        <v>246</v>
      </c>
      <c r="AT770" s="90" t="s">
        <v>244</v>
      </c>
      <c r="AU770" s="90">
        <v>175.87190000000001</v>
      </c>
      <c r="AV770" s="90">
        <v>159.37099440236599</v>
      </c>
      <c r="AW770" s="90">
        <v>1474.4743375000901</v>
      </c>
      <c r="AX770" s="90">
        <v>1.0877650374000001</v>
      </c>
    </row>
    <row r="771" spans="1:50" x14ac:dyDescent="0.25">
      <c r="A771" s="102">
        <v>830000</v>
      </c>
      <c r="B771" s="102">
        <v>2400000</v>
      </c>
      <c r="C771" s="102">
        <v>2500000</v>
      </c>
      <c r="D771" s="90" t="s">
        <v>374</v>
      </c>
      <c r="E771" s="90" t="s">
        <v>68</v>
      </c>
      <c r="F771" s="90" t="s">
        <v>375</v>
      </c>
      <c r="G771" s="90" t="s">
        <v>376</v>
      </c>
      <c r="H771" s="90">
        <v>0.59</v>
      </c>
      <c r="I771" s="90">
        <v>0.64</v>
      </c>
      <c r="J771" s="90" t="s">
        <v>381</v>
      </c>
      <c r="K771" s="90">
        <v>5.4862525808999996E-4</v>
      </c>
      <c r="L771" s="90">
        <v>3681.1096196706799</v>
      </c>
      <c r="M771" s="90">
        <v>10.172352368758601</v>
      </c>
      <c r="N771" s="90">
        <v>1.73132796778581</v>
      </c>
      <c r="O771" s="90">
        <v>5.5808094437799997E-3</v>
      </c>
      <c r="P771" s="90">
        <v>9.4985025317999999E-4</v>
      </c>
      <c r="Q771" s="90">
        <v>2.0195497151825399</v>
      </c>
      <c r="R771" s="90">
        <v>1300</v>
      </c>
      <c r="S771" s="90" t="s">
        <v>387</v>
      </c>
      <c r="T771" s="90">
        <v>1300</v>
      </c>
      <c r="U771" s="90" t="s">
        <v>382</v>
      </c>
      <c r="V771" s="90" t="s">
        <v>381</v>
      </c>
      <c r="Z771" s="90">
        <v>0</v>
      </c>
      <c r="AA771" s="90">
        <v>1</v>
      </c>
      <c r="AB771" s="90">
        <v>5.5808094437799997E-3</v>
      </c>
      <c r="AC771" s="90">
        <v>9.4985025317999999E-4</v>
      </c>
      <c r="AD771" s="90">
        <v>2.0195497151828801</v>
      </c>
      <c r="AF771" s="90">
        <v>-1</v>
      </c>
      <c r="AG771" s="90">
        <v>-1</v>
      </c>
      <c r="AH771" s="90">
        <v>-1</v>
      </c>
      <c r="AI771" s="90">
        <v>-1</v>
      </c>
      <c r="AJ771" s="90">
        <v>0</v>
      </c>
      <c r="AM771" s="90" t="s">
        <v>379</v>
      </c>
      <c r="AN771" s="90">
        <v>-1</v>
      </c>
      <c r="AQ771" s="90">
        <v>356</v>
      </c>
      <c r="AR771" s="90" t="s">
        <v>380</v>
      </c>
      <c r="AS771" s="90" t="s">
        <v>246</v>
      </c>
      <c r="AT771" s="90" t="s">
        <v>244</v>
      </c>
      <c r="AU771" s="90">
        <v>175.87190000000001</v>
      </c>
      <c r="AV771" s="90">
        <v>100.313839794838</v>
      </c>
      <c r="AW771" s="90">
        <v>2.22020764922916</v>
      </c>
      <c r="AX771" s="90">
        <v>1.6379153999999999E-3</v>
      </c>
    </row>
    <row r="772" spans="1:50" x14ac:dyDescent="0.25">
      <c r="A772" s="102">
        <v>830000</v>
      </c>
      <c r="B772" s="102">
        <v>2400000</v>
      </c>
      <c r="C772" s="102">
        <v>2500000</v>
      </c>
      <c r="D772" s="90" t="s">
        <v>374</v>
      </c>
      <c r="E772" s="90" t="s">
        <v>68</v>
      </c>
      <c r="F772" s="90" t="s">
        <v>375</v>
      </c>
      <c r="G772" s="90" t="s">
        <v>376</v>
      </c>
      <c r="H772" s="90">
        <v>0.59</v>
      </c>
      <c r="I772" s="90">
        <v>0.64</v>
      </c>
      <c r="J772" s="90" t="s">
        <v>244</v>
      </c>
      <c r="K772" s="90">
        <v>0.25591618894200002</v>
      </c>
      <c r="L772" s="90">
        <v>3780.52060040059</v>
      </c>
      <c r="M772" s="90">
        <v>11.558518110403501</v>
      </c>
      <c r="N772" s="90">
        <v>1.52967414833229</v>
      </c>
      <c r="O772" s="90">
        <v>2.95801190463159</v>
      </c>
      <c r="P772" s="90">
        <v>0.39146837836429998</v>
      </c>
      <c r="Q772" s="90">
        <v>967.49642427125605</v>
      </c>
      <c r="R772" s="90">
        <v>1410</v>
      </c>
      <c r="S772" s="90" t="s">
        <v>325</v>
      </c>
      <c r="T772" s="90">
        <v>1410</v>
      </c>
      <c r="U772" s="90" t="s">
        <v>378</v>
      </c>
      <c r="V772" s="90" t="s">
        <v>244</v>
      </c>
      <c r="Z772" s="90">
        <v>0</v>
      </c>
      <c r="AA772" s="90">
        <v>1</v>
      </c>
      <c r="AB772" s="90">
        <v>2.95801190463159</v>
      </c>
      <c r="AC772" s="90">
        <v>0.39146837836429998</v>
      </c>
      <c r="AD772" s="90">
        <v>2274.0610253446498</v>
      </c>
      <c r="AF772" s="90">
        <v>-1</v>
      </c>
      <c r="AG772" s="90">
        <v>-1</v>
      </c>
      <c r="AH772" s="90">
        <v>-1</v>
      </c>
      <c r="AI772" s="90">
        <v>-1</v>
      </c>
      <c r="AJ772" s="90">
        <v>0</v>
      </c>
      <c r="AM772" s="90" t="s">
        <v>379</v>
      </c>
      <c r="AN772" s="90">
        <v>-1</v>
      </c>
      <c r="AQ772" s="90">
        <v>356</v>
      </c>
      <c r="AR772" s="90" t="s">
        <v>380</v>
      </c>
      <c r="AS772" s="90" t="s">
        <v>246</v>
      </c>
      <c r="AT772" s="90" t="s">
        <v>244</v>
      </c>
      <c r="AU772" s="90">
        <v>175.87190000000001</v>
      </c>
      <c r="AV772" s="90">
        <v>145.30989891478799</v>
      </c>
      <c r="AW772" s="90">
        <v>1035.65607281607</v>
      </c>
      <c r="AX772" s="90">
        <v>1.8443317318000001</v>
      </c>
    </row>
    <row r="773" spans="1:50" x14ac:dyDescent="0.25">
      <c r="A773" s="102">
        <v>830000</v>
      </c>
      <c r="B773" s="102">
        <v>2400000</v>
      </c>
      <c r="C773" s="102">
        <v>2500000</v>
      </c>
      <c r="D773" s="90" t="s">
        <v>374</v>
      </c>
      <c r="E773" s="90" t="s">
        <v>68</v>
      </c>
      <c r="F773" s="90" t="s">
        <v>375</v>
      </c>
      <c r="G773" s="90" t="s">
        <v>376</v>
      </c>
      <c r="H773" s="90">
        <v>0.59</v>
      </c>
      <c r="I773" s="90">
        <v>0.64</v>
      </c>
      <c r="J773" s="90" t="s">
        <v>244</v>
      </c>
      <c r="K773" s="90">
        <v>6.30530219803E-3</v>
      </c>
      <c r="L773" s="90">
        <v>3780.52060040059</v>
      </c>
      <c r="M773" s="90">
        <v>11.558518110403501</v>
      </c>
      <c r="N773" s="90">
        <v>1.52967414833229</v>
      </c>
      <c r="O773" s="90">
        <v>7.2879949647580003E-2</v>
      </c>
      <c r="P773" s="90">
        <v>9.6450577697600008E-3</v>
      </c>
      <c r="Q773" s="90">
        <v>23.837324851433699</v>
      </c>
      <c r="R773" s="90">
        <v>1210</v>
      </c>
      <c r="S773" s="90" t="s">
        <v>385</v>
      </c>
      <c r="T773" s="90">
        <v>1210</v>
      </c>
      <c r="U773" s="90" t="s">
        <v>378</v>
      </c>
      <c r="V773" s="90" t="s">
        <v>244</v>
      </c>
      <c r="Z773" s="90">
        <v>0</v>
      </c>
      <c r="AA773" s="90">
        <v>1</v>
      </c>
      <c r="AB773" s="90">
        <v>7.2879949647580003E-2</v>
      </c>
      <c r="AC773" s="90">
        <v>9.6450577697600008E-3</v>
      </c>
      <c r="AD773" s="90">
        <v>23.837324851434001</v>
      </c>
      <c r="AF773" s="90">
        <v>-1</v>
      </c>
      <c r="AG773" s="90">
        <v>-1</v>
      </c>
      <c r="AH773" s="90">
        <v>-1</v>
      </c>
      <c r="AI773" s="90">
        <v>-1</v>
      </c>
      <c r="AJ773" s="90">
        <v>0</v>
      </c>
      <c r="AM773" s="90" t="s">
        <v>379</v>
      </c>
      <c r="AN773" s="90">
        <v>-1</v>
      </c>
      <c r="AQ773" s="90">
        <v>356</v>
      </c>
      <c r="AR773" s="90" t="s">
        <v>380</v>
      </c>
      <c r="AS773" s="90" t="s">
        <v>246</v>
      </c>
      <c r="AT773" s="90" t="s">
        <v>244</v>
      </c>
      <c r="AU773" s="90">
        <v>175.87190000000001</v>
      </c>
      <c r="AV773" s="90">
        <v>27.0993565878676</v>
      </c>
      <c r="AW773" s="90">
        <v>25.516652695303101</v>
      </c>
      <c r="AX773" s="90">
        <v>1.9332785799999998E-2</v>
      </c>
    </row>
    <row r="774" spans="1:50" x14ac:dyDescent="0.25">
      <c r="A774" s="102">
        <v>830000</v>
      </c>
      <c r="B774" s="102">
        <v>2400000</v>
      </c>
      <c r="C774" s="102">
        <v>2500000</v>
      </c>
      <c r="D774" s="90" t="s">
        <v>374</v>
      </c>
      <c r="E774" s="90" t="s">
        <v>68</v>
      </c>
      <c r="F774" s="90" t="s">
        <v>375</v>
      </c>
      <c r="G774" s="90" t="s">
        <v>376</v>
      </c>
      <c r="H774" s="90">
        <v>0.59</v>
      </c>
      <c r="I774" s="90">
        <v>0.64</v>
      </c>
      <c r="J774" s="90" t="s">
        <v>244</v>
      </c>
      <c r="K774" s="90">
        <v>9.9375499744800005E-3</v>
      </c>
      <c r="L774" s="90">
        <v>3780.52060040059</v>
      </c>
      <c r="M774" s="90">
        <v>11.558518110403501</v>
      </c>
      <c r="N774" s="90">
        <v>1.52967414833229</v>
      </c>
      <c r="O774" s="90">
        <v>0.11486335135317</v>
      </c>
      <c r="P774" s="90">
        <v>1.520121329373E-2</v>
      </c>
      <c r="Q774" s="90">
        <v>37.569112396065997</v>
      </c>
      <c r="R774" s="90">
        <v>1210</v>
      </c>
      <c r="S774" s="90" t="s">
        <v>385</v>
      </c>
      <c r="T774" s="90">
        <v>1210</v>
      </c>
      <c r="U774" s="90" t="s">
        <v>378</v>
      </c>
      <c r="V774" s="90" t="s">
        <v>244</v>
      </c>
      <c r="Z774" s="90">
        <v>0</v>
      </c>
      <c r="AA774" s="90">
        <v>1</v>
      </c>
      <c r="AB774" s="90">
        <v>0.11486335135317</v>
      </c>
      <c r="AC774" s="90">
        <v>1.520121329373E-2</v>
      </c>
      <c r="AD774" s="90">
        <v>37.569112396064902</v>
      </c>
      <c r="AF774" s="90">
        <v>-1</v>
      </c>
      <c r="AG774" s="90">
        <v>-1</v>
      </c>
      <c r="AH774" s="90">
        <v>-1</v>
      </c>
      <c r="AI774" s="90">
        <v>-1</v>
      </c>
      <c r="AJ774" s="90">
        <v>0</v>
      </c>
      <c r="AM774" s="90" t="s">
        <v>379</v>
      </c>
      <c r="AN774" s="90">
        <v>-1</v>
      </c>
      <c r="AQ774" s="90">
        <v>356</v>
      </c>
      <c r="AR774" s="90" t="s">
        <v>380</v>
      </c>
      <c r="AS774" s="90" t="s">
        <v>246</v>
      </c>
      <c r="AT774" s="90" t="s">
        <v>244</v>
      </c>
      <c r="AU774" s="90">
        <v>175.87190000000001</v>
      </c>
      <c r="AV774" s="90">
        <v>46.928941099475701</v>
      </c>
      <c r="AW774" s="90">
        <v>40.215837937180503</v>
      </c>
      <c r="AX774" s="90">
        <v>3.04696775E-2</v>
      </c>
    </row>
    <row r="775" spans="1:50" x14ac:dyDescent="0.25">
      <c r="A775" s="102">
        <v>830000</v>
      </c>
      <c r="B775" s="102">
        <v>2400000</v>
      </c>
      <c r="C775" s="102">
        <v>2500000</v>
      </c>
      <c r="D775" s="90" t="s">
        <v>374</v>
      </c>
      <c r="E775" s="90" t="s">
        <v>68</v>
      </c>
      <c r="F775" s="90" t="s">
        <v>375</v>
      </c>
      <c r="G775" s="90" t="s">
        <v>376</v>
      </c>
      <c r="H775" s="90">
        <v>0.59</v>
      </c>
      <c r="I775" s="90">
        <v>0.64</v>
      </c>
      <c r="J775" s="90" t="s">
        <v>244</v>
      </c>
      <c r="K775" s="90">
        <v>3.4147170155499999E-3</v>
      </c>
      <c r="L775" s="90">
        <v>3781.58062557526</v>
      </c>
      <c r="M775" s="90">
        <v>11.350942464772301</v>
      </c>
      <c r="N775" s="90">
        <v>1.4974528204359101</v>
      </c>
      <c r="O775" s="90">
        <v>3.8760256377079999E-2</v>
      </c>
      <c r="P775" s="90">
        <v>5.1133776259300002E-3</v>
      </c>
      <c r="Q775" s="90">
        <v>12.91302770786</v>
      </c>
      <c r="R775" s="90">
        <v>1400</v>
      </c>
      <c r="S775" s="90" t="s">
        <v>324</v>
      </c>
      <c r="T775" s="90">
        <v>1400</v>
      </c>
      <c r="U775" s="90" t="s">
        <v>378</v>
      </c>
      <c r="V775" s="90" t="s">
        <v>244</v>
      </c>
      <c r="Z775" s="90">
        <v>0</v>
      </c>
      <c r="AA775" s="90">
        <v>1</v>
      </c>
      <c r="AB775" s="90">
        <v>3.8760256377079999E-2</v>
      </c>
      <c r="AC775" s="90">
        <v>5.1133776259300002E-3</v>
      </c>
      <c r="AD775" s="90">
        <v>287.78989085125198</v>
      </c>
      <c r="AF775" s="90">
        <v>-1</v>
      </c>
      <c r="AG775" s="90">
        <v>-1</v>
      </c>
      <c r="AH775" s="90">
        <v>-1</v>
      </c>
      <c r="AI775" s="90">
        <v>-1</v>
      </c>
      <c r="AJ775" s="90">
        <v>0</v>
      </c>
      <c r="AM775" s="90" t="s">
        <v>379</v>
      </c>
      <c r="AN775" s="90">
        <v>-1</v>
      </c>
      <c r="AQ775" s="90">
        <v>356</v>
      </c>
      <c r="AR775" s="90" t="s">
        <v>380</v>
      </c>
      <c r="AS775" s="90" t="s">
        <v>246</v>
      </c>
      <c r="AT775" s="90" t="s">
        <v>244</v>
      </c>
      <c r="AU775" s="90">
        <v>175.87190000000001</v>
      </c>
      <c r="AV775" s="90">
        <v>98.248734379114296</v>
      </c>
      <c r="AW775" s="90">
        <v>13.8188694850944</v>
      </c>
      <c r="AX775" s="90">
        <v>0.2334062375</v>
      </c>
    </row>
    <row r="776" spans="1:50" x14ac:dyDescent="0.25">
      <c r="A776" s="102">
        <v>830000</v>
      </c>
      <c r="B776" s="102">
        <v>2400000</v>
      </c>
      <c r="C776" s="102">
        <v>2500000</v>
      </c>
      <c r="D776" s="90" t="s">
        <v>374</v>
      </c>
      <c r="E776" s="90" t="s">
        <v>68</v>
      </c>
      <c r="F776" s="90" t="s">
        <v>375</v>
      </c>
      <c r="G776" s="90" t="s">
        <v>376</v>
      </c>
      <c r="H776" s="90">
        <v>0.59</v>
      </c>
      <c r="I776" s="90">
        <v>0.64</v>
      </c>
      <c r="J776" s="90" t="s">
        <v>381</v>
      </c>
      <c r="K776" s="90">
        <v>6.6050361963360005E-2</v>
      </c>
      <c r="L776" s="90">
        <v>3781.58062557526</v>
      </c>
      <c r="M776" s="90">
        <v>11.350942464772301</v>
      </c>
      <c r="N776" s="90">
        <v>1.4974528204359101</v>
      </c>
      <c r="O776" s="90">
        <v>0.74973385842353002</v>
      </c>
      <c r="P776" s="90">
        <v>9.8907300812849999E-2</v>
      </c>
      <c r="Q776" s="90">
        <v>249.77476911289</v>
      </c>
      <c r="R776" s="90">
        <v>1400</v>
      </c>
      <c r="S776" s="90" t="s">
        <v>324</v>
      </c>
      <c r="T776" s="90">
        <v>1400</v>
      </c>
      <c r="U776" s="90" t="s">
        <v>382</v>
      </c>
      <c r="V776" s="90" t="s">
        <v>381</v>
      </c>
      <c r="Z776" s="90">
        <v>0</v>
      </c>
      <c r="AA776" s="90">
        <v>1</v>
      </c>
      <c r="AB776" s="90">
        <v>0.74973385842353002</v>
      </c>
      <c r="AC776" s="90">
        <v>9.8907300812849999E-2</v>
      </c>
      <c r="AD776" s="90">
        <v>275.17529655226099</v>
      </c>
      <c r="AF776" s="90">
        <v>-1</v>
      </c>
      <c r="AG776" s="90">
        <v>-1</v>
      </c>
      <c r="AH776" s="90">
        <v>-1</v>
      </c>
      <c r="AI776" s="90">
        <v>-1</v>
      </c>
      <c r="AJ776" s="90">
        <v>0</v>
      </c>
      <c r="AM776" s="90" t="s">
        <v>379</v>
      </c>
      <c r="AN776" s="90">
        <v>-1</v>
      </c>
      <c r="AQ776" s="90">
        <v>356</v>
      </c>
      <c r="AR776" s="90" t="s">
        <v>380</v>
      </c>
      <c r="AS776" s="90" t="s">
        <v>246</v>
      </c>
      <c r="AT776" s="90" t="s">
        <v>244</v>
      </c>
      <c r="AU776" s="90">
        <v>175.87190000000001</v>
      </c>
      <c r="AV776" s="90">
        <v>102.617012558889</v>
      </c>
      <c r="AW776" s="90">
        <v>267.296331513285</v>
      </c>
      <c r="AX776" s="90">
        <v>0.22317542300000001</v>
      </c>
    </row>
    <row r="777" spans="1:50" x14ac:dyDescent="0.25">
      <c r="A777" s="102">
        <v>830000</v>
      </c>
      <c r="B777" s="102">
        <v>2400000</v>
      </c>
      <c r="C777" s="102">
        <v>2500000</v>
      </c>
      <c r="D777" s="90" t="s">
        <v>374</v>
      </c>
      <c r="E777" s="90" t="s">
        <v>68</v>
      </c>
      <c r="F777" s="90" t="s">
        <v>375</v>
      </c>
      <c r="G777" s="90" t="s">
        <v>376</v>
      </c>
      <c r="H777" s="90">
        <v>0.59</v>
      </c>
      <c r="I777" s="90">
        <v>0.64</v>
      </c>
      <c r="J777" s="90" t="s">
        <v>381</v>
      </c>
      <c r="K777" s="90">
        <v>5.3435675285030002E-2</v>
      </c>
      <c r="L777" s="90">
        <v>3781.58062557526</v>
      </c>
      <c r="M777" s="90">
        <v>11.350942464772301</v>
      </c>
      <c r="N777" s="90">
        <v>1.4974528204359101</v>
      </c>
      <c r="O777" s="90">
        <v>0.60654527572669004</v>
      </c>
      <c r="P777" s="90">
        <v>8.0017402667469997E-2</v>
      </c>
      <c r="Q777" s="90">
        <v>202.07131437241901</v>
      </c>
      <c r="R777" s="90">
        <v>8140</v>
      </c>
      <c r="S777" s="90" t="s">
        <v>386</v>
      </c>
      <c r="T777" s="90">
        <v>8140</v>
      </c>
      <c r="U777" s="90" t="s">
        <v>382</v>
      </c>
      <c r="V777" s="90" t="s">
        <v>381</v>
      </c>
      <c r="Z777" s="90">
        <v>0</v>
      </c>
      <c r="AA777" s="90">
        <v>1</v>
      </c>
      <c r="AB777" s="90">
        <v>0.60654527572669004</v>
      </c>
      <c r="AC777" s="90">
        <v>8.0017402667469997E-2</v>
      </c>
      <c r="AD777" s="90">
        <v>220.455815540039</v>
      </c>
      <c r="AF777" s="90">
        <v>-1</v>
      </c>
      <c r="AG777" s="90">
        <v>-1</v>
      </c>
      <c r="AH777" s="90">
        <v>-1</v>
      </c>
      <c r="AI777" s="90">
        <v>-1</v>
      </c>
      <c r="AJ777" s="90">
        <v>0</v>
      </c>
      <c r="AM777" s="90" t="s">
        <v>379</v>
      </c>
      <c r="AN777" s="90">
        <v>-1</v>
      </c>
      <c r="AQ777" s="90">
        <v>356</v>
      </c>
      <c r="AR777" s="90" t="s">
        <v>380</v>
      </c>
      <c r="AS777" s="90" t="s">
        <v>246</v>
      </c>
      <c r="AT777" s="90" t="s">
        <v>244</v>
      </c>
      <c r="AU777" s="90">
        <v>175.87190000000001</v>
      </c>
      <c r="AV777" s="90">
        <v>99.242607119453794</v>
      </c>
      <c r="AW777" s="90">
        <v>216.246505712523</v>
      </c>
      <c r="AX777" s="90">
        <v>0.17879628189999999</v>
      </c>
    </row>
    <row r="778" spans="1:50" x14ac:dyDescent="0.25">
      <c r="A778" s="102">
        <v>830000</v>
      </c>
      <c r="B778" s="102">
        <v>2400000</v>
      </c>
      <c r="C778" s="102">
        <v>2500000</v>
      </c>
      <c r="D778" s="90" t="s">
        <v>374</v>
      </c>
      <c r="E778" s="90" t="s">
        <v>68</v>
      </c>
      <c r="F778" s="90" t="s">
        <v>375</v>
      </c>
      <c r="G778" s="90" t="s">
        <v>376</v>
      </c>
      <c r="H778" s="90">
        <v>0.59</v>
      </c>
      <c r="I778" s="90">
        <v>0.64</v>
      </c>
      <c r="J778" s="90" t="s">
        <v>244</v>
      </c>
      <c r="K778" s="90">
        <v>0.14932455144539</v>
      </c>
      <c r="L778" s="90">
        <v>3781.58062557526</v>
      </c>
      <c r="M778" s="90">
        <v>11.350942464772301</v>
      </c>
      <c r="N778" s="90">
        <v>1.4974528204359101</v>
      </c>
      <c r="O778" s="90">
        <v>1.6949743920345599</v>
      </c>
      <c r="P778" s="90">
        <v>0.22360647072222001</v>
      </c>
      <c r="Q778" s="90">
        <v>564.68283066860295</v>
      </c>
      <c r="R778" s="90">
        <v>1450</v>
      </c>
      <c r="S778" s="90" t="s">
        <v>391</v>
      </c>
      <c r="T778" s="90">
        <v>1450</v>
      </c>
      <c r="U778" s="90" t="s">
        <v>378</v>
      </c>
      <c r="V778" s="90" t="s">
        <v>244</v>
      </c>
      <c r="Z778" s="90">
        <v>0</v>
      </c>
      <c r="AA778" s="90">
        <v>1</v>
      </c>
      <c r="AB778" s="90">
        <v>1.6949743920345599</v>
      </c>
      <c r="AC778" s="90">
        <v>0.22360647072222001</v>
      </c>
      <c r="AD778" s="90">
        <v>1552.70130498359</v>
      </c>
      <c r="AF778" s="90">
        <v>-1</v>
      </c>
      <c r="AG778" s="90">
        <v>-1</v>
      </c>
      <c r="AH778" s="90">
        <v>-1</v>
      </c>
      <c r="AI778" s="90">
        <v>-1</v>
      </c>
      <c r="AJ778" s="90">
        <v>0</v>
      </c>
      <c r="AM778" s="90" t="s">
        <v>379</v>
      </c>
      <c r="AN778" s="90">
        <v>-1</v>
      </c>
      <c r="AQ778" s="90">
        <v>356</v>
      </c>
      <c r="AR778" s="90" t="s">
        <v>380</v>
      </c>
      <c r="AS778" s="90" t="s">
        <v>246</v>
      </c>
      <c r="AT778" s="90" t="s">
        <v>244</v>
      </c>
      <c r="AU778" s="90">
        <v>175.87190000000001</v>
      </c>
      <c r="AV778" s="90">
        <v>128.569525813024</v>
      </c>
      <c r="AW778" s="90">
        <v>604.29502003877599</v>
      </c>
      <c r="AX778" s="90">
        <v>1.2592873520000001</v>
      </c>
    </row>
    <row r="779" spans="1:50" x14ac:dyDescent="0.25">
      <c r="A779" s="102">
        <v>830000</v>
      </c>
      <c r="B779" s="102">
        <v>2400000</v>
      </c>
      <c r="C779" s="102">
        <v>2500000</v>
      </c>
      <c r="D779" s="90" t="s">
        <v>374</v>
      </c>
      <c r="E779" s="90" t="s">
        <v>68</v>
      </c>
      <c r="F779" s="90" t="s">
        <v>375</v>
      </c>
      <c r="G779" s="90" t="s">
        <v>376</v>
      </c>
      <c r="H779" s="90">
        <v>0.59</v>
      </c>
      <c r="I779" s="90">
        <v>0.64</v>
      </c>
      <c r="J779" s="90" t="s">
        <v>244</v>
      </c>
      <c r="K779" s="90">
        <v>0.14857866636868999</v>
      </c>
      <c r="L779" s="90">
        <v>3649.3014877856299</v>
      </c>
      <c r="M779" s="90">
        <v>7.4108151567419496</v>
      </c>
      <c r="N779" s="90">
        <v>1.0063952351009</v>
      </c>
      <c r="O779" s="90">
        <v>1.10108903269365</v>
      </c>
      <c r="P779" s="90">
        <v>0.14952886187110001</v>
      </c>
      <c r="Q779" s="90">
        <v>542.20834823249504</v>
      </c>
      <c r="R779" s="90">
        <v>1850</v>
      </c>
      <c r="S779" s="90" t="s">
        <v>388</v>
      </c>
      <c r="T779" s="90">
        <v>1850</v>
      </c>
      <c r="U779" s="90" t="s">
        <v>378</v>
      </c>
      <c r="V779" s="90" t="s">
        <v>244</v>
      </c>
      <c r="Z779" s="90">
        <v>0</v>
      </c>
      <c r="AA779" s="90">
        <v>1</v>
      </c>
      <c r="AB779" s="90">
        <v>1.10108903269365</v>
      </c>
      <c r="AC779" s="90">
        <v>0.14952886187110001</v>
      </c>
      <c r="AD779" s="90">
        <v>542.20834823249504</v>
      </c>
      <c r="AF779" s="90">
        <v>-1</v>
      </c>
      <c r="AG779" s="90">
        <v>-1</v>
      </c>
      <c r="AH779" s="90">
        <v>-1</v>
      </c>
      <c r="AI779" s="90">
        <v>-1</v>
      </c>
      <c r="AJ779" s="90">
        <v>0</v>
      </c>
      <c r="AM779" s="90" t="s">
        <v>379</v>
      </c>
      <c r="AN779" s="90">
        <v>-1</v>
      </c>
      <c r="AQ779" s="90">
        <v>356</v>
      </c>
      <c r="AR779" s="90" t="s">
        <v>380</v>
      </c>
      <c r="AS779" s="90" t="s">
        <v>246</v>
      </c>
      <c r="AT779" s="90" t="s">
        <v>244</v>
      </c>
      <c r="AU779" s="90">
        <v>175.87190000000001</v>
      </c>
      <c r="AV779" s="90">
        <v>124.119046328102</v>
      </c>
      <c r="AW779" s="90">
        <v>601.27653022579398</v>
      </c>
      <c r="AX779" s="90">
        <v>0.43974724110000002</v>
      </c>
    </row>
    <row r="780" spans="1:50" x14ac:dyDescent="0.25">
      <c r="A780" s="102">
        <v>830000</v>
      </c>
      <c r="B780" s="102">
        <v>2400000</v>
      </c>
      <c r="C780" s="102">
        <v>2500000</v>
      </c>
      <c r="D780" s="90" t="s">
        <v>374</v>
      </c>
      <c r="E780" s="90" t="s">
        <v>68</v>
      </c>
      <c r="F780" s="90" t="s">
        <v>375</v>
      </c>
      <c r="G780" s="90" t="s">
        <v>376</v>
      </c>
      <c r="H780" s="90">
        <v>0.59</v>
      </c>
      <c r="I780" s="90">
        <v>0.64</v>
      </c>
      <c r="J780" s="90" t="s">
        <v>389</v>
      </c>
      <c r="K780" s="90">
        <v>4.1569342366569999E-2</v>
      </c>
      <c r="L780" s="90">
        <v>3649.3014877856299</v>
      </c>
      <c r="M780" s="90">
        <v>7.4108151567419496</v>
      </c>
      <c r="N780" s="90">
        <v>1.0063952351009</v>
      </c>
      <c r="O780" s="90">
        <v>0.30806271246602002</v>
      </c>
      <c r="P780" s="90">
        <v>4.1835188083999997E-2</v>
      </c>
      <c r="Q780" s="90">
        <v>151.69906294461899</v>
      </c>
      <c r="R780" s="90">
        <v>4200</v>
      </c>
      <c r="S780" s="90" t="s">
        <v>390</v>
      </c>
      <c r="T780" s="90">
        <v>4200</v>
      </c>
      <c r="U780" s="90" t="s">
        <v>378</v>
      </c>
      <c r="V780" s="90" t="s">
        <v>244</v>
      </c>
      <c r="Y780" s="90" t="s">
        <v>389</v>
      </c>
      <c r="Z780" s="90">
        <v>0</v>
      </c>
      <c r="AA780" s="90">
        <v>1</v>
      </c>
      <c r="AB780" s="90">
        <v>0.30806271246602002</v>
      </c>
      <c r="AC780" s="90">
        <v>4.1835188083999997E-2</v>
      </c>
      <c r="AD780" s="90">
        <v>151.69906294461899</v>
      </c>
      <c r="AF780" s="90">
        <v>-1</v>
      </c>
      <c r="AG780" s="90">
        <v>-1</v>
      </c>
      <c r="AH780" s="90">
        <v>-1</v>
      </c>
      <c r="AI780" s="90">
        <v>-1</v>
      </c>
      <c r="AJ780" s="90">
        <v>0</v>
      </c>
      <c r="AM780" s="90" t="s">
        <v>379</v>
      </c>
      <c r="AN780" s="90">
        <v>-1</v>
      </c>
      <c r="AQ780" s="90">
        <v>356</v>
      </c>
      <c r="AR780" s="90" t="s">
        <v>380</v>
      </c>
      <c r="AS780" s="90" t="s">
        <v>246</v>
      </c>
      <c r="AT780" s="90" t="s">
        <v>244</v>
      </c>
      <c r="AU780" s="90">
        <v>175.87190000000001</v>
      </c>
      <c r="AV780" s="90">
        <v>106.427034063197</v>
      </c>
      <c r="AW780" s="90">
        <v>168.22516013112599</v>
      </c>
      <c r="AX780" s="90">
        <v>0.1230324923</v>
      </c>
    </row>
    <row r="781" spans="1:50" x14ac:dyDescent="0.25">
      <c r="A781" s="102">
        <v>830000</v>
      </c>
      <c r="B781" s="102">
        <v>2400000</v>
      </c>
      <c r="C781" s="102">
        <v>2500000</v>
      </c>
      <c r="D781" s="90" t="s">
        <v>374</v>
      </c>
      <c r="E781" s="90" t="s">
        <v>68</v>
      </c>
      <c r="F781" s="90" t="s">
        <v>375</v>
      </c>
      <c r="G781" s="90" t="s">
        <v>376</v>
      </c>
      <c r="H781" s="90">
        <v>0.59</v>
      </c>
      <c r="I781" s="90">
        <v>0.64</v>
      </c>
      <c r="J781" s="90" t="s">
        <v>244</v>
      </c>
      <c r="K781" s="90">
        <v>0.41732971078517</v>
      </c>
      <c r="L781" s="90">
        <v>3772.23717431368</v>
      </c>
      <c r="M781" s="90">
        <v>11.535326158682301</v>
      </c>
      <c r="N781" s="90">
        <v>1.57186229106693</v>
      </c>
      <c r="O781" s="90">
        <v>4.8140343296155601</v>
      </c>
      <c r="P781" s="90">
        <v>0.65598483532508001</v>
      </c>
      <c r="Q781" s="90">
        <v>1574.2666489694</v>
      </c>
      <c r="R781" s="90">
        <v>1400</v>
      </c>
      <c r="S781" s="90" t="s">
        <v>324</v>
      </c>
      <c r="T781" s="90">
        <v>1400</v>
      </c>
      <c r="U781" s="90" t="s">
        <v>378</v>
      </c>
      <c r="V781" s="90" t="s">
        <v>244</v>
      </c>
      <c r="Z781" s="90">
        <v>0</v>
      </c>
      <c r="AA781" s="90">
        <v>1</v>
      </c>
      <c r="AB781" s="90">
        <v>4.8140343296155601</v>
      </c>
      <c r="AC781" s="90">
        <v>0.65598483532508001</v>
      </c>
      <c r="AD781" s="90">
        <v>1763.70129821047</v>
      </c>
      <c r="AF781" s="90">
        <v>-1</v>
      </c>
      <c r="AG781" s="90">
        <v>-1</v>
      </c>
      <c r="AH781" s="90">
        <v>-1</v>
      </c>
      <c r="AI781" s="90">
        <v>-1</v>
      </c>
      <c r="AJ781" s="90">
        <v>0</v>
      </c>
      <c r="AM781" s="90" t="s">
        <v>379</v>
      </c>
      <c r="AN781" s="90">
        <v>-1</v>
      </c>
      <c r="AQ781" s="90">
        <v>356</v>
      </c>
      <c r="AR781" s="90" t="s">
        <v>380</v>
      </c>
      <c r="AS781" s="90" t="s">
        <v>246</v>
      </c>
      <c r="AT781" s="90" t="s">
        <v>244</v>
      </c>
      <c r="AU781" s="90">
        <v>175.87190000000001</v>
      </c>
      <c r="AV781" s="90">
        <v>169.663116472844</v>
      </c>
      <c r="AW781" s="90">
        <v>1688.87342034931</v>
      </c>
      <c r="AX781" s="90">
        <v>1.4304146782</v>
      </c>
    </row>
    <row r="782" spans="1:50" x14ac:dyDescent="0.25">
      <c r="A782" s="102">
        <v>830000</v>
      </c>
      <c r="B782" s="102">
        <v>2400000</v>
      </c>
      <c r="C782" s="102">
        <v>2500000</v>
      </c>
      <c r="D782" s="90" t="s">
        <v>374</v>
      </c>
      <c r="E782" s="90" t="s">
        <v>68</v>
      </c>
      <c r="F782" s="90" t="s">
        <v>375</v>
      </c>
      <c r="G782" s="90" t="s">
        <v>376</v>
      </c>
      <c r="H782" s="90">
        <v>0.59</v>
      </c>
      <c r="I782" s="90">
        <v>0.64</v>
      </c>
      <c r="J782" s="90" t="s">
        <v>381</v>
      </c>
      <c r="K782" s="90">
        <v>5.609873343282E-2</v>
      </c>
      <c r="L782" s="90">
        <v>3772.23717431368</v>
      </c>
      <c r="M782" s="90">
        <v>11.535326158682301</v>
      </c>
      <c r="N782" s="90">
        <v>1.57186229106693</v>
      </c>
      <c r="O782" s="90">
        <v>0.64711718723662004</v>
      </c>
      <c r="P782" s="90">
        <v>8.8179483659670002E-2</v>
      </c>
      <c r="Q782" s="90">
        <v>211.617727687219</v>
      </c>
      <c r="R782" s="90">
        <v>1400</v>
      </c>
      <c r="S782" s="90" t="s">
        <v>324</v>
      </c>
      <c r="T782" s="90">
        <v>1400</v>
      </c>
      <c r="U782" s="90" t="s">
        <v>382</v>
      </c>
      <c r="V782" s="90" t="s">
        <v>381</v>
      </c>
      <c r="Z782" s="90">
        <v>0</v>
      </c>
      <c r="AA782" s="90">
        <v>1</v>
      </c>
      <c r="AB782" s="90">
        <v>0.64711718723662004</v>
      </c>
      <c r="AC782" s="90">
        <v>8.8179483659670002E-2</v>
      </c>
      <c r="AD782" s="90">
        <v>270.308179827164</v>
      </c>
      <c r="AF782" s="90">
        <v>-1</v>
      </c>
      <c r="AG782" s="90">
        <v>-1</v>
      </c>
      <c r="AH782" s="90">
        <v>-1</v>
      </c>
      <c r="AI782" s="90">
        <v>-1</v>
      </c>
      <c r="AJ782" s="90">
        <v>0</v>
      </c>
      <c r="AM782" s="90" t="s">
        <v>379</v>
      </c>
      <c r="AN782" s="90">
        <v>-1</v>
      </c>
      <c r="AQ782" s="90">
        <v>356</v>
      </c>
      <c r="AR782" s="90" t="s">
        <v>380</v>
      </c>
      <c r="AS782" s="90" t="s">
        <v>246</v>
      </c>
      <c r="AT782" s="90" t="s">
        <v>244</v>
      </c>
      <c r="AU782" s="90">
        <v>175.87190000000001</v>
      </c>
      <c r="AV782" s="90">
        <v>85.120287275725602</v>
      </c>
      <c r="AW782" s="90">
        <v>227.023519681138</v>
      </c>
      <c r="AX782" s="90">
        <v>0.21922804530000001</v>
      </c>
    </row>
    <row r="783" spans="1:50" x14ac:dyDescent="0.25">
      <c r="A783" s="102">
        <v>830000</v>
      </c>
      <c r="B783" s="102">
        <v>2400000</v>
      </c>
      <c r="C783" s="102">
        <v>2500000</v>
      </c>
      <c r="D783" s="90" t="s">
        <v>374</v>
      </c>
      <c r="E783" s="90" t="s">
        <v>68</v>
      </c>
      <c r="F783" s="90" t="s">
        <v>375</v>
      </c>
      <c r="G783" s="90" t="s">
        <v>376</v>
      </c>
      <c r="H783" s="90">
        <v>0.59</v>
      </c>
      <c r="I783" s="90">
        <v>0.64</v>
      </c>
      <c r="J783" s="90" t="s">
        <v>244</v>
      </c>
      <c r="K783" s="90">
        <v>3.2342225648769998E-2</v>
      </c>
      <c r="L783" s="90">
        <v>3772.23717431368</v>
      </c>
      <c r="M783" s="90">
        <v>11.535326158682301</v>
      </c>
      <c r="N783" s="90">
        <v>1.57186229106693</v>
      </c>
      <c r="O783" s="90">
        <v>0.37307812155630998</v>
      </c>
      <c r="P783" s="90">
        <v>5.0837524906479997E-2</v>
      </c>
      <c r="Q783" s="90">
        <v>122.00254589234601</v>
      </c>
      <c r="R783" s="90">
        <v>1410</v>
      </c>
      <c r="S783" s="90" t="s">
        <v>325</v>
      </c>
      <c r="T783" s="90">
        <v>1410</v>
      </c>
      <c r="U783" s="90" t="s">
        <v>378</v>
      </c>
      <c r="V783" s="90" t="s">
        <v>244</v>
      </c>
      <c r="Z783" s="90">
        <v>0</v>
      </c>
      <c r="AA783" s="90">
        <v>1</v>
      </c>
      <c r="AB783" s="90">
        <v>0.37307812155630998</v>
      </c>
      <c r="AC783" s="90">
        <v>5.0837524906479997E-2</v>
      </c>
      <c r="AD783" s="90">
        <v>122.00254589234601</v>
      </c>
      <c r="AF783" s="90">
        <v>-1</v>
      </c>
      <c r="AG783" s="90">
        <v>-1</v>
      </c>
      <c r="AH783" s="90">
        <v>-1</v>
      </c>
      <c r="AI783" s="90">
        <v>-1</v>
      </c>
      <c r="AJ783" s="90">
        <v>0</v>
      </c>
      <c r="AM783" s="90" t="s">
        <v>379</v>
      </c>
      <c r="AN783" s="90">
        <v>-1</v>
      </c>
      <c r="AQ783" s="90">
        <v>356</v>
      </c>
      <c r="AR783" s="90" t="s">
        <v>380</v>
      </c>
      <c r="AS783" s="90" t="s">
        <v>246</v>
      </c>
      <c r="AT783" s="90" t="s">
        <v>244</v>
      </c>
      <c r="AU783" s="90">
        <v>175.87190000000001</v>
      </c>
      <c r="AV783" s="90">
        <v>96.590137893253399</v>
      </c>
      <c r="AW783" s="90">
        <v>130.88434358145</v>
      </c>
      <c r="AX783" s="90">
        <v>9.8947725799999997E-2</v>
      </c>
    </row>
    <row r="784" spans="1:50" x14ac:dyDescent="0.25">
      <c r="A784" s="102">
        <v>830000</v>
      </c>
      <c r="B784" s="102">
        <v>2400000</v>
      </c>
      <c r="C784" s="102">
        <v>2500000</v>
      </c>
      <c r="D784" s="90" t="s">
        <v>374</v>
      </c>
      <c r="E784" s="90" t="s">
        <v>68</v>
      </c>
      <c r="F784" s="90" t="s">
        <v>375</v>
      </c>
      <c r="G784" s="90" t="s">
        <v>376</v>
      </c>
      <c r="H784" s="90">
        <v>0.59</v>
      </c>
      <c r="I784" s="90">
        <v>0.64</v>
      </c>
      <c r="J784" s="90" t="s">
        <v>244</v>
      </c>
      <c r="K784" s="90">
        <v>1.740659626853E-2</v>
      </c>
      <c r="L784" s="90">
        <v>3772.23717431368</v>
      </c>
      <c r="M784" s="90">
        <v>11.535326158682301</v>
      </c>
      <c r="N784" s="90">
        <v>1.57186229106693</v>
      </c>
      <c r="O784" s="90">
        <v>0.20079076527004</v>
      </c>
      <c r="P784" s="90">
        <v>2.7360772290330002E-2</v>
      </c>
      <c r="Q784" s="90">
        <v>65.6618095224337</v>
      </c>
      <c r="R784" s="90">
        <v>1300</v>
      </c>
      <c r="S784" s="90" t="s">
        <v>387</v>
      </c>
      <c r="T784" s="90">
        <v>1300</v>
      </c>
      <c r="U784" s="90" t="s">
        <v>378</v>
      </c>
      <c r="V784" s="90" t="s">
        <v>244</v>
      </c>
      <c r="Z784" s="90">
        <v>0</v>
      </c>
      <c r="AA784" s="90">
        <v>1</v>
      </c>
      <c r="AB784" s="90">
        <v>0.20079076527004</v>
      </c>
      <c r="AC784" s="90">
        <v>2.7360772290330002E-2</v>
      </c>
      <c r="AD784" s="90">
        <v>75.638176399470396</v>
      </c>
      <c r="AF784" s="90">
        <v>-1</v>
      </c>
      <c r="AG784" s="90">
        <v>-1</v>
      </c>
      <c r="AH784" s="90">
        <v>-1</v>
      </c>
      <c r="AI784" s="90">
        <v>-1</v>
      </c>
      <c r="AJ784" s="90">
        <v>0</v>
      </c>
      <c r="AM784" s="90" t="s">
        <v>379</v>
      </c>
      <c r="AN784" s="90">
        <v>-1</v>
      </c>
      <c r="AQ784" s="90">
        <v>356</v>
      </c>
      <c r="AR784" s="90" t="s">
        <v>380</v>
      </c>
      <c r="AS784" s="90" t="s">
        <v>246</v>
      </c>
      <c r="AT784" s="90" t="s">
        <v>244</v>
      </c>
      <c r="AU784" s="90">
        <v>175.87190000000001</v>
      </c>
      <c r="AV784" s="90">
        <v>85.919965300058195</v>
      </c>
      <c r="AW784" s="90">
        <v>70.441995901440905</v>
      </c>
      <c r="AX784" s="90">
        <v>6.13448308E-2</v>
      </c>
    </row>
    <row r="785" spans="1:50" x14ac:dyDescent="0.25">
      <c r="A785" s="102">
        <v>830000</v>
      </c>
      <c r="B785" s="102">
        <v>2400000</v>
      </c>
      <c r="C785" s="102">
        <v>2500000</v>
      </c>
      <c r="D785" s="90" t="s">
        <v>374</v>
      </c>
      <c r="E785" s="90" t="s">
        <v>68</v>
      </c>
      <c r="F785" s="90" t="s">
        <v>375</v>
      </c>
      <c r="G785" s="90" t="s">
        <v>376</v>
      </c>
      <c r="H785" s="90">
        <v>0.59</v>
      </c>
      <c r="I785" s="90">
        <v>0.64</v>
      </c>
      <c r="J785" s="90" t="s">
        <v>244</v>
      </c>
      <c r="K785" s="90">
        <v>2.4486100344429999E-2</v>
      </c>
      <c r="L785" s="90">
        <v>3643.8667555897</v>
      </c>
      <c r="M785" s="90">
        <v>10.257181101883599</v>
      </c>
      <c r="N785" s="90">
        <v>1.4163915456398199</v>
      </c>
      <c r="O785" s="90">
        <v>0.25115836571173</v>
      </c>
      <c r="P785" s="90">
        <v>3.4681905513540001E-2</v>
      </c>
      <c r="Q785" s="90">
        <v>89.224087019109305</v>
      </c>
      <c r="R785" s="90">
        <v>1410</v>
      </c>
      <c r="S785" s="90" t="s">
        <v>325</v>
      </c>
      <c r="T785" s="90">
        <v>1410</v>
      </c>
      <c r="U785" s="90" t="s">
        <v>378</v>
      </c>
      <c r="V785" s="90" t="s">
        <v>244</v>
      </c>
      <c r="Z785" s="90">
        <v>0</v>
      </c>
      <c r="AA785" s="90">
        <v>1</v>
      </c>
      <c r="AB785" s="90">
        <v>0.25115836571173</v>
      </c>
      <c r="AC785" s="90">
        <v>3.4681905513540001E-2</v>
      </c>
      <c r="AD785" s="90">
        <v>1167.9600242965601</v>
      </c>
      <c r="AF785" s="90">
        <v>-1</v>
      </c>
      <c r="AG785" s="90">
        <v>-1</v>
      </c>
      <c r="AH785" s="90">
        <v>-1</v>
      </c>
      <c r="AI785" s="90">
        <v>-1</v>
      </c>
      <c r="AJ785" s="90">
        <v>0</v>
      </c>
      <c r="AM785" s="90" t="s">
        <v>379</v>
      </c>
      <c r="AN785" s="90">
        <v>-1</v>
      </c>
      <c r="AQ785" s="90">
        <v>356</v>
      </c>
      <c r="AR785" s="90" t="s">
        <v>380</v>
      </c>
      <c r="AS785" s="90" t="s">
        <v>246</v>
      </c>
      <c r="AT785" s="90" t="s">
        <v>244</v>
      </c>
      <c r="AU785" s="90">
        <v>175.87190000000001</v>
      </c>
      <c r="AV785" s="90">
        <v>62.116868053195503</v>
      </c>
      <c r="AW785" s="90">
        <v>99.091732438393905</v>
      </c>
      <c r="AX785" s="90">
        <v>0.94725062800000004</v>
      </c>
    </row>
    <row r="786" spans="1:50" x14ac:dyDescent="0.25">
      <c r="A786" s="102">
        <v>830000</v>
      </c>
      <c r="B786" s="102">
        <v>2400000</v>
      </c>
      <c r="C786" s="102">
        <v>2500000</v>
      </c>
      <c r="D786" s="90" t="s">
        <v>374</v>
      </c>
      <c r="E786" s="90" t="s">
        <v>68</v>
      </c>
      <c r="F786" s="90" t="s">
        <v>375</v>
      </c>
      <c r="G786" s="90" t="s">
        <v>376</v>
      </c>
      <c r="H786" s="90">
        <v>0.59</v>
      </c>
      <c r="I786" s="90">
        <v>0.64</v>
      </c>
      <c r="J786" s="90" t="s">
        <v>244</v>
      </c>
      <c r="K786" s="90">
        <v>2.4063484906300002E-3</v>
      </c>
      <c r="L786" s="90">
        <v>3643.8667555897</v>
      </c>
      <c r="M786" s="90">
        <v>10.257181101883599</v>
      </c>
      <c r="N786" s="90">
        <v>1.4163915456398199</v>
      </c>
      <c r="O786" s="90">
        <v>2.4682352262659999E-2</v>
      </c>
      <c r="P786" s="90">
        <v>3.4083316579899998E-3</v>
      </c>
      <c r="Q786" s="90">
        <v>8.7684132673810495</v>
      </c>
      <c r="R786" s="90">
        <v>1210</v>
      </c>
      <c r="S786" s="90" t="s">
        <v>385</v>
      </c>
      <c r="T786" s="90">
        <v>1210</v>
      </c>
      <c r="U786" s="90" t="s">
        <v>378</v>
      </c>
      <c r="V786" s="90" t="s">
        <v>244</v>
      </c>
      <c r="Z786" s="90">
        <v>0</v>
      </c>
      <c r="AA786" s="90">
        <v>1</v>
      </c>
      <c r="AB786" s="90">
        <v>2.4682352262659999E-2</v>
      </c>
      <c r="AC786" s="90">
        <v>3.4083316579899998E-3</v>
      </c>
      <c r="AD786" s="90">
        <v>30.667491049563999</v>
      </c>
      <c r="AF786" s="90">
        <v>-1</v>
      </c>
      <c r="AG786" s="90">
        <v>-1</v>
      </c>
      <c r="AH786" s="90">
        <v>-1</v>
      </c>
      <c r="AI786" s="90">
        <v>-1</v>
      </c>
      <c r="AJ786" s="90">
        <v>0</v>
      </c>
      <c r="AM786" s="90" t="s">
        <v>379</v>
      </c>
      <c r="AN786" s="90">
        <v>-1</v>
      </c>
      <c r="AQ786" s="90">
        <v>356</v>
      </c>
      <c r="AR786" s="90" t="s">
        <v>380</v>
      </c>
      <c r="AS786" s="90" t="s">
        <v>246</v>
      </c>
      <c r="AT786" s="90" t="s">
        <v>244</v>
      </c>
      <c r="AU786" s="90">
        <v>175.87190000000001</v>
      </c>
      <c r="AV786" s="90">
        <v>12.855894775847</v>
      </c>
      <c r="AW786" s="90">
        <v>9.7381468438497407</v>
      </c>
      <c r="AX786" s="90">
        <v>2.4872255499999999E-2</v>
      </c>
    </row>
    <row r="787" spans="1:50" x14ac:dyDescent="0.25">
      <c r="A787" s="102">
        <v>830000</v>
      </c>
      <c r="B787" s="102">
        <v>2400000</v>
      </c>
      <c r="C787" s="102">
        <v>2500000</v>
      </c>
      <c r="D787" s="90" t="s">
        <v>374</v>
      </c>
      <c r="E787" s="90" t="s">
        <v>68</v>
      </c>
      <c r="F787" s="90" t="s">
        <v>375</v>
      </c>
      <c r="G787" s="90" t="s">
        <v>376</v>
      </c>
      <c r="H787" s="90">
        <v>0.59</v>
      </c>
      <c r="I787" s="90">
        <v>0.64</v>
      </c>
      <c r="J787" s="90" t="s">
        <v>244</v>
      </c>
      <c r="K787" s="90">
        <v>0.13358822115989</v>
      </c>
      <c r="L787" s="90">
        <v>3776.1318860840202</v>
      </c>
      <c r="M787" s="90">
        <v>11.409221586079299</v>
      </c>
      <c r="N787" s="90">
        <v>1.6760134939431699</v>
      </c>
      <c r="O787" s="90">
        <v>1.5241376165034599</v>
      </c>
      <c r="P787" s="90">
        <v>0.22389566129585001</v>
      </c>
      <c r="Q787" s="90">
        <v>504.44674152713799</v>
      </c>
      <c r="R787" s="90">
        <v>1300</v>
      </c>
      <c r="S787" s="90" t="s">
        <v>387</v>
      </c>
      <c r="T787" s="90">
        <v>1300</v>
      </c>
      <c r="U787" s="90" t="s">
        <v>378</v>
      </c>
      <c r="V787" s="90" t="s">
        <v>244</v>
      </c>
      <c r="Z787" s="90">
        <v>0</v>
      </c>
      <c r="AA787" s="90">
        <v>1</v>
      </c>
      <c r="AB787" s="90">
        <v>1.5241376165034599</v>
      </c>
      <c r="AC787" s="90">
        <v>0.22389566129585001</v>
      </c>
      <c r="AD787" s="90">
        <v>504.44674152713799</v>
      </c>
      <c r="AF787" s="90">
        <v>-1</v>
      </c>
      <c r="AG787" s="90">
        <v>-1</v>
      </c>
      <c r="AH787" s="90">
        <v>-1</v>
      </c>
      <c r="AI787" s="90">
        <v>-1</v>
      </c>
      <c r="AJ787" s="90">
        <v>0</v>
      </c>
      <c r="AM787" s="90" t="s">
        <v>379</v>
      </c>
      <c r="AN787" s="90">
        <v>-1</v>
      </c>
      <c r="AQ787" s="90">
        <v>356</v>
      </c>
      <c r="AR787" s="90" t="s">
        <v>380</v>
      </c>
      <c r="AS787" s="90" t="s">
        <v>246</v>
      </c>
      <c r="AT787" s="90" t="s">
        <v>244</v>
      </c>
      <c r="AU787" s="90">
        <v>175.87190000000001</v>
      </c>
      <c r="AV787" s="90">
        <v>121.63050631685999</v>
      </c>
      <c r="AW787" s="90">
        <v>540.61235075792899</v>
      </c>
      <c r="AX787" s="90">
        <v>0.40912144490000002</v>
      </c>
    </row>
    <row r="788" spans="1:50" x14ac:dyDescent="0.25">
      <c r="A788" s="102">
        <v>830000</v>
      </c>
      <c r="B788" s="102">
        <v>2400000</v>
      </c>
      <c r="C788" s="102">
        <v>2500000</v>
      </c>
      <c r="D788" s="90" t="s">
        <v>374</v>
      </c>
      <c r="E788" s="90" t="s">
        <v>68</v>
      </c>
      <c r="F788" s="90" t="s">
        <v>375</v>
      </c>
      <c r="G788" s="90" t="s">
        <v>376</v>
      </c>
      <c r="H788" s="90">
        <v>0.59</v>
      </c>
      <c r="I788" s="90">
        <v>0.64</v>
      </c>
      <c r="J788" s="90" t="s">
        <v>244</v>
      </c>
      <c r="K788" s="90">
        <v>6.1532066520459998E-2</v>
      </c>
      <c r="L788" s="90">
        <v>3776.1318860840202</v>
      </c>
      <c r="M788" s="90">
        <v>11.409221586079299</v>
      </c>
      <c r="N788" s="90">
        <v>1.6760134939431699</v>
      </c>
      <c r="O788" s="90">
        <v>0.70203298158131</v>
      </c>
      <c r="P788" s="90">
        <v>0.1031285737985</v>
      </c>
      <c r="Q788" s="90">
        <v>232.353198404555</v>
      </c>
      <c r="R788" s="90">
        <v>1400</v>
      </c>
      <c r="S788" s="90" t="s">
        <v>324</v>
      </c>
      <c r="T788" s="90">
        <v>1400</v>
      </c>
      <c r="U788" s="90" t="s">
        <v>378</v>
      </c>
      <c r="V788" s="90" t="s">
        <v>244</v>
      </c>
      <c r="Z788" s="90">
        <v>0</v>
      </c>
      <c r="AA788" s="90">
        <v>1</v>
      </c>
      <c r="AB788" s="90">
        <v>0.70203298158131</v>
      </c>
      <c r="AC788" s="90">
        <v>0.1031285737985</v>
      </c>
      <c r="AD788" s="90">
        <v>232.353198404555</v>
      </c>
      <c r="AF788" s="90">
        <v>-1</v>
      </c>
      <c r="AG788" s="90">
        <v>-1</v>
      </c>
      <c r="AH788" s="90">
        <v>-1</v>
      </c>
      <c r="AI788" s="90">
        <v>-1</v>
      </c>
      <c r="AJ788" s="90">
        <v>0</v>
      </c>
      <c r="AM788" s="90" t="s">
        <v>379</v>
      </c>
      <c r="AN788" s="90">
        <v>-1</v>
      </c>
      <c r="AQ788" s="90">
        <v>356</v>
      </c>
      <c r="AR788" s="90" t="s">
        <v>380</v>
      </c>
      <c r="AS788" s="90" t="s">
        <v>246</v>
      </c>
      <c r="AT788" s="90" t="s">
        <v>244</v>
      </c>
      <c r="AU788" s="90">
        <v>175.87190000000001</v>
      </c>
      <c r="AV788" s="90">
        <v>109.968496055122</v>
      </c>
      <c r="AW788" s="90">
        <v>249.011438581871</v>
      </c>
      <c r="AX788" s="90">
        <v>0.18844541640000001</v>
      </c>
    </row>
    <row r="789" spans="1:50" x14ac:dyDescent="0.25">
      <c r="A789" s="102">
        <v>830000</v>
      </c>
      <c r="B789" s="102">
        <v>2400000</v>
      </c>
      <c r="C789" s="102">
        <v>2500000</v>
      </c>
      <c r="D789" s="90" t="s">
        <v>374</v>
      </c>
      <c r="E789" s="90" t="s">
        <v>68</v>
      </c>
      <c r="F789" s="90" t="s">
        <v>375</v>
      </c>
      <c r="G789" s="90" t="s">
        <v>376</v>
      </c>
      <c r="H789" s="90">
        <v>0.59</v>
      </c>
      <c r="I789" s="90">
        <v>0.64</v>
      </c>
      <c r="J789" s="90" t="s">
        <v>244</v>
      </c>
      <c r="K789" s="90">
        <v>0.39618069509222997</v>
      </c>
      <c r="L789" s="90">
        <v>3776.1318860840202</v>
      </c>
      <c r="M789" s="90">
        <v>11.409221586079299</v>
      </c>
      <c r="N789" s="90">
        <v>1.6760134939431699</v>
      </c>
      <c r="O789" s="90">
        <v>4.5201133384342498</v>
      </c>
      <c r="P789" s="90">
        <v>0.66400419101437003</v>
      </c>
      <c r="Q789" s="90">
        <v>1496.0305553887099</v>
      </c>
      <c r="R789" s="90">
        <v>1410</v>
      </c>
      <c r="S789" s="90" t="s">
        <v>325</v>
      </c>
      <c r="T789" s="90">
        <v>1410</v>
      </c>
      <c r="U789" s="90" t="s">
        <v>378</v>
      </c>
      <c r="V789" s="90" t="s">
        <v>244</v>
      </c>
      <c r="Z789" s="90">
        <v>0</v>
      </c>
      <c r="AA789" s="90">
        <v>1</v>
      </c>
      <c r="AB789" s="90">
        <v>4.5201133384342498</v>
      </c>
      <c r="AC789" s="90">
        <v>0.66400419101437003</v>
      </c>
      <c r="AD789" s="90">
        <v>1496.0305553887099</v>
      </c>
      <c r="AF789" s="90">
        <v>-1</v>
      </c>
      <c r="AG789" s="90">
        <v>-1</v>
      </c>
      <c r="AH789" s="90">
        <v>-1</v>
      </c>
      <c r="AI789" s="90">
        <v>-1</v>
      </c>
      <c r="AJ789" s="90">
        <v>0</v>
      </c>
      <c r="AM789" s="90" t="s">
        <v>379</v>
      </c>
      <c r="AN789" s="90">
        <v>-1</v>
      </c>
      <c r="AQ789" s="90">
        <v>356</v>
      </c>
      <c r="AR789" s="90" t="s">
        <v>380</v>
      </c>
      <c r="AS789" s="90" t="s">
        <v>246</v>
      </c>
      <c r="AT789" s="90" t="s">
        <v>244</v>
      </c>
      <c r="AU789" s="90">
        <v>175.87190000000001</v>
      </c>
      <c r="AV789" s="90">
        <v>164.13684278549999</v>
      </c>
      <c r="AW789" s="90">
        <v>1603.2863903648999</v>
      </c>
      <c r="AX789" s="90">
        <v>1.2133256735</v>
      </c>
    </row>
    <row r="790" spans="1:50" x14ac:dyDescent="0.25">
      <c r="A790" s="102">
        <v>830000</v>
      </c>
      <c r="B790" s="102">
        <v>2400000</v>
      </c>
      <c r="C790" s="102">
        <v>2500000</v>
      </c>
      <c r="D790" s="90" t="s">
        <v>374</v>
      </c>
      <c r="E790" s="90" t="s">
        <v>68</v>
      </c>
      <c r="F790" s="90" t="s">
        <v>375</v>
      </c>
      <c r="G790" s="90" t="s">
        <v>376</v>
      </c>
      <c r="H790" s="90">
        <v>0.59</v>
      </c>
      <c r="I790" s="90">
        <v>0.64</v>
      </c>
      <c r="J790" s="90" t="s">
        <v>244</v>
      </c>
      <c r="K790" s="90">
        <v>2.646247098737E-2</v>
      </c>
      <c r="L790" s="90">
        <v>3776.1318860840202</v>
      </c>
      <c r="M790" s="90">
        <v>11.409221586079299</v>
      </c>
      <c r="N790" s="90">
        <v>1.6760134939431699</v>
      </c>
      <c r="O790" s="90">
        <v>0.30191619521013002</v>
      </c>
      <c r="P790" s="90">
        <v>4.4351458457909998E-2</v>
      </c>
      <c r="Q790" s="90">
        <v>99.925780479992397</v>
      </c>
      <c r="R790" s="90">
        <v>1300</v>
      </c>
      <c r="S790" s="90" t="s">
        <v>387</v>
      </c>
      <c r="T790" s="90">
        <v>1300</v>
      </c>
      <c r="U790" s="90" t="s">
        <v>378</v>
      </c>
      <c r="V790" s="90" t="s">
        <v>244</v>
      </c>
      <c r="Z790" s="90">
        <v>0</v>
      </c>
      <c r="AA790" s="90">
        <v>1</v>
      </c>
      <c r="AB790" s="90">
        <v>0.30191619521013002</v>
      </c>
      <c r="AC790" s="90">
        <v>4.4351458457909998E-2</v>
      </c>
      <c r="AD790" s="90">
        <v>99.925780479991701</v>
      </c>
      <c r="AF790" s="90">
        <v>-1</v>
      </c>
      <c r="AG790" s="90">
        <v>-1</v>
      </c>
      <c r="AH790" s="90">
        <v>-1</v>
      </c>
      <c r="AI790" s="90">
        <v>-1</v>
      </c>
      <c r="AJ790" s="90">
        <v>0</v>
      </c>
      <c r="AM790" s="90" t="s">
        <v>379</v>
      </c>
      <c r="AN790" s="90">
        <v>-1</v>
      </c>
      <c r="AQ790" s="90">
        <v>356</v>
      </c>
      <c r="AR790" s="90" t="s">
        <v>380</v>
      </c>
      <c r="AS790" s="90" t="s">
        <v>246</v>
      </c>
      <c r="AT790" s="90" t="s">
        <v>244</v>
      </c>
      <c r="AU790" s="90">
        <v>175.87190000000001</v>
      </c>
      <c r="AV790" s="90">
        <v>104.286953788296</v>
      </c>
      <c r="AW790" s="90">
        <v>107.08982066782301</v>
      </c>
      <c r="AX790" s="90">
        <v>8.1042806600000003E-2</v>
      </c>
    </row>
    <row r="791" spans="1:50" x14ac:dyDescent="0.25">
      <c r="A791" s="102">
        <v>830000</v>
      </c>
      <c r="B791" s="102">
        <v>2400000</v>
      </c>
      <c r="C791" s="102">
        <v>2500000</v>
      </c>
      <c r="D791" s="90" t="s">
        <v>374</v>
      </c>
      <c r="E791" s="90" t="s">
        <v>68</v>
      </c>
      <c r="F791" s="90" t="s">
        <v>375</v>
      </c>
      <c r="G791" s="90" t="s">
        <v>376</v>
      </c>
      <c r="H791" s="90">
        <v>0.59</v>
      </c>
      <c r="I791" s="90">
        <v>0.64</v>
      </c>
      <c r="J791" s="90" t="s">
        <v>244</v>
      </c>
      <c r="K791" s="90">
        <v>0.56641477447327004</v>
      </c>
      <c r="L791" s="90">
        <v>3752.2321467617899</v>
      </c>
      <c r="M791" s="90">
        <v>10.7949726476373</v>
      </c>
      <c r="N791" s="90">
        <v>2.0799086136398302</v>
      </c>
      <c r="O791" s="90">
        <v>6.1144319976566504</v>
      </c>
      <c r="P791" s="90">
        <v>1.17809096831982</v>
      </c>
      <c r="Q791" s="90">
        <v>2125.31972517944</v>
      </c>
      <c r="R791" s="90">
        <v>1300</v>
      </c>
      <c r="S791" s="90" t="s">
        <v>387</v>
      </c>
      <c r="T791" s="90">
        <v>1300</v>
      </c>
      <c r="U791" s="90" t="s">
        <v>378</v>
      </c>
      <c r="V791" s="90" t="s">
        <v>244</v>
      </c>
      <c r="Z791" s="90">
        <v>0</v>
      </c>
      <c r="AA791" s="90">
        <v>1</v>
      </c>
      <c r="AB791" s="90">
        <v>6.1144319976566504</v>
      </c>
      <c r="AC791" s="90">
        <v>1.17809096831982</v>
      </c>
      <c r="AD791" s="90">
        <v>2125.31972517944</v>
      </c>
      <c r="AF791" s="90">
        <v>-1</v>
      </c>
      <c r="AG791" s="90">
        <v>-1</v>
      </c>
      <c r="AH791" s="90">
        <v>-1</v>
      </c>
      <c r="AI791" s="90">
        <v>-1</v>
      </c>
      <c r="AJ791" s="90">
        <v>0</v>
      </c>
      <c r="AM791" s="90" t="s">
        <v>379</v>
      </c>
      <c r="AN791" s="90">
        <v>-1</v>
      </c>
      <c r="AQ791" s="90">
        <v>356</v>
      </c>
      <c r="AR791" s="90" t="s">
        <v>380</v>
      </c>
      <c r="AS791" s="90" t="s">
        <v>246</v>
      </c>
      <c r="AT791" s="90" t="s">
        <v>244</v>
      </c>
      <c r="AU791" s="90">
        <v>175.87190000000001</v>
      </c>
      <c r="AV791" s="90">
        <v>191.69856406278601</v>
      </c>
      <c r="AW791" s="90">
        <v>2292.1992678194001</v>
      </c>
      <c r="AX791" s="90">
        <v>1.7236980739000001</v>
      </c>
    </row>
    <row r="792" spans="1:50" x14ac:dyDescent="0.25">
      <c r="A792" s="102">
        <v>830000</v>
      </c>
      <c r="B792" s="102">
        <v>2400000</v>
      </c>
      <c r="C792" s="102">
        <v>2500000</v>
      </c>
      <c r="D792" s="90" t="s">
        <v>374</v>
      </c>
      <c r="E792" s="90" t="s">
        <v>68</v>
      </c>
      <c r="F792" s="90" t="s">
        <v>375</v>
      </c>
      <c r="G792" s="90" t="s">
        <v>376</v>
      </c>
      <c r="H792" s="90">
        <v>0.59</v>
      </c>
      <c r="I792" s="90">
        <v>0.64</v>
      </c>
      <c r="J792" s="90" t="s">
        <v>244</v>
      </c>
      <c r="K792" s="90">
        <v>5.1348679056560001E-2</v>
      </c>
      <c r="L792" s="90">
        <v>3752.2321467617899</v>
      </c>
      <c r="M792" s="90">
        <v>10.7949726476373</v>
      </c>
      <c r="N792" s="90">
        <v>2.0799086136398302</v>
      </c>
      <c r="O792" s="90">
        <v>0.55430758590787998</v>
      </c>
      <c r="P792" s="90">
        <v>0.10680055986876</v>
      </c>
      <c r="Q792" s="90">
        <v>192.67216424978201</v>
      </c>
      <c r="R792" s="90">
        <v>1300</v>
      </c>
      <c r="S792" s="90" t="s">
        <v>387</v>
      </c>
      <c r="T792" s="90">
        <v>1300</v>
      </c>
      <c r="U792" s="90" t="s">
        <v>378</v>
      </c>
      <c r="V792" s="90" t="s">
        <v>244</v>
      </c>
      <c r="Z792" s="90">
        <v>0</v>
      </c>
      <c r="AA792" s="90">
        <v>1</v>
      </c>
      <c r="AB792" s="90">
        <v>0.55430758590787998</v>
      </c>
      <c r="AC792" s="90">
        <v>0.10680055986876</v>
      </c>
      <c r="AD792" s="90">
        <v>192.67216424978301</v>
      </c>
      <c r="AF792" s="90">
        <v>-1</v>
      </c>
      <c r="AG792" s="90">
        <v>-1</v>
      </c>
      <c r="AH792" s="90">
        <v>-1</v>
      </c>
      <c r="AI792" s="90">
        <v>-1</v>
      </c>
      <c r="AJ792" s="90">
        <v>0</v>
      </c>
      <c r="AM792" s="90" t="s">
        <v>379</v>
      </c>
      <c r="AN792" s="90">
        <v>-1</v>
      </c>
      <c r="AQ792" s="90">
        <v>356</v>
      </c>
      <c r="AR792" s="90" t="s">
        <v>380</v>
      </c>
      <c r="AS792" s="90" t="s">
        <v>246</v>
      </c>
      <c r="AT792" s="90" t="s">
        <v>244</v>
      </c>
      <c r="AU792" s="90">
        <v>175.87190000000001</v>
      </c>
      <c r="AV792" s="90">
        <v>108.32262259624601</v>
      </c>
      <c r="AW792" s="90">
        <v>207.80073162180099</v>
      </c>
      <c r="AX792" s="90">
        <v>0.1562629069</v>
      </c>
    </row>
    <row r="793" spans="1:50" x14ac:dyDescent="0.25">
      <c r="A793" s="102">
        <v>830000</v>
      </c>
      <c r="B793" s="102">
        <v>2400000</v>
      </c>
      <c r="C793" s="102">
        <v>2500000</v>
      </c>
      <c r="D793" s="90" t="s">
        <v>374</v>
      </c>
      <c r="E793" s="90" t="s">
        <v>68</v>
      </c>
      <c r="F793" s="90" t="s">
        <v>375</v>
      </c>
      <c r="G793" s="90" t="s">
        <v>376</v>
      </c>
      <c r="H793" s="90">
        <v>0.59</v>
      </c>
      <c r="I793" s="90">
        <v>0.64</v>
      </c>
      <c r="J793" s="90" t="s">
        <v>244</v>
      </c>
      <c r="K793" s="90">
        <v>0.49966906952522</v>
      </c>
      <c r="L793" s="90">
        <v>3776.2540320929602</v>
      </c>
      <c r="M793" s="90">
        <v>11.642352610647601</v>
      </c>
      <c r="N793" s="90">
        <v>1.5366900201995799</v>
      </c>
      <c r="O793" s="90">
        <v>5.8173234960468498</v>
      </c>
      <c r="P793" s="90">
        <v>0.76783647254181997</v>
      </c>
      <c r="Q793" s="90">
        <v>1886.87733850676</v>
      </c>
      <c r="R793" s="90">
        <v>1450</v>
      </c>
      <c r="S793" s="90" t="s">
        <v>391</v>
      </c>
      <c r="T793" s="90">
        <v>1450</v>
      </c>
      <c r="U793" s="90" t="s">
        <v>378</v>
      </c>
      <c r="V793" s="90" t="s">
        <v>244</v>
      </c>
      <c r="Z793" s="90">
        <v>0</v>
      </c>
      <c r="AA793" s="90">
        <v>1</v>
      </c>
      <c r="AB793" s="90">
        <v>5.8173234960468498</v>
      </c>
      <c r="AC793" s="90">
        <v>0.76783647254181997</v>
      </c>
      <c r="AD793" s="90">
        <v>1886.87733850676</v>
      </c>
      <c r="AF793" s="90">
        <v>-1</v>
      </c>
      <c r="AG793" s="90">
        <v>-1</v>
      </c>
      <c r="AH793" s="90">
        <v>-1</v>
      </c>
      <c r="AI793" s="90">
        <v>-1</v>
      </c>
      <c r="AJ793" s="90">
        <v>0</v>
      </c>
      <c r="AM793" s="90" t="s">
        <v>379</v>
      </c>
      <c r="AN793" s="90">
        <v>-1</v>
      </c>
      <c r="AQ793" s="90">
        <v>356</v>
      </c>
      <c r="AR793" s="90" t="s">
        <v>380</v>
      </c>
      <c r="AS793" s="90" t="s">
        <v>246</v>
      </c>
      <c r="AT793" s="90" t="s">
        <v>244</v>
      </c>
      <c r="AU793" s="90">
        <v>175.87190000000001</v>
      </c>
      <c r="AV793" s="90">
        <v>183.873438623986</v>
      </c>
      <c r="AW793" s="90">
        <v>2022.08898308278</v>
      </c>
      <c r="AX793" s="90">
        <v>1.5303141432</v>
      </c>
    </row>
    <row r="794" spans="1:50" x14ac:dyDescent="0.25">
      <c r="A794" s="102">
        <v>830000</v>
      </c>
      <c r="B794" s="102">
        <v>2400000</v>
      </c>
      <c r="C794" s="102">
        <v>2500000</v>
      </c>
      <c r="D794" s="90" t="s">
        <v>374</v>
      </c>
      <c r="E794" s="90" t="s">
        <v>68</v>
      </c>
      <c r="F794" s="90" t="s">
        <v>375</v>
      </c>
      <c r="G794" s="90" t="s">
        <v>376</v>
      </c>
      <c r="H794" s="90">
        <v>0.59</v>
      </c>
      <c r="I794" s="90">
        <v>0.64</v>
      </c>
      <c r="J794" s="90" t="s">
        <v>244</v>
      </c>
      <c r="K794" s="90">
        <v>0.61776345359886997</v>
      </c>
      <c r="L794" s="90">
        <v>3747.7351294554201</v>
      </c>
      <c r="M794" s="90">
        <v>10.7827144160287</v>
      </c>
      <c r="N794" s="90">
        <v>2.0776258090754798</v>
      </c>
      <c r="O794" s="90">
        <v>6.6611668968162503</v>
      </c>
      <c r="P794" s="90">
        <v>1.28348129510062</v>
      </c>
      <c r="Q794" s="90">
        <v>2315.2137967461899</v>
      </c>
      <c r="R794" s="90">
        <v>1300</v>
      </c>
      <c r="S794" s="90" t="s">
        <v>387</v>
      </c>
      <c r="T794" s="90">
        <v>1300</v>
      </c>
      <c r="U794" s="90" t="s">
        <v>378</v>
      </c>
      <c r="V794" s="90" t="s">
        <v>244</v>
      </c>
      <c r="Z794" s="90">
        <v>0</v>
      </c>
      <c r="AA794" s="90">
        <v>1</v>
      </c>
      <c r="AB794" s="90">
        <v>6.6611668968162503</v>
      </c>
      <c r="AC794" s="90">
        <v>1.28348129510062</v>
      </c>
      <c r="AD794" s="90">
        <v>2315.2137967461899</v>
      </c>
      <c r="AF794" s="90">
        <v>-1</v>
      </c>
      <c r="AG794" s="90">
        <v>-1</v>
      </c>
      <c r="AH794" s="90">
        <v>-1</v>
      </c>
      <c r="AI794" s="90">
        <v>-1</v>
      </c>
      <c r="AJ794" s="90">
        <v>0</v>
      </c>
      <c r="AM794" s="90" t="s">
        <v>379</v>
      </c>
      <c r="AN794" s="90">
        <v>-1</v>
      </c>
      <c r="AQ794" s="90">
        <v>356</v>
      </c>
      <c r="AR794" s="90" t="s">
        <v>380</v>
      </c>
      <c r="AS794" s="90" t="s">
        <v>246</v>
      </c>
      <c r="AT794" s="90" t="s">
        <v>244</v>
      </c>
      <c r="AU794" s="90">
        <v>175.87190000000001</v>
      </c>
      <c r="AV794" s="90">
        <v>199.99999998882399</v>
      </c>
      <c r="AW794" s="90">
        <v>2499.9999997206</v>
      </c>
      <c r="AX794" s="90">
        <v>1.8777078644</v>
      </c>
    </row>
    <row r="795" spans="1:50" x14ac:dyDescent="0.25">
      <c r="A795" s="102">
        <v>830000</v>
      </c>
      <c r="B795" s="102">
        <v>2400000</v>
      </c>
      <c r="C795" s="102">
        <v>2500000</v>
      </c>
      <c r="D795" s="90" t="s">
        <v>374</v>
      </c>
      <c r="E795" s="90" t="s">
        <v>68</v>
      </c>
      <c r="F795" s="90" t="s">
        <v>375</v>
      </c>
      <c r="G795" s="90" t="s">
        <v>376</v>
      </c>
      <c r="H795" s="90">
        <v>0.59</v>
      </c>
      <c r="I795" s="90">
        <v>0.64</v>
      </c>
      <c r="J795" s="90" t="s">
        <v>244</v>
      </c>
      <c r="K795" s="90">
        <v>8.4259657825369996E-2</v>
      </c>
      <c r="L795" s="90">
        <v>3714.65208561606</v>
      </c>
      <c r="M795" s="90">
        <v>8.2265464629281393</v>
      </c>
      <c r="N795" s="90">
        <v>1.13594259427787</v>
      </c>
      <c r="O795" s="90">
        <v>0.69316599005085</v>
      </c>
      <c r="P795" s="90">
        <v>9.5714134303110002E-2</v>
      </c>
      <c r="Q795" s="90">
        <v>312.99531367431399</v>
      </c>
      <c r="R795" s="90">
        <v>1410</v>
      </c>
      <c r="S795" s="90" t="s">
        <v>325</v>
      </c>
      <c r="T795" s="90">
        <v>1410</v>
      </c>
      <c r="U795" s="90" t="s">
        <v>378</v>
      </c>
      <c r="V795" s="90" t="s">
        <v>244</v>
      </c>
      <c r="Z795" s="90">
        <v>0</v>
      </c>
      <c r="AA795" s="90">
        <v>1</v>
      </c>
      <c r="AB795" s="90">
        <v>0.69316599005085</v>
      </c>
      <c r="AC795" s="90">
        <v>9.5714134303110002E-2</v>
      </c>
      <c r="AD795" s="90">
        <v>385.213672872747</v>
      </c>
      <c r="AF795" s="90">
        <v>-1</v>
      </c>
      <c r="AG795" s="90">
        <v>-1</v>
      </c>
      <c r="AH795" s="90">
        <v>-1</v>
      </c>
      <c r="AI795" s="90">
        <v>-1</v>
      </c>
      <c r="AJ795" s="90">
        <v>0</v>
      </c>
      <c r="AM795" s="90" t="s">
        <v>379</v>
      </c>
      <c r="AN795" s="90">
        <v>-1</v>
      </c>
      <c r="AQ795" s="90">
        <v>356</v>
      </c>
      <c r="AR795" s="90" t="s">
        <v>380</v>
      </c>
      <c r="AS795" s="90" t="s">
        <v>246</v>
      </c>
      <c r="AT795" s="90" t="s">
        <v>244</v>
      </c>
      <c r="AU795" s="90">
        <v>175.87190000000001</v>
      </c>
      <c r="AV795" s="90">
        <v>88.729307083996503</v>
      </c>
      <c r="AW795" s="90">
        <v>340.98673741983299</v>
      </c>
      <c r="AX795" s="90">
        <v>0.31241984820000002</v>
      </c>
    </row>
    <row r="796" spans="1:50" x14ac:dyDescent="0.25">
      <c r="A796" s="102">
        <v>830000</v>
      </c>
      <c r="B796" s="102">
        <v>2400000</v>
      </c>
      <c r="C796" s="102">
        <v>2500000</v>
      </c>
      <c r="D796" s="90" t="s">
        <v>374</v>
      </c>
      <c r="E796" s="90" t="s">
        <v>68</v>
      </c>
      <c r="F796" s="90" t="s">
        <v>375</v>
      </c>
      <c r="G796" s="90" t="s">
        <v>376</v>
      </c>
      <c r="H796" s="90">
        <v>0.59</v>
      </c>
      <c r="I796" s="90">
        <v>0.64</v>
      </c>
      <c r="J796" s="90" t="s">
        <v>244</v>
      </c>
      <c r="K796" s="90">
        <v>0.61776345366790997</v>
      </c>
      <c r="L796" s="90">
        <v>3749.91033537357</v>
      </c>
      <c r="M796" s="90">
        <v>10.7888279563727</v>
      </c>
      <c r="N796" s="90">
        <v>2.0787869298003598</v>
      </c>
      <c r="O796" s="90">
        <v>6.6649436193577802</v>
      </c>
      <c r="P796" s="90">
        <v>1.2841985931931801</v>
      </c>
      <c r="Q796" s="90">
        <v>2316.5575597253801</v>
      </c>
      <c r="R796" s="90">
        <v>1300</v>
      </c>
      <c r="S796" s="90" t="s">
        <v>387</v>
      </c>
      <c r="T796" s="90">
        <v>1300</v>
      </c>
      <c r="U796" s="90" t="s">
        <v>378</v>
      </c>
      <c r="V796" s="90" t="s">
        <v>244</v>
      </c>
      <c r="Z796" s="90">
        <v>0</v>
      </c>
      <c r="AA796" s="90">
        <v>1</v>
      </c>
      <c r="AB796" s="90">
        <v>6.6649436193577802</v>
      </c>
      <c r="AC796" s="90">
        <v>1.2841985931931801</v>
      </c>
      <c r="AD796" s="90">
        <v>2316.5575597253801</v>
      </c>
      <c r="AF796" s="90">
        <v>-1</v>
      </c>
      <c r="AG796" s="90">
        <v>-1</v>
      </c>
      <c r="AH796" s="90">
        <v>-1</v>
      </c>
      <c r="AI796" s="90">
        <v>-1</v>
      </c>
      <c r="AJ796" s="90">
        <v>0</v>
      </c>
      <c r="AM796" s="90" t="s">
        <v>379</v>
      </c>
      <c r="AN796" s="90">
        <v>-1</v>
      </c>
      <c r="AQ796" s="90">
        <v>356</v>
      </c>
      <c r="AR796" s="90" t="s">
        <v>380</v>
      </c>
      <c r="AS796" s="90" t="s">
        <v>246</v>
      </c>
      <c r="AT796" s="90" t="s">
        <v>244</v>
      </c>
      <c r="AU796" s="90">
        <v>175.87190000000001</v>
      </c>
      <c r="AV796" s="90">
        <v>200</v>
      </c>
      <c r="AW796" s="90">
        <v>2500</v>
      </c>
      <c r="AX796" s="90">
        <v>1.8787976964999999</v>
      </c>
    </row>
    <row r="797" spans="1:50" x14ac:dyDescent="0.25">
      <c r="A797" s="102">
        <v>830000</v>
      </c>
      <c r="B797" s="102">
        <v>2500000</v>
      </c>
      <c r="C797" s="102">
        <v>2500000</v>
      </c>
      <c r="D797" s="90" t="s">
        <v>374</v>
      </c>
      <c r="E797" s="90" t="s">
        <v>68</v>
      </c>
      <c r="F797" s="90" t="s">
        <v>375</v>
      </c>
      <c r="G797" s="90" t="s">
        <v>376</v>
      </c>
      <c r="H797" s="90">
        <v>0.59</v>
      </c>
      <c r="I797" s="90">
        <v>0.64</v>
      </c>
      <c r="J797" s="90" t="s">
        <v>244</v>
      </c>
      <c r="K797" s="90">
        <v>6.2640071931280003E-2</v>
      </c>
      <c r="L797" s="90">
        <v>3714.21462565406</v>
      </c>
      <c r="M797" s="90">
        <v>8.1656153578072193</v>
      </c>
      <c r="N797" s="90">
        <v>1.10560483512261</v>
      </c>
      <c r="O797" s="90">
        <v>0.51149473337623996</v>
      </c>
      <c r="P797" s="90">
        <v>6.9255166399650001E-2</v>
      </c>
      <c r="Q797" s="90">
        <v>232.658671319197</v>
      </c>
      <c r="R797" s="90">
        <v>1450</v>
      </c>
      <c r="S797" s="90" t="s">
        <v>391</v>
      </c>
      <c r="T797" s="90">
        <v>1450</v>
      </c>
      <c r="U797" s="90" t="s">
        <v>378</v>
      </c>
      <c r="V797" s="90" t="s">
        <v>244</v>
      </c>
      <c r="Z797" s="90">
        <v>0</v>
      </c>
      <c r="AA797" s="90">
        <v>1</v>
      </c>
      <c r="AB797" s="90">
        <v>0.51149473337623996</v>
      </c>
      <c r="AC797" s="90">
        <v>6.9255166399650001E-2</v>
      </c>
      <c r="AD797" s="90">
        <v>232.658671319197</v>
      </c>
      <c r="AF797" s="90">
        <v>-1</v>
      </c>
      <c r="AG797" s="90">
        <v>-1</v>
      </c>
      <c r="AH797" s="90">
        <v>-1</v>
      </c>
      <c r="AI797" s="90">
        <v>-1</v>
      </c>
      <c r="AJ797" s="90">
        <v>0</v>
      </c>
      <c r="AM797" s="90" t="s">
        <v>379</v>
      </c>
      <c r="AN797" s="90">
        <v>-1</v>
      </c>
      <c r="AQ797" s="90">
        <v>356</v>
      </c>
      <c r="AR797" s="90" t="s">
        <v>380</v>
      </c>
      <c r="AS797" s="90" t="s">
        <v>246</v>
      </c>
      <c r="AT797" s="90" t="s">
        <v>244</v>
      </c>
      <c r="AU797" s="90">
        <v>175.87190000000001</v>
      </c>
      <c r="AV797" s="90">
        <v>80.420309732631495</v>
      </c>
      <c r="AW797" s="90">
        <v>253.49537739471401</v>
      </c>
      <c r="AX797" s="90">
        <v>0.1886931641</v>
      </c>
    </row>
    <row r="798" spans="1:50" x14ac:dyDescent="0.25">
      <c r="A798" s="102">
        <v>830000</v>
      </c>
      <c r="B798" s="102">
        <v>2500000</v>
      </c>
      <c r="C798" s="102">
        <v>2500000</v>
      </c>
      <c r="D798" s="90" t="s">
        <v>374</v>
      </c>
      <c r="E798" s="90" t="s">
        <v>68</v>
      </c>
      <c r="F798" s="90" t="s">
        <v>375</v>
      </c>
      <c r="G798" s="90" t="s">
        <v>376</v>
      </c>
      <c r="H798" s="90">
        <v>0.59</v>
      </c>
      <c r="I798" s="90">
        <v>0.64</v>
      </c>
      <c r="J798" s="90" t="s">
        <v>244</v>
      </c>
      <c r="K798" s="90">
        <v>0.37596283871847003</v>
      </c>
      <c r="L798" s="90">
        <v>3784.0477955136198</v>
      </c>
      <c r="M798" s="90">
        <v>11.3360661721263</v>
      </c>
      <c r="N798" s="90">
        <v>1.58560873335324</v>
      </c>
      <c r="O798" s="90">
        <v>4.2619396179730398</v>
      </c>
      <c r="P798" s="90">
        <v>0.59612996048828004</v>
      </c>
      <c r="Q798" s="90">
        <v>1422.66135104767</v>
      </c>
      <c r="R798" s="90">
        <v>1410</v>
      </c>
      <c r="S798" s="90" t="s">
        <v>325</v>
      </c>
      <c r="T798" s="90">
        <v>1410</v>
      </c>
      <c r="U798" s="90" t="s">
        <v>378</v>
      </c>
      <c r="V798" s="90" t="s">
        <v>244</v>
      </c>
      <c r="Z798" s="90">
        <v>0</v>
      </c>
      <c r="AA798" s="90">
        <v>1</v>
      </c>
      <c r="AB798" s="90">
        <v>4.2619396179730398</v>
      </c>
      <c r="AC798" s="90">
        <v>0.59612996048828004</v>
      </c>
      <c r="AD798" s="90">
        <v>1640.00370792185</v>
      </c>
      <c r="AF798" s="90">
        <v>-1</v>
      </c>
      <c r="AG798" s="90">
        <v>-1</v>
      </c>
      <c r="AH798" s="90">
        <v>-1</v>
      </c>
      <c r="AI798" s="90">
        <v>-1</v>
      </c>
      <c r="AJ798" s="90">
        <v>0</v>
      </c>
      <c r="AM798" s="90" t="s">
        <v>379</v>
      </c>
      <c r="AN798" s="90">
        <v>-1</v>
      </c>
      <c r="AQ798" s="90">
        <v>356</v>
      </c>
      <c r="AR798" s="90" t="s">
        <v>380</v>
      </c>
      <c r="AS798" s="90" t="s">
        <v>246</v>
      </c>
      <c r="AT798" s="90" t="s">
        <v>244</v>
      </c>
      <c r="AU798" s="90">
        <v>175.87190000000001</v>
      </c>
      <c r="AV798" s="90">
        <v>156.467401506442</v>
      </c>
      <c r="AW798" s="90">
        <v>1521.4676284515699</v>
      </c>
      <c r="AX798" s="90">
        <v>1.3300922205000001</v>
      </c>
    </row>
    <row r="799" spans="1:50" x14ac:dyDescent="0.25">
      <c r="A799" s="102">
        <v>830000</v>
      </c>
      <c r="B799" s="102">
        <v>2500000</v>
      </c>
      <c r="C799" s="102">
        <v>2500000</v>
      </c>
      <c r="D799" s="90" t="s">
        <v>374</v>
      </c>
      <c r="E799" s="90" t="s">
        <v>68</v>
      </c>
      <c r="F799" s="90" t="s">
        <v>375</v>
      </c>
      <c r="G799" s="90" t="s">
        <v>376</v>
      </c>
      <c r="H799" s="90">
        <v>0.59</v>
      </c>
      <c r="I799" s="90">
        <v>0.64</v>
      </c>
      <c r="J799" s="90" t="s">
        <v>244</v>
      </c>
      <c r="K799" s="90">
        <v>6.6710114043910002E-2</v>
      </c>
      <c r="L799" s="90">
        <v>3784.0477955136198</v>
      </c>
      <c r="M799" s="90">
        <v>11.3360661721263</v>
      </c>
      <c r="N799" s="90">
        <v>1.58560873335324</v>
      </c>
      <c r="O799" s="90">
        <v>0.75623026715192998</v>
      </c>
      <c r="P799" s="90">
        <v>0.10577613943102</v>
      </c>
      <c r="Q799" s="90">
        <v>252.43425998634601</v>
      </c>
      <c r="R799" s="90">
        <v>1410</v>
      </c>
      <c r="S799" s="90" t="s">
        <v>325</v>
      </c>
      <c r="T799" s="90">
        <v>1410</v>
      </c>
      <c r="U799" s="90" t="s">
        <v>378</v>
      </c>
      <c r="V799" s="90" t="s">
        <v>244</v>
      </c>
      <c r="Z799" s="90">
        <v>0</v>
      </c>
      <c r="AA799" s="90">
        <v>1</v>
      </c>
      <c r="AB799" s="90">
        <v>0.75623026715192998</v>
      </c>
      <c r="AC799" s="90">
        <v>0.10577613943102</v>
      </c>
      <c r="AD799" s="90">
        <v>252.43425998634601</v>
      </c>
      <c r="AF799" s="90">
        <v>-1</v>
      </c>
      <c r="AG799" s="90">
        <v>-1</v>
      </c>
      <c r="AH799" s="90">
        <v>-1</v>
      </c>
      <c r="AI799" s="90">
        <v>-1</v>
      </c>
      <c r="AJ799" s="90">
        <v>0</v>
      </c>
      <c r="AM799" s="90" t="s">
        <v>379</v>
      </c>
      <c r="AN799" s="90">
        <v>-1</v>
      </c>
      <c r="AQ799" s="90">
        <v>356</v>
      </c>
      <c r="AR799" s="90" t="s">
        <v>380</v>
      </c>
      <c r="AS799" s="90" t="s">
        <v>246</v>
      </c>
      <c r="AT799" s="90" t="s">
        <v>244</v>
      </c>
      <c r="AU799" s="90">
        <v>175.87190000000001</v>
      </c>
      <c r="AV799" s="90">
        <v>83.341300433183207</v>
      </c>
      <c r="AW799" s="90">
        <v>269.96625345766103</v>
      </c>
      <c r="AX799" s="90">
        <v>0.2047317599</v>
      </c>
    </row>
    <row r="800" spans="1:50" x14ac:dyDescent="0.25">
      <c r="A800" s="102">
        <v>830000</v>
      </c>
      <c r="B800" s="102">
        <v>2500000</v>
      </c>
      <c r="C800" s="102">
        <v>2500000</v>
      </c>
      <c r="D800" s="90" t="s">
        <v>374</v>
      </c>
      <c r="E800" s="90" t="s">
        <v>68</v>
      </c>
      <c r="F800" s="90" t="s">
        <v>375</v>
      </c>
      <c r="G800" s="90" t="s">
        <v>376</v>
      </c>
      <c r="H800" s="90">
        <v>0.59</v>
      </c>
      <c r="I800" s="90">
        <v>0.64</v>
      </c>
      <c r="J800" s="90" t="s">
        <v>244</v>
      </c>
      <c r="K800" s="90">
        <v>7.1795425508099997E-3</v>
      </c>
      <c r="L800" s="90">
        <v>3784.0477955136198</v>
      </c>
      <c r="M800" s="90">
        <v>11.3360661721263</v>
      </c>
      <c r="N800" s="90">
        <v>1.58560873335324</v>
      </c>
      <c r="O800" s="90">
        <v>8.1387769441570001E-2</v>
      </c>
      <c r="P800" s="90">
        <v>1.138394537004E-2</v>
      </c>
      <c r="Q800" s="90">
        <v>27.167732162188798</v>
      </c>
      <c r="R800" s="90">
        <v>1410</v>
      </c>
      <c r="S800" s="90" t="s">
        <v>325</v>
      </c>
      <c r="T800" s="90">
        <v>1410</v>
      </c>
      <c r="U800" s="90" t="s">
        <v>378</v>
      </c>
      <c r="V800" s="90" t="s">
        <v>244</v>
      </c>
      <c r="Z800" s="90">
        <v>0</v>
      </c>
      <c r="AA800" s="90">
        <v>1</v>
      </c>
      <c r="AB800" s="90">
        <v>8.1387769441570001E-2</v>
      </c>
      <c r="AC800" s="90">
        <v>1.138394537004E-2</v>
      </c>
      <c r="AD800" s="90">
        <v>134.25492260922499</v>
      </c>
      <c r="AF800" s="90">
        <v>-1</v>
      </c>
      <c r="AG800" s="90">
        <v>-1</v>
      </c>
      <c r="AH800" s="90">
        <v>-1</v>
      </c>
      <c r="AI800" s="90">
        <v>-1</v>
      </c>
      <c r="AJ800" s="90">
        <v>0</v>
      </c>
      <c r="AM800" s="90" t="s">
        <v>379</v>
      </c>
      <c r="AN800" s="90">
        <v>-1</v>
      </c>
      <c r="AQ800" s="90">
        <v>356</v>
      </c>
      <c r="AR800" s="90" t="s">
        <v>380</v>
      </c>
      <c r="AS800" s="90" t="s">
        <v>246</v>
      </c>
      <c r="AT800" s="90" t="s">
        <v>244</v>
      </c>
      <c r="AU800" s="90">
        <v>175.87190000000001</v>
      </c>
      <c r="AV800" s="90">
        <v>24.181461550721799</v>
      </c>
      <c r="AW800" s="90">
        <v>29.054577881638298</v>
      </c>
      <c r="AX800" s="90">
        <v>0.10888477100000001</v>
      </c>
    </row>
    <row r="801" spans="1:50" x14ac:dyDescent="0.25">
      <c r="A801" s="102">
        <v>830000</v>
      </c>
      <c r="B801" s="102">
        <v>2500000</v>
      </c>
      <c r="C801" s="102">
        <v>2500000</v>
      </c>
      <c r="D801" s="90" t="s">
        <v>374</v>
      </c>
      <c r="E801" s="90" t="s">
        <v>68</v>
      </c>
      <c r="F801" s="90" t="s">
        <v>375</v>
      </c>
      <c r="G801" s="90" t="s">
        <v>376</v>
      </c>
      <c r="H801" s="90">
        <v>0.59</v>
      </c>
      <c r="I801" s="90">
        <v>0.64</v>
      </c>
      <c r="J801" s="90" t="s">
        <v>244</v>
      </c>
      <c r="K801" s="90">
        <v>7.1237993011269998E-2</v>
      </c>
      <c r="L801" s="90">
        <v>3755.41846510097</v>
      </c>
      <c r="M801" s="90">
        <v>10.207498813030799</v>
      </c>
      <c r="N801" s="90">
        <v>1.81238946411165</v>
      </c>
      <c r="O801" s="90">
        <v>0.72716172910524002</v>
      </c>
      <c r="P801" s="90">
        <v>0.12911098797807999</v>
      </c>
      <c r="Q801" s="90">
        <v>267.528474371257</v>
      </c>
      <c r="R801" s="90">
        <v>1300</v>
      </c>
      <c r="S801" s="90" t="s">
        <v>387</v>
      </c>
      <c r="T801" s="90">
        <v>1300</v>
      </c>
      <c r="U801" s="90" t="s">
        <v>378</v>
      </c>
      <c r="V801" s="90" t="s">
        <v>244</v>
      </c>
      <c r="Z801" s="90">
        <v>0</v>
      </c>
      <c r="AA801" s="90">
        <v>1</v>
      </c>
      <c r="AB801" s="90">
        <v>0.72716172910524002</v>
      </c>
      <c r="AC801" s="90">
        <v>0.12911098797807999</v>
      </c>
      <c r="AD801" s="90">
        <v>267.52847437125899</v>
      </c>
      <c r="AF801" s="90">
        <v>-1</v>
      </c>
      <c r="AG801" s="90">
        <v>-1</v>
      </c>
      <c r="AH801" s="90">
        <v>-1</v>
      </c>
      <c r="AI801" s="90">
        <v>-1</v>
      </c>
      <c r="AJ801" s="90">
        <v>0</v>
      </c>
      <c r="AM801" s="90" t="s">
        <v>379</v>
      </c>
      <c r="AN801" s="90">
        <v>-1</v>
      </c>
      <c r="AQ801" s="90">
        <v>356</v>
      </c>
      <c r="AR801" s="90" t="s">
        <v>380</v>
      </c>
      <c r="AS801" s="90" t="s">
        <v>246</v>
      </c>
      <c r="AT801" s="90" t="s">
        <v>244</v>
      </c>
      <c r="AU801" s="90">
        <v>175.87190000000001</v>
      </c>
      <c r="AV801" s="90">
        <v>83.919373992556004</v>
      </c>
      <c r="AW801" s="90">
        <v>288.28992953654603</v>
      </c>
      <c r="AX801" s="90">
        <v>0.21697362070000001</v>
      </c>
    </row>
    <row r="802" spans="1:50" x14ac:dyDescent="0.25">
      <c r="A802" s="102">
        <v>830000</v>
      </c>
      <c r="B802" s="102">
        <v>2500000</v>
      </c>
      <c r="C802" s="102">
        <v>2500000</v>
      </c>
      <c r="D802" s="90" t="s">
        <v>374</v>
      </c>
      <c r="E802" s="90" t="s">
        <v>68</v>
      </c>
      <c r="F802" s="90" t="s">
        <v>375</v>
      </c>
      <c r="G802" s="90" t="s">
        <v>376</v>
      </c>
      <c r="H802" s="90">
        <v>0.59</v>
      </c>
      <c r="I802" s="90">
        <v>0.64</v>
      </c>
      <c r="J802" s="90" t="s">
        <v>381</v>
      </c>
      <c r="K802" s="90">
        <v>2.011525518454E-2</v>
      </c>
      <c r="L802" s="90">
        <v>3755.41846510097</v>
      </c>
      <c r="M802" s="90">
        <v>10.207498813030799</v>
      </c>
      <c r="N802" s="90">
        <v>1.81238946411165</v>
      </c>
      <c r="O802" s="90">
        <v>0.20532644342003001</v>
      </c>
      <c r="P802" s="90">
        <v>3.6456676564380001E-2</v>
      </c>
      <c r="Q802" s="90">
        <v>75.541200750250894</v>
      </c>
      <c r="R802" s="90">
        <v>1300</v>
      </c>
      <c r="S802" s="90" t="s">
        <v>387</v>
      </c>
      <c r="T802" s="90">
        <v>1300</v>
      </c>
      <c r="U802" s="90" t="s">
        <v>382</v>
      </c>
      <c r="V802" s="90" t="s">
        <v>381</v>
      </c>
      <c r="Z802" s="90">
        <v>0</v>
      </c>
      <c r="AA802" s="90">
        <v>1</v>
      </c>
      <c r="AB802" s="90">
        <v>0.20532644342003001</v>
      </c>
      <c r="AC802" s="90">
        <v>3.6456676564380001E-2</v>
      </c>
      <c r="AD802" s="90">
        <v>75.541200750250198</v>
      </c>
      <c r="AF802" s="90">
        <v>-1</v>
      </c>
      <c r="AG802" s="90">
        <v>-1</v>
      </c>
      <c r="AH802" s="90">
        <v>-1</v>
      </c>
      <c r="AI802" s="90">
        <v>-1</v>
      </c>
      <c r="AJ802" s="90">
        <v>0</v>
      </c>
      <c r="AM802" s="90" t="s">
        <v>379</v>
      </c>
      <c r="AN802" s="90">
        <v>-1</v>
      </c>
      <c r="AQ802" s="90">
        <v>356</v>
      </c>
      <c r="AR802" s="90" t="s">
        <v>380</v>
      </c>
      <c r="AS802" s="90" t="s">
        <v>246</v>
      </c>
      <c r="AT802" s="90" t="s">
        <v>244</v>
      </c>
      <c r="AU802" s="90">
        <v>175.87190000000001</v>
      </c>
      <c r="AV802" s="90">
        <v>103.54511990925501</v>
      </c>
      <c r="AW802" s="90">
        <v>81.403549631782099</v>
      </c>
      <c r="AX802" s="90">
        <v>6.1266180699999999E-2</v>
      </c>
    </row>
    <row r="803" spans="1:50" x14ac:dyDescent="0.25">
      <c r="A803" s="102">
        <v>830000</v>
      </c>
      <c r="B803" s="102">
        <v>2500000</v>
      </c>
      <c r="C803" s="102">
        <v>2500000</v>
      </c>
      <c r="D803" s="90" t="s">
        <v>374</v>
      </c>
      <c r="E803" s="90" t="s">
        <v>68</v>
      </c>
      <c r="F803" s="90" t="s">
        <v>375</v>
      </c>
      <c r="G803" s="90" t="s">
        <v>376</v>
      </c>
      <c r="H803" s="90">
        <v>0.59</v>
      </c>
      <c r="I803" s="90">
        <v>0.64</v>
      </c>
      <c r="J803" s="90" t="s">
        <v>381</v>
      </c>
      <c r="K803" s="90">
        <v>0.17623541512117</v>
      </c>
      <c r="L803" s="90">
        <v>3755.41846510097</v>
      </c>
      <c r="M803" s="90">
        <v>10.207498813030799</v>
      </c>
      <c r="N803" s="90">
        <v>1.81238946411165</v>
      </c>
      <c r="O803" s="90">
        <v>1.79892279066337</v>
      </c>
      <c r="P803" s="90">
        <v>0.31940720956895002</v>
      </c>
      <c r="Q803" s="90">
        <v>661.83773215078497</v>
      </c>
      <c r="R803" s="90">
        <v>8140</v>
      </c>
      <c r="S803" s="90" t="s">
        <v>386</v>
      </c>
      <c r="T803" s="90">
        <v>8140</v>
      </c>
      <c r="U803" s="90" t="s">
        <v>382</v>
      </c>
      <c r="V803" s="90" t="s">
        <v>381</v>
      </c>
      <c r="Z803" s="90">
        <v>0</v>
      </c>
      <c r="AA803" s="90">
        <v>1</v>
      </c>
      <c r="AB803" s="90">
        <v>1.79892279066337</v>
      </c>
      <c r="AC803" s="90">
        <v>0.31940720956895002</v>
      </c>
      <c r="AD803" s="90">
        <v>661.83773215078497</v>
      </c>
      <c r="AF803" s="90">
        <v>-1</v>
      </c>
      <c r="AG803" s="90">
        <v>-1</v>
      </c>
      <c r="AH803" s="90">
        <v>-1</v>
      </c>
      <c r="AI803" s="90">
        <v>-1</v>
      </c>
      <c r="AJ803" s="90">
        <v>0</v>
      </c>
      <c r="AM803" s="90" t="s">
        <v>379</v>
      </c>
      <c r="AN803" s="90">
        <v>-1</v>
      </c>
      <c r="AQ803" s="90">
        <v>356</v>
      </c>
      <c r="AR803" s="90" t="s">
        <v>380</v>
      </c>
      <c r="AS803" s="90" t="s">
        <v>246</v>
      </c>
      <c r="AT803" s="90" t="s">
        <v>244</v>
      </c>
      <c r="AU803" s="90">
        <v>175.87190000000001</v>
      </c>
      <c r="AV803" s="90">
        <v>128.535882069303</v>
      </c>
      <c r="AW803" s="90">
        <v>713.19942153744398</v>
      </c>
      <c r="AX803" s="90">
        <v>0.53677026130000005</v>
      </c>
    </row>
    <row r="804" spans="1:50" x14ac:dyDescent="0.25">
      <c r="A804" s="102">
        <v>830000</v>
      </c>
      <c r="B804" s="102">
        <v>2500000</v>
      </c>
      <c r="C804" s="102">
        <v>2500000</v>
      </c>
      <c r="D804" s="90" t="s">
        <v>374</v>
      </c>
      <c r="E804" s="90" t="s">
        <v>68</v>
      </c>
      <c r="F804" s="90" t="s">
        <v>375</v>
      </c>
      <c r="G804" s="90" t="s">
        <v>376</v>
      </c>
      <c r="H804" s="90">
        <v>0.59</v>
      </c>
      <c r="I804" s="90">
        <v>0.64</v>
      </c>
      <c r="J804" s="90" t="s">
        <v>244</v>
      </c>
      <c r="K804" s="90">
        <v>0.34838472822768002</v>
      </c>
      <c r="L804" s="90">
        <v>3755.41846510097</v>
      </c>
      <c r="M804" s="90">
        <v>10.207498813030799</v>
      </c>
      <c r="N804" s="90">
        <v>1.81238946411165</v>
      </c>
      <c r="O804" s="90">
        <v>3.5561366998622201</v>
      </c>
      <c r="P804" s="90">
        <v>0.63140881089725998</v>
      </c>
      <c r="Q804" s="90">
        <v>1308.33044134544</v>
      </c>
      <c r="R804" s="90">
        <v>1300</v>
      </c>
      <c r="S804" s="90" t="s">
        <v>387</v>
      </c>
      <c r="T804" s="90">
        <v>1300</v>
      </c>
      <c r="U804" s="90" t="s">
        <v>378</v>
      </c>
      <c r="V804" s="90" t="s">
        <v>244</v>
      </c>
      <c r="Z804" s="90">
        <v>0</v>
      </c>
      <c r="AA804" s="90">
        <v>1</v>
      </c>
      <c r="AB804" s="90">
        <v>3.5561366998622201</v>
      </c>
      <c r="AC804" s="90">
        <v>0.63140881089725998</v>
      </c>
      <c r="AD804" s="90">
        <v>1308.33044134544</v>
      </c>
      <c r="AF804" s="90">
        <v>-1</v>
      </c>
      <c r="AG804" s="90">
        <v>-1</v>
      </c>
      <c r="AH804" s="90">
        <v>-1</v>
      </c>
      <c r="AI804" s="90">
        <v>-1</v>
      </c>
      <c r="AJ804" s="90">
        <v>0</v>
      </c>
      <c r="AM804" s="90" t="s">
        <v>379</v>
      </c>
      <c r="AN804" s="90">
        <v>-1</v>
      </c>
      <c r="AQ804" s="90">
        <v>356</v>
      </c>
      <c r="AR804" s="90" t="s">
        <v>380</v>
      </c>
      <c r="AS804" s="90" t="s">
        <v>246</v>
      </c>
      <c r="AT804" s="90" t="s">
        <v>244</v>
      </c>
      <c r="AU804" s="90">
        <v>175.87190000000001</v>
      </c>
      <c r="AV804" s="90">
        <v>150.94418292975601</v>
      </c>
      <c r="AW804" s="90">
        <v>1409.8629748942999</v>
      </c>
      <c r="AX804" s="90">
        <v>1.0610952485</v>
      </c>
    </row>
    <row r="805" spans="1:50" x14ac:dyDescent="0.25">
      <c r="A805" s="102">
        <v>830000</v>
      </c>
      <c r="B805" s="102">
        <v>2500000</v>
      </c>
      <c r="C805" s="102">
        <v>2500000</v>
      </c>
      <c r="D805" s="90" t="s">
        <v>374</v>
      </c>
      <c r="E805" s="90" t="s">
        <v>68</v>
      </c>
      <c r="F805" s="90" t="s">
        <v>375</v>
      </c>
      <c r="G805" s="90" t="s">
        <v>376</v>
      </c>
      <c r="H805" s="90">
        <v>0.59</v>
      </c>
      <c r="I805" s="90">
        <v>0.64</v>
      </c>
      <c r="J805" s="90" t="s">
        <v>381</v>
      </c>
      <c r="K805" s="90">
        <v>1.7900620081700001E-3</v>
      </c>
      <c r="L805" s="90">
        <v>3755.41846510097</v>
      </c>
      <c r="M805" s="90">
        <v>10.207498813030799</v>
      </c>
      <c r="N805" s="90">
        <v>1.81238946411165</v>
      </c>
      <c r="O805" s="90">
        <v>1.827205582366E-2</v>
      </c>
      <c r="P805" s="90">
        <v>3.2442895237099999E-3</v>
      </c>
      <c r="Q805" s="90">
        <v>6.72243191916486</v>
      </c>
      <c r="R805" s="90">
        <v>1300</v>
      </c>
      <c r="S805" s="90" t="s">
        <v>387</v>
      </c>
      <c r="T805" s="90">
        <v>1300</v>
      </c>
      <c r="U805" s="90" t="s">
        <v>382</v>
      </c>
      <c r="V805" s="90" t="s">
        <v>381</v>
      </c>
      <c r="Z805" s="90">
        <v>0</v>
      </c>
      <c r="AA805" s="90">
        <v>1</v>
      </c>
      <c r="AB805" s="90">
        <v>1.827205582366E-2</v>
      </c>
      <c r="AC805" s="90">
        <v>3.2442895237099999E-3</v>
      </c>
      <c r="AD805" s="90">
        <v>6.7224319191650102</v>
      </c>
      <c r="AF805" s="90">
        <v>-1</v>
      </c>
      <c r="AG805" s="90">
        <v>-1</v>
      </c>
      <c r="AH805" s="90">
        <v>-1</v>
      </c>
      <c r="AI805" s="90">
        <v>-1</v>
      </c>
      <c r="AJ805" s="90">
        <v>0</v>
      </c>
      <c r="AM805" s="90" t="s">
        <v>379</v>
      </c>
      <c r="AN805" s="90">
        <v>-1</v>
      </c>
      <c r="AQ805" s="90">
        <v>356</v>
      </c>
      <c r="AR805" s="90" t="s">
        <v>380</v>
      </c>
      <c r="AS805" s="90" t="s">
        <v>246</v>
      </c>
      <c r="AT805" s="90" t="s">
        <v>244</v>
      </c>
      <c r="AU805" s="90">
        <v>175.87190000000001</v>
      </c>
      <c r="AV805" s="90">
        <v>82.055062123202006</v>
      </c>
      <c r="AW805" s="90">
        <v>7.2441239342652803</v>
      </c>
      <c r="AX805" s="90">
        <v>5.4520940000000002E-3</v>
      </c>
    </row>
    <row r="806" spans="1:50" x14ac:dyDescent="0.25">
      <c r="A806" s="102">
        <v>830000</v>
      </c>
      <c r="B806" s="102">
        <v>2500000</v>
      </c>
      <c r="C806" s="102">
        <v>2500000</v>
      </c>
      <c r="D806" s="90" t="s">
        <v>374</v>
      </c>
      <c r="E806" s="90" t="s">
        <v>68</v>
      </c>
      <c r="F806" s="90" t="s">
        <v>375</v>
      </c>
      <c r="G806" s="90" t="s">
        <v>376</v>
      </c>
      <c r="H806" s="90">
        <v>0.59</v>
      </c>
      <c r="I806" s="90">
        <v>0.64</v>
      </c>
      <c r="J806" s="90" t="s">
        <v>244</v>
      </c>
      <c r="K806" s="90">
        <v>0.617763453829</v>
      </c>
      <c r="L806" s="90">
        <v>3885.05372713427</v>
      </c>
      <c r="M806" s="90">
        <v>8.6468520391944992</v>
      </c>
      <c r="N806" s="90">
        <v>1.17418732744239</v>
      </c>
      <c r="O806" s="90">
        <v>5.3417091804811898</v>
      </c>
      <c r="P806" s="90">
        <v>0.72537001884305996</v>
      </c>
      <c r="Q806" s="90">
        <v>2400.04420878573</v>
      </c>
      <c r="R806" s="90">
        <v>1410</v>
      </c>
      <c r="S806" s="90" t="s">
        <v>325</v>
      </c>
      <c r="T806" s="90">
        <v>1410</v>
      </c>
      <c r="U806" s="90" t="s">
        <v>378</v>
      </c>
      <c r="V806" s="90" t="s">
        <v>244</v>
      </c>
      <c r="Z806" s="90">
        <v>0</v>
      </c>
      <c r="AA806" s="90">
        <v>1</v>
      </c>
      <c r="AB806" s="90">
        <v>5.3417091804811898</v>
      </c>
      <c r="AC806" s="90">
        <v>0.72537001884305996</v>
      </c>
      <c r="AD806" s="90">
        <v>2400.04420878573</v>
      </c>
      <c r="AF806" s="90">
        <v>-1</v>
      </c>
      <c r="AG806" s="90">
        <v>-1</v>
      </c>
      <c r="AH806" s="90">
        <v>-1</v>
      </c>
      <c r="AI806" s="90">
        <v>-1</v>
      </c>
      <c r="AJ806" s="90">
        <v>0</v>
      </c>
      <c r="AM806" s="90" t="s">
        <v>379</v>
      </c>
      <c r="AN806" s="90">
        <v>-1</v>
      </c>
      <c r="AQ806" s="90">
        <v>356</v>
      </c>
      <c r="AR806" s="90" t="s">
        <v>380</v>
      </c>
      <c r="AS806" s="90" t="s">
        <v>246</v>
      </c>
      <c r="AT806" s="90" t="s">
        <v>244</v>
      </c>
      <c r="AU806" s="90">
        <v>175.87190000000001</v>
      </c>
      <c r="AV806" s="90">
        <v>200.000000026077</v>
      </c>
      <c r="AW806" s="90">
        <v>2500.0000006519199</v>
      </c>
      <c r="AX806" s="90">
        <v>1.9465078740999999</v>
      </c>
    </row>
    <row r="807" spans="1:50" x14ac:dyDescent="0.25">
      <c r="A807" s="102">
        <v>830000</v>
      </c>
      <c r="B807" s="102">
        <v>2500000</v>
      </c>
      <c r="C807" s="102">
        <v>2500000</v>
      </c>
      <c r="D807" s="90" t="s">
        <v>374</v>
      </c>
      <c r="E807" s="90" t="s">
        <v>68</v>
      </c>
      <c r="F807" s="90" t="s">
        <v>375</v>
      </c>
      <c r="G807" s="90" t="s">
        <v>376</v>
      </c>
      <c r="H807" s="90">
        <v>0.59</v>
      </c>
      <c r="I807" s="90">
        <v>0.64</v>
      </c>
      <c r="J807" s="90" t="s">
        <v>244</v>
      </c>
      <c r="K807" s="90">
        <v>3.7125983632270002E-2</v>
      </c>
      <c r="L807" s="90">
        <v>3700.9187948983499</v>
      </c>
      <c r="M807" s="90">
        <v>8.2590554106395508</v>
      </c>
      <c r="N807" s="90">
        <v>1.1239120622154299</v>
      </c>
      <c r="O807" s="90">
        <v>0.30662555599342001</v>
      </c>
      <c r="P807" s="90">
        <v>4.172634082592E-2</v>
      </c>
      <c r="Q807" s="90">
        <v>137.40025060376001</v>
      </c>
      <c r="R807" s="90">
        <v>1200</v>
      </c>
      <c r="S807" s="90" t="s">
        <v>384</v>
      </c>
      <c r="T807" s="90">
        <v>1200</v>
      </c>
      <c r="U807" s="90" t="s">
        <v>378</v>
      </c>
      <c r="V807" s="90" t="s">
        <v>244</v>
      </c>
      <c r="Z807" s="90">
        <v>0</v>
      </c>
      <c r="AA807" s="90">
        <v>1</v>
      </c>
      <c r="AB807" s="90">
        <v>0.30662555599342001</v>
      </c>
      <c r="AC807" s="90">
        <v>4.172634082592E-2</v>
      </c>
      <c r="AD807" s="90">
        <v>137.40025060376101</v>
      </c>
      <c r="AF807" s="90">
        <v>-1</v>
      </c>
      <c r="AG807" s="90">
        <v>-1</v>
      </c>
      <c r="AH807" s="90">
        <v>-1</v>
      </c>
      <c r="AI807" s="90">
        <v>-1</v>
      </c>
      <c r="AJ807" s="90">
        <v>0</v>
      </c>
      <c r="AM807" s="90" t="s">
        <v>379</v>
      </c>
      <c r="AN807" s="90">
        <v>-1</v>
      </c>
      <c r="AQ807" s="90">
        <v>356</v>
      </c>
      <c r="AR807" s="90" t="s">
        <v>380</v>
      </c>
      <c r="AS807" s="90" t="s">
        <v>246</v>
      </c>
      <c r="AT807" s="90" t="s">
        <v>244</v>
      </c>
      <c r="AU807" s="90">
        <v>175.87190000000001</v>
      </c>
      <c r="AV807" s="90">
        <v>106.027427338043</v>
      </c>
      <c r="AW807" s="90">
        <v>150.24352530017401</v>
      </c>
      <c r="AX807" s="90">
        <v>0.1114357264</v>
      </c>
    </row>
    <row r="808" spans="1:50" x14ac:dyDescent="0.25">
      <c r="A808" s="102">
        <v>830000</v>
      </c>
      <c r="B808" s="102">
        <v>2500000</v>
      </c>
      <c r="C808" s="102">
        <v>2500000</v>
      </c>
      <c r="D808" s="90" t="s">
        <v>374</v>
      </c>
      <c r="E808" s="90" t="s">
        <v>68</v>
      </c>
      <c r="F808" s="90" t="s">
        <v>375</v>
      </c>
      <c r="G808" s="90" t="s">
        <v>376</v>
      </c>
      <c r="H808" s="90">
        <v>0.59</v>
      </c>
      <c r="I808" s="90">
        <v>0.64</v>
      </c>
      <c r="J808" s="90" t="s">
        <v>381</v>
      </c>
      <c r="K808" s="90">
        <v>7.9363444163490005E-2</v>
      </c>
      <c r="L808" s="90">
        <v>3700.9187948983499</v>
      </c>
      <c r="M808" s="90">
        <v>8.2590554106395508</v>
      </c>
      <c r="N808" s="90">
        <v>1.1239120622154299</v>
      </c>
      <c r="O808" s="90">
        <v>0.65546708292553002</v>
      </c>
      <c r="P808" s="90">
        <v>8.9197532194309995E-2</v>
      </c>
      <c r="Q808" s="90">
        <v>293.71766213255898</v>
      </c>
      <c r="R808" s="90">
        <v>1200</v>
      </c>
      <c r="S808" s="90" t="s">
        <v>384</v>
      </c>
      <c r="T808" s="90">
        <v>1200</v>
      </c>
      <c r="U808" s="90" t="s">
        <v>382</v>
      </c>
      <c r="V808" s="90" t="s">
        <v>381</v>
      </c>
      <c r="Z808" s="90">
        <v>0</v>
      </c>
      <c r="AA808" s="90">
        <v>1</v>
      </c>
      <c r="AB808" s="90">
        <v>0.65546708292553002</v>
      </c>
      <c r="AC808" s="90">
        <v>8.9197532194309995E-2</v>
      </c>
      <c r="AD808" s="90">
        <v>293.71766213256001</v>
      </c>
      <c r="AF808" s="90">
        <v>-1</v>
      </c>
      <c r="AG808" s="90">
        <v>-1</v>
      </c>
      <c r="AH808" s="90">
        <v>-1</v>
      </c>
      <c r="AI808" s="90">
        <v>-1</v>
      </c>
      <c r="AJ808" s="90">
        <v>0</v>
      </c>
      <c r="AM808" s="90" t="s">
        <v>379</v>
      </c>
      <c r="AN808" s="90">
        <v>-1</v>
      </c>
      <c r="AQ808" s="90">
        <v>356</v>
      </c>
      <c r="AR808" s="90" t="s">
        <v>380</v>
      </c>
      <c r="AS808" s="90" t="s">
        <v>246</v>
      </c>
      <c r="AT808" s="90" t="s">
        <v>244</v>
      </c>
      <c r="AU808" s="90">
        <v>175.87190000000001</v>
      </c>
      <c r="AV808" s="90">
        <v>113.108575400969</v>
      </c>
      <c r="AW808" s="90">
        <v>321.17246371684098</v>
      </c>
      <c r="AX808" s="90">
        <v>0.2382138379</v>
      </c>
    </row>
    <row r="809" spans="1:50" x14ac:dyDescent="0.25">
      <c r="A809" s="102">
        <v>830000</v>
      </c>
      <c r="B809" s="102">
        <v>2500000</v>
      </c>
      <c r="C809" s="102">
        <v>2500000</v>
      </c>
      <c r="D809" s="90" t="s">
        <v>374</v>
      </c>
      <c r="E809" s="90" t="s">
        <v>68</v>
      </c>
      <c r="F809" s="90" t="s">
        <v>375</v>
      </c>
      <c r="G809" s="90" t="s">
        <v>376</v>
      </c>
      <c r="H809" s="90">
        <v>0.59</v>
      </c>
      <c r="I809" s="90">
        <v>0.64</v>
      </c>
      <c r="J809" s="90" t="s">
        <v>381</v>
      </c>
      <c r="K809" s="90">
        <v>2.5548487190699999E-3</v>
      </c>
      <c r="L809" s="90">
        <v>3700.9187948983499</v>
      </c>
      <c r="M809" s="90">
        <v>8.2590554106395508</v>
      </c>
      <c r="N809" s="90">
        <v>1.1239120622154299</v>
      </c>
      <c r="O809" s="90">
        <v>2.1100637136630001E-2</v>
      </c>
      <c r="P809" s="90">
        <v>2.8714252924999998E-3</v>
      </c>
      <c r="Q809" s="90">
        <v>9.45528764254294</v>
      </c>
      <c r="R809" s="90">
        <v>1850</v>
      </c>
      <c r="S809" s="90" t="s">
        <v>388</v>
      </c>
      <c r="T809" s="90">
        <v>1850</v>
      </c>
      <c r="U809" s="90" t="s">
        <v>382</v>
      </c>
      <c r="V809" s="90" t="s">
        <v>381</v>
      </c>
      <c r="Z809" s="90">
        <v>0</v>
      </c>
      <c r="AA809" s="90">
        <v>1</v>
      </c>
      <c r="AB809" s="90">
        <v>2.1100637136630001E-2</v>
      </c>
      <c r="AC809" s="90">
        <v>2.8714252924999998E-3</v>
      </c>
      <c r="AD809" s="90">
        <v>9.4552876425433094</v>
      </c>
      <c r="AF809" s="90">
        <v>-1</v>
      </c>
      <c r="AG809" s="90">
        <v>-1</v>
      </c>
      <c r="AH809" s="90">
        <v>-1</v>
      </c>
      <c r="AI809" s="90">
        <v>-1</v>
      </c>
      <c r="AJ809" s="90">
        <v>0</v>
      </c>
      <c r="AM809" s="90" t="s">
        <v>379</v>
      </c>
      <c r="AN809" s="90">
        <v>-1</v>
      </c>
      <c r="AQ809" s="90">
        <v>356</v>
      </c>
      <c r="AR809" s="90" t="s">
        <v>380</v>
      </c>
      <c r="AS809" s="90" t="s">
        <v>246</v>
      </c>
      <c r="AT809" s="90" t="s">
        <v>244</v>
      </c>
      <c r="AU809" s="90">
        <v>175.87190000000001</v>
      </c>
      <c r="AV809" s="90">
        <v>13.897040193953201</v>
      </c>
      <c r="AW809" s="90">
        <v>10.3391059470454</v>
      </c>
      <c r="AX809" s="90">
        <v>7.6685219999999997E-3</v>
      </c>
    </row>
    <row r="810" spans="1:50" x14ac:dyDescent="0.25">
      <c r="A810" s="102">
        <v>830000</v>
      </c>
      <c r="B810" s="102">
        <v>2500000</v>
      </c>
      <c r="C810" s="102">
        <v>2500000</v>
      </c>
      <c r="D810" s="90" t="s">
        <v>374</v>
      </c>
      <c r="E810" s="90" t="s">
        <v>68</v>
      </c>
      <c r="F810" s="90" t="s">
        <v>375</v>
      </c>
      <c r="G810" s="90" t="s">
        <v>376</v>
      </c>
      <c r="H810" s="90">
        <v>0.59</v>
      </c>
      <c r="I810" s="90">
        <v>0.64</v>
      </c>
      <c r="J810" s="90" t="s">
        <v>381</v>
      </c>
      <c r="K810" s="90">
        <v>2.3857948855890002E-2</v>
      </c>
      <c r="L810" s="90">
        <v>3700.9187948983499</v>
      </c>
      <c r="M810" s="90">
        <v>8.2590554106395508</v>
      </c>
      <c r="N810" s="90">
        <v>1.1239120622154299</v>
      </c>
      <c r="O810" s="90">
        <v>0.19704412158500001</v>
      </c>
      <c r="P810" s="90">
        <v>2.6814236498850001E-2</v>
      </c>
      <c r="Q810" s="90">
        <v>88.2963313284869</v>
      </c>
      <c r="R810" s="90">
        <v>3200</v>
      </c>
      <c r="S810" s="90" t="s">
        <v>393</v>
      </c>
      <c r="T810" s="90">
        <v>3200</v>
      </c>
      <c r="U810" s="90" t="s">
        <v>382</v>
      </c>
      <c r="V810" s="90" t="s">
        <v>381</v>
      </c>
      <c r="Y810" s="90" t="s">
        <v>389</v>
      </c>
      <c r="Z810" s="90">
        <v>0</v>
      </c>
      <c r="AA810" s="90">
        <v>1</v>
      </c>
      <c r="AB810" s="90">
        <v>0.19704412158500001</v>
      </c>
      <c r="AC810" s="90">
        <v>2.6814236498850001E-2</v>
      </c>
      <c r="AD810" s="90">
        <v>88.296331328486104</v>
      </c>
      <c r="AF810" s="90">
        <v>-1</v>
      </c>
      <c r="AG810" s="90">
        <v>-1</v>
      </c>
      <c r="AH810" s="90">
        <v>-1</v>
      </c>
      <c r="AI810" s="90">
        <v>-1</v>
      </c>
      <c r="AJ810" s="90">
        <v>0</v>
      </c>
      <c r="AM810" s="90" t="s">
        <v>379</v>
      </c>
      <c r="AN810" s="90">
        <v>-1</v>
      </c>
      <c r="AQ810" s="90">
        <v>356</v>
      </c>
      <c r="AR810" s="90" t="s">
        <v>380</v>
      </c>
      <c r="AS810" s="90" t="s">
        <v>246</v>
      </c>
      <c r="AT810" s="90" t="s">
        <v>244</v>
      </c>
      <c r="AU810" s="90">
        <v>175.87190000000001</v>
      </c>
      <c r="AV810" s="90">
        <v>94.786686705907798</v>
      </c>
      <c r="AW810" s="90">
        <v>96.549693552748494</v>
      </c>
      <c r="AX810" s="90">
        <v>7.1610974300000005E-2</v>
      </c>
    </row>
    <row r="811" spans="1:50" x14ac:dyDescent="0.25">
      <c r="A811" s="102">
        <v>830000</v>
      </c>
      <c r="B811" s="102">
        <v>2500000</v>
      </c>
      <c r="C811" s="102">
        <v>2500000</v>
      </c>
      <c r="D811" s="90" t="s">
        <v>374</v>
      </c>
      <c r="E811" s="90" t="s">
        <v>68</v>
      </c>
      <c r="F811" s="90" t="s">
        <v>375</v>
      </c>
      <c r="G811" s="90" t="s">
        <v>376</v>
      </c>
      <c r="H811" s="90">
        <v>0.59</v>
      </c>
      <c r="I811" s="90">
        <v>0.64</v>
      </c>
      <c r="J811" s="90" t="s">
        <v>381</v>
      </c>
      <c r="K811" s="90">
        <v>0.26495901715332998</v>
      </c>
      <c r="L811" s="90">
        <v>3700.9187948983499</v>
      </c>
      <c r="M811" s="90">
        <v>8.2590554106395508</v>
      </c>
      <c r="N811" s="90">
        <v>1.1239120622154299</v>
      </c>
      <c r="O811" s="90">
        <v>2.1883112042179902</v>
      </c>
      <c r="P811" s="90">
        <v>0.29779063537137002</v>
      </c>
      <c r="Q811" s="90">
        <v>980.591806460572</v>
      </c>
      <c r="R811" s="90">
        <v>8140</v>
      </c>
      <c r="S811" s="90" t="s">
        <v>386</v>
      </c>
      <c r="T811" s="90">
        <v>8140</v>
      </c>
      <c r="U811" s="90" t="s">
        <v>382</v>
      </c>
      <c r="V811" s="90" t="s">
        <v>381</v>
      </c>
      <c r="Z811" s="90">
        <v>0</v>
      </c>
      <c r="AA811" s="90">
        <v>1</v>
      </c>
      <c r="AB811" s="90">
        <v>2.1883112042179902</v>
      </c>
      <c r="AC811" s="90">
        <v>0.29779063537137002</v>
      </c>
      <c r="AD811" s="90">
        <v>980.591806460572</v>
      </c>
      <c r="AF811" s="90">
        <v>-1</v>
      </c>
      <c r="AG811" s="90">
        <v>-1</v>
      </c>
      <c r="AH811" s="90">
        <v>-1</v>
      </c>
      <c r="AI811" s="90">
        <v>-1</v>
      </c>
      <c r="AJ811" s="90">
        <v>0</v>
      </c>
      <c r="AM811" s="90" t="s">
        <v>379</v>
      </c>
      <c r="AN811" s="90">
        <v>-1</v>
      </c>
      <c r="AQ811" s="90">
        <v>356</v>
      </c>
      <c r="AR811" s="90" t="s">
        <v>380</v>
      </c>
      <c r="AS811" s="90" t="s">
        <v>246</v>
      </c>
      <c r="AT811" s="90" t="s">
        <v>244</v>
      </c>
      <c r="AU811" s="90">
        <v>175.87190000000001</v>
      </c>
      <c r="AV811" s="90">
        <v>142.72120210230599</v>
      </c>
      <c r="AW811" s="90">
        <v>1072.25110023976</v>
      </c>
      <c r="AX811" s="90">
        <v>0.79528938069999999</v>
      </c>
    </row>
    <row r="812" spans="1:50" x14ac:dyDescent="0.25">
      <c r="A812" s="102">
        <v>830000</v>
      </c>
      <c r="B812" s="102">
        <v>2500000</v>
      </c>
      <c r="C812" s="102">
        <v>2500000</v>
      </c>
      <c r="D812" s="90" t="s">
        <v>374</v>
      </c>
      <c r="E812" s="90" t="s">
        <v>68</v>
      </c>
      <c r="F812" s="90" t="s">
        <v>375</v>
      </c>
      <c r="G812" s="90" t="s">
        <v>376</v>
      </c>
      <c r="H812" s="90">
        <v>0.59</v>
      </c>
      <c r="I812" s="90">
        <v>0.64</v>
      </c>
      <c r="J812" s="90" t="s">
        <v>244</v>
      </c>
      <c r="K812" s="90">
        <v>0.18211255523450001</v>
      </c>
      <c r="L812" s="90">
        <v>3781.6033044360502</v>
      </c>
      <c r="M812" s="90">
        <v>11.618364171212599</v>
      </c>
      <c r="N812" s="90">
        <v>1.53444577956576</v>
      </c>
      <c r="O812" s="90">
        <v>2.1158499868645899</v>
      </c>
      <c r="P812" s="90">
        <v>0.27944184178552001</v>
      </c>
      <c r="Q812" s="90">
        <v>688.67744065411296</v>
      </c>
      <c r="R812" s="90">
        <v>1400</v>
      </c>
      <c r="S812" s="90" t="s">
        <v>324</v>
      </c>
      <c r="T812" s="90">
        <v>1400</v>
      </c>
      <c r="U812" s="90" t="s">
        <v>378</v>
      </c>
      <c r="V812" s="90" t="s">
        <v>244</v>
      </c>
      <c r="Z812" s="90">
        <v>0</v>
      </c>
      <c r="AA812" s="90">
        <v>1</v>
      </c>
      <c r="AB812" s="90">
        <v>2.1158499868645899</v>
      </c>
      <c r="AC812" s="90">
        <v>0.27944184178552001</v>
      </c>
      <c r="AD812" s="90">
        <v>688.67744065411296</v>
      </c>
      <c r="AF812" s="90">
        <v>-1</v>
      </c>
      <c r="AG812" s="90">
        <v>-1</v>
      </c>
      <c r="AH812" s="90">
        <v>-1</v>
      </c>
      <c r="AI812" s="90">
        <v>-1</v>
      </c>
      <c r="AJ812" s="90">
        <v>0</v>
      </c>
      <c r="AM812" s="90" t="s">
        <v>379</v>
      </c>
      <c r="AN812" s="90">
        <v>-1</v>
      </c>
      <c r="AQ812" s="90">
        <v>356</v>
      </c>
      <c r="AR812" s="90" t="s">
        <v>380</v>
      </c>
      <c r="AS812" s="90" t="s">
        <v>246</v>
      </c>
      <c r="AT812" s="90" t="s">
        <v>244</v>
      </c>
      <c r="AU812" s="90">
        <v>175.87190000000001</v>
      </c>
      <c r="AV812" s="90">
        <v>129.49919167415001</v>
      </c>
      <c r="AW812" s="90">
        <v>736.98336375044903</v>
      </c>
      <c r="AX812" s="90">
        <v>0.55853807030000002</v>
      </c>
    </row>
    <row r="813" spans="1:50" x14ac:dyDescent="0.25">
      <c r="A813" s="102">
        <v>830000</v>
      </c>
      <c r="B813" s="102">
        <v>2500000</v>
      </c>
      <c r="C813" s="102">
        <v>2500000</v>
      </c>
      <c r="D813" s="90" t="s">
        <v>374</v>
      </c>
      <c r="E813" s="90" t="s">
        <v>68</v>
      </c>
      <c r="F813" s="90" t="s">
        <v>375</v>
      </c>
      <c r="G813" s="90" t="s">
        <v>376</v>
      </c>
      <c r="H813" s="90">
        <v>0.59</v>
      </c>
      <c r="I813" s="90">
        <v>0.64</v>
      </c>
      <c r="J813" s="90" t="s">
        <v>244</v>
      </c>
      <c r="K813" s="90">
        <v>0.41425931295120999</v>
      </c>
      <c r="L813" s="90">
        <v>3781.6033044360502</v>
      </c>
      <c r="M813" s="90">
        <v>11.618364171212599</v>
      </c>
      <c r="N813" s="90">
        <v>1.53444577956576</v>
      </c>
      <c r="O813" s="90">
        <v>4.8130155591835804</v>
      </c>
      <c r="P813" s="90">
        <v>0.63565845440379998</v>
      </c>
      <c r="Q813" s="90">
        <v>1566.5643867497299</v>
      </c>
      <c r="R813" s="90">
        <v>1430</v>
      </c>
      <c r="S813" s="90" t="s">
        <v>326</v>
      </c>
      <c r="T813" s="90">
        <v>1430</v>
      </c>
      <c r="U813" s="90" t="s">
        <v>378</v>
      </c>
      <c r="V813" s="90" t="s">
        <v>244</v>
      </c>
      <c r="Z813" s="90">
        <v>0</v>
      </c>
      <c r="AA813" s="90">
        <v>1</v>
      </c>
      <c r="AB813" s="90">
        <v>4.8130155591835804</v>
      </c>
      <c r="AC813" s="90">
        <v>0.63565845440379998</v>
      </c>
      <c r="AD813" s="90">
        <v>1566.5643867497299</v>
      </c>
      <c r="AF813" s="90">
        <v>-1</v>
      </c>
      <c r="AG813" s="90">
        <v>-1</v>
      </c>
      <c r="AH813" s="90">
        <v>-1</v>
      </c>
      <c r="AI813" s="90">
        <v>-1</v>
      </c>
      <c r="AJ813" s="90">
        <v>0</v>
      </c>
      <c r="AM813" s="90" t="s">
        <v>379</v>
      </c>
      <c r="AN813" s="90">
        <v>-1</v>
      </c>
      <c r="AQ813" s="90">
        <v>356</v>
      </c>
      <c r="AR813" s="90" t="s">
        <v>380</v>
      </c>
      <c r="AS813" s="90" t="s">
        <v>246</v>
      </c>
      <c r="AT813" s="90" t="s">
        <v>244</v>
      </c>
      <c r="AU813" s="90">
        <v>175.87190000000001</v>
      </c>
      <c r="AV813" s="90">
        <v>167.06200175500101</v>
      </c>
      <c r="AW813" s="90">
        <v>1676.4479611556401</v>
      </c>
      <c r="AX813" s="90">
        <v>1.2705307272999999</v>
      </c>
    </row>
    <row r="814" spans="1:50" x14ac:dyDescent="0.25">
      <c r="A814" s="102">
        <v>830000</v>
      </c>
      <c r="B814" s="102">
        <v>2500000</v>
      </c>
      <c r="C814" s="102">
        <v>2500000</v>
      </c>
      <c r="D814" s="90" t="s">
        <v>374</v>
      </c>
      <c r="E814" s="90" t="s">
        <v>68</v>
      </c>
      <c r="F814" s="90" t="s">
        <v>375</v>
      </c>
      <c r="G814" s="90" t="s">
        <v>376</v>
      </c>
      <c r="H814" s="90">
        <v>0.59</v>
      </c>
      <c r="I814" s="90">
        <v>0.64</v>
      </c>
      <c r="J814" s="90" t="s">
        <v>244</v>
      </c>
      <c r="K814" s="90">
        <v>2.0893303363610002E-2</v>
      </c>
      <c r="L814" s="90">
        <v>3781.6033044360502</v>
      </c>
      <c r="M814" s="90">
        <v>11.618364171212599</v>
      </c>
      <c r="N814" s="90">
        <v>1.53444577956576</v>
      </c>
      <c r="O814" s="90">
        <v>0.24274600721805001</v>
      </c>
      <c r="P814" s="90">
        <v>3.2059641167480002E-2</v>
      </c>
      <c r="Q814" s="90">
        <v>79.010185040416303</v>
      </c>
      <c r="R814" s="90">
        <v>1410</v>
      </c>
      <c r="S814" s="90" t="s">
        <v>325</v>
      </c>
      <c r="T814" s="90">
        <v>1410</v>
      </c>
      <c r="U814" s="90" t="s">
        <v>378</v>
      </c>
      <c r="V814" s="90" t="s">
        <v>244</v>
      </c>
      <c r="Z814" s="90">
        <v>0</v>
      </c>
      <c r="AA814" s="90">
        <v>1</v>
      </c>
      <c r="AB814" s="90">
        <v>0.24274600721805001</v>
      </c>
      <c r="AC814" s="90">
        <v>3.2059641167480002E-2</v>
      </c>
      <c r="AD814" s="90">
        <v>79.010185040416701</v>
      </c>
      <c r="AF814" s="90">
        <v>-1</v>
      </c>
      <c r="AG814" s="90">
        <v>-1</v>
      </c>
      <c r="AH814" s="90">
        <v>-1</v>
      </c>
      <c r="AI814" s="90">
        <v>-1</v>
      </c>
      <c r="AJ814" s="90">
        <v>0</v>
      </c>
      <c r="AM814" s="90" t="s">
        <v>379</v>
      </c>
      <c r="AN814" s="90">
        <v>-1</v>
      </c>
      <c r="AQ814" s="90">
        <v>356</v>
      </c>
      <c r="AR814" s="90" t="s">
        <v>380</v>
      </c>
      <c r="AS814" s="90" t="s">
        <v>246</v>
      </c>
      <c r="AT814" s="90" t="s">
        <v>244</v>
      </c>
      <c r="AU814" s="90">
        <v>175.87190000000001</v>
      </c>
      <c r="AV814" s="90">
        <v>101.626078065706</v>
      </c>
      <c r="AW814" s="90">
        <v>84.552198902181303</v>
      </c>
      <c r="AX814" s="90">
        <v>6.4079630999999998E-2</v>
      </c>
    </row>
    <row r="815" spans="1:50" x14ac:dyDescent="0.25">
      <c r="A815" s="102">
        <v>830000</v>
      </c>
      <c r="B815" s="102">
        <v>2500000</v>
      </c>
      <c r="C815" s="102">
        <v>2500000</v>
      </c>
      <c r="D815" s="90" t="s">
        <v>374</v>
      </c>
      <c r="E815" s="90" t="s">
        <v>68</v>
      </c>
      <c r="F815" s="90" t="s">
        <v>375</v>
      </c>
      <c r="G815" s="90" t="s">
        <v>376</v>
      </c>
      <c r="H815" s="90">
        <v>0.59</v>
      </c>
      <c r="I815" s="90">
        <v>0.64</v>
      </c>
      <c r="J815" s="90" t="s">
        <v>244</v>
      </c>
      <c r="K815" s="90">
        <v>4.9828221062000002E-4</v>
      </c>
      <c r="L815" s="90">
        <v>3781.6033044360502</v>
      </c>
      <c r="M815" s="90">
        <v>11.618364171212599</v>
      </c>
      <c r="N815" s="90">
        <v>1.53444577956576</v>
      </c>
      <c r="O815" s="90">
        <v>5.7892241831100002E-3</v>
      </c>
      <c r="P815" s="90">
        <v>7.6458703512999999E-4</v>
      </c>
      <c r="Q815" s="90">
        <v>1.88430565425254</v>
      </c>
      <c r="R815" s="90">
        <v>1300</v>
      </c>
      <c r="S815" s="90" t="s">
        <v>387</v>
      </c>
      <c r="T815" s="90">
        <v>1300</v>
      </c>
      <c r="U815" s="90" t="s">
        <v>378</v>
      </c>
      <c r="V815" s="90" t="s">
        <v>244</v>
      </c>
      <c r="Z815" s="90">
        <v>0</v>
      </c>
      <c r="AA815" s="90">
        <v>1</v>
      </c>
      <c r="AB815" s="90">
        <v>5.7892241831100002E-3</v>
      </c>
      <c r="AC815" s="90">
        <v>7.6458703512999999E-4</v>
      </c>
      <c r="AD815" s="90">
        <v>1.8843056542543699</v>
      </c>
      <c r="AF815" s="90">
        <v>-1</v>
      </c>
      <c r="AG815" s="90">
        <v>-1</v>
      </c>
      <c r="AH815" s="90">
        <v>-1</v>
      </c>
      <c r="AI815" s="90">
        <v>-1</v>
      </c>
      <c r="AJ815" s="90">
        <v>0</v>
      </c>
      <c r="AM815" s="90" t="s">
        <v>379</v>
      </c>
      <c r="AN815" s="90">
        <v>-1</v>
      </c>
      <c r="AQ815" s="90">
        <v>356</v>
      </c>
      <c r="AR815" s="90" t="s">
        <v>380</v>
      </c>
      <c r="AS815" s="90" t="s">
        <v>246</v>
      </c>
      <c r="AT815" s="90" t="s">
        <v>244</v>
      </c>
      <c r="AU815" s="90">
        <v>175.87190000000001</v>
      </c>
      <c r="AV815" s="90">
        <v>6.2383678997043601</v>
      </c>
      <c r="AW815" s="90">
        <v>2.0164765642495399</v>
      </c>
      <c r="AX815" s="90">
        <v>1.5282284000000001E-3</v>
      </c>
    </row>
    <row r="816" spans="1:50" x14ac:dyDescent="0.25">
      <c r="A816" s="102">
        <v>830000</v>
      </c>
      <c r="B816" s="102">
        <v>2500000</v>
      </c>
      <c r="C816" s="102">
        <v>2500000</v>
      </c>
      <c r="D816" s="90" t="s">
        <v>374</v>
      </c>
      <c r="E816" s="90" t="s">
        <v>68</v>
      </c>
      <c r="F816" s="90" t="s">
        <v>375</v>
      </c>
      <c r="G816" s="90" t="s">
        <v>376</v>
      </c>
      <c r="H816" s="90">
        <v>0.59</v>
      </c>
      <c r="I816" s="90">
        <v>0.64</v>
      </c>
      <c r="J816" s="90" t="s">
        <v>244</v>
      </c>
      <c r="K816" s="90">
        <v>0.30075229649795998</v>
      </c>
      <c r="L816" s="90">
        <v>3747.7351302931002</v>
      </c>
      <c r="M816" s="90">
        <v>10.7827144184388</v>
      </c>
      <c r="N816" s="90">
        <v>2.0776258095398599</v>
      </c>
      <c r="O816" s="90">
        <v>3.24292612382723</v>
      </c>
      <c r="P816" s="90">
        <v>0.62485073348256004</v>
      </c>
      <c r="Q816" s="90">
        <v>1127.1399471017601</v>
      </c>
      <c r="R816" s="90">
        <v>1300</v>
      </c>
      <c r="S816" s="90" t="s">
        <v>387</v>
      </c>
      <c r="T816" s="90">
        <v>1300</v>
      </c>
      <c r="U816" s="90" t="s">
        <v>378</v>
      </c>
      <c r="V816" s="90" t="s">
        <v>244</v>
      </c>
      <c r="Z816" s="90">
        <v>0</v>
      </c>
      <c r="AA816" s="90">
        <v>1</v>
      </c>
      <c r="AB816" s="90">
        <v>3.24292612382723</v>
      </c>
      <c r="AC816" s="90">
        <v>0.62485073348256004</v>
      </c>
      <c r="AD816" s="90">
        <v>1127.1399471017601</v>
      </c>
      <c r="AF816" s="90">
        <v>-1</v>
      </c>
      <c r="AG816" s="90">
        <v>-1</v>
      </c>
      <c r="AH816" s="90">
        <v>-1</v>
      </c>
      <c r="AI816" s="90">
        <v>-1</v>
      </c>
      <c r="AJ816" s="90">
        <v>0</v>
      </c>
      <c r="AM816" s="90" t="s">
        <v>379</v>
      </c>
      <c r="AN816" s="90">
        <v>-1</v>
      </c>
      <c r="AQ816" s="90">
        <v>356</v>
      </c>
      <c r="AR816" s="90" t="s">
        <v>380</v>
      </c>
      <c r="AS816" s="90" t="s">
        <v>246</v>
      </c>
      <c r="AT816" s="90" t="s">
        <v>244</v>
      </c>
      <c r="AU816" s="90">
        <v>175.87190000000001</v>
      </c>
      <c r="AV816" s="90">
        <v>148.72069497060301</v>
      </c>
      <c r="AW816" s="90">
        <v>1217.1013626343499</v>
      </c>
      <c r="AX816" s="90">
        <v>0.91414432040000004</v>
      </c>
    </row>
    <row r="817" spans="1:50" x14ac:dyDescent="0.25">
      <c r="A817" s="102">
        <v>830000</v>
      </c>
      <c r="B817" s="102">
        <v>2500000</v>
      </c>
      <c r="C817" s="102">
        <v>2500000</v>
      </c>
      <c r="D817" s="90" t="s">
        <v>374</v>
      </c>
      <c r="E817" s="90" t="s">
        <v>68</v>
      </c>
      <c r="F817" s="90" t="s">
        <v>375</v>
      </c>
      <c r="G817" s="90" t="s">
        <v>376</v>
      </c>
      <c r="H817" s="90">
        <v>0.59</v>
      </c>
      <c r="I817" s="90">
        <v>0.64</v>
      </c>
      <c r="J817" s="90" t="s">
        <v>244</v>
      </c>
      <c r="K817" s="90">
        <v>0.31701115691678999</v>
      </c>
      <c r="L817" s="90">
        <v>3747.7351302931002</v>
      </c>
      <c r="M817" s="90">
        <v>10.7827144184388</v>
      </c>
      <c r="N817" s="90">
        <v>2.0776258095398599</v>
      </c>
      <c r="O817" s="90">
        <v>3.41824077249272</v>
      </c>
      <c r="P817" s="90">
        <v>0.65863056152243005</v>
      </c>
      <c r="Q817" s="90">
        <v>1188.0738494719301</v>
      </c>
      <c r="R817" s="90">
        <v>1300</v>
      </c>
      <c r="S817" s="90" t="s">
        <v>387</v>
      </c>
      <c r="T817" s="90">
        <v>1300</v>
      </c>
      <c r="U817" s="90" t="s">
        <v>378</v>
      </c>
      <c r="V817" s="90" t="s">
        <v>244</v>
      </c>
      <c r="Z817" s="90">
        <v>0</v>
      </c>
      <c r="AA817" s="90">
        <v>1</v>
      </c>
      <c r="AB817" s="90">
        <v>3.41824077249272</v>
      </c>
      <c r="AC817" s="90">
        <v>0.65863056152243005</v>
      </c>
      <c r="AD817" s="90">
        <v>1188.0738494719301</v>
      </c>
      <c r="AF817" s="90">
        <v>-1</v>
      </c>
      <c r="AG817" s="90">
        <v>-1</v>
      </c>
      <c r="AH817" s="90">
        <v>-1</v>
      </c>
      <c r="AI817" s="90">
        <v>-1</v>
      </c>
      <c r="AJ817" s="90">
        <v>0</v>
      </c>
      <c r="AM817" s="90" t="s">
        <v>379</v>
      </c>
      <c r="AN817" s="90">
        <v>-1</v>
      </c>
      <c r="AQ817" s="90">
        <v>356</v>
      </c>
      <c r="AR817" s="90" t="s">
        <v>380</v>
      </c>
      <c r="AS817" s="90" t="s">
        <v>246</v>
      </c>
      <c r="AT817" s="90" t="s">
        <v>244</v>
      </c>
      <c r="AU817" s="90">
        <v>175.87190000000001</v>
      </c>
      <c r="AV817" s="90">
        <v>151.35258591946501</v>
      </c>
      <c r="AW817" s="90">
        <v>1282.89863634119</v>
      </c>
      <c r="AX817" s="90">
        <v>0.96356354379999998</v>
      </c>
    </row>
    <row r="818" spans="1:50" x14ac:dyDescent="0.25">
      <c r="A818" s="102">
        <v>830000</v>
      </c>
      <c r="B818" s="102">
        <v>2500000</v>
      </c>
      <c r="C818" s="102">
        <v>2500000</v>
      </c>
      <c r="D818" s="90" t="s">
        <v>374</v>
      </c>
      <c r="E818" s="90" t="s">
        <v>68</v>
      </c>
      <c r="F818" s="90" t="s">
        <v>375</v>
      </c>
      <c r="G818" s="90" t="s">
        <v>376</v>
      </c>
      <c r="H818" s="90">
        <v>0.59</v>
      </c>
      <c r="I818" s="90">
        <v>0.64</v>
      </c>
      <c r="J818" s="90" t="s">
        <v>389</v>
      </c>
      <c r="K818" s="90">
        <v>0.2484814025622</v>
      </c>
      <c r="L818" s="90">
        <v>3506.14616285273</v>
      </c>
      <c r="M818" s="90">
        <v>9.2320867252758703</v>
      </c>
      <c r="N818" s="90">
        <v>1.2306343654485501</v>
      </c>
      <c r="O818" s="90">
        <v>2.2940018580724799</v>
      </c>
      <c r="P818" s="90">
        <v>0.30578975316790002</v>
      </c>
      <c r="Q818" s="90">
        <v>871.21211613374601</v>
      </c>
      <c r="R818" s="90">
        <v>4200</v>
      </c>
      <c r="S818" s="90" t="s">
        <v>390</v>
      </c>
      <c r="T818" s="90">
        <v>4200</v>
      </c>
      <c r="U818" s="90" t="s">
        <v>378</v>
      </c>
      <c r="V818" s="90" t="s">
        <v>244</v>
      </c>
      <c r="Y818" s="90" t="s">
        <v>389</v>
      </c>
      <c r="Z818" s="90">
        <v>0</v>
      </c>
      <c r="AA818" s="90">
        <v>1</v>
      </c>
      <c r="AB818" s="90">
        <v>2.2940018580724799</v>
      </c>
      <c r="AC818" s="90">
        <v>0.30578975316790002</v>
      </c>
      <c r="AD818" s="90">
        <v>948.983181787685</v>
      </c>
      <c r="AF818" s="90">
        <v>-1</v>
      </c>
      <c r="AG818" s="90">
        <v>-1</v>
      </c>
      <c r="AH818" s="90">
        <v>-1</v>
      </c>
      <c r="AI818" s="90">
        <v>-1</v>
      </c>
      <c r="AJ818" s="90">
        <v>0</v>
      </c>
      <c r="AM818" s="90" t="s">
        <v>379</v>
      </c>
      <c r="AN818" s="90">
        <v>-1</v>
      </c>
      <c r="AQ818" s="90">
        <v>356</v>
      </c>
      <c r="AR818" s="90" t="s">
        <v>380</v>
      </c>
      <c r="AS818" s="90" t="s">
        <v>246</v>
      </c>
      <c r="AT818" s="90" t="s">
        <v>244</v>
      </c>
      <c r="AU818" s="90">
        <v>175.87190000000001</v>
      </c>
      <c r="AV818" s="90">
        <v>135.50134218762</v>
      </c>
      <c r="AW818" s="90">
        <v>1005.56855980582</v>
      </c>
      <c r="AX818" s="90">
        <v>0.76965383759999995</v>
      </c>
    </row>
    <row r="819" spans="1:50" x14ac:dyDescent="0.25">
      <c r="A819" s="102">
        <v>830000</v>
      </c>
      <c r="B819" s="102">
        <v>2500000</v>
      </c>
      <c r="C819" s="102">
        <v>2500000</v>
      </c>
      <c r="D819" s="90" t="s">
        <v>374</v>
      </c>
      <c r="E819" s="90" t="s">
        <v>68</v>
      </c>
      <c r="F819" s="90" t="s">
        <v>375</v>
      </c>
      <c r="G819" s="90" t="s">
        <v>376</v>
      </c>
      <c r="H819" s="90">
        <v>0.59</v>
      </c>
      <c r="I819" s="90">
        <v>0.64</v>
      </c>
      <c r="J819" s="90" t="s">
        <v>244</v>
      </c>
      <c r="K819" s="90">
        <v>0.32135857337253998</v>
      </c>
      <c r="L819" s="90">
        <v>3506.14616285273</v>
      </c>
      <c r="M819" s="90">
        <v>9.2320867252758703</v>
      </c>
      <c r="N819" s="90">
        <v>1.2306343654485501</v>
      </c>
      <c r="O819" s="90">
        <v>2.96681021928626</v>
      </c>
      <c r="P819" s="90">
        <v>0.39547490402377</v>
      </c>
      <c r="Q819" s="90">
        <v>1126.7301289299701</v>
      </c>
      <c r="R819" s="90">
        <v>1410</v>
      </c>
      <c r="S819" s="90" t="s">
        <v>325</v>
      </c>
      <c r="T819" s="90">
        <v>1410</v>
      </c>
      <c r="U819" s="90" t="s">
        <v>378</v>
      </c>
      <c r="V819" s="90" t="s">
        <v>244</v>
      </c>
      <c r="Z819" s="90">
        <v>0</v>
      </c>
      <c r="AA819" s="90">
        <v>1</v>
      </c>
      <c r="AB819" s="90">
        <v>2.96681021928626</v>
      </c>
      <c r="AC819" s="90">
        <v>0.39547490402377</v>
      </c>
      <c r="AD819" s="90">
        <v>1216.98578084071</v>
      </c>
      <c r="AF819" s="90">
        <v>-1</v>
      </c>
      <c r="AG819" s="90">
        <v>-1</v>
      </c>
      <c r="AH819" s="90">
        <v>-1</v>
      </c>
      <c r="AI819" s="90">
        <v>-1</v>
      </c>
      <c r="AJ819" s="90">
        <v>0</v>
      </c>
      <c r="AM819" s="90" t="s">
        <v>379</v>
      </c>
      <c r="AN819" s="90">
        <v>-1</v>
      </c>
      <c r="AQ819" s="90">
        <v>356</v>
      </c>
      <c r="AR819" s="90" t="s">
        <v>380</v>
      </c>
      <c r="AS819" s="90" t="s">
        <v>246</v>
      </c>
      <c r="AT819" s="90" t="s">
        <v>244</v>
      </c>
      <c r="AU819" s="90">
        <v>175.87190000000001</v>
      </c>
      <c r="AV819" s="90">
        <v>148.85772503659501</v>
      </c>
      <c r="AW819" s="90">
        <v>1300.4920065459801</v>
      </c>
      <c r="AX819" s="90">
        <v>0.98701198769999998</v>
      </c>
    </row>
    <row r="820" spans="1:50" x14ac:dyDescent="0.25">
      <c r="A820" s="102">
        <v>830000</v>
      </c>
      <c r="B820" s="102">
        <v>2500000</v>
      </c>
      <c r="C820" s="102">
        <v>2500000</v>
      </c>
      <c r="D820" s="90" t="s">
        <v>374</v>
      </c>
      <c r="E820" s="90" t="s">
        <v>68</v>
      </c>
      <c r="F820" s="90" t="s">
        <v>375</v>
      </c>
      <c r="G820" s="90" t="s">
        <v>376</v>
      </c>
      <c r="H820" s="90">
        <v>0.59</v>
      </c>
      <c r="I820" s="90">
        <v>0.64</v>
      </c>
      <c r="J820" s="90" t="s">
        <v>244</v>
      </c>
      <c r="K820" s="90">
        <v>2.7300832456999999E-4</v>
      </c>
      <c r="L820" s="90">
        <v>3773.9842146432102</v>
      </c>
      <c r="M820" s="90">
        <v>11.217125494291899</v>
      </c>
      <c r="N820" s="90">
        <v>1.4792967933818799</v>
      </c>
      <c r="O820" s="90">
        <v>3.0623686377199998E-3</v>
      </c>
      <c r="P820" s="90">
        <v>4.038603391E-4</v>
      </c>
      <c r="Q820" s="90">
        <v>1.0303291074046901</v>
      </c>
      <c r="R820" s="90">
        <v>1400</v>
      </c>
      <c r="S820" s="90" t="s">
        <v>324</v>
      </c>
      <c r="T820" s="90">
        <v>1400</v>
      </c>
      <c r="U820" s="90" t="s">
        <v>378</v>
      </c>
      <c r="V820" s="90" t="s">
        <v>244</v>
      </c>
      <c r="Z820" s="90">
        <v>0</v>
      </c>
      <c r="AA820" s="90">
        <v>1</v>
      </c>
      <c r="AB820" s="90">
        <v>3.0623686377199998E-3</v>
      </c>
      <c r="AC820" s="90">
        <v>4.038603391E-4</v>
      </c>
      <c r="AD820" s="90">
        <v>1.0303291074048999</v>
      </c>
      <c r="AF820" s="90">
        <v>-1</v>
      </c>
      <c r="AG820" s="90">
        <v>-1</v>
      </c>
      <c r="AH820" s="90">
        <v>-1</v>
      </c>
      <c r="AI820" s="90">
        <v>-1</v>
      </c>
      <c r="AJ820" s="90">
        <v>0</v>
      </c>
      <c r="AM820" s="90" t="s">
        <v>379</v>
      </c>
      <c r="AN820" s="90">
        <v>-1</v>
      </c>
      <c r="AQ820" s="90">
        <v>356</v>
      </c>
      <c r="AR820" s="90" t="s">
        <v>380</v>
      </c>
      <c r="AS820" s="90" t="s">
        <v>246</v>
      </c>
      <c r="AT820" s="90" t="s">
        <v>244</v>
      </c>
      <c r="AU820" s="90">
        <v>175.87190000000001</v>
      </c>
      <c r="AV820" s="90">
        <v>92.095683511686801</v>
      </c>
      <c r="AW820" s="90">
        <v>1.1048254916671301</v>
      </c>
      <c r="AX820" s="90">
        <v>8.3562779999999998E-4</v>
      </c>
    </row>
    <row r="821" spans="1:50" x14ac:dyDescent="0.25">
      <c r="A821" s="102">
        <v>830000</v>
      </c>
      <c r="B821" s="102">
        <v>2500000</v>
      </c>
      <c r="C821" s="102">
        <v>2500000</v>
      </c>
      <c r="D821" s="90" t="s">
        <v>374</v>
      </c>
      <c r="E821" s="90" t="s">
        <v>68</v>
      </c>
      <c r="F821" s="90" t="s">
        <v>375</v>
      </c>
      <c r="G821" s="90" t="s">
        <v>376</v>
      </c>
      <c r="H821" s="90">
        <v>0.59</v>
      </c>
      <c r="I821" s="90">
        <v>0.64</v>
      </c>
      <c r="J821" s="90" t="s">
        <v>381</v>
      </c>
      <c r="K821" s="90">
        <v>0.11405100328945</v>
      </c>
      <c r="L821" s="90">
        <v>3773.9842146432102</v>
      </c>
      <c r="M821" s="90">
        <v>11.217125494291899</v>
      </c>
      <c r="N821" s="90">
        <v>1.4792967933818799</v>
      </c>
      <c r="O821" s="90">
        <v>1.27932441664768</v>
      </c>
      <c r="P821" s="90">
        <v>0.16871528344806999</v>
      </c>
      <c r="Q821" s="90">
        <v>430.42668607861299</v>
      </c>
      <c r="R821" s="90">
        <v>1400</v>
      </c>
      <c r="S821" s="90" t="s">
        <v>324</v>
      </c>
      <c r="T821" s="90">
        <v>1400</v>
      </c>
      <c r="U821" s="90" t="s">
        <v>382</v>
      </c>
      <c r="V821" s="90" t="s">
        <v>381</v>
      </c>
      <c r="Z821" s="90">
        <v>0</v>
      </c>
      <c r="AA821" s="90">
        <v>1</v>
      </c>
      <c r="AB821" s="90">
        <v>1.27932441664768</v>
      </c>
      <c r="AC821" s="90">
        <v>0.16871528344806999</v>
      </c>
      <c r="AD821" s="90">
        <v>430.42668607861299</v>
      </c>
      <c r="AF821" s="90">
        <v>-1</v>
      </c>
      <c r="AG821" s="90">
        <v>-1</v>
      </c>
      <c r="AH821" s="90">
        <v>-1</v>
      </c>
      <c r="AI821" s="90">
        <v>-1</v>
      </c>
      <c r="AJ821" s="90">
        <v>0</v>
      </c>
      <c r="AM821" s="90" t="s">
        <v>379</v>
      </c>
      <c r="AN821" s="90">
        <v>-1</v>
      </c>
      <c r="AQ821" s="90">
        <v>356</v>
      </c>
      <c r="AR821" s="90" t="s">
        <v>380</v>
      </c>
      <c r="AS821" s="90" t="s">
        <v>246</v>
      </c>
      <c r="AT821" s="90" t="s">
        <v>244</v>
      </c>
      <c r="AU821" s="90">
        <v>175.87190000000001</v>
      </c>
      <c r="AV821" s="90">
        <v>121.27001741616399</v>
      </c>
      <c r="AW821" s="90">
        <v>461.54803514308099</v>
      </c>
      <c r="AX821" s="90">
        <v>0.34908895870000001</v>
      </c>
    </row>
    <row r="822" spans="1:50" x14ac:dyDescent="0.25">
      <c r="A822" s="102">
        <v>830000</v>
      </c>
      <c r="B822" s="102">
        <v>2500000</v>
      </c>
      <c r="C822" s="102">
        <v>2500000</v>
      </c>
      <c r="D822" s="90" t="s">
        <v>374</v>
      </c>
      <c r="E822" s="90" t="s">
        <v>68</v>
      </c>
      <c r="F822" s="90" t="s">
        <v>375</v>
      </c>
      <c r="G822" s="90" t="s">
        <v>376</v>
      </c>
      <c r="H822" s="90">
        <v>0.59</v>
      </c>
      <c r="I822" s="90">
        <v>0.64</v>
      </c>
      <c r="J822" s="90" t="s">
        <v>381</v>
      </c>
      <c r="K822" s="90">
        <v>8.2648778979259999E-2</v>
      </c>
      <c r="L822" s="90">
        <v>3773.9842146432102</v>
      </c>
      <c r="M822" s="90">
        <v>11.217125494291899</v>
      </c>
      <c r="N822" s="90">
        <v>1.4792967933818799</v>
      </c>
      <c r="O822" s="90">
        <v>0.92708172576043002</v>
      </c>
      <c r="P822" s="90">
        <v>0.12226207372095001</v>
      </c>
      <c r="Q822" s="90">
        <v>311.91518722729001</v>
      </c>
      <c r="R822" s="90">
        <v>8140</v>
      </c>
      <c r="S822" s="90" t="s">
        <v>386</v>
      </c>
      <c r="T822" s="90">
        <v>8140</v>
      </c>
      <c r="U822" s="90" t="s">
        <v>382</v>
      </c>
      <c r="V822" s="90" t="s">
        <v>381</v>
      </c>
      <c r="Z822" s="90">
        <v>0</v>
      </c>
      <c r="AA822" s="90">
        <v>1</v>
      </c>
      <c r="AB822" s="90">
        <v>0.92708172576043002</v>
      </c>
      <c r="AC822" s="90">
        <v>0.12226207372095001</v>
      </c>
      <c r="AD822" s="90">
        <v>311.91518722729103</v>
      </c>
      <c r="AF822" s="90">
        <v>-1</v>
      </c>
      <c r="AG822" s="90">
        <v>-1</v>
      </c>
      <c r="AH822" s="90">
        <v>-1</v>
      </c>
      <c r="AI822" s="90">
        <v>-1</v>
      </c>
      <c r="AJ822" s="90">
        <v>0</v>
      </c>
      <c r="AM822" s="90" t="s">
        <v>379</v>
      </c>
      <c r="AN822" s="90">
        <v>-1</v>
      </c>
      <c r="AQ822" s="90">
        <v>356</v>
      </c>
      <c r="AR822" s="90" t="s">
        <v>380</v>
      </c>
      <c r="AS822" s="90" t="s">
        <v>246</v>
      </c>
      <c r="AT822" s="90" t="s">
        <v>244</v>
      </c>
      <c r="AU822" s="90">
        <v>175.87190000000001</v>
      </c>
      <c r="AV822" s="90">
        <v>105.038371561899</v>
      </c>
      <c r="AW822" s="90">
        <v>334.46774201576602</v>
      </c>
      <c r="AX822" s="90">
        <v>0.25297257680000002</v>
      </c>
    </row>
    <row r="823" spans="1:50" x14ac:dyDescent="0.25">
      <c r="A823" s="102">
        <v>830000</v>
      </c>
      <c r="B823" s="102">
        <v>2500000</v>
      </c>
      <c r="C823" s="102">
        <v>2500000</v>
      </c>
      <c r="D823" s="90" t="s">
        <v>374</v>
      </c>
      <c r="E823" s="90" t="s">
        <v>68</v>
      </c>
      <c r="F823" s="90" t="s">
        <v>375</v>
      </c>
      <c r="G823" s="90" t="s">
        <v>376</v>
      </c>
      <c r="H823" s="90">
        <v>0.59</v>
      </c>
      <c r="I823" s="90">
        <v>0.64</v>
      </c>
      <c r="J823" s="90" t="s">
        <v>244</v>
      </c>
      <c r="K823" s="90">
        <v>0.38744675876576001</v>
      </c>
      <c r="L823" s="90">
        <v>3773.9842146432102</v>
      </c>
      <c r="M823" s="90">
        <v>11.217125494291899</v>
      </c>
      <c r="N823" s="90">
        <v>1.4792967933818799</v>
      </c>
      <c r="O823" s="90">
        <v>4.3460389154321701</v>
      </c>
      <c r="P823" s="90">
        <v>0.57314874784838998</v>
      </c>
      <c r="Q823" s="90">
        <v>1462.21795159665</v>
      </c>
      <c r="R823" s="90">
        <v>1410</v>
      </c>
      <c r="S823" s="90" t="s">
        <v>325</v>
      </c>
      <c r="T823" s="90">
        <v>1410</v>
      </c>
      <c r="U823" s="90" t="s">
        <v>378</v>
      </c>
      <c r="V823" s="90" t="s">
        <v>244</v>
      </c>
      <c r="Z823" s="90">
        <v>0</v>
      </c>
      <c r="AA823" s="90">
        <v>1</v>
      </c>
      <c r="AB823" s="90">
        <v>4.3460389154321701</v>
      </c>
      <c r="AC823" s="90">
        <v>0.57314874784838998</v>
      </c>
      <c r="AD823" s="90">
        <v>1462.21795159665</v>
      </c>
      <c r="AF823" s="90">
        <v>-1</v>
      </c>
      <c r="AG823" s="90">
        <v>-1</v>
      </c>
      <c r="AH823" s="90">
        <v>-1</v>
      </c>
      <c r="AI823" s="90">
        <v>-1</v>
      </c>
      <c r="AJ823" s="90">
        <v>0</v>
      </c>
      <c r="AM823" s="90" t="s">
        <v>379</v>
      </c>
      <c r="AN823" s="90">
        <v>-1</v>
      </c>
      <c r="AQ823" s="90">
        <v>356</v>
      </c>
      <c r="AR823" s="90" t="s">
        <v>380</v>
      </c>
      <c r="AS823" s="90" t="s">
        <v>246</v>
      </c>
      <c r="AT823" s="90" t="s">
        <v>244</v>
      </c>
      <c r="AU823" s="90">
        <v>175.87190000000001</v>
      </c>
      <c r="AV823" s="90">
        <v>162.335832873903</v>
      </c>
      <c r="AW823" s="90">
        <v>1567.94140404928</v>
      </c>
      <c r="AX823" s="90">
        <v>1.1859026371000001</v>
      </c>
    </row>
    <row r="824" spans="1:50" x14ac:dyDescent="0.25">
      <c r="A824" s="102">
        <v>830000</v>
      </c>
      <c r="B824" s="102">
        <v>2500000</v>
      </c>
      <c r="C824" s="102">
        <v>2500000</v>
      </c>
      <c r="D824" s="90" t="s">
        <v>374</v>
      </c>
      <c r="E824" s="90" t="s">
        <v>68</v>
      </c>
      <c r="F824" s="90" t="s">
        <v>375</v>
      </c>
      <c r="G824" s="90" t="s">
        <v>376</v>
      </c>
      <c r="H824" s="90">
        <v>0.59</v>
      </c>
      <c r="I824" s="90">
        <v>0.64</v>
      </c>
      <c r="J824" s="90" t="s">
        <v>381</v>
      </c>
      <c r="K824" s="102">
        <v>5.174423062E-6</v>
      </c>
      <c r="L824" s="90">
        <v>3773.9842146432102</v>
      </c>
      <c r="M824" s="90">
        <v>11.217125494291899</v>
      </c>
      <c r="N824" s="90">
        <v>1.4792967933818799</v>
      </c>
      <c r="O824" s="90">
        <v>5.8042152839999999E-5</v>
      </c>
      <c r="P824" s="102">
        <v>7.6545074432179993E-6</v>
      </c>
      <c r="Q824" s="90">
        <v>1.9528190955869999E-2</v>
      </c>
      <c r="R824" s="90">
        <v>1410</v>
      </c>
      <c r="S824" s="90" t="s">
        <v>325</v>
      </c>
      <c r="T824" s="90">
        <v>1410</v>
      </c>
      <c r="U824" s="90" t="s">
        <v>382</v>
      </c>
      <c r="V824" s="90" t="s">
        <v>381</v>
      </c>
      <c r="Z824" s="90">
        <v>0</v>
      </c>
      <c r="AA824" s="90">
        <v>1</v>
      </c>
      <c r="AB824" s="90">
        <v>5.8042152839999999E-5</v>
      </c>
      <c r="AC824" s="102">
        <v>7.6545074432179993E-6</v>
      </c>
      <c r="AD824" s="90">
        <v>1.9528190957160001E-2</v>
      </c>
      <c r="AF824" s="90">
        <v>-1</v>
      </c>
      <c r="AG824" s="90">
        <v>-1</v>
      </c>
      <c r="AH824" s="90">
        <v>-1</v>
      </c>
      <c r="AI824" s="90">
        <v>-1</v>
      </c>
      <c r="AJ824" s="90">
        <v>0</v>
      </c>
      <c r="AM824" s="90" t="s">
        <v>379</v>
      </c>
      <c r="AN824" s="90">
        <v>-1</v>
      </c>
      <c r="AQ824" s="90">
        <v>356</v>
      </c>
      <c r="AR824" s="90" t="s">
        <v>380</v>
      </c>
      <c r="AS824" s="90" t="s">
        <v>246</v>
      </c>
      <c r="AT824" s="90" t="s">
        <v>244</v>
      </c>
      <c r="AU824" s="90">
        <v>175.87190000000001</v>
      </c>
      <c r="AV824" s="90">
        <v>13.099643684654501</v>
      </c>
      <c r="AW824" s="90">
        <v>2.0940147202050001E-2</v>
      </c>
      <c r="AX824" s="90">
        <v>1.58379E-5</v>
      </c>
    </row>
    <row r="825" spans="1:50" x14ac:dyDescent="0.25">
      <c r="A825" s="102">
        <v>830000</v>
      </c>
      <c r="B825" s="102">
        <v>2500000</v>
      </c>
      <c r="C825" s="102">
        <v>2500000</v>
      </c>
      <c r="D825" s="90" t="s">
        <v>374</v>
      </c>
      <c r="E825" s="90" t="s">
        <v>68</v>
      </c>
      <c r="F825" s="90" t="s">
        <v>375</v>
      </c>
      <c r="G825" s="90" t="s">
        <v>376</v>
      </c>
      <c r="H825" s="90">
        <v>0.59</v>
      </c>
      <c r="I825" s="90">
        <v>0.64</v>
      </c>
      <c r="J825" s="90" t="s">
        <v>244</v>
      </c>
      <c r="K825" s="90">
        <v>3.3338729954829997E-2</v>
      </c>
      <c r="L825" s="90">
        <v>3773.9842146432102</v>
      </c>
      <c r="M825" s="90">
        <v>11.217125494291899</v>
      </c>
      <c r="N825" s="90">
        <v>1.4792967933818799</v>
      </c>
      <c r="O825" s="90">
        <v>0.37396471772373002</v>
      </c>
      <c r="P825" s="90">
        <v>4.9317876317609997E-2</v>
      </c>
      <c r="Q825" s="90">
        <v>125.819840585815</v>
      </c>
      <c r="R825" s="90">
        <v>1410</v>
      </c>
      <c r="S825" s="90" t="s">
        <v>325</v>
      </c>
      <c r="T825" s="90">
        <v>1410</v>
      </c>
      <c r="U825" s="90" t="s">
        <v>378</v>
      </c>
      <c r="V825" s="90" t="s">
        <v>244</v>
      </c>
      <c r="Z825" s="90">
        <v>0</v>
      </c>
      <c r="AA825" s="90">
        <v>1</v>
      </c>
      <c r="AB825" s="90">
        <v>0.37396471772373002</v>
      </c>
      <c r="AC825" s="90">
        <v>4.9317876317609997E-2</v>
      </c>
      <c r="AD825" s="90">
        <v>125.819840585815</v>
      </c>
      <c r="AF825" s="90">
        <v>-1</v>
      </c>
      <c r="AG825" s="90">
        <v>-1</v>
      </c>
      <c r="AH825" s="90">
        <v>-1</v>
      </c>
      <c r="AI825" s="90">
        <v>-1</v>
      </c>
      <c r="AJ825" s="90">
        <v>0</v>
      </c>
      <c r="AM825" s="90" t="s">
        <v>379</v>
      </c>
      <c r="AN825" s="90">
        <v>-1</v>
      </c>
      <c r="AQ825" s="90">
        <v>356</v>
      </c>
      <c r="AR825" s="90" t="s">
        <v>380</v>
      </c>
      <c r="AS825" s="90" t="s">
        <v>246</v>
      </c>
      <c r="AT825" s="90" t="s">
        <v>244</v>
      </c>
      <c r="AU825" s="90">
        <v>175.87190000000001</v>
      </c>
      <c r="AV825" s="90">
        <v>63.947636116089697</v>
      </c>
      <c r="AW825" s="90">
        <v>134.917053432399</v>
      </c>
      <c r="AX825" s="90">
        <v>0.1020436663</v>
      </c>
    </row>
    <row r="826" spans="1:50" x14ac:dyDescent="0.25">
      <c r="A826" s="102">
        <v>830000</v>
      </c>
      <c r="B826" s="102">
        <v>2500000</v>
      </c>
      <c r="C826" s="102">
        <v>2500000</v>
      </c>
      <c r="D826" s="90" t="s">
        <v>374</v>
      </c>
      <c r="E826" s="90" t="s">
        <v>68</v>
      </c>
      <c r="F826" s="90" t="s">
        <v>375</v>
      </c>
      <c r="G826" s="90" t="s">
        <v>376</v>
      </c>
      <c r="H826" s="90">
        <v>0.59</v>
      </c>
      <c r="I826" s="90">
        <v>0.64</v>
      </c>
      <c r="J826" s="90" t="s">
        <v>381</v>
      </c>
      <c r="K826" s="90">
        <v>4.2364822211090003E-2</v>
      </c>
      <c r="L826" s="90">
        <v>3705.6168823466501</v>
      </c>
      <c r="M826" s="90">
        <v>8.1968471827494405</v>
      </c>
      <c r="N826" s="90">
        <v>1.0935986220856699</v>
      </c>
      <c r="O826" s="90">
        <v>0.34725797358865002</v>
      </c>
      <c r="P826" s="90">
        <v>4.6330111194950001E-2</v>
      </c>
      <c r="Q826" s="90">
        <v>156.98780040302901</v>
      </c>
      <c r="R826" s="90">
        <v>1400</v>
      </c>
      <c r="S826" s="90" t="s">
        <v>324</v>
      </c>
      <c r="T826" s="90">
        <v>1400</v>
      </c>
      <c r="U826" s="90" t="s">
        <v>382</v>
      </c>
      <c r="V826" s="90" t="s">
        <v>381</v>
      </c>
      <c r="Z826" s="90">
        <v>0</v>
      </c>
      <c r="AA826" s="90">
        <v>1</v>
      </c>
      <c r="AB826" s="90">
        <v>0.34725797358865002</v>
      </c>
      <c r="AC826" s="90">
        <v>4.6330111194950001E-2</v>
      </c>
      <c r="AD826" s="90">
        <v>156.98780040303001</v>
      </c>
      <c r="AF826" s="90">
        <v>-1</v>
      </c>
      <c r="AG826" s="90">
        <v>-1</v>
      </c>
      <c r="AH826" s="90">
        <v>-1</v>
      </c>
      <c r="AI826" s="90">
        <v>-1</v>
      </c>
      <c r="AJ826" s="90">
        <v>0</v>
      </c>
      <c r="AM826" s="90" t="s">
        <v>379</v>
      </c>
      <c r="AN826" s="90">
        <v>-1</v>
      </c>
      <c r="AQ826" s="90">
        <v>356</v>
      </c>
      <c r="AR826" s="90" t="s">
        <v>380</v>
      </c>
      <c r="AS826" s="90" t="s">
        <v>246</v>
      </c>
      <c r="AT826" s="90" t="s">
        <v>244</v>
      </c>
      <c r="AU826" s="90">
        <v>175.87190000000001</v>
      </c>
      <c r="AV826" s="90">
        <v>106.63410008677</v>
      </c>
      <c r="AW826" s="90">
        <v>171.44435284878401</v>
      </c>
      <c r="AX826" s="90">
        <v>0.127321817</v>
      </c>
    </row>
    <row r="827" spans="1:50" x14ac:dyDescent="0.25">
      <c r="A827" s="102">
        <v>830000</v>
      </c>
      <c r="B827" s="102">
        <v>2500000</v>
      </c>
      <c r="C827" s="102">
        <v>2500000</v>
      </c>
      <c r="D827" s="90" t="s">
        <v>374</v>
      </c>
      <c r="E827" s="90" t="s">
        <v>68</v>
      </c>
      <c r="F827" s="90" t="s">
        <v>375</v>
      </c>
      <c r="G827" s="90" t="s">
        <v>376</v>
      </c>
      <c r="H827" s="90">
        <v>0.59</v>
      </c>
      <c r="I827" s="90">
        <v>0.64</v>
      </c>
      <c r="J827" s="90" t="s">
        <v>381</v>
      </c>
      <c r="K827" s="90">
        <v>5.5214167990400003E-3</v>
      </c>
      <c r="L827" s="90">
        <v>3705.6168823466501</v>
      </c>
      <c r="M827" s="90">
        <v>8.1968471827494405</v>
      </c>
      <c r="N827" s="90">
        <v>1.0935986220856699</v>
      </c>
      <c r="O827" s="90">
        <v>4.5258209734060001E-2</v>
      </c>
      <c r="P827" s="90">
        <v>6.0382138033999999E-3</v>
      </c>
      <c r="Q827" s="90">
        <v>20.460255305024699</v>
      </c>
      <c r="R827" s="90">
        <v>1850</v>
      </c>
      <c r="S827" s="90" t="s">
        <v>388</v>
      </c>
      <c r="T827" s="90">
        <v>1850</v>
      </c>
      <c r="U827" s="90" t="s">
        <v>382</v>
      </c>
      <c r="V827" s="90" t="s">
        <v>381</v>
      </c>
      <c r="Z827" s="90">
        <v>0</v>
      </c>
      <c r="AA827" s="90">
        <v>1</v>
      </c>
      <c r="AB827" s="90">
        <v>4.5258209734060001E-2</v>
      </c>
      <c r="AC827" s="90">
        <v>6.0382138033999999E-3</v>
      </c>
      <c r="AD827" s="90">
        <v>20.460255305023001</v>
      </c>
      <c r="AF827" s="90">
        <v>-1</v>
      </c>
      <c r="AG827" s="90">
        <v>-1</v>
      </c>
      <c r="AH827" s="90">
        <v>-1</v>
      </c>
      <c r="AI827" s="90">
        <v>-1</v>
      </c>
      <c r="AJ827" s="90">
        <v>0</v>
      </c>
      <c r="AM827" s="90" t="s">
        <v>379</v>
      </c>
      <c r="AN827" s="90">
        <v>-1</v>
      </c>
      <c r="AQ827" s="90">
        <v>356</v>
      </c>
      <c r="AR827" s="90" t="s">
        <v>380</v>
      </c>
      <c r="AS827" s="90" t="s">
        <v>246</v>
      </c>
      <c r="AT827" s="90" t="s">
        <v>244</v>
      </c>
      <c r="AU827" s="90">
        <v>175.87190000000001</v>
      </c>
      <c r="AV827" s="90">
        <v>22.692027494260898</v>
      </c>
      <c r="AW827" s="90">
        <v>22.344381033972802</v>
      </c>
      <c r="AX827" s="90">
        <v>1.6593881000000001E-2</v>
      </c>
    </row>
    <row r="828" spans="1:50" x14ac:dyDescent="0.25">
      <c r="A828" s="102">
        <v>830000</v>
      </c>
      <c r="B828" s="102">
        <v>2500000</v>
      </c>
      <c r="C828" s="102">
        <v>2500000</v>
      </c>
      <c r="D828" s="90" t="s">
        <v>374</v>
      </c>
      <c r="E828" s="90" t="s">
        <v>68</v>
      </c>
      <c r="F828" s="90" t="s">
        <v>375</v>
      </c>
      <c r="G828" s="90" t="s">
        <v>376</v>
      </c>
      <c r="H828" s="90">
        <v>0.59</v>
      </c>
      <c r="I828" s="90">
        <v>0.64</v>
      </c>
      <c r="J828" s="90" t="s">
        <v>381</v>
      </c>
      <c r="K828" s="90">
        <v>2.600232804818E-2</v>
      </c>
      <c r="L828" s="90">
        <v>3705.6168823466501</v>
      </c>
      <c r="M828" s="90">
        <v>8.1968471827494405</v>
      </c>
      <c r="N828" s="90">
        <v>1.0935986220856699</v>
      </c>
      <c r="O828" s="90">
        <v>0.2131371094067</v>
      </c>
      <c r="P828" s="90">
        <v>2.843611012451E-2</v>
      </c>
      <c r="Q828" s="90">
        <v>96.354665795674094</v>
      </c>
      <c r="R828" s="90">
        <v>4200</v>
      </c>
      <c r="S828" s="90" t="s">
        <v>390</v>
      </c>
      <c r="T828" s="90">
        <v>4200</v>
      </c>
      <c r="U828" s="90" t="s">
        <v>382</v>
      </c>
      <c r="V828" s="90" t="s">
        <v>381</v>
      </c>
      <c r="Y828" s="90" t="s">
        <v>389</v>
      </c>
      <c r="Z828" s="90">
        <v>0</v>
      </c>
      <c r="AA828" s="90">
        <v>1</v>
      </c>
      <c r="AB828" s="90">
        <v>0.2131371094067</v>
      </c>
      <c r="AC828" s="90">
        <v>2.843611012451E-2</v>
      </c>
      <c r="AD828" s="90">
        <v>96.354665795674094</v>
      </c>
      <c r="AF828" s="90">
        <v>-1</v>
      </c>
      <c r="AG828" s="90">
        <v>-1</v>
      </c>
      <c r="AH828" s="90">
        <v>-1</v>
      </c>
      <c r="AI828" s="90">
        <v>-1</v>
      </c>
      <c r="AJ828" s="90">
        <v>0</v>
      </c>
      <c r="AM828" s="90" t="s">
        <v>379</v>
      </c>
      <c r="AN828" s="90">
        <v>-1</v>
      </c>
      <c r="AQ828" s="90">
        <v>356</v>
      </c>
      <c r="AR828" s="90" t="s">
        <v>380</v>
      </c>
      <c r="AS828" s="90" t="s">
        <v>246</v>
      </c>
      <c r="AT828" s="90" t="s">
        <v>244</v>
      </c>
      <c r="AU828" s="90">
        <v>175.87190000000001</v>
      </c>
      <c r="AV828" s="90">
        <v>87.433246270761501</v>
      </c>
      <c r="AW828" s="90">
        <v>105.227688259153</v>
      </c>
      <c r="AX828" s="90">
        <v>7.81465254E-2</v>
      </c>
    </row>
    <row r="829" spans="1:50" x14ac:dyDescent="0.25">
      <c r="A829" s="102">
        <v>830000</v>
      </c>
      <c r="B829" s="102">
        <v>2500000</v>
      </c>
      <c r="C829" s="102">
        <v>2500000</v>
      </c>
      <c r="D829" s="90" t="s">
        <v>374</v>
      </c>
      <c r="E829" s="90" t="s">
        <v>68</v>
      </c>
      <c r="F829" s="90" t="s">
        <v>375</v>
      </c>
      <c r="G829" s="90" t="s">
        <v>376</v>
      </c>
      <c r="H829" s="90">
        <v>0.59</v>
      </c>
      <c r="I829" s="90">
        <v>0.64</v>
      </c>
      <c r="J829" s="90" t="s">
        <v>381</v>
      </c>
      <c r="K829" s="90">
        <v>0.26109307951111999</v>
      </c>
      <c r="L829" s="90">
        <v>3705.6168823466501</v>
      </c>
      <c r="M829" s="90">
        <v>8.1968471827494405</v>
      </c>
      <c r="N829" s="90">
        <v>1.0935986220856699</v>
      </c>
      <c r="O829" s="90">
        <v>2.14014007322614</v>
      </c>
      <c r="P829" s="90">
        <v>0.28553103198947</v>
      </c>
      <c r="Q829" s="90">
        <v>967.51092330030701</v>
      </c>
      <c r="R829" s="90">
        <v>8140</v>
      </c>
      <c r="S829" s="90" t="s">
        <v>386</v>
      </c>
      <c r="T829" s="90">
        <v>8140</v>
      </c>
      <c r="U829" s="90" t="s">
        <v>382</v>
      </c>
      <c r="V829" s="90" t="s">
        <v>381</v>
      </c>
      <c r="Z829" s="90">
        <v>0</v>
      </c>
      <c r="AA829" s="90">
        <v>1</v>
      </c>
      <c r="AB829" s="90">
        <v>2.14014007322614</v>
      </c>
      <c r="AC829" s="90">
        <v>0.28553103198947</v>
      </c>
      <c r="AD829" s="90">
        <v>967.51092330030701</v>
      </c>
      <c r="AF829" s="90">
        <v>-1</v>
      </c>
      <c r="AG829" s="90">
        <v>-1</v>
      </c>
      <c r="AH829" s="90">
        <v>-1</v>
      </c>
      <c r="AI829" s="90">
        <v>-1</v>
      </c>
      <c r="AJ829" s="90">
        <v>0</v>
      </c>
      <c r="AM829" s="90" t="s">
        <v>379</v>
      </c>
      <c r="AN829" s="90">
        <v>-1</v>
      </c>
      <c r="AQ829" s="90">
        <v>356</v>
      </c>
      <c r="AR829" s="90" t="s">
        <v>380</v>
      </c>
      <c r="AS829" s="90" t="s">
        <v>246</v>
      </c>
      <c r="AT829" s="90" t="s">
        <v>244</v>
      </c>
      <c r="AU829" s="90">
        <v>175.87190000000001</v>
      </c>
      <c r="AV829" s="90">
        <v>142.70436779882701</v>
      </c>
      <c r="AW829" s="90">
        <v>1056.60620566379</v>
      </c>
      <c r="AX829" s="90">
        <v>0.78468039199999995</v>
      </c>
    </row>
    <row r="830" spans="1:50" x14ac:dyDescent="0.25">
      <c r="A830" s="102">
        <v>830000</v>
      </c>
      <c r="B830" s="102">
        <v>2500000</v>
      </c>
      <c r="C830" s="102">
        <v>2500000</v>
      </c>
      <c r="D830" s="90" t="s">
        <v>374</v>
      </c>
      <c r="E830" s="90" t="s">
        <v>68</v>
      </c>
      <c r="F830" s="90" t="s">
        <v>375</v>
      </c>
      <c r="G830" s="90" t="s">
        <v>376</v>
      </c>
      <c r="H830" s="90">
        <v>0.59</v>
      </c>
      <c r="I830" s="90">
        <v>0.64</v>
      </c>
      <c r="J830" s="90" t="s">
        <v>389</v>
      </c>
      <c r="K830" s="90">
        <v>1.8831362307069999E-2</v>
      </c>
      <c r="L830" s="90">
        <v>3672.2045637647798</v>
      </c>
      <c r="M830" s="90">
        <v>7.3424141146240496</v>
      </c>
      <c r="N830" s="90">
        <v>1.00270227962331</v>
      </c>
      <c r="O830" s="90">
        <v>0.13826766040107999</v>
      </c>
      <c r="P830" s="90">
        <v>1.8882249913719999E-2</v>
      </c>
      <c r="Q830" s="90">
        <v>69.152614605959897</v>
      </c>
      <c r="R830" s="90">
        <v>4200</v>
      </c>
      <c r="S830" s="90" t="s">
        <v>390</v>
      </c>
      <c r="T830" s="90">
        <v>4200</v>
      </c>
      <c r="U830" s="90" t="s">
        <v>378</v>
      </c>
      <c r="V830" s="90" t="s">
        <v>244</v>
      </c>
      <c r="Y830" s="90" t="s">
        <v>389</v>
      </c>
      <c r="Z830" s="90">
        <v>0</v>
      </c>
      <c r="AA830" s="90">
        <v>1</v>
      </c>
      <c r="AB830" s="90">
        <v>0.13826766040107999</v>
      </c>
      <c r="AC830" s="90">
        <v>1.8882249913719999E-2</v>
      </c>
      <c r="AD830" s="90">
        <v>69.152614605961404</v>
      </c>
      <c r="AF830" s="90">
        <v>-1</v>
      </c>
      <c r="AG830" s="90">
        <v>-1</v>
      </c>
      <c r="AH830" s="90">
        <v>-1</v>
      </c>
      <c r="AI830" s="90">
        <v>-1</v>
      </c>
      <c r="AJ830" s="90">
        <v>0</v>
      </c>
      <c r="AM830" s="90" t="s">
        <v>379</v>
      </c>
      <c r="AN830" s="90">
        <v>-1</v>
      </c>
      <c r="AQ830" s="90">
        <v>356</v>
      </c>
      <c r="AR830" s="90" t="s">
        <v>380</v>
      </c>
      <c r="AS830" s="90" t="s">
        <v>246</v>
      </c>
      <c r="AT830" s="90" t="s">
        <v>244</v>
      </c>
      <c r="AU830" s="90">
        <v>175.87190000000001</v>
      </c>
      <c r="AV830" s="90">
        <v>103.069773488813</v>
      </c>
      <c r="AW830" s="90">
        <v>76.207819494941603</v>
      </c>
      <c r="AX830" s="90">
        <v>5.6084845600000002E-2</v>
      </c>
    </row>
    <row r="831" spans="1:50" x14ac:dyDescent="0.25">
      <c r="A831" s="102">
        <v>830000</v>
      </c>
      <c r="B831" s="102">
        <v>2500000</v>
      </c>
      <c r="C831" s="102">
        <v>2500000</v>
      </c>
      <c r="D831" s="90" t="s">
        <v>374</v>
      </c>
      <c r="E831" s="90" t="s">
        <v>68</v>
      </c>
      <c r="F831" s="90" t="s">
        <v>375</v>
      </c>
      <c r="G831" s="90" t="s">
        <v>376</v>
      </c>
      <c r="H831" s="90">
        <v>0.59</v>
      </c>
      <c r="I831" s="90">
        <v>0.64</v>
      </c>
      <c r="J831" s="90" t="s">
        <v>244</v>
      </c>
      <c r="K831" s="90">
        <v>3.513104394647E-2</v>
      </c>
      <c r="L831" s="90">
        <v>3733.4838596110799</v>
      </c>
      <c r="M831" s="90">
        <v>11.7942611998131</v>
      </c>
      <c r="N831" s="90">
        <v>2.39496022151762</v>
      </c>
      <c r="O831" s="90">
        <v>0.41434470852685001</v>
      </c>
      <c r="P831" s="90">
        <v>8.4137452792189996E-2</v>
      </c>
      <c r="Q831" s="90">
        <v>131.161185545455</v>
      </c>
      <c r="R831" s="90">
        <v>1300</v>
      </c>
      <c r="S831" s="90" t="s">
        <v>387</v>
      </c>
      <c r="T831" s="90">
        <v>1300</v>
      </c>
      <c r="U831" s="90" t="s">
        <v>378</v>
      </c>
      <c r="V831" s="90" t="s">
        <v>244</v>
      </c>
      <c r="Z831" s="90">
        <v>0</v>
      </c>
      <c r="AA831" s="90">
        <v>1</v>
      </c>
      <c r="AB831" s="90">
        <v>0.41434470852685001</v>
      </c>
      <c r="AC831" s="90">
        <v>8.4137452792189996E-2</v>
      </c>
      <c r="AD831" s="90">
        <v>131.161185545455</v>
      </c>
      <c r="AF831" s="90">
        <v>-1</v>
      </c>
      <c r="AG831" s="90">
        <v>-1</v>
      </c>
      <c r="AH831" s="90">
        <v>-1</v>
      </c>
      <c r="AI831" s="90">
        <v>-1</v>
      </c>
      <c r="AJ831" s="90">
        <v>0</v>
      </c>
      <c r="AM831" s="90" t="s">
        <v>379</v>
      </c>
      <c r="AN831" s="90">
        <v>-1</v>
      </c>
      <c r="AQ831" s="90">
        <v>356</v>
      </c>
      <c r="AR831" s="90" t="s">
        <v>380</v>
      </c>
      <c r="AS831" s="90" t="s">
        <v>246</v>
      </c>
      <c r="AT831" s="90" t="s">
        <v>244</v>
      </c>
      <c r="AU831" s="90">
        <v>175.87190000000001</v>
      </c>
      <c r="AV831" s="90">
        <v>105.709841729296</v>
      </c>
      <c r="AW831" s="90">
        <v>142.17029082041299</v>
      </c>
      <c r="AX831" s="90">
        <v>0.1063756574</v>
      </c>
    </row>
    <row r="832" spans="1:50" x14ac:dyDescent="0.25">
      <c r="A832" s="102">
        <v>830000</v>
      </c>
      <c r="B832" s="102">
        <v>2500000</v>
      </c>
      <c r="C832" s="102">
        <v>2500000</v>
      </c>
      <c r="D832" s="90" t="s">
        <v>374</v>
      </c>
      <c r="E832" s="90" t="s">
        <v>68</v>
      </c>
      <c r="F832" s="90" t="s">
        <v>375</v>
      </c>
      <c r="G832" s="90" t="s">
        <v>376</v>
      </c>
      <c r="H832" s="90">
        <v>0.59</v>
      </c>
      <c r="I832" s="90">
        <v>0.64</v>
      </c>
      <c r="J832" s="90" t="s">
        <v>244</v>
      </c>
      <c r="K832" s="90">
        <v>0.58263240974444996</v>
      </c>
      <c r="L832" s="90">
        <v>3733.4838596110799</v>
      </c>
      <c r="M832" s="90">
        <v>11.7942611998131</v>
      </c>
      <c r="N832" s="90">
        <v>2.39496022151762</v>
      </c>
      <c r="O832" s="90">
        <v>6.8717188240026301</v>
      </c>
      <c r="P832" s="90">
        <v>1.39538144510492</v>
      </c>
      <c r="Q832" s="90">
        <v>2175.24869786721</v>
      </c>
      <c r="R832" s="90">
        <v>1300</v>
      </c>
      <c r="S832" s="90" t="s">
        <v>387</v>
      </c>
      <c r="T832" s="90">
        <v>1300</v>
      </c>
      <c r="U832" s="90" t="s">
        <v>378</v>
      </c>
      <c r="V832" s="90" t="s">
        <v>244</v>
      </c>
      <c r="Z832" s="90">
        <v>0</v>
      </c>
      <c r="AA832" s="90">
        <v>1</v>
      </c>
      <c r="AB832" s="90">
        <v>6.8717188240026301</v>
      </c>
      <c r="AC832" s="90">
        <v>1.39538144510492</v>
      </c>
      <c r="AD832" s="90">
        <v>2175.24869786721</v>
      </c>
      <c r="AF832" s="90">
        <v>-1</v>
      </c>
      <c r="AG832" s="90">
        <v>-1</v>
      </c>
      <c r="AH832" s="90">
        <v>-1</v>
      </c>
      <c r="AI832" s="90">
        <v>-1</v>
      </c>
      <c r="AJ832" s="90">
        <v>0</v>
      </c>
      <c r="AM832" s="90" t="s">
        <v>379</v>
      </c>
      <c r="AN832" s="90">
        <v>-1</v>
      </c>
      <c r="AQ832" s="90">
        <v>356</v>
      </c>
      <c r="AR832" s="90" t="s">
        <v>380</v>
      </c>
      <c r="AS832" s="90" t="s">
        <v>246</v>
      </c>
      <c r="AT832" s="90" t="s">
        <v>244</v>
      </c>
      <c r="AU832" s="90">
        <v>175.87190000000001</v>
      </c>
      <c r="AV832" s="90">
        <v>194.336218447579</v>
      </c>
      <c r="AW832" s="90">
        <v>2357.8297092727098</v>
      </c>
      <c r="AX832" s="90">
        <v>1.7641919691000001</v>
      </c>
    </row>
    <row r="833" spans="1:50" x14ac:dyDescent="0.25">
      <c r="A833" s="102">
        <v>830000</v>
      </c>
      <c r="B833" s="102">
        <v>2500000</v>
      </c>
      <c r="C833" s="102">
        <v>2500000</v>
      </c>
      <c r="D833" s="90" t="s">
        <v>374</v>
      </c>
      <c r="E833" s="90" t="s">
        <v>68</v>
      </c>
      <c r="F833" s="90" t="s">
        <v>375</v>
      </c>
      <c r="G833" s="90" t="s">
        <v>376</v>
      </c>
      <c r="H833" s="90">
        <v>0.59</v>
      </c>
      <c r="I833" s="90">
        <v>0.64</v>
      </c>
      <c r="J833" s="90" t="s">
        <v>244</v>
      </c>
      <c r="K833" s="90">
        <v>0.43573735440641997</v>
      </c>
      <c r="L833" s="90">
        <v>3862.2407887705599</v>
      </c>
      <c r="M833" s="90">
        <v>8.5612332808994296</v>
      </c>
      <c r="N833" s="90">
        <v>1.1973428947204501</v>
      </c>
      <c r="O833" s="90">
        <v>3.7304491402753599</v>
      </c>
      <c r="P833" s="90">
        <v>0.52172702526282</v>
      </c>
      <c r="Q833" s="90">
        <v>1682.9225833794701</v>
      </c>
      <c r="R833" s="90">
        <v>1450</v>
      </c>
      <c r="S833" s="90" t="s">
        <v>391</v>
      </c>
      <c r="T833" s="90">
        <v>1450</v>
      </c>
      <c r="U833" s="90" t="s">
        <v>378</v>
      </c>
      <c r="V833" s="90" t="s">
        <v>244</v>
      </c>
      <c r="Z833" s="90">
        <v>0</v>
      </c>
      <c r="AA833" s="90">
        <v>1</v>
      </c>
      <c r="AB833" s="90">
        <v>3.7304491402753599</v>
      </c>
      <c r="AC833" s="90">
        <v>0.52172702526282</v>
      </c>
      <c r="AD833" s="90">
        <v>1682.9225833794701</v>
      </c>
      <c r="AF833" s="90">
        <v>-1</v>
      </c>
      <c r="AG833" s="90">
        <v>-1</v>
      </c>
      <c r="AH833" s="90">
        <v>-1</v>
      </c>
      <c r="AI833" s="90">
        <v>-1</v>
      </c>
      <c r="AJ833" s="90">
        <v>0</v>
      </c>
      <c r="AM833" s="90" t="s">
        <v>379</v>
      </c>
      <c r="AN833" s="90">
        <v>-1</v>
      </c>
      <c r="AQ833" s="90">
        <v>356</v>
      </c>
      <c r="AR833" s="90" t="s">
        <v>380</v>
      </c>
      <c r="AS833" s="90" t="s">
        <v>246</v>
      </c>
      <c r="AT833" s="90" t="s">
        <v>244</v>
      </c>
      <c r="AU833" s="90">
        <v>175.87190000000001</v>
      </c>
      <c r="AV833" s="90">
        <v>167.878489078489</v>
      </c>
      <c r="AW833" s="90">
        <v>1763.36651115923</v>
      </c>
      <c r="AX833" s="90">
        <v>1.3649007164</v>
      </c>
    </row>
    <row r="834" spans="1:50" x14ac:dyDescent="0.25">
      <c r="A834" s="102">
        <v>830000</v>
      </c>
      <c r="B834" s="102">
        <v>2500000</v>
      </c>
      <c r="C834" s="102">
        <v>2500000</v>
      </c>
      <c r="D834" s="90" t="s">
        <v>374</v>
      </c>
      <c r="E834" s="90" t="s">
        <v>68</v>
      </c>
      <c r="F834" s="90" t="s">
        <v>375</v>
      </c>
      <c r="G834" s="90" t="s">
        <v>376</v>
      </c>
      <c r="H834" s="90">
        <v>0.59</v>
      </c>
      <c r="I834" s="90">
        <v>0.64</v>
      </c>
      <c r="J834" s="90" t="s">
        <v>244</v>
      </c>
      <c r="K834" s="90">
        <v>0.11730942411981</v>
      </c>
      <c r="L834" s="90">
        <v>3862.2407887705599</v>
      </c>
      <c r="M834" s="90">
        <v>8.5612332808994296</v>
      </c>
      <c r="N834" s="90">
        <v>1.1973428947204501</v>
      </c>
      <c r="O834" s="90">
        <v>1.00431334593771</v>
      </c>
      <c r="P834" s="90">
        <v>0.14045960545361</v>
      </c>
      <c r="Q834" s="90">
        <v>453.07724274273801</v>
      </c>
      <c r="R834" s="90">
        <v>1300</v>
      </c>
      <c r="S834" s="90" t="s">
        <v>387</v>
      </c>
      <c r="T834" s="90">
        <v>1300</v>
      </c>
      <c r="U834" s="90" t="s">
        <v>378</v>
      </c>
      <c r="V834" s="90" t="s">
        <v>244</v>
      </c>
      <c r="Z834" s="90">
        <v>0</v>
      </c>
      <c r="AA834" s="90">
        <v>1</v>
      </c>
      <c r="AB834" s="90">
        <v>1.00431334593771</v>
      </c>
      <c r="AC834" s="90">
        <v>0.14045960545361</v>
      </c>
      <c r="AD834" s="90">
        <v>453.07724274273801</v>
      </c>
      <c r="AF834" s="90">
        <v>-1</v>
      </c>
      <c r="AG834" s="90">
        <v>-1</v>
      </c>
      <c r="AH834" s="90">
        <v>-1</v>
      </c>
      <c r="AI834" s="90">
        <v>-1</v>
      </c>
      <c r="AJ834" s="90">
        <v>0</v>
      </c>
      <c r="AM834" s="90" t="s">
        <v>379</v>
      </c>
      <c r="AN834" s="90">
        <v>-1</v>
      </c>
      <c r="AQ834" s="90">
        <v>356</v>
      </c>
      <c r="AR834" s="90" t="s">
        <v>380</v>
      </c>
      <c r="AS834" s="90" t="s">
        <v>246</v>
      </c>
      <c r="AT834" s="90" t="s">
        <v>244</v>
      </c>
      <c r="AU834" s="90">
        <v>175.87190000000001</v>
      </c>
      <c r="AV834" s="90">
        <v>119.00926730766</v>
      </c>
      <c r="AW834" s="90">
        <v>474.73439640732101</v>
      </c>
      <c r="AX834" s="90">
        <v>0.36745923990000001</v>
      </c>
    </row>
    <row r="835" spans="1:50" x14ac:dyDescent="0.25">
      <c r="A835" s="102">
        <v>830000</v>
      </c>
      <c r="B835" s="102">
        <v>2500000</v>
      </c>
      <c r="C835" s="102">
        <v>2500000</v>
      </c>
      <c r="D835" s="90" t="s">
        <v>374</v>
      </c>
      <c r="E835" s="90" t="s">
        <v>68</v>
      </c>
      <c r="F835" s="90" t="s">
        <v>375</v>
      </c>
      <c r="G835" s="90" t="s">
        <v>376</v>
      </c>
      <c r="H835" s="90">
        <v>0.59</v>
      </c>
      <c r="I835" s="90">
        <v>0.64</v>
      </c>
      <c r="J835" s="90" t="s">
        <v>244</v>
      </c>
      <c r="K835" s="90">
        <v>0.48302679677480997</v>
      </c>
      <c r="L835" s="90">
        <v>3861.66780530597</v>
      </c>
      <c r="M835" s="90">
        <v>8.5589710016676896</v>
      </c>
      <c r="N835" s="90">
        <v>1.19801765406566</v>
      </c>
      <c r="O835" s="90">
        <v>4.1342123466240599</v>
      </c>
      <c r="P835" s="90">
        <v>0.57867462992301</v>
      </c>
      <c r="Q835" s="90">
        <v>1865.28903020537</v>
      </c>
      <c r="R835" s="90">
        <v>1450</v>
      </c>
      <c r="S835" s="90" t="s">
        <v>391</v>
      </c>
      <c r="T835" s="90">
        <v>1450</v>
      </c>
      <c r="U835" s="90" t="s">
        <v>378</v>
      </c>
      <c r="V835" s="90" t="s">
        <v>244</v>
      </c>
      <c r="Z835" s="90">
        <v>0</v>
      </c>
      <c r="AA835" s="90">
        <v>1</v>
      </c>
      <c r="AB835" s="90">
        <v>4.1342123466240599</v>
      </c>
      <c r="AC835" s="90">
        <v>0.57867462992301</v>
      </c>
      <c r="AD835" s="90">
        <v>1865.28903020537</v>
      </c>
      <c r="AF835" s="90">
        <v>-1</v>
      </c>
      <c r="AG835" s="90">
        <v>-1</v>
      </c>
      <c r="AH835" s="90">
        <v>-1</v>
      </c>
      <c r="AI835" s="90">
        <v>-1</v>
      </c>
      <c r="AJ835" s="90">
        <v>0</v>
      </c>
      <c r="AM835" s="90" t="s">
        <v>379</v>
      </c>
      <c r="AN835" s="90">
        <v>-1</v>
      </c>
      <c r="AQ835" s="90">
        <v>356</v>
      </c>
      <c r="AR835" s="90" t="s">
        <v>380</v>
      </c>
      <c r="AS835" s="90" t="s">
        <v>246</v>
      </c>
      <c r="AT835" s="90" t="s">
        <v>244</v>
      </c>
      <c r="AU835" s="90">
        <v>175.87190000000001</v>
      </c>
      <c r="AV835" s="90">
        <v>178.20949522178</v>
      </c>
      <c r="AW835" s="90">
        <v>1954.7400947194501</v>
      </c>
      <c r="AX835" s="90">
        <v>1.5128053773000001</v>
      </c>
    </row>
    <row r="836" spans="1:50" x14ac:dyDescent="0.25">
      <c r="A836" s="102">
        <v>830000</v>
      </c>
      <c r="B836" s="102">
        <v>2500000</v>
      </c>
      <c r="C836" s="102">
        <v>2500000</v>
      </c>
      <c r="D836" s="90" t="s">
        <v>374</v>
      </c>
      <c r="E836" s="90" t="s">
        <v>68</v>
      </c>
      <c r="F836" s="90" t="s">
        <v>375</v>
      </c>
      <c r="G836" s="90" t="s">
        <v>376</v>
      </c>
      <c r="H836" s="90">
        <v>0.59</v>
      </c>
      <c r="I836" s="90">
        <v>0.64</v>
      </c>
      <c r="J836" s="90" t="s">
        <v>244</v>
      </c>
      <c r="K836" s="90">
        <v>0.13473665696213999</v>
      </c>
      <c r="L836" s="90">
        <v>3861.66780530597</v>
      </c>
      <c r="M836" s="90">
        <v>8.5589710016676896</v>
      </c>
      <c r="N836" s="90">
        <v>1.19801765406566</v>
      </c>
      <c r="O836" s="90">
        <v>1.1532071398006001</v>
      </c>
      <c r="P836" s="90">
        <v>0.16141689369043</v>
      </c>
      <c r="Q836" s="90">
        <v>520.30821038525096</v>
      </c>
      <c r="R836" s="90">
        <v>1300</v>
      </c>
      <c r="S836" s="90" t="s">
        <v>387</v>
      </c>
      <c r="T836" s="90">
        <v>1300</v>
      </c>
      <c r="U836" s="90" t="s">
        <v>378</v>
      </c>
      <c r="V836" s="90" t="s">
        <v>244</v>
      </c>
      <c r="Z836" s="90">
        <v>0</v>
      </c>
      <c r="AA836" s="90">
        <v>1</v>
      </c>
      <c r="AB836" s="90">
        <v>1.1532071398006001</v>
      </c>
      <c r="AC836" s="90">
        <v>0.16141689369043</v>
      </c>
      <c r="AD836" s="90">
        <v>520.30821038525096</v>
      </c>
      <c r="AF836" s="90">
        <v>-1</v>
      </c>
      <c r="AG836" s="90">
        <v>-1</v>
      </c>
      <c r="AH836" s="90">
        <v>-1</v>
      </c>
      <c r="AI836" s="90">
        <v>-1</v>
      </c>
      <c r="AJ836" s="90">
        <v>0</v>
      </c>
      <c r="AM836" s="90" t="s">
        <v>379</v>
      </c>
      <c r="AN836" s="90">
        <v>-1</v>
      </c>
      <c r="AQ836" s="90">
        <v>356</v>
      </c>
      <c r="AR836" s="90" t="s">
        <v>380</v>
      </c>
      <c r="AS836" s="90" t="s">
        <v>246</v>
      </c>
      <c r="AT836" s="90" t="s">
        <v>244</v>
      </c>
      <c r="AU836" s="90">
        <v>175.87190000000001</v>
      </c>
      <c r="AV836" s="90">
        <v>121.8302876554</v>
      </c>
      <c r="AW836" s="90">
        <v>545.25990555994201</v>
      </c>
      <c r="AX836" s="90">
        <v>0.42198557209999998</v>
      </c>
    </row>
    <row r="837" spans="1:50" x14ac:dyDescent="0.25">
      <c r="A837" s="102">
        <v>830000</v>
      </c>
      <c r="B837" s="102">
        <v>2500000</v>
      </c>
      <c r="C837" s="102">
        <v>2500000</v>
      </c>
      <c r="D837" s="90" t="s">
        <v>374</v>
      </c>
      <c r="E837" s="90" t="s">
        <v>68</v>
      </c>
      <c r="F837" s="90" t="s">
        <v>375</v>
      </c>
      <c r="G837" s="90" t="s">
        <v>376</v>
      </c>
      <c r="H837" s="90">
        <v>0.59</v>
      </c>
      <c r="I837" s="90">
        <v>0.64</v>
      </c>
      <c r="J837" s="90" t="s">
        <v>244</v>
      </c>
      <c r="K837" s="90">
        <v>0.53192039003010005</v>
      </c>
      <c r="L837" s="90">
        <v>3746.8570137084198</v>
      </c>
      <c r="M837" s="90">
        <v>10.7802651997605</v>
      </c>
      <c r="N837" s="90">
        <v>2.07716287497631</v>
      </c>
      <c r="O837" s="90">
        <v>5.7342428696846097</v>
      </c>
      <c r="P837" s="90">
        <v>1.10488528661345</v>
      </c>
      <c r="Q837" s="90">
        <v>1993.02964411881</v>
      </c>
      <c r="R837" s="90">
        <v>1300</v>
      </c>
      <c r="S837" s="90" t="s">
        <v>387</v>
      </c>
      <c r="T837" s="90">
        <v>1300</v>
      </c>
      <c r="U837" s="90" t="s">
        <v>378</v>
      </c>
      <c r="V837" s="90" t="s">
        <v>244</v>
      </c>
      <c r="Z837" s="90">
        <v>0</v>
      </c>
      <c r="AA837" s="90">
        <v>1</v>
      </c>
      <c r="AB837" s="90">
        <v>5.7342428696846097</v>
      </c>
      <c r="AC837" s="90">
        <v>1.10488528661345</v>
      </c>
      <c r="AD837" s="90">
        <v>1993.02964411881</v>
      </c>
      <c r="AF837" s="90">
        <v>-1</v>
      </c>
      <c r="AG837" s="90">
        <v>-1</v>
      </c>
      <c r="AH837" s="90">
        <v>-1</v>
      </c>
      <c r="AI837" s="90">
        <v>-1</v>
      </c>
      <c r="AJ837" s="90">
        <v>0</v>
      </c>
      <c r="AM837" s="90" t="s">
        <v>379</v>
      </c>
      <c r="AN837" s="90">
        <v>-1</v>
      </c>
      <c r="AQ837" s="90">
        <v>356</v>
      </c>
      <c r="AR837" s="90" t="s">
        <v>380</v>
      </c>
      <c r="AS837" s="90" t="s">
        <v>246</v>
      </c>
      <c r="AT837" s="90" t="s">
        <v>244</v>
      </c>
      <c r="AU837" s="90">
        <v>175.87190000000001</v>
      </c>
      <c r="AV837" s="90">
        <v>186.15245408353999</v>
      </c>
      <c r="AW837" s="90">
        <v>2152.60544659884</v>
      </c>
      <c r="AX837" s="90">
        <v>1.6164068484</v>
      </c>
    </row>
    <row r="838" spans="1:50" x14ac:dyDescent="0.25">
      <c r="A838" s="102">
        <v>830000</v>
      </c>
      <c r="B838" s="102">
        <v>2500000</v>
      </c>
      <c r="C838" s="102">
        <v>2500000</v>
      </c>
      <c r="D838" s="90" t="s">
        <v>374</v>
      </c>
      <c r="E838" s="90" t="s">
        <v>68</v>
      </c>
      <c r="F838" s="90" t="s">
        <v>375</v>
      </c>
      <c r="G838" s="90" t="s">
        <v>376</v>
      </c>
      <c r="H838" s="90">
        <v>0.59</v>
      </c>
      <c r="I838" s="90">
        <v>0.64</v>
      </c>
      <c r="J838" s="90" t="s">
        <v>244</v>
      </c>
      <c r="K838" s="90">
        <v>8.5843063522740001E-2</v>
      </c>
      <c r="L838" s="90">
        <v>3746.8570137084198</v>
      </c>
      <c r="M838" s="90">
        <v>10.7802651997605</v>
      </c>
      <c r="N838" s="90">
        <v>2.07716287497631</v>
      </c>
      <c r="O838" s="90">
        <v>0.92541099033504004</v>
      </c>
      <c r="P838" s="90">
        <v>0.17831002462366999</v>
      </c>
      <c r="Q838" s="90">
        <v>321.641684638399</v>
      </c>
      <c r="R838" s="90">
        <v>1300</v>
      </c>
      <c r="S838" s="90" t="s">
        <v>387</v>
      </c>
      <c r="T838" s="90">
        <v>1300</v>
      </c>
      <c r="U838" s="90" t="s">
        <v>378</v>
      </c>
      <c r="V838" s="90" t="s">
        <v>244</v>
      </c>
      <c r="Z838" s="90">
        <v>0</v>
      </c>
      <c r="AA838" s="90">
        <v>1</v>
      </c>
      <c r="AB838" s="90">
        <v>0.92541099033504004</v>
      </c>
      <c r="AC838" s="90">
        <v>0.17831002462366999</v>
      </c>
      <c r="AD838" s="90">
        <v>321.64168463840099</v>
      </c>
      <c r="AF838" s="90">
        <v>-1</v>
      </c>
      <c r="AG838" s="90">
        <v>-1</v>
      </c>
      <c r="AH838" s="90">
        <v>-1</v>
      </c>
      <c r="AI838" s="90">
        <v>-1</v>
      </c>
      <c r="AJ838" s="90">
        <v>0</v>
      </c>
      <c r="AM838" s="90" t="s">
        <v>379</v>
      </c>
      <c r="AN838" s="90">
        <v>-1</v>
      </c>
      <c r="AQ838" s="90">
        <v>356</v>
      </c>
      <c r="AR838" s="90" t="s">
        <v>380</v>
      </c>
      <c r="AS838" s="90" t="s">
        <v>246</v>
      </c>
      <c r="AT838" s="90" t="s">
        <v>244</v>
      </c>
      <c r="AU838" s="90">
        <v>175.87190000000001</v>
      </c>
      <c r="AV838" s="90">
        <v>113.94401832086599</v>
      </c>
      <c r="AW838" s="90">
        <v>347.39455293549702</v>
      </c>
      <c r="AX838" s="90">
        <v>0.26086105809999999</v>
      </c>
    </row>
    <row r="839" spans="1:50" x14ac:dyDescent="0.25">
      <c r="A839" s="102">
        <v>830000</v>
      </c>
      <c r="B839" s="102">
        <v>2500000</v>
      </c>
      <c r="C839" s="102">
        <v>2500000</v>
      </c>
      <c r="D839" s="90" t="s">
        <v>374</v>
      </c>
      <c r="E839" s="90" t="s">
        <v>68</v>
      </c>
      <c r="F839" s="90" t="s">
        <v>375</v>
      </c>
      <c r="G839" s="90" t="s">
        <v>376</v>
      </c>
      <c r="H839" s="90">
        <v>0.59</v>
      </c>
      <c r="I839" s="90">
        <v>0.64</v>
      </c>
      <c r="J839" s="90" t="s">
        <v>244</v>
      </c>
      <c r="K839" s="90">
        <v>2.2252463031360002E-2</v>
      </c>
      <c r="L839" s="90">
        <v>3708.97543539041</v>
      </c>
      <c r="M839" s="90">
        <v>10.5033035420392</v>
      </c>
      <c r="N839" s="90">
        <v>2.00380564671338</v>
      </c>
      <c r="O839" s="90">
        <v>0.23372437377642</v>
      </c>
      <c r="P839" s="90">
        <v>4.4589611075520001E-2</v>
      </c>
      <c r="Q839" s="90">
        <v>82.533838760262398</v>
      </c>
      <c r="R839" s="90">
        <v>1300</v>
      </c>
      <c r="S839" s="90" t="s">
        <v>387</v>
      </c>
      <c r="T839" s="90">
        <v>1300</v>
      </c>
      <c r="U839" s="90" t="s">
        <v>378</v>
      </c>
      <c r="V839" s="90" t="s">
        <v>244</v>
      </c>
      <c r="Z839" s="90">
        <v>0</v>
      </c>
      <c r="AA839" s="90">
        <v>1</v>
      </c>
      <c r="AB839" s="90">
        <v>0.23372437377642</v>
      </c>
      <c r="AC839" s="90">
        <v>4.4589611075520001E-2</v>
      </c>
      <c r="AD839" s="90">
        <v>82.533838760260593</v>
      </c>
      <c r="AF839" s="90">
        <v>-1</v>
      </c>
      <c r="AG839" s="90">
        <v>-1</v>
      </c>
      <c r="AH839" s="90">
        <v>-1</v>
      </c>
      <c r="AI839" s="90">
        <v>-1</v>
      </c>
      <c r="AJ839" s="90">
        <v>0</v>
      </c>
      <c r="AM839" s="90" t="s">
        <v>379</v>
      </c>
      <c r="AN839" s="90">
        <v>-1</v>
      </c>
      <c r="AQ839" s="90">
        <v>356</v>
      </c>
      <c r="AR839" s="90" t="s">
        <v>380</v>
      </c>
      <c r="AS839" s="90" t="s">
        <v>246</v>
      </c>
      <c r="AT839" s="90" t="s">
        <v>244</v>
      </c>
      <c r="AU839" s="90">
        <v>175.87190000000001</v>
      </c>
      <c r="AV839" s="90">
        <v>106.27392059413999</v>
      </c>
      <c r="AW839" s="90">
        <v>90.052522932692</v>
      </c>
      <c r="AX839" s="90">
        <v>6.6937419900000003E-2</v>
      </c>
    </row>
    <row r="840" spans="1:50" x14ac:dyDescent="0.25">
      <c r="A840" s="102">
        <v>830000</v>
      </c>
      <c r="B840" s="102">
        <v>2500000</v>
      </c>
      <c r="C840" s="102">
        <v>2500000</v>
      </c>
      <c r="D840" s="90" t="s">
        <v>374</v>
      </c>
      <c r="E840" s="90" t="s">
        <v>68</v>
      </c>
      <c r="F840" s="90" t="s">
        <v>375</v>
      </c>
      <c r="G840" s="90" t="s">
        <v>376</v>
      </c>
      <c r="H840" s="90">
        <v>0.59</v>
      </c>
      <c r="I840" s="90">
        <v>0.64</v>
      </c>
      <c r="J840" s="90" t="s">
        <v>389</v>
      </c>
      <c r="K840" s="90">
        <v>3.6351041380329997E-2</v>
      </c>
      <c r="L840" s="90">
        <v>3708.97543539041</v>
      </c>
      <c r="M840" s="90">
        <v>10.5033035420392</v>
      </c>
      <c r="N840" s="90">
        <v>2.00380564671338</v>
      </c>
      <c r="O840" s="90">
        <v>0.38180602168686001</v>
      </c>
      <c r="P840" s="90">
        <v>7.2840421981820003E-2</v>
      </c>
      <c r="Q840" s="90">
        <v>134.825119530515</v>
      </c>
      <c r="R840" s="90">
        <v>3200</v>
      </c>
      <c r="S840" s="90" t="s">
        <v>393</v>
      </c>
      <c r="T840" s="90">
        <v>3200</v>
      </c>
      <c r="U840" s="90" t="s">
        <v>378</v>
      </c>
      <c r="V840" s="90" t="s">
        <v>244</v>
      </c>
      <c r="Y840" s="90" t="s">
        <v>389</v>
      </c>
      <c r="Z840" s="90">
        <v>0</v>
      </c>
      <c r="AA840" s="90">
        <v>1</v>
      </c>
      <c r="AB840" s="90">
        <v>0.38180602168686001</v>
      </c>
      <c r="AC840" s="90">
        <v>7.2840421981820003E-2</v>
      </c>
      <c r="AD840" s="90">
        <v>134.825119530515</v>
      </c>
      <c r="AF840" s="90">
        <v>-1</v>
      </c>
      <c r="AG840" s="90">
        <v>-1</v>
      </c>
      <c r="AH840" s="90">
        <v>-1</v>
      </c>
      <c r="AI840" s="90">
        <v>-1</v>
      </c>
      <c r="AJ840" s="90">
        <v>0</v>
      </c>
      <c r="AM840" s="90" t="s">
        <v>379</v>
      </c>
      <c r="AN840" s="90">
        <v>-1</v>
      </c>
      <c r="AQ840" s="90">
        <v>356</v>
      </c>
      <c r="AR840" s="90" t="s">
        <v>380</v>
      </c>
      <c r="AS840" s="90" t="s">
        <v>246</v>
      </c>
      <c r="AT840" s="90" t="s">
        <v>244</v>
      </c>
      <c r="AU840" s="90">
        <v>175.87190000000001</v>
      </c>
      <c r="AV840" s="90">
        <v>96.974009841721099</v>
      </c>
      <c r="AW840" s="90">
        <v>147.107445270928</v>
      </c>
      <c r="AX840" s="90">
        <v>0.10934721779999999</v>
      </c>
    </row>
    <row r="841" spans="1:50" x14ac:dyDescent="0.25">
      <c r="A841" s="102">
        <v>830000</v>
      </c>
      <c r="B841" s="102">
        <v>2500000</v>
      </c>
      <c r="C841" s="102">
        <v>2500000</v>
      </c>
      <c r="D841" s="90" t="s">
        <v>374</v>
      </c>
      <c r="E841" s="90" t="s">
        <v>68</v>
      </c>
      <c r="F841" s="90" t="s">
        <v>375</v>
      </c>
      <c r="G841" s="90" t="s">
        <v>376</v>
      </c>
      <c r="H841" s="90">
        <v>0.59</v>
      </c>
      <c r="I841" s="90">
        <v>0.64</v>
      </c>
      <c r="J841" s="90" t="s">
        <v>244</v>
      </c>
      <c r="K841" s="90">
        <v>2.4751983953450001E-2</v>
      </c>
      <c r="L841" s="90">
        <v>3708.97543539041</v>
      </c>
      <c r="M841" s="90">
        <v>10.5033035420392</v>
      </c>
      <c r="N841" s="90">
        <v>2.00380564671338</v>
      </c>
      <c r="O841" s="90">
        <v>0.25997760073086001</v>
      </c>
      <c r="P841" s="90">
        <v>4.9598165213300002E-2</v>
      </c>
      <c r="Q841" s="90">
        <v>91.804500460557193</v>
      </c>
      <c r="R841" s="90">
        <v>1300</v>
      </c>
      <c r="S841" s="90" t="s">
        <v>387</v>
      </c>
      <c r="T841" s="90">
        <v>1300</v>
      </c>
      <c r="U841" s="90" t="s">
        <v>378</v>
      </c>
      <c r="V841" s="90" t="s">
        <v>244</v>
      </c>
      <c r="Z841" s="90">
        <v>0</v>
      </c>
      <c r="AA841" s="90">
        <v>1</v>
      </c>
      <c r="AB841" s="90">
        <v>0.25997760073086001</v>
      </c>
      <c r="AC841" s="90">
        <v>4.9598165213300002E-2</v>
      </c>
      <c r="AD841" s="90">
        <v>91.804500460558302</v>
      </c>
      <c r="AF841" s="90">
        <v>-1</v>
      </c>
      <c r="AG841" s="90">
        <v>-1</v>
      </c>
      <c r="AH841" s="90">
        <v>-1</v>
      </c>
      <c r="AI841" s="90">
        <v>-1</v>
      </c>
      <c r="AJ841" s="90">
        <v>0</v>
      </c>
      <c r="AM841" s="90" t="s">
        <v>379</v>
      </c>
      <c r="AN841" s="90">
        <v>-1</v>
      </c>
      <c r="AQ841" s="90">
        <v>356</v>
      </c>
      <c r="AR841" s="90" t="s">
        <v>380</v>
      </c>
      <c r="AS841" s="90" t="s">
        <v>246</v>
      </c>
      <c r="AT841" s="90" t="s">
        <v>244</v>
      </c>
      <c r="AU841" s="90">
        <v>175.87190000000001</v>
      </c>
      <c r="AV841" s="90">
        <v>104.168754241239</v>
      </c>
      <c r="AW841" s="90">
        <v>100.167725229198</v>
      </c>
      <c r="AX841" s="90">
        <v>7.4456204799999995E-2</v>
      </c>
    </row>
    <row r="842" spans="1:50" x14ac:dyDescent="0.25">
      <c r="A842" s="102">
        <v>830000</v>
      </c>
      <c r="B842" s="102">
        <v>2500000</v>
      </c>
      <c r="C842" s="102">
        <v>2500000</v>
      </c>
      <c r="D842" s="90" t="s">
        <v>374</v>
      </c>
      <c r="E842" s="90" t="s">
        <v>68</v>
      </c>
      <c r="F842" s="90" t="s">
        <v>375</v>
      </c>
      <c r="G842" s="90" t="s">
        <v>376</v>
      </c>
      <c r="H842" s="90">
        <v>0.59</v>
      </c>
      <c r="I842" s="90">
        <v>0.64</v>
      </c>
      <c r="J842" s="90" t="s">
        <v>244</v>
      </c>
      <c r="K842" s="90">
        <v>0.48783106914148</v>
      </c>
      <c r="L842" s="90">
        <v>3708.97543539041</v>
      </c>
      <c r="M842" s="90">
        <v>10.5033035420392</v>
      </c>
      <c r="N842" s="90">
        <v>2.00380564671338</v>
      </c>
      <c r="O842" s="90">
        <v>5.1238377964305899</v>
      </c>
      <c r="P842" s="90">
        <v>0.97751865098794</v>
      </c>
      <c r="Q842" s="90">
        <v>1809.3534520660201</v>
      </c>
      <c r="R842" s="90">
        <v>1300</v>
      </c>
      <c r="S842" s="90" t="s">
        <v>387</v>
      </c>
      <c r="T842" s="90">
        <v>1300</v>
      </c>
      <c r="U842" s="90" t="s">
        <v>378</v>
      </c>
      <c r="V842" s="90" t="s">
        <v>244</v>
      </c>
      <c r="Z842" s="90">
        <v>0</v>
      </c>
      <c r="AA842" s="90">
        <v>1</v>
      </c>
      <c r="AB842" s="90">
        <v>5.1238377964305899</v>
      </c>
      <c r="AC842" s="90">
        <v>0.97751865098794</v>
      </c>
      <c r="AD842" s="90">
        <v>1809.3534520660201</v>
      </c>
      <c r="AF842" s="90">
        <v>-1</v>
      </c>
      <c r="AG842" s="90">
        <v>-1</v>
      </c>
      <c r="AH842" s="90">
        <v>-1</v>
      </c>
      <c r="AI842" s="90">
        <v>-1</v>
      </c>
      <c r="AJ842" s="90">
        <v>0</v>
      </c>
      <c r="AM842" s="90" t="s">
        <v>379</v>
      </c>
      <c r="AN842" s="90">
        <v>-1</v>
      </c>
      <c r="AQ842" s="90">
        <v>356</v>
      </c>
      <c r="AR842" s="90" t="s">
        <v>380</v>
      </c>
      <c r="AS842" s="90" t="s">
        <v>246</v>
      </c>
      <c r="AT842" s="90" t="s">
        <v>244</v>
      </c>
      <c r="AU842" s="90">
        <v>175.87190000000001</v>
      </c>
      <c r="AV842" s="90">
        <v>178.24209817215299</v>
      </c>
      <c r="AW842" s="90">
        <v>1974.18229520149</v>
      </c>
      <c r="AX842" s="90">
        <v>1.4674399449</v>
      </c>
    </row>
    <row r="843" spans="1:50" x14ac:dyDescent="0.25">
      <c r="A843" s="102">
        <v>830000</v>
      </c>
      <c r="B843" s="102">
        <v>2500000</v>
      </c>
      <c r="C843" s="102">
        <v>2500000</v>
      </c>
      <c r="D843" s="90" t="s">
        <v>374</v>
      </c>
      <c r="E843" s="90" t="s">
        <v>68</v>
      </c>
      <c r="F843" s="90" t="s">
        <v>375</v>
      </c>
      <c r="G843" s="90" t="s">
        <v>376</v>
      </c>
      <c r="H843" s="90">
        <v>0.59</v>
      </c>
      <c r="I843" s="90">
        <v>0.64</v>
      </c>
      <c r="J843" s="90" t="s">
        <v>244</v>
      </c>
      <c r="K843" s="90">
        <v>3.1608912903080003E-2</v>
      </c>
      <c r="L843" s="90">
        <v>3708.97543539041</v>
      </c>
      <c r="M843" s="90">
        <v>10.5033035420392</v>
      </c>
      <c r="N843" s="90">
        <v>2.00380564671338</v>
      </c>
      <c r="O843" s="90">
        <v>0.33199800685500003</v>
      </c>
      <c r="P843" s="90">
        <v>6.3338118161669996E-2</v>
      </c>
      <c r="Q843" s="90">
        <v>117.236681496944</v>
      </c>
      <c r="R843" s="90">
        <v>1300</v>
      </c>
      <c r="S843" s="90" t="s">
        <v>387</v>
      </c>
      <c r="T843" s="90">
        <v>1300</v>
      </c>
      <c r="U843" s="90" t="s">
        <v>378</v>
      </c>
      <c r="V843" s="90" t="s">
        <v>244</v>
      </c>
      <c r="Z843" s="90">
        <v>0</v>
      </c>
      <c r="AA843" s="90">
        <v>1</v>
      </c>
      <c r="AB843" s="90">
        <v>0.33199800685500003</v>
      </c>
      <c r="AC843" s="90">
        <v>6.3338118161669996E-2</v>
      </c>
      <c r="AD843" s="90">
        <v>117.236681496944</v>
      </c>
      <c r="AF843" s="90">
        <v>-1</v>
      </c>
      <c r="AG843" s="90">
        <v>-1</v>
      </c>
      <c r="AH843" s="90">
        <v>-1</v>
      </c>
      <c r="AI843" s="90">
        <v>-1</v>
      </c>
      <c r="AJ843" s="90">
        <v>0</v>
      </c>
      <c r="AM843" s="90" t="s">
        <v>379</v>
      </c>
      <c r="AN843" s="90">
        <v>-1</v>
      </c>
      <c r="AQ843" s="90">
        <v>356</v>
      </c>
      <c r="AR843" s="90" t="s">
        <v>380</v>
      </c>
      <c r="AS843" s="90" t="s">
        <v>246</v>
      </c>
      <c r="AT843" s="90" t="s">
        <v>244</v>
      </c>
      <c r="AU843" s="90">
        <v>175.87190000000001</v>
      </c>
      <c r="AV843" s="90">
        <v>74.603799220664996</v>
      </c>
      <c r="AW843" s="90">
        <v>127.916732186939</v>
      </c>
      <c r="AX843" s="90">
        <v>9.5082466700000007E-2</v>
      </c>
    </row>
    <row r="844" spans="1:50" x14ac:dyDescent="0.25">
      <c r="A844" s="102">
        <v>830000</v>
      </c>
      <c r="B844" s="102">
        <v>2500000</v>
      </c>
      <c r="C844" s="102">
        <v>2500000</v>
      </c>
      <c r="D844" s="90" t="s">
        <v>374</v>
      </c>
      <c r="E844" s="90" t="s">
        <v>68</v>
      </c>
      <c r="F844" s="90" t="s">
        <v>375</v>
      </c>
      <c r="G844" s="90" t="s">
        <v>376</v>
      </c>
      <c r="H844" s="90">
        <v>0.59</v>
      </c>
      <c r="I844" s="90">
        <v>0.64</v>
      </c>
      <c r="J844" s="90" t="s">
        <v>244</v>
      </c>
      <c r="K844" s="90">
        <v>1.496798332722E-2</v>
      </c>
      <c r="L844" s="90">
        <v>3708.97543539041</v>
      </c>
      <c r="M844" s="90">
        <v>10.5033035420392</v>
      </c>
      <c r="N844" s="90">
        <v>2.00380564671338</v>
      </c>
      <c r="O844" s="90">
        <v>0.15721327229799001</v>
      </c>
      <c r="P844" s="90">
        <v>2.9992929510989998E-2</v>
      </c>
      <c r="Q844" s="90">
        <v>55.515882477999703</v>
      </c>
      <c r="R844" s="90">
        <v>1300</v>
      </c>
      <c r="S844" s="90" t="s">
        <v>387</v>
      </c>
      <c r="T844" s="90">
        <v>1300</v>
      </c>
      <c r="U844" s="90" t="s">
        <v>378</v>
      </c>
      <c r="V844" s="90" t="s">
        <v>244</v>
      </c>
      <c r="Z844" s="90">
        <v>0</v>
      </c>
      <c r="AA844" s="90">
        <v>1</v>
      </c>
      <c r="AB844" s="90">
        <v>0.15721327229799001</v>
      </c>
      <c r="AC844" s="90">
        <v>2.9992929510989998E-2</v>
      </c>
      <c r="AD844" s="90">
        <v>55.515882478000101</v>
      </c>
      <c r="AF844" s="90">
        <v>-1</v>
      </c>
      <c r="AG844" s="90">
        <v>-1</v>
      </c>
      <c r="AH844" s="90">
        <v>-1</v>
      </c>
      <c r="AI844" s="90">
        <v>-1</v>
      </c>
      <c r="AJ844" s="90">
        <v>0</v>
      </c>
      <c r="AM844" s="90" t="s">
        <v>379</v>
      </c>
      <c r="AN844" s="90">
        <v>-1</v>
      </c>
      <c r="AQ844" s="90">
        <v>356</v>
      </c>
      <c r="AR844" s="90" t="s">
        <v>380</v>
      </c>
      <c r="AS844" s="90" t="s">
        <v>246</v>
      </c>
      <c r="AT844" s="90" t="s">
        <v>244</v>
      </c>
      <c r="AU844" s="90">
        <v>175.87190000000001</v>
      </c>
      <c r="AV844" s="90">
        <v>38.506617290082303</v>
      </c>
      <c r="AW844" s="90">
        <v>60.573279458145002</v>
      </c>
      <c r="AX844" s="90">
        <v>4.50250466E-2</v>
      </c>
    </row>
    <row r="845" spans="1:50" x14ac:dyDescent="0.25">
      <c r="A845" s="102">
        <v>830000</v>
      </c>
      <c r="B845" s="102">
        <v>2500000</v>
      </c>
      <c r="C845" s="102">
        <v>2500000</v>
      </c>
      <c r="D845" s="90" t="s">
        <v>374</v>
      </c>
      <c r="E845" s="90" t="s">
        <v>68</v>
      </c>
      <c r="F845" s="90" t="s">
        <v>375</v>
      </c>
      <c r="G845" s="90" t="s">
        <v>376</v>
      </c>
      <c r="H845" s="90">
        <v>0.59</v>
      </c>
      <c r="I845" s="90">
        <v>0.64</v>
      </c>
      <c r="J845" s="90" t="s">
        <v>244</v>
      </c>
      <c r="K845" s="90">
        <v>0.61776345366790997</v>
      </c>
      <c r="L845" s="90">
        <v>3778.9262332856101</v>
      </c>
      <c r="M845" s="90">
        <v>11.6159796074848</v>
      </c>
      <c r="N845" s="90">
        <v>1.53355063953372</v>
      </c>
      <c r="O845" s="90">
        <v>7.1759276800558602</v>
      </c>
      <c r="P845" s="90">
        <v>0.94737153945298003</v>
      </c>
      <c r="Q845" s="90">
        <v>2334.4825210307899</v>
      </c>
      <c r="R845" s="90">
        <v>1450</v>
      </c>
      <c r="S845" s="90" t="s">
        <v>391</v>
      </c>
      <c r="T845" s="90">
        <v>1450</v>
      </c>
      <c r="U845" s="90" t="s">
        <v>378</v>
      </c>
      <c r="V845" s="90" t="s">
        <v>244</v>
      </c>
      <c r="Z845" s="90">
        <v>0</v>
      </c>
      <c r="AA845" s="90">
        <v>1</v>
      </c>
      <c r="AB845" s="90">
        <v>7.1759276800558602</v>
      </c>
      <c r="AC845" s="90">
        <v>0.94737153945298003</v>
      </c>
      <c r="AD845" s="90">
        <v>2334.4825210307899</v>
      </c>
      <c r="AF845" s="90">
        <v>-1</v>
      </c>
      <c r="AG845" s="90">
        <v>-1</v>
      </c>
      <c r="AH845" s="90">
        <v>-1</v>
      </c>
      <c r="AI845" s="90">
        <v>-1</v>
      </c>
      <c r="AJ845" s="90">
        <v>0</v>
      </c>
      <c r="AM845" s="90" t="s">
        <v>379</v>
      </c>
      <c r="AN845" s="90">
        <v>-1</v>
      </c>
      <c r="AQ845" s="90">
        <v>356</v>
      </c>
      <c r="AR845" s="90" t="s">
        <v>380</v>
      </c>
      <c r="AS845" s="90" t="s">
        <v>246</v>
      </c>
      <c r="AT845" s="90" t="s">
        <v>244</v>
      </c>
      <c r="AU845" s="90">
        <v>175.87190000000001</v>
      </c>
      <c r="AV845" s="90">
        <v>200</v>
      </c>
      <c r="AW845" s="90">
        <v>2500</v>
      </c>
      <c r="AX845" s="90">
        <v>1.893335378</v>
      </c>
    </row>
    <row r="846" spans="1:50" x14ac:dyDescent="0.25">
      <c r="A846" s="102">
        <v>830000</v>
      </c>
      <c r="B846" s="102">
        <v>2500000</v>
      </c>
      <c r="C846" s="102">
        <v>2500000</v>
      </c>
      <c r="D846" s="90" t="s">
        <v>374</v>
      </c>
      <c r="E846" s="90" t="s">
        <v>68</v>
      </c>
      <c r="F846" s="90" t="s">
        <v>375</v>
      </c>
      <c r="G846" s="90" t="s">
        <v>376</v>
      </c>
      <c r="H846" s="90">
        <v>0.59</v>
      </c>
      <c r="I846" s="90">
        <v>0.64</v>
      </c>
      <c r="J846" s="90" t="s">
        <v>244</v>
      </c>
      <c r="K846" s="90">
        <v>7.0210882241640002E-2</v>
      </c>
      <c r="L846" s="90">
        <v>3782.0297623923402</v>
      </c>
      <c r="M846" s="90">
        <v>11.606796577064999</v>
      </c>
      <c r="N846" s="90">
        <v>1.5323333199976701</v>
      </c>
      <c r="O846" s="90">
        <v>0.81492342767505999</v>
      </c>
      <c r="P846" s="90">
        <v>0.10758647428529999</v>
      </c>
      <c r="Q846" s="90">
        <v>265.53964628173298</v>
      </c>
      <c r="R846" s="90">
        <v>1400</v>
      </c>
      <c r="S846" s="90" t="s">
        <v>324</v>
      </c>
      <c r="T846" s="90">
        <v>1400</v>
      </c>
      <c r="U846" s="90" t="s">
        <v>378</v>
      </c>
      <c r="V846" s="90" t="s">
        <v>244</v>
      </c>
      <c r="Z846" s="90">
        <v>0</v>
      </c>
      <c r="AA846" s="90">
        <v>1</v>
      </c>
      <c r="AB846" s="90">
        <v>0.81492342767505999</v>
      </c>
      <c r="AC846" s="90">
        <v>0.10758647428529999</v>
      </c>
      <c r="AD846" s="90">
        <v>268.36139527567002</v>
      </c>
      <c r="AF846" s="90">
        <v>-1</v>
      </c>
      <c r="AG846" s="90">
        <v>-1</v>
      </c>
      <c r="AH846" s="90">
        <v>-1</v>
      </c>
      <c r="AI846" s="90">
        <v>-1</v>
      </c>
      <c r="AJ846" s="90">
        <v>0</v>
      </c>
      <c r="AM846" s="90" t="s">
        <v>379</v>
      </c>
      <c r="AN846" s="90">
        <v>-1</v>
      </c>
      <c r="AQ846" s="90">
        <v>356</v>
      </c>
      <c r="AR846" s="90" t="s">
        <v>380</v>
      </c>
      <c r="AS846" s="90" t="s">
        <v>246</v>
      </c>
      <c r="AT846" s="90" t="s">
        <v>244</v>
      </c>
      <c r="AU846" s="90">
        <v>175.87190000000001</v>
      </c>
      <c r="AV846" s="90">
        <v>155.80472365584299</v>
      </c>
      <c r="AW846" s="90">
        <v>284.13335972197802</v>
      </c>
      <c r="AX846" s="90">
        <v>0.21764914460000001</v>
      </c>
    </row>
    <row r="847" spans="1:50" x14ac:dyDescent="0.25">
      <c r="A847" s="102">
        <v>830000</v>
      </c>
      <c r="B847" s="102">
        <v>2500000</v>
      </c>
      <c r="C847" s="102">
        <v>2500000</v>
      </c>
      <c r="D847" s="90" t="s">
        <v>374</v>
      </c>
      <c r="E847" s="90" t="s">
        <v>68</v>
      </c>
      <c r="F847" s="90" t="s">
        <v>375</v>
      </c>
      <c r="G847" s="90" t="s">
        <v>376</v>
      </c>
      <c r="H847" s="90">
        <v>0.59</v>
      </c>
      <c r="I847" s="90">
        <v>0.64</v>
      </c>
      <c r="J847" s="90" t="s">
        <v>381</v>
      </c>
      <c r="K847" s="90">
        <v>1.6955662763480001E-2</v>
      </c>
      <c r="L847" s="90">
        <v>3782.0297623923402</v>
      </c>
      <c r="M847" s="90">
        <v>11.606796577064999</v>
      </c>
      <c r="N847" s="90">
        <v>1.5323333199976701</v>
      </c>
      <c r="O847" s="90">
        <v>0.19680092852502001</v>
      </c>
      <c r="P847" s="90">
        <v>2.5981727015119999E-2</v>
      </c>
      <c r="Q847" s="90">
        <v>64.126821212568998</v>
      </c>
      <c r="R847" s="90">
        <v>1400</v>
      </c>
      <c r="S847" s="90" t="s">
        <v>324</v>
      </c>
      <c r="T847" s="90">
        <v>1400</v>
      </c>
      <c r="U847" s="90" t="s">
        <v>382</v>
      </c>
      <c r="V847" s="90" t="s">
        <v>381</v>
      </c>
      <c r="Z847" s="90">
        <v>0</v>
      </c>
      <c r="AA847" s="90">
        <v>1</v>
      </c>
      <c r="AB847" s="90">
        <v>0.19680092852502001</v>
      </c>
      <c r="AC847" s="90">
        <v>2.5981727015119999E-2</v>
      </c>
      <c r="AD847" s="90">
        <v>278.56824430954498</v>
      </c>
      <c r="AF847" s="90">
        <v>-1</v>
      </c>
      <c r="AG847" s="90">
        <v>-1</v>
      </c>
      <c r="AH847" s="90">
        <v>-1</v>
      </c>
      <c r="AI847" s="90">
        <v>-1</v>
      </c>
      <c r="AJ847" s="90">
        <v>0</v>
      </c>
      <c r="AM847" s="90" t="s">
        <v>379</v>
      </c>
      <c r="AN847" s="90">
        <v>-1</v>
      </c>
      <c r="AQ847" s="90">
        <v>356</v>
      </c>
      <c r="AR847" s="90" t="s">
        <v>380</v>
      </c>
      <c r="AS847" s="90" t="s">
        <v>246</v>
      </c>
      <c r="AT847" s="90" t="s">
        <v>244</v>
      </c>
      <c r="AU847" s="90">
        <v>175.87190000000001</v>
      </c>
      <c r="AV847" s="90">
        <v>66.839874913207396</v>
      </c>
      <c r="AW847" s="90">
        <v>68.617132750439097</v>
      </c>
      <c r="AX847" s="90">
        <v>0.2259272054</v>
      </c>
    </row>
    <row r="848" spans="1:50" x14ac:dyDescent="0.25">
      <c r="A848" s="102">
        <v>830000</v>
      </c>
      <c r="B848" s="102">
        <v>2500000</v>
      </c>
      <c r="C848" s="102">
        <v>2500000</v>
      </c>
      <c r="D848" s="90" t="s">
        <v>374</v>
      </c>
      <c r="E848" s="90" t="s">
        <v>68</v>
      </c>
      <c r="F848" s="90" t="s">
        <v>375</v>
      </c>
      <c r="G848" s="90" t="s">
        <v>376</v>
      </c>
      <c r="H848" s="90">
        <v>0.59</v>
      </c>
      <c r="I848" s="90">
        <v>0.64</v>
      </c>
      <c r="J848" s="90" t="s">
        <v>244</v>
      </c>
      <c r="K848" s="90">
        <v>0.11895165383541</v>
      </c>
      <c r="L848" s="90">
        <v>3782.0297623923402</v>
      </c>
      <c r="M848" s="90">
        <v>11.606796577064999</v>
      </c>
      <c r="N848" s="90">
        <v>1.5323333199976701</v>
      </c>
      <c r="O848" s="90">
        <v>1.3806476485730801</v>
      </c>
      <c r="P848" s="90">
        <v>0.18227358264082999</v>
      </c>
      <c r="Q848" s="90">
        <v>449.878695091319</v>
      </c>
      <c r="R848" s="90">
        <v>1410</v>
      </c>
      <c r="S848" s="90" t="s">
        <v>325</v>
      </c>
      <c r="T848" s="90">
        <v>1410</v>
      </c>
      <c r="U848" s="90" t="s">
        <v>378</v>
      </c>
      <c r="V848" s="90" t="s">
        <v>244</v>
      </c>
      <c r="Z848" s="90">
        <v>0</v>
      </c>
      <c r="AA848" s="90">
        <v>1</v>
      </c>
      <c r="AB848" s="90">
        <v>1.3806476485730801</v>
      </c>
      <c r="AC848" s="90">
        <v>0.18227358264082999</v>
      </c>
      <c r="AD848" s="90">
        <v>606.64710383142199</v>
      </c>
      <c r="AF848" s="90">
        <v>-1</v>
      </c>
      <c r="AG848" s="90">
        <v>-1</v>
      </c>
      <c r="AH848" s="90">
        <v>-1</v>
      </c>
      <c r="AI848" s="90">
        <v>-1</v>
      </c>
      <c r="AJ848" s="90">
        <v>0</v>
      </c>
      <c r="AM848" s="90" t="s">
        <v>379</v>
      </c>
      <c r="AN848" s="90">
        <v>-1</v>
      </c>
      <c r="AQ848" s="90">
        <v>356</v>
      </c>
      <c r="AR848" s="90" t="s">
        <v>380</v>
      </c>
      <c r="AS848" s="90" t="s">
        <v>246</v>
      </c>
      <c r="AT848" s="90" t="s">
        <v>244</v>
      </c>
      <c r="AU848" s="90">
        <v>175.87190000000001</v>
      </c>
      <c r="AV848" s="90">
        <v>102.963411225855</v>
      </c>
      <c r="AW848" s="90">
        <v>481.38026427893601</v>
      </c>
      <c r="AX848" s="90">
        <v>0.49200900549999999</v>
      </c>
    </row>
    <row r="849" spans="1:50" x14ac:dyDescent="0.25">
      <c r="A849" s="102">
        <v>830000</v>
      </c>
      <c r="B849" s="102">
        <v>2500000</v>
      </c>
      <c r="C849" s="102">
        <v>2500000</v>
      </c>
      <c r="D849" s="90" t="s">
        <v>374</v>
      </c>
      <c r="E849" s="90" t="s">
        <v>68</v>
      </c>
      <c r="F849" s="90" t="s">
        <v>375</v>
      </c>
      <c r="G849" s="90" t="s">
        <v>376</v>
      </c>
      <c r="H849" s="90">
        <v>0.59</v>
      </c>
      <c r="I849" s="90">
        <v>0.64</v>
      </c>
      <c r="J849" s="90" t="s">
        <v>244</v>
      </c>
      <c r="K849" s="90">
        <v>0.30935943323368997</v>
      </c>
      <c r="L849" s="90">
        <v>3782.0297623923402</v>
      </c>
      <c r="M849" s="90">
        <v>11.606796577064999</v>
      </c>
      <c r="N849" s="90">
        <v>1.5323333199976701</v>
      </c>
      <c r="O849" s="90">
        <v>3.5906720107396199</v>
      </c>
      <c r="P849" s="90">
        <v>0.47404176739957998</v>
      </c>
      <c r="Q849" s="90">
        <v>1170.00658376665</v>
      </c>
      <c r="R849" s="90">
        <v>1430</v>
      </c>
      <c r="S849" s="90" t="s">
        <v>326</v>
      </c>
      <c r="T849" s="90">
        <v>1430</v>
      </c>
      <c r="U849" s="90" t="s">
        <v>378</v>
      </c>
      <c r="V849" s="90" t="s">
        <v>244</v>
      </c>
      <c r="Z849" s="90">
        <v>0</v>
      </c>
      <c r="AA849" s="90">
        <v>1</v>
      </c>
      <c r="AB849" s="90">
        <v>3.5906720107396199</v>
      </c>
      <c r="AC849" s="90">
        <v>0.47404176739957998</v>
      </c>
      <c r="AD849" s="90">
        <v>1171.8139128174601</v>
      </c>
      <c r="AF849" s="90">
        <v>-1</v>
      </c>
      <c r="AG849" s="90">
        <v>-1</v>
      </c>
      <c r="AH849" s="90">
        <v>-1</v>
      </c>
      <c r="AI849" s="90">
        <v>-1</v>
      </c>
      <c r="AJ849" s="90">
        <v>0</v>
      </c>
      <c r="AM849" s="90" t="s">
        <v>379</v>
      </c>
      <c r="AN849" s="90">
        <v>-1</v>
      </c>
      <c r="AQ849" s="90">
        <v>356</v>
      </c>
      <c r="AR849" s="90" t="s">
        <v>380</v>
      </c>
      <c r="AS849" s="90" t="s">
        <v>246</v>
      </c>
      <c r="AT849" s="90" t="s">
        <v>244</v>
      </c>
      <c r="AU849" s="90">
        <v>175.87190000000001</v>
      </c>
      <c r="AV849" s="90">
        <v>143.77001331124299</v>
      </c>
      <c r="AW849" s="90">
        <v>1251.93320921179</v>
      </c>
      <c r="AX849" s="90">
        <v>0.95037624720000002</v>
      </c>
    </row>
    <row r="850" spans="1:50" x14ac:dyDescent="0.25">
      <c r="A850" s="102">
        <v>830000</v>
      </c>
      <c r="B850" s="102">
        <v>2500000</v>
      </c>
      <c r="C850" s="102">
        <v>2500000</v>
      </c>
      <c r="D850" s="90" t="s">
        <v>374</v>
      </c>
      <c r="E850" s="90" t="s">
        <v>68</v>
      </c>
      <c r="F850" s="90" t="s">
        <v>375</v>
      </c>
      <c r="G850" s="90" t="s">
        <v>376</v>
      </c>
      <c r="H850" s="90">
        <v>0.59</v>
      </c>
      <c r="I850" s="90">
        <v>0.64</v>
      </c>
      <c r="J850" s="90" t="s">
        <v>244</v>
      </c>
      <c r="K850" s="90">
        <v>3.2034264562899998E-3</v>
      </c>
      <c r="L850" s="90">
        <v>3821.1546788064202</v>
      </c>
      <c r="M850" s="90">
        <v>9.8018596925207699</v>
      </c>
      <c r="N850" s="90">
        <v>1.65715883448352</v>
      </c>
      <c r="O850" s="90">
        <v>3.1399536659919999E-2</v>
      </c>
      <c r="P850" s="90">
        <v>5.3085864526600003E-3</v>
      </c>
      <c r="Q850" s="90">
        <v>12.2407879916877</v>
      </c>
      <c r="R850" s="90">
        <v>1300</v>
      </c>
      <c r="S850" s="90" t="s">
        <v>387</v>
      </c>
      <c r="T850" s="90">
        <v>1300</v>
      </c>
      <c r="U850" s="90" t="s">
        <v>378</v>
      </c>
      <c r="V850" s="90" t="s">
        <v>244</v>
      </c>
      <c r="Z850" s="90">
        <v>0</v>
      </c>
      <c r="AA850" s="90">
        <v>1</v>
      </c>
      <c r="AB850" s="90">
        <v>3.1399536659919999E-2</v>
      </c>
      <c r="AC850" s="90">
        <v>5.3085864526600003E-3</v>
      </c>
      <c r="AD850" s="90">
        <v>1252.5959824532899</v>
      </c>
      <c r="AF850" s="90">
        <v>-1</v>
      </c>
      <c r="AG850" s="90">
        <v>-1</v>
      </c>
      <c r="AH850" s="90">
        <v>-1</v>
      </c>
      <c r="AI850" s="90">
        <v>-1</v>
      </c>
      <c r="AJ850" s="90">
        <v>0</v>
      </c>
      <c r="AM850" s="90" t="s">
        <v>379</v>
      </c>
      <c r="AN850" s="90">
        <v>-1</v>
      </c>
      <c r="AQ850" s="90">
        <v>356</v>
      </c>
      <c r="AR850" s="90" t="s">
        <v>380</v>
      </c>
      <c r="AS850" s="90" t="s">
        <v>246</v>
      </c>
      <c r="AT850" s="90" t="s">
        <v>244</v>
      </c>
      <c r="AU850" s="90">
        <v>175.87190000000001</v>
      </c>
      <c r="AV850" s="90">
        <v>56.102096995392301</v>
      </c>
      <c r="AW850" s="90">
        <v>12.963806928345599</v>
      </c>
      <c r="AX850" s="90">
        <v>1.0158929297999999</v>
      </c>
    </row>
    <row r="851" spans="1:50" x14ac:dyDescent="0.25">
      <c r="A851" s="102">
        <v>830000</v>
      </c>
      <c r="B851" s="102">
        <v>2500000</v>
      </c>
      <c r="C851" s="102">
        <v>2500000</v>
      </c>
      <c r="D851" s="90" t="s">
        <v>374</v>
      </c>
      <c r="E851" s="90" t="s">
        <v>68</v>
      </c>
      <c r="F851" s="90" t="s">
        <v>375</v>
      </c>
      <c r="G851" s="90" t="s">
        <v>376</v>
      </c>
      <c r="H851" s="90">
        <v>0.59</v>
      </c>
      <c r="I851" s="90">
        <v>0.64</v>
      </c>
      <c r="J851" s="90" t="s">
        <v>244</v>
      </c>
      <c r="K851" s="90">
        <v>4.0179701262039999E-2</v>
      </c>
      <c r="L851" s="90">
        <v>3708.5569020825701</v>
      </c>
      <c r="M851" s="90">
        <v>8.4403678091058403</v>
      </c>
      <c r="N851" s="90">
        <v>1.17893637367032</v>
      </c>
      <c r="O851" s="90">
        <v>0.33913145711162002</v>
      </c>
      <c r="P851" s="90">
        <v>4.7369311301019998E-2</v>
      </c>
      <c r="Q851" s="90">
        <v>149.008708438958</v>
      </c>
      <c r="R851" s="90">
        <v>1200</v>
      </c>
      <c r="S851" s="90" t="s">
        <v>384</v>
      </c>
      <c r="T851" s="90">
        <v>1200</v>
      </c>
      <c r="U851" s="90" t="s">
        <v>378</v>
      </c>
      <c r="V851" s="90" t="s">
        <v>244</v>
      </c>
      <c r="Z851" s="90">
        <v>0</v>
      </c>
      <c r="AA851" s="90">
        <v>1</v>
      </c>
      <c r="AB851" s="90">
        <v>0.33913145711162002</v>
      </c>
      <c r="AC851" s="90">
        <v>4.7369311301019998E-2</v>
      </c>
      <c r="AD851" s="90">
        <v>149.008708438958</v>
      </c>
      <c r="AF851" s="90">
        <v>-1</v>
      </c>
      <c r="AG851" s="90">
        <v>-1</v>
      </c>
      <c r="AH851" s="90">
        <v>-1</v>
      </c>
      <c r="AI851" s="90">
        <v>-1</v>
      </c>
      <c r="AJ851" s="90">
        <v>0</v>
      </c>
      <c r="AM851" s="90" t="s">
        <v>379</v>
      </c>
      <c r="AN851" s="90">
        <v>-1</v>
      </c>
      <c r="AQ851" s="90">
        <v>356</v>
      </c>
      <c r="AR851" s="90" t="s">
        <v>380</v>
      </c>
      <c r="AS851" s="90" t="s">
        <v>246</v>
      </c>
      <c r="AT851" s="90" t="s">
        <v>244</v>
      </c>
      <c r="AU851" s="90">
        <v>175.87190000000001</v>
      </c>
      <c r="AV851" s="90">
        <v>86.066786812649397</v>
      </c>
      <c r="AW851" s="90">
        <v>162.601482102403</v>
      </c>
      <c r="AX851" s="90">
        <v>0.120850534</v>
      </c>
    </row>
    <row r="852" spans="1:50" x14ac:dyDescent="0.25">
      <c r="A852" s="102">
        <v>830000</v>
      </c>
      <c r="B852" s="102">
        <v>2500000</v>
      </c>
      <c r="C852" s="102">
        <v>2500000</v>
      </c>
      <c r="D852" s="90" t="s">
        <v>374</v>
      </c>
      <c r="E852" s="90" t="s">
        <v>68</v>
      </c>
      <c r="F852" s="90" t="s">
        <v>375</v>
      </c>
      <c r="G852" s="90" t="s">
        <v>376</v>
      </c>
      <c r="H852" s="90">
        <v>0.59</v>
      </c>
      <c r="I852" s="90">
        <v>0.64</v>
      </c>
      <c r="J852" s="90" t="s">
        <v>381</v>
      </c>
      <c r="K852" s="90">
        <v>6.5142768245329996E-2</v>
      </c>
      <c r="L852" s="90">
        <v>3708.5569020825701</v>
      </c>
      <c r="M852" s="90">
        <v>8.4403678091058403</v>
      </c>
      <c r="N852" s="90">
        <v>1.17893637367032</v>
      </c>
      <c r="O852" s="90">
        <v>0.54982892409397999</v>
      </c>
      <c r="P852" s="90">
        <v>7.6799178965999998E-2</v>
      </c>
      <c r="Q852" s="90">
        <v>241.58566279701</v>
      </c>
      <c r="R852" s="90">
        <v>1200</v>
      </c>
      <c r="S852" s="90" t="s">
        <v>384</v>
      </c>
      <c r="T852" s="90">
        <v>1200</v>
      </c>
      <c r="U852" s="90" t="s">
        <v>382</v>
      </c>
      <c r="V852" s="90" t="s">
        <v>381</v>
      </c>
      <c r="Z852" s="90">
        <v>0</v>
      </c>
      <c r="AA852" s="90">
        <v>1</v>
      </c>
      <c r="AB852" s="90">
        <v>0.54982892409397999</v>
      </c>
      <c r="AC852" s="90">
        <v>7.6799178965999998E-2</v>
      </c>
      <c r="AD852" s="90">
        <v>241.58566279701</v>
      </c>
      <c r="AF852" s="90">
        <v>-1</v>
      </c>
      <c r="AG852" s="90">
        <v>-1</v>
      </c>
      <c r="AH852" s="90">
        <v>-1</v>
      </c>
      <c r="AI852" s="90">
        <v>-1</v>
      </c>
      <c r="AJ852" s="90">
        <v>0</v>
      </c>
      <c r="AM852" s="90" t="s">
        <v>379</v>
      </c>
      <c r="AN852" s="90">
        <v>-1</v>
      </c>
      <c r="AQ852" s="90">
        <v>356</v>
      </c>
      <c r="AR852" s="90" t="s">
        <v>380</v>
      </c>
      <c r="AS852" s="90" t="s">
        <v>246</v>
      </c>
      <c r="AT852" s="90" t="s">
        <v>244</v>
      </c>
      <c r="AU852" s="90">
        <v>175.87190000000001</v>
      </c>
      <c r="AV852" s="90">
        <v>91.345338750036703</v>
      </c>
      <c r="AW852" s="90">
        <v>263.623430046556</v>
      </c>
      <c r="AX852" s="90">
        <v>0.1959332221</v>
      </c>
    </row>
    <row r="853" spans="1:50" x14ac:dyDescent="0.25">
      <c r="A853" s="102">
        <v>830000</v>
      </c>
      <c r="B853" s="102">
        <v>2500000</v>
      </c>
      <c r="C853" s="102">
        <v>2500000</v>
      </c>
      <c r="D853" s="90" t="s">
        <v>374</v>
      </c>
      <c r="E853" s="90" t="s">
        <v>68</v>
      </c>
      <c r="F853" s="90" t="s">
        <v>375</v>
      </c>
      <c r="G853" s="90" t="s">
        <v>376</v>
      </c>
      <c r="H853" s="90">
        <v>0.59</v>
      </c>
      <c r="I853" s="90">
        <v>0.64</v>
      </c>
      <c r="J853" s="90" t="s">
        <v>244</v>
      </c>
      <c r="K853" s="90">
        <v>2.4211797137400001E-3</v>
      </c>
      <c r="L853" s="90">
        <v>3708.5569020825701</v>
      </c>
      <c r="M853" s="90">
        <v>8.4403678091058403</v>
      </c>
      <c r="N853" s="90">
        <v>1.17893637367032</v>
      </c>
      <c r="O853" s="90">
        <v>2.043564731592E-2</v>
      </c>
      <c r="P853" s="90">
        <v>2.85441683172E-3</v>
      </c>
      <c r="Q853" s="90">
        <v>8.9790827385801997</v>
      </c>
      <c r="R853" s="90">
        <v>1300</v>
      </c>
      <c r="S853" s="90" t="s">
        <v>387</v>
      </c>
      <c r="T853" s="90">
        <v>1300</v>
      </c>
      <c r="U853" s="90" t="s">
        <v>378</v>
      </c>
      <c r="V853" s="90" t="s">
        <v>244</v>
      </c>
      <c r="Z853" s="90">
        <v>0</v>
      </c>
      <c r="AA853" s="90">
        <v>1</v>
      </c>
      <c r="AB853" s="90">
        <v>2.043564731592E-2</v>
      </c>
      <c r="AC853" s="90">
        <v>2.85441683172E-3</v>
      </c>
      <c r="AD853" s="90">
        <v>8.9790827385783807</v>
      </c>
      <c r="AF853" s="90">
        <v>-1</v>
      </c>
      <c r="AG853" s="90">
        <v>-1</v>
      </c>
      <c r="AH853" s="90">
        <v>-1</v>
      </c>
      <c r="AI853" s="90">
        <v>-1</v>
      </c>
      <c r="AJ853" s="90">
        <v>0</v>
      </c>
      <c r="AM853" s="90" t="s">
        <v>379</v>
      </c>
      <c r="AN853" s="90">
        <v>-1</v>
      </c>
      <c r="AQ853" s="90">
        <v>356</v>
      </c>
      <c r="AR853" s="90" t="s">
        <v>380</v>
      </c>
      <c r="AS853" s="90" t="s">
        <v>246</v>
      </c>
      <c r="AT853" s="90" t="s">
        <v>244</v>
      </c>
      <c r="AU853" s="90">
        <v>175.87190000000001</v>
      </c>
      <c r="AV853" s="90">
        <v>31.672278006409702</v>
      </c>
      <c r="AW853" s="90">
        <v>9.79816667433942</v>
      </c>
      <c r="AX853" s="90">
        <v>7.2823054999999999E-3</v>
      </c>
    </row>
    <row r="854" spans="1:50" x14ac:dyDescent="0.25">
      <c r="A854" s="102">
        <v>830000</v>
      </c>
      <c r="B854" s="102">
        <v>2500000</v>
      </c>
      <c r="C854" s="102">
        <v>2500000</v>
      </c>
      <c r="D854" s="90" t="s">
        <v>374</v>
      </c>
      <c r="E854" s="90" t="s">
        <v>68</v>
      </c>
      <c r="F854" s="90" t="s">
        <v>375</v>
      </c>
      <c r="G854" s="90" t="s">
        <v>376</v>
      </c>
      <c r="H854" s="90">
        <v>0.59</v>
      </c>
      <c r="I854" s="90">
        <v>0.64</v>
      </c>
      <c r="J854" s="90" t="s">
        <v>381</v>
      </c>
      <c r="K854" s="90">
        <v>1.9346105981040002E-2</v>
      </c>
      <c r="L854" s="90">
        <v>3708.5569020825701</v>
      </c>
      <c r="M854" s="90">
        <v>8.4403678091058403</v>
      </c>
      <c r="N854" s="90">
        <v>1.17893637367032</v>
      </c>
      <c r="O854" s="90">
        <v>0.16328825015393</v>
      </c>
      <c r="P854" s="90">
        <v>2.2807828029930002E-2</v>
      </c>
      <c r="Q854" s="90">
        <v>71.746134864414202</v>
      </c>
      <c r="R854" s="90">
        <v>1300</v>
      </c>
      <c r="S854" s="90" t="s">
        <v>387</v>
      </c>
      <c r="T854" s="90">
        <v>1300</v>
      </c>
      <c r="U854" s="90" t="s">
        <v>382</v>
      </c>
      <c r="V854" s="90" t="s">
        <v>381</v>
      </c>
      <c r="Z854" s="90">
        <v>0</v>
      </c>
      <c r="AA854" s="90">
        <v>1</v>
      </c>
      <c r="AB854" s="90">
        <v>0.16328825015393</v>
      </c>
      <c r="AC854" s="90">
        <v>2.2807828029930002E-2</v>
      </c>
      <c r="AD854" s="90">
        <v>71.746134864413094</v>
      </c>
      <c r="AF854" s="90">
        <v>-1</v>
      </c>
      <c r="AG854" s="90">
        <v>-1</v>
      </c>
      <c r="AH854" s="90">
        <v>-1</v>
      </c>
      <c r="AI854" s="90">
        <v>-1</v>
      </c>
      <c r="AJ854" s="90">
        <v>0</v>
      </c>
      <c r="AM854" s="90" t="s">
        <v>379</v>
      </c>
      <c r="AN854" s="90">
        <v>-1</v>
      </c>
      <c r="AQ854" s="90">
        <v>356</v>
      </c>
      <c r="AR854" s="90" t="s">
        <v>380</v>
      </c>
      <c r="AS854" s="90" t="s">
        <v>246</v>
      </c>
      <c r="AT854" s="90" t="s">
        <v>244</v>
      </c>
      <c r="AU854" s="90">
        <v>175.87190000000001</v>
      </c>
      <c r="AV854" s="90">
        <v>36.339093789529201</v>
      </c>
      <c r="AW854" s="90">
        <v>78.290913237809505</v>
      </c>
      <c r="AX854" s="90">
        <v>5.8188268299999998E-2</v>
      </c>
    </row>
    <row r="855" spans="1:50" x14ac:dyDescent="0.25">
      <c r="A855" s="102">
        <v>830000</v>
      </c>
      <c r="B855" s="102">
        <v>2500000</v>
      </c>
      <c r="C855" s="102">
        <v>2500000</v>
      </c>
      <c r="D855" s="90" t="s">
        <v>374</v>
      </c>
      <c r="E855" s="90" t="s">
        <v>68</v>
      </c>
      <c r="F855" s="90" t="s">
        <v>375</v>
      </c>
      <c r="G855" s="90" t="s">
        <v>376</v>
      </c>
      <c r="H855" s="90">
        <v>0.59</v>
      </c>
      <c r="I855" s="90">
        <v>0.64</v>
      </c>
      <c r="J855" s="90" t="s">
        <v>381</v>
      </c>
      <c r="K855" s="90">
        <v>2.4808404175469999E-2</v>
      </c>
      <c r="L855" s="90">
        <v>3708.5569020825701</v>
      </c>
      <c r="M855" s="90">
        <v>8.4403678091058403</v>
      </c>
      <c r="N855" s="90">
        <v>1.17893637367032</v>
      </c>
      <c r="O855" s="90">
        <v>0.20939205599798</v>
      </c>
      <c r="P855" s="90">
        <v>2.924753005518E-2</v>
      </c>
      <c r="Q855" s="90">
        <v>92.003378534619301</v>
      </c>
      <c r="R855" s="90">
        <v>3200</v>
      </c>
      <c r="S855" s="90" t="s">
        <v>393</v>
      </c>
      <c r="T855" s="90">
        <v>3200</v>
      </c>
      <c r="U855" s="90" t="s">
        <v>382</v>
      </c>
      <c r="V855" s="90" t="s">
        <v>381</v>
      </c>
      <c r="Y855" s="90" t="s">
        <v>389</v>
      </c>
      <c r="Z855" s="90">
        <v>0</v>
      </c>
      <c r="AA855" s="90">
        <v>1</v>
      </c>
      <c r="AB855" s="90">
        <v>0.20939205599798</v>
      </c>
      <c r="AC855" s="90">
        <v>2.924753005518E-2</v>
      </c>
      <c r="AD855" s="90">
        <v>92.003378534621206</v>
      </c>
      <c r="AF855" s="90">
        <v>-1</v>
      </c>
      <c r="AG855" s="90">
        <v>-1</v>
      </c>
      <c r="AH855" s="90">
        <v>-1</v>
      </c>
      <c r="AI855" s="90">
        <v>-1</v>
      </c>
      <c r="AJ855" s="90">
        <v>0</v>
      </c>
      <c r="AM855" s="90" t="s">
        <v>379</v>
      </c>
      <c r="AN855" s="90">
        <v>-1</v>
      </c>
      <c r="AQ855" s="90">
        <v>356</v>
      </c>
      <c r="AR855" s="90" t="s">
        <v>380</v>
      </c>
      <c r="AS855" s="90" t="s">
        <v>246</v>
      </c>
      <c r="AT855" s="90" t="s">
        <v>244</v>
      </c>
      <c r="AU855" s="90">
        <v>175.87190000000001</v>
      </c>
      <c r="AV855" s="90">
        <v>103.83744973367899</v>
      </c>
      <c r="AW855" s="90">
        <v>100.396049767025</v>
      </c>
      <c r="AX855" s="90">
        <v>7.46175008E-2</v>
      </c>
    </row>
    <row r="856" spans="1:50" x14ac:dyDescent="0.25">
      <c r="A856" s="102">
        <v>830000</v>
      </c>
      <c r="B856" s="102">
        <v>2500000</v>
      </c>
      <c r="C856" s="102">
        <v>2500000</v>
      </c>
      <c r="D856" s="90" t="s">
        <v>374</v>
      </c>
      <c r="E856" s="90" t="s">
        <v>68</v>
      </c>
      <c r="F856" s="90" t="s">
        <v>375</v>
      </c>
      <c r="G856" s="90" t="s">
        <v>376</v>
      </c>
      <c r="H856" s="90">
        <v>0.59</v>
      </c>
      <c r="I856" s="90">
        <v>0.64</v>
      </c>
      <c r="J856" s="90" t="s">
        <v>381</v>
      </c>
      <c r="K856" s="90">
        <v>0.26459025016366999</v>
      </c>
      <c r="L856" s="90">
        <v>3708.5569020825701</v>
      </c>
      <c r="M856" s="90">
        <v>8.4403678091058403</v>
      </c>
      <c r="N856" s="90">
        <v>1.17893637367032</v>
      </c>
      <c r="O856" s="90">
        <v>2.23323903008473</v>
      </c>
      <c r="P856" s="90">
        <v>0.31193507003648002</v>
      </c>
      <c r="Q856" s="90">
        <v>981.24799846824703</v>
      </c>
      <c r="R856" s="90">
        <v>8140</v>
      </c>
      <c r="S856" s="90" t="s">
        <v>386</v>
      </c>
      <c r="T856" s="90">
        <v>8140</v>
      </c>
      <c r="U856" s="90" t="s">
        <v>382</v>
      </c>
      <c r="V856" s="90" t="s">
        <v>381</v>
      </c>
      <c r="Z856" s="90">
        <v>0</v>
      </c>
      <c r="AA856" s="90">
        <v>1</v>
      </c>
      <c r="AB856" s="90">
        <v>2.23323903008473</v>
      </c>
      <c r="AC856" s="90">
        <v>0.31193507003648002</v>
      </c>
      <c r="AD856" s="90">
        <v>981.24799846824703</v>
      </c>
      <c r="AF856" s="90">
        <v>-1</v>
      </c>
      <c r="AG856" s="90">
        <v>-1</v>
      </c>
      <c r="AH856" s="90">
        <v>-1</v>
      </c>
      <c r="AI856" s="90">
        <v>-1</v>
      </c>
      <c r="AJ856" s="90">
        <v>0</v>
      </c>
      <c r="AM856" s="90" t="s">
        <v>379</v>
      </c>
      <c r="AN856" s="90">
        <v>-1</v>
      </c>
      <c r="AQ856" s="90">
        <v>356</v>
      </c>
      <c r="AR856" s="90" t="s">
        <v>380</v>
      </c>
      <c r="AS856" s="90" t="s">
        <v>246</v>
      </c>
      <c r="AT856" s="90" t="s">
        <v>244</v>
      </c>
      <c r="AU856" s="90">
        <v>175.87190000000001</v>
      </c>
      <c r="AV856" s="90">
        <v>143.21156385078299</v>
      </c>
      <c r="AW856" s="90">
        <v>1070.7587531792799</v>
      </c>
      <c r="AX856" s="90">
        <v>0.79582157220000005</v>
      </c>
    </row>
    <row r="857" spans="1:50" x14ac:dyDescent="0.25">
      <c r="A857" s="102">
        <v>830000</v>
      </c>
      <c r="B857" s="102">
        <v>2500000</v>
      </c>
      <c r="C857" s="102">
        <v>2500000</v>
      </c>
      <c r="D857" s="90" t="s">
        <v>374</v>
      </c>
      <c r="E857" s="90" t="s">
        <v>68</v>
      </c>
      <c r="F857" s="90" t="s">
        <v>375</v>
      </c>
      <c r="G857" s="90" t="s">
        <v>376</v>
      </c>
      <c r="H857" s="90">
        <v>0.59</v>
      </c>
      <c r="I857" s="90">
        <v>0.64</v>
      </c>
      <c r="J857" s="90" t="s">
        <v>244</v>
      </c>
      <c r="K857" s="90">
        <v>1.9362601269210002E-2</v>
      </c>
      <c r="L857" s="90">
        <v>3708.5569020825701</v>
      </c>
      <c r="M857" s="90">
        <v>8.4403678091058403</v>
      </c>
      <c r="N857" s="90">
        <v>1.17893637367032</v>
      </c>
      <c r="O857" s="90">
        <v>0.16342747645319999</v>
      </c>
      <c r="P857" s="90">
        <v>2.2827274925140001E-2</v>
      </c>
      <c r="Q857" s="90">
        <v>71.807308579205198</v>
      </c>
      <c r="R857" s="90">
        <v>1450</v>
      </c>
      <c r="S857" s="90" t="s">
        <v>391</v>
      </c>
      <c r="T857" s="90">
        <v>1450</v>
      </c>
      <c r="U857" s="90" t="s">
        <v>378</v>
      </c>
      <c r="V857" s="90" t="s">
        <v>244</v>
      </c>
      <c r="Z857" s="90">
        <v>0</v>
      </c>
      <c r="AA857" s="90">
        <v>1</v>
      </c>
      <c r="AB857" s="90">
        <v>0.16342747645319999</v>
      </c>
      <c r="AC857" s="90">
        <v>2.2827274925140001E-2</v>
      </c>
      <c r="AD857" s="90">
        <v>71.807308579205895</v>
      </c>
      <c r="AF857" s="90">
        <v>-1</v>
      </c>
      <c r="AG857" s="90">
        <v>-1</v>
      </c>
      <c r="AH857" s="90">
        <v>-1</v>
      </c>
      <c r="AI857" s="90">
        <v>-1</v>
      </c>
      <c r="AJ857" s="90">
        <v>0</v>
      </c>
      <c r="AM857" s="90" t="s">
        <v>379</v>
      </c>
      <c r="AN857" s="90">
        <v>-1</v>
      </c>
      <c r="AQ857" s="90">
        <v>356</v>
      </c>
      <c r="AR857" s="90" t="s">
        <v>380</v>
      </c>
      <c r="AS857" s="90" t="s">
        <v>246</v>
      </c>
      <c r="AT857" s="90" t="s">
        <v>244</v>
      </c>
      <c r="AU857" s="90">
        <v>175.87190000000001</v>
      </c>
      <c r="AV857" s="90">
        <v>39.8524525318063</v>
      </c>
      <c r="AW857" s="90">
        <v>78.357667300677903</v>
      </c>
      <c r="AX857" s="90">
        <v>5.8237882099999999E-2</v>
      </c>
    </row>
    <row r="858" spans="1:50" x14ac:dyDescent="0.25">
      <c r="A858" s="102">
        <v>830000</v>
      </c>
      <c r="B858" s="102">
        <v>2500000</v>
      </c>
      <c r="C858" s="102">
        <v>2500000</v>
      </c>
      <c r="D858" s="90" t="s">
        <v>374</v>
      </c>
      <c r="E858" s="90" t="s">
        <v>68</v>
      </c>
      <c r="F858" s="90" t="s">
        <v>375</v>
      </c>
      <c r="G858" s="90" t="s">
        <v>376</v>
      </c>
      <c r="H858" s="90">
        <v>0.59</v>
      </c>
      <c r="I858" s="90">
        <v>0.64</v>
      </c>
      <c r="J858" s="90" t="s">
        <v>381</v>
      </c>
      <c r="K858" s="90">
        <v>2.4266438755000001E-4</v>
      </c>
      <c r="L858" s="90">
        <v>3708.5569020825701</v>
      </c>
      <c r="M858" s="90">
        <v>8.4403678091058403</v>
      </c>
      <c r="N858" s="90">
        <v>1.17893637367032</v>
      </c>
      <c r="O858" s="90">
        <v>2.0481766851100001E-3</v>
      </c>
      <c r="P858" s="90">
        <v>2.8608587308E-4</v>
      </c>
      <c r="Q858" s="90">
        <v>0.89993468934930998</v>
      </c>
      <c r="R858" s="90">
        <v>1450</v>
      </c>
      <c r="S858" s="90" t="s">
        <v>391</v>
      </c>
      <c r="T858" s="90">
        <v>1450</v>
      </c>
      <c r="U858" s="90" t="s">
        <v>382</v>
      </c>
      <c r="V858" s="90" t="s">
        <v>381</v>
      </c>
      <c r="Z858" s="90">
        <v>0</v>
      </c>
      <c r="AA858" s="90">
        <v>1</v>
      </c>
      <c r="AB858" s="90">
        <v>2.0481766851100001E-3</v>
      </c>
      <c r="AC858" s="90">
        <v>2.8608587308E-4</v>
      </c>
      <c r="AD858" s="90">
        <v>0.89993468934820997</v>
      </c>
      <c r="AF858" s="90">
        <v>-1</v>
      </c>
      <c r="AG858" s="90">
        <v>-1</v>
      </c>
      <c r="AH858" s="90">
        <v>-1</v>
      </c>
      <c r="AI858" s="90">
        <v>-1</v>
      </c>
      <c r="AJ858" s="90">
        <v>0</v>
      </c>
      <c r="AM858" s="90" t="s">
        <v>379</v>
      </c>
      <c r="AN858" s="90">
        <v>-1</v>
      </c>
      <c r="AQ858" s="90">
        <v>356</v>
      </c>
      <c r="AR858" s="90" t="s">
        <v>380</v>
      </c>
      <c r="AS858" s="90" t="s">
        <v>246</v>
      </c>
      <c r="AT858" s="90" t="s">
        <v>244</v>
      </c>
      <c r="AU858" s="90">
        <v>175.87190000000001</v>
      </c>
      <c r="AV858" s="90">
        <v>11.5191735936809</v>
      </c>
      <c r="AW858" s="90">
        <v>0.98202793525540999</v>
      </c>
      <c r="AX858" s="90">
        <v>7.2987400000000004E-4</v>
      </c>
    </row>
    <row r="859" spans="1:50" x14ac:dyDescent="0.25">
      <c r="A859" s="102">
        <v>830000</v>
      </c>
      <c r="B859" s="102">
        <v>2500000</v>
      </c>
      <c r="C859" s="102">
        <v>2500000</v>
      </c>
      <c r="D859" s="90" t="s">
        <v>374</v>
      </c>
      <c r="E859" s="90" t="s">
        <v>68</v>
      </c>
      <c r="F859" s="90" t="s">
        <v>375</v>
      </c>
      <c r="G859" s="90" t="s">
        <v>376</v>
      </c>
      <c r="H859" s="90">
        <v>0.59</v>
      </c>
      <c r="I859" s="90">
        <v>0.64</v>
      </c>
      <c r="J859" s="90" t="s">
        <v>244</v>
      </c>
      <c r="K859" s="90">
        <v>1.09669465719E-2</v>
      </c>
      <c r="L859" s="90">
        <v>3708.5569020825701</v>
      </c>
      <c r="M859" s="90">
        <v>8.4403678091058403</v>
      </c>
      <c r="N859" s="90">
        <v>1.17893637367032</v>
      </c>
      <c r="O859" s="90">
        <v>9.2565062809679993E-2</v>
      </c>
      <c r="P859" s="90">
        <v>1.2929332221709999E-2</v>
      </c>
      <c r="Q859" s="90">
        <v>40.6715454040053</v>
      </c>
      <c r="R859" s="90">
        <v>1300</v>
      </c>
      <c r="S859" s="90" t="s">
        <v>387</v>
      </c>
      <c r="T859" s="90">
        <v>1300</v>
      </c>
      <c r="U859" s="90" t="s">
        <v>378</v>
      </c>
      <c r="V859" s="90" t="s">
        <v>244</v>
      </c>
      <c r="Z859" s="90">
        <v>0</v>
      </c>
      <c r="AA859" s="90">
        <v>1</v>
      </c>
      <c r="AB859" s="90">
        <v>9.2565062809679993E-2</v>
      </c>
      <c r="AC859" s="90">
        <v>1.2929332221709999E-2</v>
      </c>
      <c r="AD859" s="90">
        <v>40.671545404007198</v>
      </c>
      <c r="AF859" s="90">
        <v>-1</v>
      </c>
      <c r="AG859" s="90">
        <v>-1</v>
      </c>
      <c r="AH859" s="90">
        <v>-1</v>
      </c>
      <c r="AI859" s="90">
        <v>-1</v>
      </c>
      <c r="AJ859" s="90">
        <v>0</v>
      </c>
      <c r="AM859" s="90" t="s">
        <v>379</v>
      </c>
      <c r="AN859" s="90">
        <v>-1</v>
      </c>
      <c r="AQ859" s="90">
        <v>356</v>
      </c>
      <c r="AR859" s="90" t="s">
        <v>380</v>
      </c>
      <c r="AS859" s="90" t="s">
        <v>246</v>
      </c>
      <c r="AT859" s="90" t="s">
        <v>244</v>
      </c>
      <c r="AU859" s="90">
        <v>175.87190000000001</v>
      </c>
      <c r="AV859" s="90">
        <v>28.286281267753399</v>
      </c>
      <c r="AW859" s="90">
        <v>44.381658168629301</v>
      </c>
      <c r="AX859" s="90">
        <v>3.2985843799999998E-2</v>
      </c>
    </row>
    <row r="860" spans="1:50" x14ac:dyDescent="0.25">
      <c r="A860" s="102">
        <v>830000</v>
      </c>
      <c r="B860" s="102">
        <v>2500000</v>
      </c>
      <c r="C860" s="102">
        <v>2500000</v>
      </c>
      <c r="D860" s="90" t="s">
        <v>374</v>
      </c>
      <c r="E860" s="90" t="s">
        <v>68</v>
      </c>
      <c r="F860" s="90" t="s">
        <v>375</v>
      </c>
      <c r="G860" s="90" t="s">
        <v>376</v>
      </c>
      <c r="H860" s="90">
        <v>0.59</v>
      </c>
      <c r="I860" s="90">
        <v>0.64</v>
      </c>
      <c r="J860" s="90" t="s">
        <v>244</v>
      </c>
      <c r="K860" s="90">
        <v>2.0915890345399998E-3</v>
      </c>
      <c r="L860" s="90">
        <v>3761.1396029646198</v>
      </c>
      <c r="M860" s="90">
        <v>11.123969252329999</v>
      </c>
      <c r="N860" s="90">
        <v>1.85121619071196</v>
      </c>
      <c r="O860" s="90">
        <v>2.3266772108770001E-2</v>
      </c>
      <c r="P860" s="90">
        <v>3.8719834850599998E-3</v>
      </c>
      <c r="Q860" s="90">
        <v>7.8667583509499703</v>
      </c>
      <c r="R860" s="90">
        <v>1400</v>
      </c>
      <c r="S860" s="90" t="s">
        <v>324</v>
      </c>
      <c r="T860" s="90">
        <v>1400</v>
      </c>
      <c r="U860" s="90" t="s">
        <v>378</v>
      </c>
      <c r="V860" s="90" t="s">
        <v>244</v>
      </c>
      <c r="Z860" s="90">
        <v>0</v>
      </c>
      <c r="AA860" s="90">
        <v>1</v>
      </c>
      <c r="AB860" s="90">
        <v>2.3266772108770001E-2</v>
      </c>
      <c r="AC860" s="90">
        <v>3.8719834850599998E-3</v>
      </c>
      <c r="AD860" s="90">
        <v>7.8667583509485803</v>
      </c>
      <c r="AF860" s="90">
        <v>-1</v>
      </c>
      <c r="AG860" s="90">
        <v>-1</v>
      </c>
      <c r="AH860" s="90">
        <v>-1</v>
      </c>
      <c r="AI860" s="90">
        <v>-1</v>
      </c>
      <c r="AJ860" s="90">
        <v>0</v>
      </c>
      <c r="AM860" s="90" t="s">
        <v>379</v>
      </c>
      <c r="AN860" s="90">
        <v>-1</v>
      </c>
      <c r="AQ860" s="90">
        <v>356</v>
      </c>
      <c r="AR860" s="90" t="s">
        <v>380</v>
      </c>
      <c r="AS860" s="90" t="s">
        <v>246</v>
      </c>
      <c r="AT860" s="90" t="s">
        <v>244</v>
      </c>
      <c r="AU860" s="90">
        <v>175.87190000000001</v>
      </c>
      <c r="AV860" s="90">
        <v>100.342327182465</v>
      </c>
      <c r="AW860" s="90">
        <v>8.4643605174643195</v>
      </c>
      <c r="AX860" s="90">
        <v>6.3801771000000004E-3</v>
      </c>
    </row>
    <row r="861" spans="1:50" x14ac:dyDescent="0.25">
      <c r="A861" s="102">
        <v>830000</v>
      </c>
      <c r="B861" s="102">
        <v>2500000</v>
      </c>
      <c r="C861" s="102">
        <v>2500000</v>
      </c>
      <c r="D861" s="90" t="s">
        <v>374</v>
      </c>
      <c r="E861" s="90" t="s">
        <v>68</v>
      </c>
      <c r="F861" s="90" t="s">
        <v>375</v>
      </c>
      <c r="G861" s="90" t="s">
        <v>376</v>
      </c>
      <c r="H861" s="90">
        <v>0.59</v>
      </c>
      <c r="I861" s="90">
        <v>0.64</v>
      </c>
      <c r="J861" s="90" t="s">
        <v>381</v>
      </c>
      <c r="K861" s="90">
        <v>0.25417821560474002</v>
      </c>
      <c r="L861" s="90">
        <v>3761.1396029646198</v>
      </c>
      <c r="M861" s="90">
        <v>11.123969252329999</v>
      </c>
      <c r="N861" s="90">
        <v>1.85121619071196</v>
      </c>
      <c r="O861" s="90">
        <v>2.82747065499932</v>
      </c>
      <c r="P861" s="90">
        <v>0.47053882805378</v>
      </c>
      <c r="Q861" s="90">
        <v>955.99975292189299</v>
      </c>
      <c r="R861" s="90">
        <v>1400</v>
      </c>
      <c r="S861" s="90" t="s">
        <v>324</v>
      </c>
      <c r="T861" s="90">
        <v>1400</v>
      </c>
      <c r="U861" s="90" t="s">
        <v>382</v>
      </c>
      <c r="V861" s="90" t="s">
        <v>381</v>
      </c>
      <c r="Z861" s="90">
        <v>0</v>
      </c>
      <c r="AA861" s="90">
        <v>1</v>
      </c>
      <c r="AB861" s="90">
        <v>2.82747065499932</v>
      </c>
      <c r="AC861" s="90">
        <v>0.47053882805378</v>
      </c>
      <c r="AD861" s="90">
        <v>955.99975292189299</v>
      </c>
      <c r="AF861" s="90">
        <v>-1</v>
      </c>
      <c r="AG861" s="90">
        <v>-1</v>
      </c>
      <c r="AH861" s="90">
        <v>-1</v>
      </c>
      <c r="AI861" s="90">
        <v>-1</v>
      </c>
      <c r="AJ861" s="90">
        <v>0</v>
      </c>
      <c r="AM861" s="90" t="s">
        <v>379</v>
      </c>
      <c r="AN861" s="90">
        <v>-1</v>
      </c>
      <c r="AQ861" s="90">
        <v>356</v>
      </c>
      <c r="AR861" s="90" t="s">
        <v>380</v>
      </c>
      <c r="AS861" s="90" t="s">
        <v>246</v>
      </c>
      <c r="AT861" s="90" t="s">
        <v>244</v>
      </c>
      <c r="AU861" s="90">
        <v>175.87190000000001</v>
      </c>
      <c r="AV861" s="90">
        <v>141.146786412648</v>
      </c>
      <c r="AW861" s="90">
        <v>1028.6227442542399</v>
      </c>
      <c r="AX861" s="90">
        <v>0.77534448739999995</v>
      </c>
    </row>
    <row r="862" spans="1:50" x14ac:dyDescent="0.25">
      <c r="A862" s="102">
        <v>830000</v>
      </c>
      <c r="B862" s="102">
        <v>2500000</v>
      </c>
      <c r="C862" s="102">
        <v>2500000</v>
      </c>
      <c r="D862" s="90" t="s">
        <v>374</v>
      </c>
      <c r="E862" s="90" t="s">
        <v>68</v>
      </c>
      <c r="F862" s="90" t="s">
        <v>375</v>
      </c>
      <c r="G862" s="90" t="s">
        <v>376</v>
      </c>
      <c r="H862" s="90">
        <v>0.59</v>
      </c>
      <c r="I862" s="90">
        <v>0.64</v>
      </c>
      <c r="J862" s="90" t="s">
        <v>244</v>
      </c>
      <c r="K862" s="90">
        <v>0.36149364895958003</v>
      </c>
      <c r="L862" s="90">
        <v>3761.1396029646198</v>
      </c>
      <c r="M862" s="90">
        <v>11.123969252329999</v>
      </c>
      <c r="N862" s="90">
        <v>1.85121619071196</v>
      </c>
      <c r="O862" s="90">
        <v>4.0212442359389797</v>
      </c>
      <c r="P862" s="90">
        <v>0.66920289579351999</v>
      </c>
      <c r="Q862" s="90">
        <v>1359.6280793220701</v>
      </c>
      <c r="R862" s="90">
        <v>1300</v>
      </c>
      <c r="S862" s="90" t="s">
        <v>387</v>
      </c>
      <c r="T862" s="90">
        <v>1300</v>
      </c>
      <c r="U862" s="90" t="s">
        <v>378</v>
      </c>
      <c r="V862" s="90" t="s">
        <v>244</v>
      </c>
      <c r="Z862" s="90">
        <v>0</v>
      </c>
      <c r="AA862" s="90">
        <v>1</v>
      </c>
      <c r="AB862" s="90">
        <v>4.0212442359389797</v>
      </c>
      <c r="AC862" s="90">
        <v>0.66920289579351999</v>
      </c>
      <c r="AD862" s="90">
        <v>1359.6280793220701</v>
      </c>
      <c r="AF862" s="90">
        <v>-1</v>
      </c>
      <c r="AG862" s="90">
        <v>-1</v>
      </c>
      <c r="AH862" s="90">
        <v>-1</v>
      </c>
      <c r="AI862" s="90">
        <v>-1</v>
      </c>
      <c r="AJ862" s="90">
        <v>0</v>
      </c>
      <c r="AM862" s="90" t="s">
        <v>379</v>
      </c>
      <c r="AN862" s="90">
        <v>-1</v>
      </c>
      <c r="AQ862" s="90">
        <v>356</v>
      </c>
      <c r="AR862" s="90" t="s">
        <v>380</v>
      </c>
      <c r="AS862" s="90" t="s">
        <v>246</v>
      </c>
      <c r="AT862" s="90" t="s">
        <v>244</v>
      </c>
      <c r="AU862" s="90">
        <v>175.87190000000001</v>
      </c>
      <c r="AV862" s="90">
        <v>158.51839191731901</v>
      </c>
      <c r="AW862" s="90">
        <v>1462.91289494889</v>
      </c>
      <c r="AX862" s="90">
        <v>1.1026991721999999</v>
      </c>
    </row>
    <row r="863" spans="1:50" x14ac:dyDescent="0.25">
      <c r="A863" s="102">
        <v>830000</v>
      </c>
      <c r="B863" s="102">
        <v>2500000</v>
      </c>
      <c r="C863" s="102">
        <v>2500000</v>
      </c>
      <c r="D863" s="90" t="s">
        <v>374</v>
      </c>
      <c r="E863" s="90" t="s">
        <v>68</v>
      </c>
      <c r="F863" s="90" t="s">
        <v>375</v>
      </c>
      <c r="G863" s="90" t="s">
        <v>376</v>
      </c>
      <c r="H863" s="90">
        <v>0.59</v>
      </c>
      <c r="I863" s="90">
        <v>0.64</v>
      </c>
      <c r="J863" s="90" t="s">
        <v>244</v>
      </c>
      <c r="K863" s="90">
        <v>0.53785206675325004</v>
      </c>
      <c r="L863" s="90">
        <v>3777.8979845968502</v>
      </c>
      <c r="M863" s="90">
        <v>11.607767304292</v>
      </c>
      <c r="N863" s="90">
        <v>1.53251645442976</v>
      </c>
      <c r="O863" s="90">
        <v>6.2432616350042904</v>
      </c>
      <c r="P863" s="90">
        <v>0.82426714234841003</v>
      </c>
      <c r="Q863" s="90">
        <v>2031.95023899836</v>
      </c>
      <c r="R863" s="90">
        <v>1410</v>
      </c>
      <c r="S863" s="90" t="s">
        <v>325</v>
      </c>
      <c r="T863" s="90">
        <v>1410</v>
      </c>
      <c r="U863" s="90" t="s">
        <v>378</v>
      </c>
      <c r="V863" s="90" t="s">
        <v>244</v>
      </c>
      <c r="Z863" s="90">
        <v>0</v>
      </c>
      <c r="AA863" s="90">
        <v>1</v>
      </c>
      <c r="AB863" s="90">
        <v>6.2432616350042904</v>
      </c>
      <c r="AC863" s="90">
        <v>0.82426714234841003</v>
      </c>
      <c r="AD863" s="90">
        <v>2031.95023899836</v>
      </c>
      <c r="AF863" s="90">
        <v>-1</v>
      </c>
      <c r="AG863" s="90">
        <v>-1</v>
      </c>
      <c r="AH863" s="90">
        <v>-1</v>
      </c>
      <c r="AI863" s="90">
        <v>-1</v>
      </c>
      <c r="AJ863" s="90">
        <v>0</v>
      </c>
      <c r="AM863" s="90" t="s">
        <v>379</v>
      </c>
      <c r="AN863" s="90">
        <v>-1</v>
      </c>
      <c r="AQ863" s="90">
        <v>356</v>
      </c>
      <c r="AR863" s="90" t="s">
        <v>380</v>
      </c>
      <c r="AS863" s="90" t="s">
        <v>246</v>
      </c>
      <c r="AT863" s="90" t="s">
        <v>244</v>
      </c>
      <c r="AU863" s="90">
        <v>175.87190000000001</v>
      </c>
      <c r="AV863" s="90">
        <v>187.099757487494</v>
      </c>
      <c r="AW863" s="90">
        <v>2176.6100906415099</v>
      </c>
      <c r="AX863" s="90">
        <v>1.6479726187999999</v>
      </c>
    </row>
    <row r="864" spans="1:50" x14ac:dyDescent="0.25">
      <c r="A864" s="102">
        <v>830000</v>
      </c>
      <c r="B864" s="102">
        <v>2500000</v>
      </c>
      <c r="C864" s="102">
        <v>2500000</v>
      </c>
      <c r="D864" s="90" t="s">
        <v>374</v>
      </c>
      <c r="E864" s="90" t="s">
        <v>68</v>
      </c>
      <c r="F864" s="90" t="s">
        <v>375</v>
      </c>
      <c r="G864" s="90" t="s">
        <v>376</v>
      </c>
      <c r="H864" s="90">
        <v>0.59</v>
      </c>
      <c r="I864" s="90">
        <v>0.64</v>
      </c>
      <c r="J864" s="90" t="s">
        <v>244</v>
      </c>
      <c r="K864" s="90">
        <v>7.9911387121780003E-2</v>
      </c>
      <c r="L864" s="90">
        <v>3777.8979845968502</v>
      </c>
      <c r="M864" s="90">
        <v>11.607767304292</v>
      </c>
      <c r="N864" s="90">
        <v>1.53251645442976</v>
      </c>
      <c r="O864" s="90">
        <v>0.92759278667283995</v>
      </c>
      <c r="P864" s="90">
        <v>0.12246551566043</v>
      </c>
      <c r="Q864" s="90">
        <v>301.89706835371902</v>
      </c>
      <c r="R864" s="90">
        <v>1410</v>
      </c>
      <c r="S864" s="90" t="s">
        <v>325</v>
      </c>
      <c r="T864" s="90">
        <v>1410</v>
      </c>
      <c r="U864" s="90" t="s">
        <v>378</v>
      </c>
      <c r="V864" s="90" t="s">
        <v>244</v>
      </c>
      <c r="Z864" s="90">
        <v>0</v>
      </c>
      <c r="AA864" s="90">
        <v>1</v>
      </c>
      <c r="AB864" s="90">
        <v>0.92759278667283995</v>
      </c>
      <c r="AC864" s="90">
        <v>0.12246551566043</v>
      </c>
      <c r="AD864" s="90">
        <v>301.897068353718</v>
      </c>
      <c r="AF864" s="90">
        <v>-1</v>
      </c>
      <c r="AG864" s="90">
        <v>-1</v>
      </c>
      <c r="AH864" s="90">
        <v>-1</v>
      </c>
      <c r="AI864" s="90">
        <v>-1</v>
      </c>
      <c r="AJ864" s="90">
        <v>0</v>
      </c>
      <c r="AM864" s="90" t="s">
        <v>379</v>
      </c>
      <c r="AN864" s="90">
        <v>-1</v>
      </c>
      <c r="AQ864" s="90">
        <v>356</v>
      </c>
      <c r="AR864" s="90" t="s">
        <v>380</v>
      </c>
      <c r="AS864" s="90" t="s">
        <v>246</v>
      </c>
      <c r="AT864" s="90" t="s">
        <v>244</v>
      </c>
      <c r="AU864" s="90">
        <v>175.87190000000001</v>
      </c>
      <c r="AV864" s="90">
        <v>112.97095114232999</v>
      </c>
      <c r="AW864" s="90">
        <v>323.38991019667498</v>
      </c>
      <c r="AX864" s="90">
        <v>0.24484758179999999</v>
      </c>
    </row>
    <row r="865" spans="1:50" x14ac:dyDescent="0.25">
      <c r="A865" s="102">
        <v>830000</v>
      </c>
      <c r="B865" s="102">
        <v>2500000</v>
      </c>
      <c r="C865" s="102">
        <v>2500000</v>
      </c>
      <c r="D865" s="90" t="s">
        <v>374</v>
      </c>
      <c r="E865" s="90" t="s">
        <v>68</v>
      </c>
      <c r="F865" s="90" t="s">
        <v>375</v>
      </c>
      <c r="G865" s="90" t="s">
        <v>376</v>
      </c>
      <c r="H865" s="90">
        <v>0.59</v>
      </c>
      <c r="I865" s="90">
        <v>0.64</v>
      </c>
      <c r="J865" s="90" t="s">
        <v>244</v>
      </c>
      <c r="K865" s="90">
        <v>3.0961318376200001E-3</v>
      </c>
      <c r="L865" s="90">
        <v>3772.9060180299298</v>
      </c>
      <c r="M865" s="90">
        <v>11.360602242922999</v>
      </c>
      <c r="N865" s="90">
        <v>1.4992011151718401</v>
      </c>
      <c r="O865" s="90">
        <v>3.5173922298870001E-2</v>
      </c>
      <c r="P865" s="90">
        <v>4.6417243036800003E-3</v>
      </c>
      <c r="Q865" s="90">
        <v>11.681414442778101</v>
      </c>
      <c r="R865" s="90">
        <v>1400</v>
      </c>
      <c r="S865" s="90" t="s">
        <v>324</v>
      </c>
      <c r="T865" s="90">
        <v>1400</v>
      </c>
      <c r="U865" s="90" t="s">
        <v>378</v>
      </c>
      <c r="V865" s="90" t="s">
        <v>244</v>
      </c>
      <c r="Z865" s="90">
        <v>0</v>
      </c>
      <c r="AA865" s="90">
        <v>1</v>
      </c>
      <c r="AB865" s="90">
        <v>3.5173922298870001E-2</v>
      </c>
      <c r="AC865" s="90">
        <v>4.6417243036800003E-3</v>
      </c>
      <c r="AD865" s="90">
        <v>11.6814144427786</v>
      </c>
      <c r="AF865" s="90">
        <v>-1</v>
      </c>
      <c r="AG865" s="90">
        <v>-1</v>
      </c>
      <c r="AH865" s="90">
        <v>-1</v>
      </c>
      <c r="AI865" s="90">
        <v>-1</v>
      </c>
      <c r="AJ865" s="90">
        <v>0</v>
      </c>
      <c r="AM865" s="90" t="s">
        <v>379</v>
      </c>
      <c r="AN865" s="90">
        <v>-1</v>
      </c>
      <c r="AQ865" s="90">
        <v>356</v>
      </c>
      <c r="AR865" s="90" t="s">
        <v>380</v>
      </c>
      <c r="AS865" s="90" t="s">
        <v>246</v>
      </c>
      <c r="AT865" s="90" t="s">
        <v>244</v>
      </c>
      <c r="AU865" s="90">
        <v>175.87190000000001</v>
      </c>
      <c r="AV865" s="90">
        <v>102.011982659298</v>
      </c>
      <c r="AW865" s="90">
        <v>12.529601011678301</v>
      </c>
      <c r="AX865" s="90">
        <v>9.4739777000000004E-3</v>
      </c>
    </row>
    <row r="866" spans="1:50" x14ac:dyDescent="0.25">
      <c r="A866" s="102">
        <v>830000</v>
      </c>
      <c r="B866" s="102">
        <v>2500000</v>
      </c>
      <c r="C866" s="102">
        <v>2500000</v>
      </c>
      <c r="D866" s="90" t="s">
        <v>374</v>
      </c>
      <c r="E866" s="90" t="s">
        <v>68</v>
      </c>
      <c r="F866" s="90" t="s">
        <v>375</v>
      </c>
      <c r="G866" s="90" t="s">
        <v>376</v>
      </c>
      <c r="H866" s="90">
        <v>0.59</v>
      </c>
      <c r="I866" s="90">
        <v>0.64</v>
      </c>
      <c r="J866" s="90" t="s">
        <v>381</v>
      </c>
      <c r="K866" s="90">
        <v>7.0378142290850002E-2</v>
      </c>
      <c r="L866" s="90">
        <v>3772.9060180299298</v>
      </c>
      <c r="M866" s="90">
        <v>11.360602242922999</v>
      </c>
      <c r="N866" s="90">
        <v>1.4992011151718401</v>
      </c>
      <c r="O866" s="90">
        <v>0.79953808116227998</v>
      </c>
      <c r="P866" s="90">
        <v>0.10551098940617</v>
      </c>
      <c r="Q866" s="90">
        <v>265.53011658694498</v>
      </c>
      <c r="R866" s="90">
        <v>1400</v>
      </c>
      <c r="S866" s="90" t="s">
        <v>324</v>
      </c>
      <c r="T866" s="90">
        <v>1400</v>
      </c>
      <c r="U866" s="90" t="s">
        <v>382</v>
      </c>
      <c r="V866" s="90" t="s">
        <v>381</v>
      </c>
      <c r="Z866" s="90">
        <v>0</v>
      </c>
      <c r="AA866" s="90">
        <v>1</v>
      </c>
      <c r="AB866" s="90">
        <v>0.79953808116227998</v>
      </c>
      <c r="AC866" s="90">
        <v>0.10551098940617</v>
      </c>
      <c r="AD866" s="90">
        <v>265.53011658694498</v>
      </c>
      <c r="AF866" s="90">
        <v>-1</v>
      </c>
      <c r="AG866" s="90">
        <v>-1</v>
      </c>
      <c r="AH866" s="90">
        <v>-1</v>
      </c>
      <c r="AI866" s="90">
        <v>-1</v>
      </c>
      <c r="AJ866" s="90">
        <v>0</v>
      </c>
      <c r="AM866" s="90" t="s">
        <v>379</v>
      </c>
      <c r="AN866" s="90">
        <v>-1</v>
      </c>
      <c r="AQ866" s="90">
        <v>356</v>
      </c>
      <c r="AR866" s="90" t="s">
        <v>380</v>
      </c>
      <c r="AS866" s="90" t="s">
        <v>246</v>
      </c>
      <c r="AT866" s="90" t="s">
        <v>244</v>
      </c>
      <c r="AU866" s="90">
        <v>175.87190000000001</v>
      </c>
      <c r="AV866" s="90">
        <v>108.355082948335</v>
      </c>
      <c r="AW866" s="90">
        <v>284.81023712633902</v>
      </c>
      <c r="AX866" s="90">
        <v>0.21535289260000001</v>
      </c>
    </row>
    <row r="867" spans="1:50" x14ac:dyDescent="0.25">
      <c r="A867" s="102">
        <v>830000</v>
      </c>
      <c r="B867" s="102">
        <v>2500000</v>
      </c>
      <c r="C867" s="102">
        <v>2500000</v>
      </c>
      <c r="D867" s="90" t="s">
        <v>374</v>
      </c>
      <c r="E867" s="90" t="s">
        <v>68</v>
      </c>
      <c r="F867" s="90" t="s">
        <v>375</v>
      </c>
      <c r="G867" s="90" t="s">
        <v>376</v>
      </c>
      <c r="H867" s="90">
        <v>0.59</v>
      </c>
      <c r="I867" s="90">
        <v>0.64</v>
      </c>
      <c r="J867" s="90" t="s">
        <v>389</v>
      </c>
      <c r="K867" s="90">
        <v>6.3107967199999999E-5</v>
      </c>
      <c r="L867" s="90">
        <v>3772.9060180299298</v>
      </c>
      <c r="M867" s="90">
        <v>11.360602242922999</v>
      </c>
      <c r="N867" s="90">
        <v>1.4992011151718401</v>
      </c>
      <c r="O867" s="90">
        <v>7.1694451381000004E-4</v>
      </c>
      <c r="P867" s="90">
        <v>9.4611534810000003E-5</v>
      </c>
      <c r="Q867" s="90">
        <v>0.23810042926468999</v>
      </c>
      <c r="R867" s="90">
        <v>4200</v>
      </c>
      <c r="S867" s="90" t="s">
        <v>390</v>
      </c>
      <c r="T867" s="90">
        <v>4200</v>
      </c>
      <c r="U867" s="90" t="s">
        <v>378</v>
      </c>
      <c r="V867" s="90" t="s">
        <v>244</v>
      </c>
      <c r="Y867" s="90" t="s">
        <v>389</v>
      </c>
      <c r="Z867" s="90">
        <v>0</v>
      </c>
      <c r="AA867" s="90">
        <v>1</v>
      </c>
      <c r="AB867" s="90">
        <v>7.1694451381000004E-4</v>
      </c>
      <c r="AC867" s="90">
        <v>9.4611534810000003E-5</v>
      </c>
      <c r="AD867" s="90">
        <v>0.23810042926521999</v>
      </c>
      <c r="AF867" s="90">
        <v>-1</v>
      </c>
      <c r="AG867" s="90">
        <v>-1</v>
      </c>
      <c r="AH867" s="90">
        <v>-1</v>
      </c>
      <c r="AI867" s="90">
        <v>-1</v>
      </c>
      <c r="AJ867" s="90">
        <v>0</v>
      </c>
      <c r="AM867" s="90" t="s">
        <v>379</v>
      </c>
      <c r="AN867" s="90">
        <v>-1</v>
      </c>
      <c r="AQ867" s="90">
        <v>356</v>
      </c>
      <c r="AR867" s="90" t="s">
        <v>380</v>
      </c>
      <c r="AS867" s="90" t="s">
        <v>246</v>
      </c>
      <c r="AT867" s="90" t="s">
        <v>244</v>
      </c>
      <c r="AU867" s="90">
        <v>175.87190000000001</v>
      </c>
      <c r="AV867" s="90">
        <v>5.9083834223041203</v>
      </c>
      <c r="AW867" s="90">
        <v>0.25538888240086</v>
      </c>
      <c r="AX867" s="90">
        <v>1.9310660000000001E-4</v>
      </c>
    </row>
    <row r="868" spans="1:50" x14ac:dyDescent="0.25">
      <c r="A868" s="102">
        <v>830000</v>
      </c>
      <c r="B868" s="102">
        <v>2500000</v>
      </c>
      <c r="C868" s="102">
        <v>2500000</v>
      </c>
      <c r="D868" s="90" t="s">
        <v>374</v>
      </c>
      <c r="E868" s="90" t="s">
        <v>68</v>
      </c>
      <c r="F868" s="90" t="s">
        <v>375</v>
      </c>
      <c r="G868" s="90" t="s">
        <v>376</v>
      </c>
      <c r="H868" s="90">
        <v>0.59</v>
      </c>
      <c r="I868" s="90">
        <v>0.64</v>
      </c>
      <c r="J868" s="90" t="s">
        <v>381</v>
      </c>
      <c r="K868" s="90">
        <v>4.6414277327100004E-3</v>
      </c>
      <c r="L868" s="90">
        <v>3772.9060180299298</v>
      </c>
      <c r="M868" s="90">
        <v>11.360602242922999</v>
      </c>
      <c r="N868" s="90">
        <v>1.4992011151718401</v>
      </c>
      <c r="O868" s="90">
        <v>5.2729414310650001E-2</v>
      </c>
      <c r="P868" s="90">
        <v>6.9584336328700003E-3</v>
      </c>
      <c r="Q868" s="90">
        <v>17.511670625015199</v>
      </c>
      <c r="R868" s="90">
        <v>4200</v>
      </c>
      <c r="S868" s="90" t="s">
        <v>390</v>
      </c>
      <c r="T868" s="90">
        <v>4200</v>
      </c>
      <c r="U868" s="90" t="s">
        <v>382</v>
      </c>
      <c r="V868" s="90" t="s">
        <v>381</v>
      </c>
      <c r="Y868" s="90" t="s">
        <v>389</v>
      </c>
      <c r="Z868" s="90">
        <v>0</v>
      </c>
      <c r="AA868" s="90">
        <v>1</v>
      </c>
      <c r="AB868" s="90">
        <v>5.2729414310650001E-2</v>
      </c>
      <c r="AC868" s="90">
        <v>6.9584336328700003E-3</v>
      </c>
      <c r="AD868" s="90">
        <v>17.511670625016698</v>
      </c>
      <c r="AF868" s="90">
        <v>-1</v>
      </c>
      <c r="AG868" s="90">
        <v>-1</v>
      </c>
      <c r="AH868" s="90">
        <v>-1</v>
      </c>
      <c r="AI868" s="90">
        <v>-1</v>
      </c>
      <c r="AJ868" s="90">
        <v>0</v>
      </c>
      <c r="AM868" s="90" t="s">
        <v>379</v>
      </c>
      <c r="AN868" s="90">
        <v>-1</v>
      </c>
      <c r="AQ868" s="90">
        <v>356</v>
      </c>
      <c r="AR868" s="90" t="s">
        <v>380</v>
      </c>
      <c r="AS868" s="90" t="s">
        <v>246</v>
      </c>
      <c r="AT868" s="90" t="s">
        <v>244</v>
      </c>
      <c r="AU868" s="90">
        <v>175.87190000000001</v>
      </c>
      <c r="AV868" s="90">
        <v>18.575140637994799</v>
      </c>
      <c r="AW868" s="90">
        <v>18.783191629248801</v>
      </c>
      <c r="AX868" s="90">
        <v>1.42024904E-2</v>
      </c>
    </row>
    <row r="869" spans="1:50" x14ac:dyDescent="0.25">
      <c r="A869" s="102">
        <v>830000</v>
      </c>
      <c r="B869" s="102">
        <v>2500000</v>
      </c>
      <c r="C869" s="102">
        <v>2500000</v>
      </c>
      <c r="D869" s="90" t="s">
        <v>374</v>
      </c>
      <c r="E869" s="90" t="s">
        <v>68</v>
      </c>
      <c r="F869" s="90" t="s">
        <v>375</v>
      </c>
      <c r="G869" s="90" t="s">
        <v>376</v>
      </c>
      <c r="H869" s="90">
        <v>0.59</v>
      </c>
      <c r="I869" s="90">
        <v>0.64</v>
      </c>
      <c r="J869" s="90" t="s">
        <v>381</v>
      </c>
      <c r="K869" s="90">
        <v>4.4686245717419998E-2</v>
      </c>
      <c r="L869" s="90">
        <v>3772.9060180299298</v>
      </c>
      <c r="M869" s="90">
        <v>11.360602242922999</v>
      </c>
      <c r="N869" s="90">
        <v>1.4992011151718401</v>
      </c>
      <c r="O869" s="90">
        <v>0.50766266332521004</v>
      </c>
      <c r="P869" s="90">
        <v>6.6993669412410001E-2</v>
      </c>
      <c r="Q869" s="90">
        <v>168.597005390444</v>
      </c>
      <c r="R869" s="90">
        <v>8140</v>
      </c>
      <c r="S869" s="90" t="s">
        <v>386</v>
      </c>
      <c r="T869" s="90">
        <v>8140</v>
      </c>
      <c r="U869" s="90" t="s">
        <v>382</v>
      </c>
      <c r="V869" s="90" t="s">
        <v>381</v>
      </c>
      <c r="Z869" s="90">
        <v>0</v>
      </c>
      <c r="AA869" s="90">
        <v>1</v>
      </c>
      <c r="AB869" s="90">
        <v>0.50766266332521004</v>
      </c>
      <c r="AC869" s="90">
        <v>6.6993669412410001E-2</v>
      </c>
      <c r="AD869" s="90">
        <v>168.59700539044201</v>
      </c>
      <c r="AF869" s="90">
        <v>-1</v>
      </c>
      <c r="AG869" s="90">
        <v>-1</v>
      </c>
      <c r="AH869" s="90">
        <v>-1</v>
      </c>
      <c r="AI869" s="90">
        <v>-1</v>
      </c>
      <c r="AJ869" s="90">
        <v>0</v>
      </c>
      <c r="AM869" s="90" t="s">
        <v>379</v>
      </c>
      <c r="AN869" s="90">
        <v>-1</v>
      </c>
      <c r="AQ869" s="90">
        <v>356</v>
      </c>
      <c r="AR869" s="90" t="s">
        <v>380</v>
      </c>
      <c r="AS869" s="90" t="s">
        <v>246</v>
      </c>
      <c r="AT869" s="90" t="s">
        <v>244</v>
      </c>
      <c r="AU869" s="90">
        <v>175.87190000000001</v>
      </c>
      <c r="AV869" s="90">
        <v>104.608291479823</v>
      </c>
      <c r="AW869" s="90">
        <v>180.838820474512</v>
      </c>
      <c r="AX869" s="90">
        <v>0.13673723060000001</v>
      </c>
    </row>
    <row r="870" spans="1:50" x14ac:dyDescent="0.25">
      <c r="A870" s="102">
        <v>830000</v>
      </c>
      <c r="B870" s="102">
        <v>2500000</v>
      </c>
      <c r="C870" s="102">
        <v>2500000</v>
      </c>
      <c r="D870" s="90" t="s">
        <v>374</v>
      </c>
      <c r="E870" s="90" t="s">
        <v>68</v>
      </c>
      <c r="F870" s="90" t="s">
        <v>375</v>
      </c>
      <c r="G870" s="90" t="s">
        <v>376</v>
      </c>
      <c r="H870" s="90">
        <v>0.59</v>
      </c>
      <c r="I870" s="90">
        <v>0.64</v>
      </c>
      <c r="J870" s="90" t="s">
        <v>244</v>
      </c>
      <c r="K870" s="90">
        <v>0.49489839832920002</v>
      </c>
      <c r="L870" s="90">
        <v>3772.9060180299298</v>
      </c>
      <c r="M870" s="90">
        <v>11.360602242922999</v>
      </c>
      <c r="N870" s="90">
        <v>1.4992011151718401</v>
      </c>
      <c r="O870" s="90">
        <v>5.6223438540777702</v>
      </c>
      <c r="P870" s="90">
        <v>0.74195223067189997</v>
      </c>
      <c r="Q870" s="90">
        <v>1867.2051453696199</v>
      </c>
      <c r="R870" s="90">
        <v>1410</v>
      </c>
      <c r="S870" s="90" t="s">
        <v>325</v>
      </c>
      <c r="T870" s="90">
        <v>1410</v>
      </c>
      <c r="U870" s="90" t="s">
        <v>378</v>
      </c>
      <c r="V870" s="90" t="s">
        <v>244</v>
      </c>
      <c r="Z870" s="90">
        <v>0</v>
      </c>
      <c r="AA870" s="90">
        <v>1</v>
      </c>
      <c r="AB870" s="90">
        <v>5.6223438540777702</v>
      </c>
      <c r="AC870" s="90">
        <v>0.74195223067189997</v>
      </c>
      <c r="AD870" s="90">
        <v>1867.2051453696199</v>
      </c>
      <c r="AF870" s="90">
        <v>-1</v>
      </c>
      <c r="AG870" s="90">
        <v>-1</v>
      </c>
      <c r="AH870" s="90">
        <v>-1</v>
      </c>
      <c r="AI870" s="90">
        <v>-1</v>
      </c>
      <c r="AJ870" s="90">
        <v>0</v>
      </c>
      <c r="AM870" s="90" t="s">
        <v>379</v>
      </c>
      <c r="AN870" s="90">
        <v>-1</v>
      </c>
      <c r="AQ870" s="90">
        <v>356</v>
      </c>
      <c r="AR870" s="90" t="s">
        <v>380</v>
      </c>
      <c r="AS870" s="90" t="s">
        <v>246</v>
      </c>
      <c r="AT870" s="90" t="s">
        <v>244</v>
      </c>
      <c r="AU870" s="90">
        <v>175.87190000000001</v>
      </c>
      <c r="AV870" s="90">
        <v>177.72262567604801</v>
      </c>
      <c r="AW870" s="90">
        <v>2002.7827617140099</v>
      </c>
      <c r="AX870" s="90">
        <v>1.5143594041999999</v>
      </c>
    </row>
    <row r="871" spans="1:50" x14ac:dyDescent="0.25">
      <c r="A871" s="102">
        <v>830000</v>
      </c>
      <c r="B871" s="102">
        <v>2500000</v>
      </c>
      <c r="C871" s="102">
        <v>2500000</v>
      </c>
      <c r="D871" s="90" t="s">
        <v>374</v>
      </c>
      <c r="E871" s="90" t="s">
        <v>68</v>
      </c>
      <c r="F871" s="90" t="s">
        <v>375</v>
      </c>
      <c r="G871" s="90" t="s">
        <v>376</v>
      </c>
      <c r="H871" s="90">
        <v>0.59</v>
      </c>
      <c r="I871" s="90">
        <v>0.64</v>
      </c>
      <c r="J871" s="90" t="s">
        <v>389</v>
      </c>
      <c r="K871" s="90">
        <v>2.6424694743299999E-3</v>
      </c>
      <c r="L871" s="90">
        <v>3686.87780127324</v>
      </c>
      <c r="M871" s="90">
        <v>7.3753926178670701</v>
      </c>
      <c r="N871" s="90">
        <v>1.0072369128002501</v>
      </c>
      <c r="O871" s="90">
        <v>1.9489249853939999E-2</v>
      </c>
      <c r="P871" s="90">
        <v>2.6615927954900002E-3</v>
      </c>
      <c r="Q871" s="90">
        <v>9.7424620454642099</v>
      </c>
      <c r="R871" s="90">
        <v>4200</v>
      </c>
      <c r="S871" s="90" t="s">
        <v>390</v>
      </c>
      <c r="T871" s="90">
        <v>4200</v>
      </c>
      <c r="U871" s="90" t="s">
        <v>378</v>
      </c>
      <c r="V871" s="90" t="s">
        <v>244</v>
      </c>
      <c r="Y871" s="90" t="s">
        <v>389</v>
      </c>
      <c r="Z871" s="90">
        <v>0</v>
      </c>
      <c r="AA871" s="90">
        <v>1</v>
      </c>
      <c r="AB871" s="90">
        <v>1.9489249853939999E-2</v>
      </c>
      <c r="AC871" s="90">
        <v>2.6615927954900002E-3</v>
      </c>
      <c r="AD871" s="90">
        <v>9.7424620454651301</v>
      </c>
      <c r="AF871" s="90">
        <v>-1</v>
      </c>
      <c r="AG871" s="90">
        <v>-1</v>
      </c>
      <c r="AH871" s="90">
        <v>-1</v>
      </c>
      <c r="AI871" s="90">
        <v>-1</v>
      </c>
      <c r="AJ871" s="90">
        <v>0</v>
      </c>
      <c r="AM871" s="90" t="s">
        <v>379</v>
      </c>
      <c r="AN871" s="90">
        <v>-1</v>
      </c>
      <c r="AQ871" s="90">
        <v>356</v>
      </c>
      <c r="AR871" s="90" t="s">
        <v>380</v>
      </c>
      <c r="AS871" s="90" t="s">
        <v>246</v>
      </c>
      <c r="AT871" s="90" t="s">
        <v>244</v>
      </c>
      <c r="AU871" s="90">
        <v>175.87190000000001</v>
      </c>
      <c r="AV871" s="90">
        <v>54.837609264269297</v>
      </c>
      <c r="AW871" s="90">
        <v>10.693694563205399</v>
      </c>
      <c r="AX871" s="90">
        <v>7.9014290999999993E-3</v>
      </c>
    </row>
    <row r="872" spans="1:50" x14ac:dyDescent="0.25">
      <c r="A872" s="102">
        <v>830000</v>
      </c>
      <c r="B872" s="102">
        <v>2500000</v>
      </c>
      <c r="C872" s="102">
        <v>2500000</v>
      </c>
      <c r="D872" s="90" t="s">
        <v>374</v>
      </c>
      <c r="E872" s="90" t="s">
        <v>68</v>
      </c>
      <c r="F872" s="90" t="s">
        <v>375</v>
      </c>
      <c r="G872" s="90" t="s">
        <v>376</v>
      </c>
      <c r="H872" s="90">
        <v>0.59</v>
      </c>
      <c r="I872" s="90">
        <v>0.64</v>
      </c>
      <c r="J872" s="90" t="s">
        <v>244</v>
      </c>
      <c r="K872" s="90">
        <v>5.084836442863E-2</v>
      </c>
      <c r="L872" s="90">
        <v>3755.67757311475</v>
      </c>
      <c r="M872" s="90">
        <v>11.441295351961299</v>
      </c>
      <c r="N872" s="90">
        <v>1.51139291177591</v>
      </c>
      <c r="O872" s="90">
        <v>0.58177115559216996</v>
      </c>
      <c r="P872" s="90">
        <v>7.6851857572830001E-2</v>
      </c>
      <c r="Q872" s="90">
        <v>190.97006191419001</v>
      </c>
      <c r="R872" s="90">
        <v>1400</v>
      </c>
      <c r="S872" s="90" t="s">
        <v>324</v>
      </c>
      <c r="T872" s="90">
        <v>1400</v>
      </c>
      <c r="U872" s="90" t="s">
        <v>378</v>
      </c>
      <c r="V872" s="90" t="s">
        <v>244</v>
      </c>
      <c r="Z872" s="90">
        <v>0</v>
      </c>
      <c r="AA872" s="90">
        <v>1</v>
      </c>
      <c r="AB872" s="90">
        <v>0.58177115559216996</v>
      </c>
      <c r="AC872" s="90">
        <v>7.6851857572830001E-2</v>
      </c>
      <c r="AD872" s="90">
        <v>190.97006191418899</v>
      </c>
      <c r="AF872" s="90">
        <v>-1</v>
      </c>
      <c r="AG872" s="90">
        <v>-1</v>
      </c>
      <c r="AH872" s="90">
        <v>-1</v>
      </c>
      <c r="AI872" s="90">
        <v>-1</v>
      </c>
      <c r="AJ872" s="90">
        <v>0</v>
      </c>
      <c r="AM872" s="90" t="s">
        <v>379</v>
      </c>
      <c r="AN872" s="90">
        <v>-1</v>
      </c>
      <c r="AQ872" s="90">
        <v>356</v>
      </c>
      <c r="AR872" s="90" t="s">
        <v>380</v>
      </c>
      <c r="AS872" s="90" t="s">
        <v>246</v>
      </c>
      <c r="AT872" s="90" t="s">
        <v>244</v>
      </c>
      <c r="AU872" s="90">
        <v>175.87190000000001</v>
      </c>
      <c r="AV872" s="90">
        <v>69.177969319101507</v>
      </c>
      <c r="AW872" s="90">
        <v>205.776030156556</v>
      </c>
      <c r="AX872" s="90">
        <v>0.1548824509</v>
      </c>
    </row>
    <row r="873" spans="1:50" x14ac:dyDescent="0.25">
      <c r="A873" s="102">
        <v>830000</v>
      </c>
      <c r="B873" s="102">
        <v>2500000</v>
      </c>
      <c r="C873" s="102">
        <v>2500000</v>
      </c>
      <c r="D873" s="90" t="s">
        <v>374</v>
      </c>
      <c r="E873" s="90" t="s">
        <v>68</v>
      </c>
      <c r="F873" s="90" t="s">
        <v>375</v>
      </c>
      <c r="G873" s="90" t="s">
        <v>376</v>
      </c>
      <c r="H873" s="90">
        <v>0.59</v>
      </c>
      <c r="I873" s="90">
        <v>0.64</v>
      </c>
      <c r="J873" s="90" t="s">
        <v>381</v>
      </c>
      <c r="K873" s="90">
        <v>0.44543412682187</v>
      </c>
      <c r="L873" s="90">
        <v>3755.67757311475</v>
      </c>
      <c r="M873" s="90">
        <v>11.441295351961299</v>
      </c>
      <c r="N873" s="90">
        <v>1.51139291177591</v>
      </c>
      <c r="O873" s="90">
        <v>5.0963434048120897</v>
      </c>
      <c r="P873" s="90">
        <v>0.67322598194167005</v>
      </c>
      <c r="Q873" s="90">
        <v>1672.90696040487</v>
      </c>
      <c r="R873" s="90">
        <v>1400</v>
      </c>
      <c r="S873" s="90" t="s">
        <v>324</v>
      </c>
      <c r="T873" s="90">
        <v>1400</v>
      </c>
      <c r="U873" s="90" t="s">
        <v>382</v>
      </c>
      <c r="V873" s="90" t="s">
        <v>381</v>
      </c>
      <c r="Z873" s="90">
        <v>0</v>
      </c>
      <c r="AA873" s="90">
        <v>1</v>
      </c>
      <c r="AB873" s="90">
        <v>5.0963434048120897</v>
      </c>
      <c r="AC873" s="90">
        <v>0.67322598194167005</v>
      </c>
      <c r="AD873" s="90">
        <v>1672.90696040487</v>
      </c>
      <c r="AF873" s="90">
        <v>-1</v>
      </c>
      <c r="AG873" s="90">
        <v>-1</v>
      </c>
      <c r="AH873" s="90">
        <v>-1</v>
      </c>
      <c r="AI873" s="90">
        <v>-1</v>
      </c>
      <c r="AJ873" s="90">
        <v>0</v>
      </c>
      <c r="AM873" s="90" t="s">
        <v>379</v>
      </c>
      <c r="AN873" s="90">
        <v>-1</v>
      </c>
      <c r="AQ873" s="90">
        <v>356</v>
      </c>
      <c r="AR873" s="90" t="s">
        <v>380</v>
      </c>
      <c r="AS873" s="90" t="s">
        <v>246</v>
      </c>
      <c r="AT873" s="90" t="s">
        <v>244</v>
      </c>
      <c r="AU873" s="90">
        <v>175.87190000000001</v>
      </c>
      <c r="AV873" s="90">
        <v>182.57044125334599</v>
      </c>
      <c r="AW873" s="90">
        <v>1802.6079568852399</v>
      </c>
      <c r="AX873" s="90">
        <v>1.3567777457000001</v>
      </c>
    </row>
    <row r="874" spans="1:50" x14ac:dyDescent="0.25">
      <c r="A874" s="102">
        <v>830000</v>
      </c>
      <c r="B874" s="102">
        <v>2500000</v>
      </c>
      <c r="C874" s="102">
        <v>2500000</v>
      </c>
      <c r="D874" s="90" t="s">
        <v>374</v>
      </c>
      <c r="E874" s="90" t="s">
        <v>68</v>
      </c>
      <c r="F874" s="90" t="s">
        <v>375</v>
      </c>
      <c r="G874" s="90" t="s">
        <v>376</v>
      </c>
      <c r="H874" s="90">
        <v>0.59</v>
      </c>
      <c r="I874" s="90">
        <v>0.64</v>
      </c>
      <c r="J874" s="90" t="s">
        <v>389</v>
      </c>
      <c r="K874" s="90">
        <v>1.198955691136E-2</v>
      </c>
      <c r="L874" s="90">
        <v>3755.67757311475</v>
      </c>
      <c r="M874" s="90">
        <v>11.441295351961299</v>
      </c>
      <c r="N874" s="90">
        <v>1.51139291177591</v>
      </c>
      <c r="O874" s="90">
        <v>0.13717606176208</v>
      </c>
      <c r="P874" s="90">
        <v>1.8120931331170001E-2</v>
      </c>
      <c r="Q874" s="90">
        <v>45.028910003600203</v>
      </c>
      <c r="R874" s="90">
        <v>3200</v>
      </c>
      <c r="S874" s="90" t="s">
        <v>393</v>
      </c>
      <c r="T874" s="90">
        <v>3200</v>
      </c>
      <c r="U874" s="90" t="s">
        <v>378</v>
      </c>
      <c r="V874" s="90" t="s">
        <v>244</v>
      </c>
      <c r="Y874" s="90" t="s">
        <v>389</v>
      </c>
      <c r="Z874" s="90">
        <v>0</v>
      </c>
      <c r="AA874" s="90">
        <v>1</v>
      </c>
      <c r="AB874" s="90">
        <v>0.13717606176208</v>
      </c>
      <c r="AC874" s="90">
        <v>1.8120931331170001E-2</v>
      </c>
      <c r="AD874" s="90">
        <v>45.0289100036021</v>
      </c>
      <c r="AF874" s="90">
        <v>-1</v>
      </c>
      <c r="AG874" s="90">
        <v>-1</v>
      </c>
      <c r="AH874" s="90">
        <v>-1</v>
      </c>
      <c r="AI874" s="90">
        <v>-1</v>
      </c>
      <c r="AJ874" s="90">
        <v>0</v>
      </c>
      <c r="AM874" s="90" t="s">
        <v>379</v>
      </c>
      <c r="AN874" s="90">
        <v>-1</v>
      </c>
      <c r="AQ874" s="90">
        <v>356</v>
      </c>
      <c r="AR874" s="90" t="s">
        <v>380</v>
      </c>
      <c r="AS874" s="90" t="s">
        <v>246</v>
      </c>
      <c r="AT874" s="90" t="s">
        <v>244</v>
      </c>
      <c r="AU874" s="90">
        <v>175.87190000000001</v>
      </c>
      <c r="AV874" s="90">
        <v>47.746953943192402</v>
      </c>
      <c r="AW874" s="90">
        <v>48.520015388493803</v>
      </c>
      <c r="AX874" s="90">
        <v>3.6519797200000002E-2</v>
      </c>
    </row>
    <row r="875" spans="1:50" x14ac:dyDescent="0.25">
      <c r="A875" s="102">
        <v>830000</v>
      </c>
      <c r="B875" s="102">
        <v>2500000</v>
      </c>
      <c r="C875" s="102">
        <v>2500000</v>
      </c>
      <c r="D875" s="90" t="s">
        <v>374</v>
      </c>
      <c r="E875" s="90" t="s">
        <v>68</v>
      </c>
      <c r="F875" s="90" t="s">
        <v>375</v>
      </c>
      <c r="G875" s="90" t="s">
        <v>376</v>
      </c>
      <c r="H875" s="90">
        <v>0.59</v>
      </c>
      <c r="I875" s="90">
        <v>0.64</v>
      </c>
      <c r="J875" s="90" t="s">
        <v>381</v>
      </c>
      <c r="K875" s="90">
        <v>5.4692184428199999E-3</v>
      </c>
      <c r="L875" s="90">
        <v>3755.67757311475</v>
      </c>
      <c r="M875" s="90">
        <v>11.441295351961299</v>
      </c>
      <c r="N875" s="90">
        <v>1.51139291177591</v>
      </c>
      <c r="O875" s="90">
        <v>6.2574943548769996E-2</v>
      </c>
      <c r="P875" s="90">
        <v>8.2661379874399993E-3</v>
      </c>
      <c r="Q875" s="90">
        <v>20.5406210481909</v>
      </c>
      <c r="R875" s="90">
        <v>3200</v>
      </c>
      <c r="S875" s="90" t="s">
        <v>393</v>
      </c>
      <c r="T875" s="90">
        <v>3200</v>
      </c>
      <c r="U875" s="90" t="s">
        <v>382</v>
      </c>
      <c r="V875" s="90" t="s">
        <v>381</v>
      </c>
      <c r="Y875" s="90" t="s">
        <v>389</v>
      </c>
      <c r="Z875" s="90">
        <v>0</v>
      </c>
      <c r="AA875" s="90">
        <v>1</v>
      </c>
      <c r="AB875" s="90">
        <v>6.2574943548769996E-2</v>
      </c>
      <c r="AC875" s="90">
        <v>8.2661379874399993E-3</v>
      </c>
      <c r="AD875" s="90">
        <v>20.540621048192101</v>
      </c>
      <c r="AF875" s="90">
        <v>-1</v>
      </c>
      <c r="AG875" s="90">
        <v>-1</v>
      </c>
      <c r="AH875" s="90">
        <v>-1</v>
      </c>
      <c r="AI875" s="90">
        <v>-1</v>
      </c>
      <c r="AJ875" s="90">
        <v>0</v>
      </c>
      <c r="AM875" s="90" t="s">
        <v>379</v>
      </c>
      <c r="AN875" s="90">
        <v>-1</v>
      </c>
      <c r="AQ875" s="90">
        <v>356</v>
      </c>
      <c r="AR875" s="90" t="s">
        <v>380</v>
      </c>
      <c r="AS875" s="90" t="s">
        <v>246</v>
      </c>
      <c r="AT875" s="90" t="s">
        <v>244</v>
      </c>
      <c r="AU875" s="90">
        <v>175.87190000000001</v>
      </c>
      <c r="AV875" s="90">
        <v>22.341705325739898</v>
      </c>
      <c r="AW875" s="90">
        <v>22.1331417808643</v>
      </c>
      <c r="AX875" s="90">
        <v>1.6659060100000001E-2</v>
      </c>
    </row>
    <row r="876" spans="1:50" x14ac:dyDescent="0.25">
      <c r="A876" s="102">
        <v>830000</v>
      </c>
      <c r="B876" s="102">
        <v>2500000</v>
      </c>
      <c r="C876" s="102">
        <v>2500000</v>
      </c>
      <c r="D876" s="90" t="s">
        <v>374</v>
      </c>
      <c r="E876" s="90" t="s">
        <v>68</v>
      </c>
      <c r="F876" s="90" t="s">
        <v>375</v>
      </c>
      <c r="G876" s="90" t="s">
        <v>376</v>
      </c>
      <c r="H876" s="90">
        <v>0.59</v>
      </c>
      <c r="I876" s="90">
        <v>0.64</v>
      </c>
      <c r="J876" s="90" t="s">
        <v>244</v>
      </c>
      <c r="K876" s="90">
        <v>9.8063936268330001E-2</v>
      </c>
      <c r="L876" s="90">
        <v>3755.67757311475</v>
      </c>
      <c r="M876" s="90">
        <v>11.441295351961299</v>
      </c>
      <c r="N876" s="90">
        <v>1.51139291177591</v>
      </c>
      <c r="O876" s="90">
        <v>1.1219784582219601</v>
      </c>
      <c r="P876" s="90">
        <v>0.14821313817681001</v>
      </c>
      <c r="Q876" s="90">
        <v>368.29652617435102</v>
      </c>
      <c r="R876" s="90">
        <v>1410</v>
      </c>
      <c r="S876" s="90" t="s">
        <v>325</v>
      </c>
      <c r="T876" s="90">
        <v>1410</v>
      </c>
      <c r="U876" s="90" t="s">
        <v>378</v>
      </c>
      <c r="V876" s="90" t="s">
        <v>244</v>
      </c>
      <c r="Z876" s="90">
        <v>0</v>
      </c>
      <c r="AA876" s="90">
        <v>1</v>
      </c>
      <c r="AB876" s="90">
        <v>1.1219784582219601</v>
      </c>
      <c r="AC876" s="90">
        <v>0.14821313817681001</v>
      </c>
      <c r="AD876" s="90">
        <v>368.29652617435102</v>
      </c>
      <c r="AF876" s="90">
        <v>-1</v>
      </c>
      <c r="AG876" s="90">
        <v>-1</v>
      </c>
      <c r="AH876" s="90">
        <v>-1</v>
      </c>
      <c r="AI876" s="90">
        <v>-1</v>
      </c>
      <c r="AJ876" s="90">
        <v>0</v>
      </c>
      <c r="AM876" s="90" t="s">
        <v>379</v>
      </c>
      <c r="AN876" s="90">
        <v>-1</v>
      </c>
      <c r="AQ876" s="90">
        <v>356</v>
      </c>
      <c r="AR876" s="90" t="s">
        <v>380</v>
      </c>
      <c r="AS876" s="90" t="s">
        <v>246</v>
      </c>
      <c r="AT876" s="90" t="s">
        <v>244</v>
      </c>
      <c r="AU876" s="90">
        <v>175.87190000000001</v>
      </c>
      <c r="AV876" s="90">
        <v>98.133792447126496</v>
      </c>
      <c r="AW876" s="90">
        <v>396.850670293348</v>
      </c>
      <c r="AX876" s="90">
        <v>0.29869953459999998</v>
      </c>
    </row>
    <row r="877" spans="1:50" x14ac:dyDescent="0.25">
      <c r="A877" s="102">
        <v>830000</v>
      </c>
      <c r="B877" s="102">
        <v>2500000</v>
      </c>
      <c r="C877" s="102">
        <v>2500000</v>
      </c>
      <c r="D877" s="90" t="s">
        <v>374</v>
      </c>
      <c r="E877" s="90" t="s">
        <v>68</v>
      </c>
      <c r="F877" s="90" t="s">
        <v>375</v>
      </c>
      <c r="G877" s="90" t="s">
        <v>376</v>
      </c>
      <c r="H877" s="90">
        <v>0.59</v>
      </c>
      <c r="I877" s="90">
        <v>0.64</v>
      </c>
      <c r="J877" s="90" t="s">
        <v>381</v>
      </c>
      <c r="K877" s="90">
        <v>3.9164608143E-4</v>
      </c>
      <c r="L877" s="90">
        <v>3755.67757311475</v>
      </c>
      <c r="M877" s="90">
        <v>11.441295351961299</v>
      </c>
      <c r="N877" s="90">
        <v>1.51139291177591</v>
      </c>
      <c r="O877" s="90">
        <v>4.4809384911500003E-3</v>
      </c>
      <c r="P877" s="90">
        <v>5.9193111139999998E-4</v>
      </c>
      <c r="Q877" s="90">
        <v>1.4708964046512101</v>
      </c>
      <c r="R877" s="90">
        <v>1410</v>
      </c>
      <c r="S877" s="90" t="s">
        <v>325</v>
      </c>
      <c r="T877" s="90">
        <v>1410</v>
      </c>
      <c r="U877" s="90" t="s">
        <v>382</v>
      </c>
      <c r="V877" s="90" t="s">
        <v>381</v>
      </c>
      <c r="Z877" s="90">
        <v>0</v>
      </c>
      <c r="AA877" s="90">
        <v>1</v>
      </c>
      <c r="AB877" s="90">
        <v>4.4809384911500003E-3</v>
      </c>
      <c r="AC877" s="90">
        <v>5.9193111139999998E-4</v>
      </c>
      <c r="AD877" s="90">
        <v>1.47089640465021</v>
      </c>
      <c r="AF877" s="90">
        <v>-1</v>
      </c>
      <c r="AG877" s="90">
        <v>-1</v>
      </c>
      <c r="AH877" s="90">
        <v>-1</v>
      </c>
      <c r="AI877" s="90">
        <v>-1</v>
      </c>
      <c r="AJ877" s="90">
        <v>0</v>
      </c>
      <c r="AM877" s="90" t="s">
        <v>379</v>
      </c>
      <c r="AN877" s="90">
        <v>-1</v>
      </c>
      <c r="AQ877" s="90">
        <v>356</v>
      </c>
      <c r="AR877" s="90" t="s">
        <v>380</v>
      </c>
      <c r="AS877" s="90" t="s">
        <v>246</v>
      </c>
      <c r="AT877" s="90" t="s">
        <v>244</v>
      </c>
      <c r="AU877" s="90">
        <v>175.87190000000001</v>
      </c>
      <c r="AV877" s="90">
        <v>79.005550393674497</v>
      </c>
      <c r="AW877" s="90">
        <v>1.58493545997004</v>
      </c>
      <c r="AX877" s="90">
        <v>1.1929410999999999E-3</v>
      </c>
    </row>
    <row r="878" spans="1:50" x14ac:dyDescent="0.25">
      <c r="A878" s="102">
        <v>830000</v>
      </c>
      <c r="B878" s="102">
        <v>2500000</v>
      </c>
      <c r="C878" s="102">
        <v>2500000</v>
      </c>
      <c r="D878" s="90" t="s">
        <v>374</v>
      </c>
      <c r="E878" s="90" t="s">
        <v>68</v>
      </c>
      <c r="F878" s="90" t="s">
        <v>375</v>
      </c>
      <c r="G878" s="90" t="s">
        <v>376</v>
      </c>
      <c r="H878" s="90">
        <v>0.59</v>
      </c>
      <c r="I878" s="90">
        <v>0.64</v>
      </c>
      <c r="J878" s="90" t="s">
        <v>244</v>
      </c>
      <c r="K878" s="90">
        <v>4.8736154450700004E-3</v>
      </c>
      <c r="L878" s="90">
        <v>3755.67757311475</v>
      </c>
      <c r="M878" s="90">
        <v>11.441295351961299</v>
      </c>
      <c r="N878" s="90">
        <v>1.51139291177591</v>
      </c>
      <c r="O878" s="90">
        <v>5.5760473739009997E-2</v>
      </c>
      <c r="P878" s="90">
        <v>7.3659478384099997E-3</v>
      </c>
      <c r="Q878" s="90">
        <v>18.3037282270651</v>
      </c>
      <c r="R878" s="90">
        <v>1410</v>
      </c>
      <c r="S878" s="90" t="s">
        <v>325</v>
      </c>
      <c r="T878" s="90">
        <v>1410</v>
      </c>
      <c r="U878" s="90" t="s">
        <v>378</v>
      </c>
      <c r="V878" s="90" t="s">
        <v>244</v>
      </c>
      <c r="Z878" s="90">
        <v>0</v>
      </c>
      <c r="AA878" s="90">
        <v>1</v>
      </c>
      <c r="AB878" s="90">
        <v>5.5760473739009997E-2</v>
      </c>
      <c r="AC878" s="90">
        <v>7.3659478384099997E-3</v>
      </c>
      <c r="AD878" s="90">
        <v>18.303728227066902</v>
      </c>
      <c r="AF878" s="90">
        <v>-1</v>
      </c>
      <c r="AG878" s="90">
        <v>-1</v>
      </c>
      <c r="AH878" s="90">
        <v>-1</v>
      </c>
      <c r="AI878" s="90">
        <v>-1</v>
      </c>
      <c r="AJ878" s="90">
        <v>0</v>
      </c>
      <c r="AM878" s="90" t="s">
        <v>379</v>
      </c>
      <c r="AN878" s="90">
        <v>-1</v>
      </c>
      <c r="AQ878" s="90">
        <v>356</v>
      </c>
      <c r="AR878" s="90" t="s">
        <v>380</v>
      </c>
      <c r="AS878" s="90" t="s">
        <v>246</v>
      </c>
      <c r="AT878" s="90" t="s">
        <v>244</v>
      </c>
      <c r="AU878" s="90">
        <v>175.87190000000001</v>
      </c>
      <c r="AV878" s="90">
        <v>20.508036694727</v>
      </c>
      <c r="AW878" s="90">
        <v>19.722821964223701</v>
      </c>
      <c r="AX878" s="90">
        <v>1.48448729E-2</v>
      </c>
    </row>
    <row r="879" spans="1:50" x14ac:dyDescent="0.25">
      <c r="A879" s="102">
        <v>830000</v>
      </c>
      <c r="B879" s="102">
        <v>2500000</v>
      </c>
      <c r="C879" s="102">
        <v>2500000</v>
      </c>
      <c r="D879" s="90" t="s">
        <v>374</v>
      </c>
      <c r="E879" s="90" t="s">
        <v>68</v>
      </c>
      <c r="F879" s="90" t="s">
        <v>375</v>
      </c>
      <c r="G879" s="90" t="s">
        <v>376</v>
      </c>
      <c r="H879" s="90">
        <v>0.59</v>
      </c>
      <c r="I879" s="90">
        <v>0.64</v>
      </c>
      <c r="J879" s="90" t="s">
        <v>381</v>
      </c>
      <c r="K879" s="90">
        <v>6.9298938342000004E-4</v>
      </c>
      <c r="L879" s="90">
        <v>3755.67757311475</v>
      </c>
      <c r="M879" s="90">
        <v>11.441295351961299</v>
      </c>
      <c r="N879" s="90">
        <v>1.51139291177591</v>
      </c>
      <c r="O879" s="90">
        <v>7.9286962115000005E-3</v>
      </c>
      <c r="P879" s="90">
        <v>1.04737924204E-3</v>
      </c>
      <c r="Q879" s="90">
        <v>2.6026446857246199</v>
      </c>
      <c r="R879" s="90">
        <v>1410</v>
      </c>
      <c r="S879" s="90" t="s">
        <v>325</v>
      </c>
      <c r="T879" s="90">
        <v>1410</v>
      </c>
      <c r="U879" s="90" t="s">
        <v>382</v>
      </c>
      <c r="V879" s="90" t="s">
        <v>381</v>
      </c>
      <c r="Z879" s="90">
        <v>0</v>
      </c>
      <c r="AA879" s="90">
        <v>1</v>
      </c>
      <c r="AB879" s="90">
        <v>7.9286962115000005E-3</v>
      </c>
      <c r="AC879" s="90">
        <v>1.04737924204E-3</v>
      </c>
      <c r="AD879" s="90">
        <v>2.60264468572514</v>
      </c>
      <c r="AF879" s="90">
        <v>-1</v>
      </c>
      <c r="AG879" s="90">
        <v>-1</v>
      </c>
      <c r="AH879" s="90">
        <v>-1</v>
      </c>
      <c r="AI879" s="90">
        <v>-1</v>
      </c>
      <c r="AJ879" s="90">
        <v>0</v>
      </c>
      <c r="AM879" s="90" t="s">
        <v>379</v>
      </c>
      <c r="AN879" s="90">
        <v>-1</v>
      </c>
      <c r="AQ879" s="90">
        <v>356</v>
      </c>
      <c r="AR879" s="90" t="s">
        <v>380</v>
      </c>
      <c r="AS879" s="90" t="s">
        <v>246</v>
      </c>
      <c r="AT879" s="90" t="s">
        <v>244</v>
      </c>
      <c r="AU879" s="90">
        <v>175.87190000000001</v>
      </c>
      <c r="AV879" s="90">
        <v>17.302539385728501</v>
      </c>
      <c r="AW879" s="90">
        <v>2.8044285369568902</v>
      </c>
      <c r="AX879" s="90">
        <v>2.1108228999999999E-3</v>
      </c>
    </row>
    <row r="880" spans="1:50" x14ac:dyDescent="0.25">
      <c r="A880" s="102">
        <v>830000</v>
      </c>
      <c r="B880" s="102">
        <v>2500000</v>
      </c>
      <c r="C880" s="102">
        <v>2500000</v>
      </c>
      <c r="D880" s="90" t="s">
        <v>374</v>
      </c>
      <c r="E880" s="90" t="s">
        <v>68</v>
      </c>
      <c r="F880" s="90" t="s">
        <v>375</v>
      </c>
      <c r="G880" s="90" t="s">
        <v>376</v>
      </c>
      <c r="H880" s="90">
        <v>0.59</v>
      </c>
      <c r="I880" s="90">
        <v>0.64</v>
      </c>
      <c r="J880" s="90" t="s">
        <v>244</v>
      </c>
      <c r="K880" s="90">
        <v>5.630148235034E-2</v>
      </c>
      <c r="L880" s="90">
        <v>3612.0888574760202</v>
      </c>
      <c r="M880" s="90">
        <v>9.0645903009102504</v>
      </c>
      <c r="N880" s="90">
        <v>1.3352211557612199</v>
      </c>
      <c r="O880" s="90">
        <v>0.51034987083980998</v>
      </c>
      <c r="P880" s="90">
        <v>7.5174930334890006E-2</v>
      </c>
      <c r="Q880" s="90">
        <v>203.36595705706799</v>
      </c>
      <c r="R880" s="90">
        <v>1200</v>
      </c>
      <c r="S880" s="90" t="s">
        <v>384</v>
      </c>
      <c r="T880" s="90">
        <v>1200</v>
      </c>
      <c r="U880" s="90" t="s">
        <v>378</v>
      </c>
      <c r="V880" s="90" t="s">
        <v>244</v>
      </c>
      <c r="Z880" s="90">
        <v>0</v>
      </c>
      <c r="AA880" s="90">
        <v>1</v>
      </c>
      <c r="AB880" s="90">
        <v>0.51034987083980998</v>
      </c>
      <c r="AC880" s="90">
        <v>7.5174930334890006E-2</v>
      </c>
      <c r="AD880" s="90">
        <v>203.36595705706699</v>
      </c>
      <c r="AF880" s="90">
        <v>-1</v>
      </c>
      <c r="AG880" s="90">
        <v>-1</v>
      </c>
      <c r="AH880" s="90">
        <v>-1</v>
      </c>
      <c r="AI880" s="90">
        <v>-1</v>
      </c>
      <c r="AJ880" s="90">
        <v>0</v>
      </c>
      <c r="AM880" s="90" t="s">
        <v>379</v>
      </c>
      <c r="AN880" s="90">
        <v>-1</v>
      </c>
      <c r="AQ880" s="90">
        <v>356</v>
      </c>
      <c r="AR880" s="90" t="s">
        <v>380</v>
      </c>
      <c r="AS880" s="90" t="s">
        <v>246</v>
      </c>
      <c r="AT880" s="90" t="s">
        <v>244</v>
      </c>
      <c r="AU880" s="90">
        <v>175.87190000000001</v>
      </c>
      <c r="AV880" s="90">
        <v>109.12845096407101</v>
      </c>
      <c r="AW880" s="90">
        <v>227.84401544013701</v>
      </c>
      <c r="AX880" s="90">
        <v>0.16493589380000001</v>
      </c>
    </row>
    <row r="881" spans="1:50" x14ac:dyDescent="0.25">
      <c r="A881" s="102">
        <v>830000</v>
      </c>
      <c r="B881" s="102">
        <v>2500000</v>
      </c>
      <c r="C881" s="102">
        <v>2500000</v>
      </c>
      <c r="D881" s="90" t="s">
        <v>374</v>
      </c>
      <c r="E881" s="90" t="s">
        <v>68</v>
      </c>
      <c r="F881" s="90" t="s">
        <v>375</v>
      </c>
      <c r="G881" s="90" t="s">
        <v>376</v>
      </c>
      <c r="H881" s="90">
        <v>0.59</v>
      </c>
      <c r="I881" s="90">
        <v>0.64</v>
      </c>
      <c r="J881" s="90" t="s">
        <v>244</v>
      </c>
      <c r="K881" s="90">
        <v>5.722083806264E-2</v>
      </c>
      <c r="L881" s="90">
        <v>3612.0888574760202</v>
      </c>
      <c r="M881" s="90">
        <v>9.0645903009102504</v>
      </c>
      <c r="N881" s="90">
        <v>1.3352211557612199</v>
      </c>
      <c r="O881" s="90">
        <v>0.51868345371257996</v>
      </c>
      <c r="P881" s="90">
        <v>7.6402473531619997E-2</v>
      </c>
      <c r="Q881" s="90">
        <v>206.68675158150899</v>
      </c>
      <c r="R881" s="90">
        <v>1200</v>
      </c>
      <c r="S881" s="90" t="s">
        <v>384</v>
      </c>
      <c r="T881" s="90">
        <v>1200</v>
      </c>
      <c r="U881" s="90" t="s">
        <v>378</v>
      </c>
      <c r="V881" s="90" t="s">
        <v>244</v>
      </c>
      <c r="Z881" s="90">
        <v>0</v>
      </c>
      <c r="AA881" s="90">
        <v>1</v>
      </c>
      <c r="AB881" s="90">
        <v>0.51868345371257996</v>
      </c>
      <c r="AC881" s="90">
        <v>7.6402473531619997E-2</v>
      </c>
      <c r="AD881" s="90">
        <v>206.686751581511</v>
      </c>
      <c r="AF881" s="90">
        <v>-1</v>
      </c>
      <c r="AG881" s="90">
        <v>-1</v>
      </c>
      <c r="AH881" s="90">
        <v>-1</v>
      </c>
      <c r="AI881" s="90">
        <v>-1</v>
      </c>
      <c r="AJ881" s="90">
        <v>0</v>
      </c>
      <c r="AM881" s="90" t="s">
        <v>379</v>
      </c>
      <c r="AN881" s="90">
        <v>-1</v>
      </c>
      <c r="AQ881" s="90">
        <v>356</v>
      </c>
      <c r="AR881" s="90" t="s">
        <v>380</v>
      </c>
      <c r="AS881" s="90" t="s">
        <v>246</v>
      </c>
      <c r="AT881" s="90" t="s">
        <v>244</v>
      </c>
      <c r="AU881" s="90">
        <v>175.87190000000001</v>
      </c>
      <c r="AV881" s="90">
        <v>98.400287003506094</v>
      </c>
      <c r="AW881" s="90">
        <v>231.56451600891501</v>
      </c>
      <c r="AX881" s="90">
        <v>0.16762915780000001</v>
      </c>
    </row>
    <row r="882" spans="1:50" x14ac:dyDescent="0.25">
      <c r="A882" s="102">
        <v>830000</v>
      </c>
      <c r="B882" s="102">
        <v>2500000</v>
      </c>
      <c r="C882" s="102">
        <v>2500000</v>
      </c>
      <c r="D882" s="90" t="s">
        <v>374</v>
      </c>
      <c r="E882" s="90" t="s">
        <v>68</v>
      </c>
      <c r="F882" s="90" t="s">
        <v>375</v>
      </c>
      <c r="G882" s="90" t="s">
        <v>376</v>
      </c>
      <c r="H882" s="90">
        <v>0.59</v>
      </c>
      <c r="I882" s="90">
        <v>0.64</v>
      </c>
      <c r="J882" s="90" t="s">
        <v>389</v>
      </c>
      <c r="K882" s="90">
        <v>1.411997086952E-2</v>
      </c>
      <c r="L882" s="90">
        <v>3612.0888574760202</v>
      </c>
      <c r="M882" s="90">
        <v>9.0645903009102504</v>
      </c>
      <c r="N882" s="90">
        <v>1.3352211557612199</v>
      </c>
      <c r="O882" s="90">
        <v>0.12799175099301</v>
      </c>
      <c r="P882" s="90">
        <v>1.8853283823710001E-2</v>
      </c>
      <c r="Q882" s="90">
        <v>51.002589445690099</v>
      </c>
      <c r="R882" s="90">
        <v>5400</v>
      </c>
      <c r="S882" s="90" t="s">
        <v>392</v>
      </c>
      <c r="T882" s="90">
        <v>5400</v>
      </c>
      <c r="U882" s="90" t="s">
        <v>378</v>
      </c>
      <c r="V882" s="90" t="s">
        <v>244</v>
      </c>
      <c r="Y882" s="90" t="s">
        <v>389</v>
      </c>
      <c r="Z882" s="90">
        <v>0</v>
      </c>
      <c r="AA882" s="90">
        <v>1</v>
      </c>
      <c r="AB882" s="90">
        <v>0.12799175099301</v>
      </c>
      <c r="AC882" s="90">
        <v>1.8853283823710001E-2</v>
      </c>
      <c r="AD882" s="90">
        <v>51.002589445691903</v>
      </c>
      <c r="AF882" s="90">
        <v>-1</v>
      </c>
      <c r="AG882" s="90">
        <v>-1</v>
      </c>
      <c r="AH882" s="90">
        <v>-1</v>
      </c>
      <c r="AI882" s="90">
        <v>-1</v>
      </c>
      <c r="AJ882" s="90">
        <v>0</v>
      </c>
      <c r="AM882" s="90" t="s">
        <v>379</v>
      </c>
      <c r="AN882" s="90">
        <v>-1</v>
      </c>
      <c r="AQ882" s="90">
        <v>356</v>
      </c>
      <c r="AR882" s="90" t="s">
        <v>380</v>
      </c>
      <c r="AS882" s="90" t="s">
        <v>246</v>
      </c>
      <c r="AT882" s="90" t="s">
        <v>244</v>
      </c>
      <c r="AU882" s="90">
        <v>175.87190000000001</v>
      </c>
      <c r="AV882" s="90">
        <v>58.267145027648198</v>
      </c>
      <c r="AW882" s="90">
        <v>57.141494797431903</v>
      </c>
      <c r="AX882" s="90">
        <v>4.1364630499999999E-2</v>
      </c>
    </row>
    <row r="883" spans="1:50" x14ac:dyDescent="0.25">
      <c r="A883" s="102">
        <v>830000</v>
      </c>
      <c r="B883" s="102">
        <v>2500000</v>
      </c>
      <c r="C883" s="102">
        <v>2500000</v>
      </c>
      <c r="D883" s="90" t="s">
        <v>374</v>
      </c>
      <c r="E883" s="90" t="s">
        <v>68</v>
      </c>
      <c r="F883" s="90" t="s">
        <v>375</v>
      </c>
      <c r="G883" s="90" t="s">
        <v>376</v>
      </c>
      <c r="H883" s="90">
        <v>0.59</v>
      </c>
      <c r="I883" s="90">
        <v>0.64</v>
      </c>
      <c r="J883" s="90" t="s">
        <v>244</v>
      </c>
      <c r="K883" s="90">
        <v>1.168059374502E-2</v>
      </c>
      <c r="L883" s="90">
        <v>3612.0888574760202</v>
      </c>
      <c r="M883" s="90">
        <v>9.0645903009102504</v>
      </c>
      <c r="N883" s="90">
        <v>1.3352211557612199</v>
      </c>
      <c r="O883" s="90">
        <v>0.10587979677002</v>
      </c>
      <c r="P883" s="90">
        <v>1.5596175880210001E-2</v>
      </c>
      <c r="Q883" s="90">
        <v>42.1913425151089</v>
      </c>
      <c r="R883" s="90">
        <v>1210</v>
      </c>
      <c r="S883" s="90" t="s">
        <v>385</v>
      </c>
      <c r="T883" s="90">
        <v>1210</v>
      </c>
      <c r="U883" s="90" t="s">
        <v>378</v>
      </c>
      <c r="V883" s="90" t="s">
        <v>244</v>
      </c>
      <c r="Z883" s="90">
        <v>0</v>
      </c>
      <c r="AA883" s="90">
        <v>1</v>
      </c>
      <c r="AB883" s="90">
        <v>0.10587979677002</v>
      </c>
      <c r="AC883" s="90">
        <v>1.5596175880210001E-2</v>
      </c>
      <c r="AD883" s="90">
        <v>42.191342515108602</v>
      </c>
      <c r="AF883" s="90">
        <v>-1</v>
      </c>
      <c r="AG883" s="90">
        <v>-1</v>
      </c>
      <c r="AH883" s="90">
        <v>-1</v>
      </c>
      <c r="AI883" s="90">
        <v>-1</v>
      </c>
      <c r="AJ883" s="90">
        <v>0</v>
      </c>
      <c r="AM883" s="90" t="s">
        <v>379</v>
      </c>
      <c r="AN883" s="90">
        <v>-1</v>
      </c>
      <c r="AQ883" s="90">
        <v>356</v>
      </c>
      <c r="AR883" s="90" t="s">
        <v>380</v>
      </c>
      <c r="AS883" s="90" t="s">
        <v>246</v>
      </c>
      <c r="AT883" s="90" t="s">
        <v>244</v>
      </c>
      <c r="AU883" s="90">
        <v>175.87190000000001</v>
      </c>
      <c r="AV883" s="90">
        <v>30.552038834404399</v>
      </c>
      <c r="AW883" s="90">
        <v>47.269685814499198</v>
      </c>
      <c r="AX883" s="90">
        <v>3.4218444899999999E-2</v>
      </c>
    </row>
    <row r="884" spans="1:50" x14ac:dyDescent="0.25">
      <c r="A884" s="102">
        <v>830000</v>
      </c>
      <c r="B884" s="102">
        <v>2500000</v>
      </c>
      <c r="C884" s="102">
        <v>2500000</v>
      </c>
      <c r="D884" s="90" t="s">
        <v>374</v>
      </c>
      <c r="E884" s="90" t="s">
        <v>68</v>
      </c>
      <c r="F884" s="90" t="s">
        <v>375</v>
      </c>
      <c r="G884" s="90" t="s">
        <v>376</v>
      </c>
      <c r="H884" s="90">
        <v>0.59</v>
      </c>
      <c r="I884" s="90">
        <v>0.64</v>
      </c>
      <c r="J884" s="90" t="s">
        <v>244</v>
      </c>
      <c r="K884" s="90">
        <v>0.28826885210585002</v>
      </c>
      <c r="L884" s="90">
        <v>3612.0888574760202</v>
      </c>
      <c r="M884" s="90">
        <v>9.0645903009102504</v>
      </c>
      <c r="N884" s="90">
        <v>1.3352211557612199</v>
      </c>
      <c r="O884" s="90">
        <v>2.6130390408532702</v>
      </c>
      <c r="P884" s="90">
        <v>0.38490266987874</v>
      </c>
      <c r="Q884" s="90">
        <v>1041.2527086489599</v>
      </c>
      <c r="R884" s="90">
        <v>1210</v>
      </c>
      <c r="S884" s="90" t="s">
        <v>385</v>
      </c>
      <c r="T884" s="90">
        <v>1210</v>
      </c>
      <c r="U884" s="90" t="s">
        <v>378</v>
      </c>
      <c r="V884" s="90" t="s">
        <v>244</v>
      </c>
      <c r="Z884" s="90">
        <v>0</v>
      </c>
      <c r="AA884" s="90">
        <v>1</v>
      </c>
      <c r="AB884" s="90">
        <v>2.6130390408532702</v>
      </c>
      <c r="AC884" s="90">
        <v>0.38490266987874</v>
      </c>
      <c r="AD884" s="90">
        <v>1041.2527086489599</v>
      </c>
      <c r="AF884" s="90">
        <v>-1</v>
      </c>
      <c r="AG884" s="90">
        <v>-1</v>
      </c>
      <c r="AH884" s="90">
        <v>-1</v>
      </c>
      <c r="AI884" s="90">
        <v>-1</v>
      </c>
      <c r="AJ884" s="90">
        <v>0</v>
      </c>
      <c r="AM884" s="90" t="s">
        <v>379</v>
      </c>
      <c r="AN884" s="90">
        <v>-1</v>
      </c>
      <c r="AQ884" s="90">
        <v>356</v>
      </c>
      <c r="AR884" s="90" t="s">
        <v>380</v>
      </c>
      <c r="AS884" s="90" t="s">
        <v>246</v>
      </c>
      <c r="AT884" s="90" t="s">
        <v>244</v>
      </c>
      <c r="AU884" s="90">
        <v>175.87190000000001</v>
      </c>
      <c r="AV884" s="90">
        <v>139.45565560438899</v>
      </c>
      <c r="AW884" s="90">
        <v>1166.5826555224601</v>
      </c>
      <c r="AX884" s="90">
        <v>0.84448719269999994</v>
      </c>
    </row>
    <row r="885" spans="1:50" x14ac:dyDescent="0.25">
      <c r="A885" s="102">
        <v>830000</v>
      </c>
      <c r="B885" s="102">
        <v>2500000</v>
      </c>
      <c r="C885" s="102">
        <v>2500000</v>
      </c>
      <c r="D885" s="90" t="s">
        <v>374</v>
      </c>
      <c r="E885" s="90" t="s">
        <v>68</v>
      </c>
      <c r="F885" s="90" t="s">
        <v>375</v>
      </c>
      <c r="G885" s="90" t="s">
        <v>376</v>
      </c>
      <c r="H885" s="90">
        <v>0.59</v>
      </c>
      <c r="I885" s="90">
        <v>0.64</v>
      </c>
      <c r="J885" s="90" t="s">
        <v>244</v>
      </c>
      <c r="K885" s="90">
        <v>3.6024622627949997E-2</v>
      </c>
      <c r="L885" s="90">
        <v>3612.0888574760202</v>
      </c>
      <c r="M885" s="90">
        <v>9.0645903009102504</v>
      </c>
      <c r="N885" s="90">
        <v>1.3352211557612199</v>
      </c>
      <c r="O885" s="90">
        <v>0.32654844486725998</v>
      </c>
      <c r="P885" s="90">
        <v>4.8100838261149997E-2</v>
      </c>
      <c r="Q885" s="90">
        <v>130.12413798919599</v>
      </c>
      <c r="R885" s="90">
        <v>1210</v>
      </c>
      <c r="S885" s="90" t="s">
        <v>385</v>
      </c>
      <c r="T885" s="90">
        <v>1210</v>
      </c>
      <c r="U885" s="90" t="s">
        <v>378</v>
      </c>
      <c r="V885" s="90" t="s">
        <v>244</v>
      </c>
      <c r="Z885" s="90">
        <v>0</v>
      </c>
      <c r="AA885" s="90">
        <v>1</v>
      </c>
      <c r="AB885" s="90">
        <v>0.32654844486725998</v>
      </c>
      <c r="AC885" s="90">
        <v>4.8100838261149997E-2</v>
      </c>
      <c r="AD885" s="90">
        <v>130.12413798919701</v>
      </c>
      <c r="AF885" s="90">
        <v>-1</v>
      </c>
      <c r="AG885" s="90">
        <v>-1</v>
      </c>
      <c r="AH885" s="90">
        <v>-1</v>
      </c>
      <c r="AI885" s="90">
        <v>-1</v>
      </c>
      <c r="AJ885" s="90">
        <v>0</v>
      </c>
      <c r="AM885" s="90" t="s">
        <v>379</v>
      </c>
      <c r="AN885" s="90">
        <v>-1</v>
      </c>
      <c r="AQ885" s="90">
        <v>356</v>
      </c>
      <c r="AR885" s="90" t="s">
        <v>380</v>
      </c>
      <c r="AS885" s="90" t="s">
        <v>246</v>
      </c>
      <c r="AT885" s="90" t="s">
        <v>244</v>
      </c>
      <c r="AU885" s="90">
        <v>175.87190000000001</v>
      </c>
      <c r="AV885" s="90">
        <v>87.106969357403401</v>
      </c>
      <c r="AW885" s="90">
        <v>145.786475446456</v>
      </c>
      <c r="AX885" s="90">
        <v>0.10553458070000001</v>
      </c>
    </row>
    <row r="886" spans="1:50" x14ac:dyDescent="0.25">
      <c r="A886" s="102">
        <v>830000</v>
      </c>
      <c r="B886" s="102">
        <v>2500000</v>
      </c>
      <c r="C886" s="102">
        <v>2500000</v>
      </c>
      <c r="D886" s="90" t="s">
        <v>374</v>
      </c>
      <c r="E886" s="90" t="s">
        <v>68</v>
      </c>
      <c r="F886" s="90" t="s">
        <v>375</v>
      </c>
      <c r="G886" s="90" t="s">
        <v>376</v>
      </c>
      <c r="H886" s="90">
        <v>0.59</v>
      </c>
      <c r="I886" s="90">
        <v>0.64</v>
      </c>
      <c r="J886" s="90" t="s">
        <v>244</v>
      </c>
      <c r="K886" s="90">
        <v>0.15414709386054001</v>
      </c>
      <c r="L886" s="90">
        <v>3612.0888574760202</v>
      </c>
      <c r="M886" s="90">
        <v>9.0645903009102504</v>
      </c>
      <c r="N886" s="90">
        <v>1.3352211557612199</v>
      </c>
      <c r="O886" s="90">
        <v>1.39728025192178</v>
      </c>
      <c r="P886" s="90">
        <v>0.2058204608217</v>
      </c>
      <c r="Q886" s="90">
        <v>556.793000145978</v>
      </c>
      <c r="R886" s="90">
        <v>1210</v>
      </c>
      <c r="S886" s="90" t="s">
        <v>385</v>
      </c>
      <c r="T886" s="90">
        <v>1210</v>
      </c>
      <c r="U886" s="90" t="s">
        <v>378</v>
      </c>
      <c r="V886" s="90" t="s">
        <v>244</v>
      </c>
      <c r="Z886" s="90">
        <v>0</v>
      </c>
      <c r="AA886" s="90">
        <v>1</v>
      </c>
      <c r="AB886" s="90">
        <v>1.39728025192178</v>
      </c>
      <c r="AC886" s="90">
        <v>0.2058204608217</v>
      </c>
      <c r="AD886" s="90">
        <v>556.793000145978</v>
      </c>
      <c r="AF886" s="90">
        <v>-1</v>
      </c>
      <c r="AG886" s="90">
        <v>-1</v>
      </c>
      <c r="AH886" s="90">
        <v>-1</v>
      </c>
      <c r="AI886" s="90">
        <v>-1</v>
      </c>
      <c r="AJ886" s="90">
        <v>0</v>
      </c>
      <c r="AM886" s="90" t="s">
        <v>379</v>
      </c>
      <c r="AN886" s="90">
        <v>-1</v>
      </c>
      <c r="AQ886" s="90">
        <v>356</v>
      </c>
      <c r="AR886" s="90" t="s">
        <v>380</v>
      </c>
      <c r="AS886" s="90" t="s">
        <v>246</v>
      </c>
      <c r="AT886" s="90" t="s">
        <v>244</v>
      </c>
      <c r="AU886" s="90">
        <v>175.87190000000001</v>
      </c>
      <c r="AV886" s="90">
        <v>108.906681529583</v>
      </c>
      <c r="AW886" s="90">
        <v>623.81115678383401</v>
      </c>
      <c r="AX886" s="90">
        <v>0.45157583140000002</v>
      </c>
    </row>
    <row r="887" spans="1:50" x14ac:dyDescent="0.25">
      <c r="A887" s="102">
        <v>830000</v>
      </c>
      <c r="B887" s="102">
        <v>2500000</v>
      </c>
      <c r="C887" s="102">
        <v>2500000</v>
      </c>
      <c r="D887" s="90" t="s">
        <v>374</v>
      </c>
      <c r="E887" s="90" t="s">
        <v>68</v>
      </c>
      <c r="F887" s="90" t="s">
        <v>375</v>
      </c>
      <c r="G887" s="90" t="s">
        <v>376</v>
      </c>
      <c r="H887" s="90">
        <v>0.59</v>
      </c>
      <c r="I887" s="90">
        <v>0.64</v>
      </c>
      <c r="J887" s="90" t="s">
        <v>244</v>
      </c>
      <c r="K887" s="90">
        <v>1.1320922937380001E-2</v>
      </c>
      <c r="L887" s="90">
        <v>3702.4138547893799</v>
      </c>
      <c r="M887" s="90">
        <v>9.2292561245548406</v>
      </c>
      <c r="N887" s="90">
        <v>1.3573838423493101</v>
      </c>
      <c r="O887" s="90">
        <v>0.10448369735543001</v>
      </c>
      <c r="P887" s="90">
        <v>1.536683787568E-2</v>
      </c>
      <c r="Q887" s="90">
        <v>41.914741932362297</v>
      </c>
      <c r="R887" s="90">
        <v>1200</v>
      </c>
      <c r="S887" s="90" t="s">
        <v>384</v>
      </c>
      <c r="T887" s="90">
        <v>1200</v>
      </c>
      <c r="U887" s="90" t="s">
        <v>378</v>
      </c>
      <c r="V887" s="90" t="s">
        <v>244</v>
      </c>
      <c r="Z887" s="90">
        <v>0</v>
      </c>
      <c r="AA887" s="90">
        <v>1</v>
      </c>
      <c r="AB887" s="90">
        <v>0.10448369735543001</v>
      </c>
      <c r="AC887" s="90">
        <v>1.536683787568E-2</v>
      </c>
      <c r="AD887" s="90">
        <v>448.34407662411002</v>
      </c>
      <c r="AF887" s="90">
        <v>-1</v>
      </c>
      <c r="AG887" s="90">
        <v>-1</v>
      </c>
      <c r="AH887" s="90">
        <v>-1</v>
      </c>
      <c r="AI887" s="90">
        <v>-1</v>
      </c>
      <c r="AJ887" s="90">
        <v>0</v>
      </c>
      <c r="AM887" s="90" t="s">
        <v>379</v>
      </c>
      <c r="AN887" s="90">
        <v>-1</v>
      </c>
      <c r="AQ887" s="90">
        <v>356</v>
      </c>
      <c r="AR887" s="90" t="s">
        <v>380</v>
      </c>
      <c r="AS887" s="90" t="s">
        <v>246</v>
      </c>
      <c r="AT887" s="90" t="s">
        <v>244</v>
      </c>
      <c r="AU887" s="90">
        <v>175.87190000000001</v>
      </c>
      <c r="AV887" s="90">
        <v>28.144394367961599</v>
      </c>
      <c r="AW887" s="90">
        <v>45.8141496966376</v>
      </c>
      <c r="AX887" s="90">
        <v>0.36362050010000002</v>
      </c>
    </row>
    <row r="888" spans="1:50" x14ac:dyDescent="0.25">
      <c r="A888" s="102">
        <v>830000</v>
      </c>
      <c r="B888" s="102">
        <v>2500000</v>
      </c>
      <c r="C888" s="102">
        <v>2500000</v>
      </c>
      <c r="D888" s="90" t="s">
        <v>374</v>
      </c>
      <c r="E888" s="90" t="s">
        <v>68</v>
      </c>
      <c r="F888" s="90" t="s">
        <v>375</v>
      </c>
      <c r="G888" s="90" t="s">
        <v>376</v>
      </c>
      <c r="H888" s="90">
        <v>0.59</v>
      </c>
      <c r="I888" s="90">
        <v>0.64</v>
      </c>
      <c r="J888" s="90" t="s">
        <v>244</v>
      </c>
      <c r="K888" s="90">
        <v>4.5745204554509998E-2</v>
      </c>
      <c r="L888" s="90">
        <v>3702.4138547893799</v>
      </c>
      <c r="M888" s="90">
        <v>9.2292561245548406</v>
      </c>
      <c r="N888" s="90">
        <v>1.3573838423493101</v>
      </c>
      <c r="O888" s="90">
        <v>0.42219420930376</v>
      </c>
      <c r="P888" s="90">
        <v>6.2093801527259997E-2</v>
      </c>
      <c r="Q888" s="90">
        <v>169.36767913280599</v>
      </c>
      <c r="R888" s="90">
        <v>1210</v>
      </c>
      <c r="S888" s="90" t="s">
        <v>385</v>
      </c>
      <c r="T888" s="90">
        <v>1210</v>
      </c>
      <c r="U888" s="90" t="s">
        <v>378</v>
      </c>
      <c r="V888" s="90" t="s">
        <v>244</v>
      </c>
      <c r="Z888" s="90">
        <v>0</v>
      </c>
      <c r="AA888" s="90">
        <v>1</v>
      </c>
      <c r="AB888" s="90">
        <v>0.42219420930376</v>
      </c>
      <c r="AC888" s="90">
        <v>6.2093801527259997E-2</v>
      </c>
      <c r="AD888" s="90">
        <v>466.64080725515998</v>
      </c>
      <c r="AF888" s="90">
        <v>-1</v>
      </c>
      <c r="AG888" s="90">
        <v>-1</v>
      </c>
      <c r="AH888" s="90">
        <v>-1</v>
      </c>
      <c r="AI888" s="90">
        <v>-1</v>
      </c>
      <c r="AJ888" s="90">
        <v>0</v>
      </c>
      <c r="AM888" s="90" t="s">
        <v>379</v>
      </c>
      <c r="AN888" s="90">
        <v>-1</v>
      </c>
      <c r="AQ888" s="90">
        <v>356</v>
      </c>
      <c r="AR888" s="90" t="s">
        <v>380</v>
      </c>
      <c r="AS888" s="90" t="s">
        <v>246</v>
      </c>
      <c r="AT888" s="90" t="s">
        <v>244</v>
      </c>
      <c r="AU888" s="90">
        <v>175.87190000000001</v>
      </c>
      <c r="AV888" s="90">
        <v>91.126984588523399</v>
      </c>
      <c r="AW888" s="90">
        <v>185.12427484543699</v>
      </c>
      <c r="AX888" s="90">
        <v>0.37845969769999999</v>
      </c>
    </row>
    <row r="889" spans="1:50" x14ac:dyDescent="0.25">
      <c r="A889" s="102">
        <v>830000</v>
      </c>
      <c r="B889" s="102">
        <v>2500000</v>
      </c>
      <c r="C889" s="102">
        <v>2500000</v>
      </c>
      <c r="D889" s="90" t="s">
        <v>374</v>
      </c>
      <c r="E889" s="90" t="s">
        <v>68</v>
      </c>
      <c r="F889" s="90" t="s">
        <v>375</v>
      </c>
      <c r="G889" s="90" t="s">
        <v>376</v>
      </c>
      <c r="H889" s="90">
        <v>0.59</v>
      </c>
      <c r="I889" s="90">
        <v>0.64</v>
      </c>
      <c r="J889" s="90" t="s">
        <v>244</v>
      </c>
      <c r="K889" s="90">
        <v>9.5786134385100006E-3</v>
      </c>
      <c r="L889" s="90">
        <v>3225.7914267083002</v>
      </c>
      <c r="M889" s="90">
        <v>8.0705746964854193</v>
      </c>
      <c r="N889" s="90">
        <v>1.1879717529077101</v>
      </c>
      <c r="O889" s="90">
        <v>7.7304915244260003E-2</v>
      </c>
      <c r="P889" s="90">
        <v>1.137912219697E-2</v>
      </c>
      <c r="Q889" s="90">
        <v>30.898609109701699</v>
      </c>
      <c r="R889" s="90">
        <v>1200</v>
      </c>
      <c r="S889" s="90" t="s">
        <v>384</v>
      </c>
      <c r="T889" s="90">
        <v>1200</v>
      </c>
      <c r="U889" s="90" t="s">
        <v>378</v>
      </c>
      <c r="V889" s="90" t="s">
        <v>244</v>
      </c>
      <c r="Z889" s="90">
        <v>0</v>
      </c>
      <c r="AA889" s="90">
        <v>1</v>
      </c>
      <c r="AB889" s="90">
        <v>7.7304915244260003E-2</v>
      </c>
      <c r="AC889" s="90">
        <v>1.137912219697E-2</v>
      </c>
      <c r="AD889" s="90">
        <v>133.29810104216</v>
      </c>
      <c r="AF889" s="90">
        <v>-1</v>
      </c>
      <c r="AG889" s="90">
        <v>-1</v>
      </c>
      <c r="AH889" s="90">
        <v>-1</v>
      </c>
      <c r="AI889" s="90">
        <v>-1</v>
      </c>
      <c r="AJ889" s="90">
        <v>0</v>
      </c>
      <c r="AM889" s="90" t="s">
        <v>379</v>
      </c>
      <c r="AN889" s="90">
        <v>-1</v>
      </c>
      <c r="AQ889" s="90">
        <v>356</v>
      </c>
      <c r="AR889" s="90" t="s">
        <v>380</v>
      </c>
      <c r="AS889" s="90" t="s">
        <v>246</v>
      </c>
      <c r="AT889" s="90" t="s">
        <v>244</v>
      </c>
      <c r="AU889" s="90">
        <v>175.87190000000001</v>
      </c>
      <c r="AV889" s="90">
        <v>27.911666247207201</v>
      </c>
      <c r="AW889" s="90">
        <v>38.763273311327197</v>
      </c>
      <c r="AX889" s="90">
        <v>0.10810876</v>
      </c>
    </row>
    <row r="890" spans="1:50" x14ac:dyDescent="0.25">
      <c r="A890" s="102">
        <v>830000</v>
      </c>
      <c r="B890" s="102">
        <v>2500000</v>
      </c>
      <c r="C890" s="102">
        <v>2500000</v>
      </c>
      <c r="D890" s="90" t="s">
        <v>374</v>
      </c>
      <c r="E890" s="90" t="s">
        <v>68</v>
      </c>
      <c r="F890" s="90" t="s">
        <v>375</v>
      </c>
      <c r="G890" s="90" t="s">
        <v>376</v>
      </c>
      <c r="H890" s="90">
        <v>0.59</v>
      </c>
      <c r="I890" s="90">
        <v>0.64</v>
      </c>
      <c r="J890" s="90" t="s">
        <v>244</v>
      </c>
      <c r="K890" s="90">
        <v>2.76299576155E-3</v>
      </c>
      <c r="L890" s="90">
        <v>3225.7914267083002</v>
      </c>
      <c r="M890" s="90">
        <v>8.0705746964854193</v>
      </c>
      <c r="N890" s="90">
        <v>1.1879717529077101</v>
      </c>
      <c r="O890" s="90">
        <v>2.229896367969E-2</v>
      </c>
      <c r="P890" s="90">
        <v>3.2823609181300002E-3</v>
      </c>
      <c r="Q890" s="90">
        <v>8.9128480396522693</v>
      </c>
      <c r="R890" s="90">
        <v>1200</v>
      </c>
      <c r="S890" s="90" t="s">
        <v>384</v>
      </c>
      <c r="T890" s="90">
        <v>1200</v>
      </c>
      <c r="U890" s="90" t="s">
        <v>378</v>
      </c>
      <c r="V890" s="90" t="s">
        <v>244</v>
      </c>
      <c r="Z890" s="90">
        <v>0</v>
      </c>
      <c r="AA890" s="90">
        <v>1</v>
      </c>
      <c r="AB890" s="90">
        <v>2.229896367969E-2</v>
      </c>
      <c r="AC890" s="90">
        <v>3.2823609181300002E-3</v>
      </c>
      <c r="AD890" s="90">
        <v>9.0872661786083295</v>
      </c>
      <c r="AF890" s="90">
        <v>-1</v>
      </c>
      <c r="AG890" s="90">
        <v>-1</v>
      </c>
      <c r="AH890" s="90">
        <v>-1</v>
      </c>
      <c r="AI890" s="90">
        <v>-1</v>
      </c>
      <c r="AJ890" s="90">
        <v>0</v>
      </c>
      <c r="AM890" s="90" t="s">
        <v>379</v>
      </c>
      <c r="AN890" s="90">
        <v>-1</v>
      </c>
      <c r="AQ890" s="90">
        <v>356</v>
      </c>
      <c r="AR890" s="90" t="s">
        <v>380</v>
      </c>
      <c r="AS890" s="90" t="s">
        <v>246</v>
      </c>
      <c r="AT890" s="90" t="s">
        <v>244</v>
      </c>
      <c r="AU890" s="90">
        <v>175.87190000000001</v>
      </c>
      <c r="AV890" s="90">
        <v>24.431834916172999</v>
      </c>
      <c r="AW890" s="90">
        <v>11.1814471427088</v>
      </c>
      <c r="AX890" s="90">
        <v>7.3700455999999998E-3</v>
      </c>
    </row>
    <row r="891" spans="1:50" x14ac:dyDescent="0.25">
      <c r="A891" s="102">
        <v>830000</v>
      </c>
      <c r="B891" s="102">
        <v>2500000</v>
      </c>
      <c r="C891" s="102">
        <v>2500000</v>
      </c>
      <c r="D891" s="90" t="s">
        <v>374</v>
      </c>
      <c r="E891" s="90" t="s">
        <v>68</v>
      </c>
      <c r="F891" s="90" t="s">
        <v>375</v>
      </c>
      <c r="G891" s="90" t="s">
        <v>376</v>
      </c>
      <c r="H891" s="90">
        <v>0.59</v>
      </c>
      <c r="I891" s="90">
        <v>0.64</v>
      </c>
      <c r="J891" s="90" t="s">
        <v>389</v>
      </c>
      <c r="K891" s="90">
        <v>1.4293734667379999E-2</v>
      </c>
      <c r="L891" s="90">
        <v>3225.7914267083002</v>
      </c>
      <c r="M891" s="90">
        <v>8.0705746964854193</v>
      </c>
      <c r="N891" s="90">
        <v>1.1879717529077101</v>
      </c>
      <c r="O891" s="90">
        <v>0.11535865332483</v>
      </c>
      <c r="P891" s="90">
        <v>1.69805530284E-2</v>
      </c>
      <c r="Q891" s="90">
        <v>46.108606745677598</v>
      </c>
      <c r="R891" s="90">
        <v>5400</v>
      </c>
      <c r="S891" s="90" t="s">
        <v>392</v>
      </c>
      <c r="T891" s="90">
        <v>5400</v>
      </c>
      <c r="U891" s="90" t="s">
        <v>378</v>
      </c>
      <c r="V891" s="90" t="s">
        <v>244</v>
      </c>
      <c r="Y891" s="90" t="s">
        <v>389</v>
      </c>
      <c r="Z891" s="90">
        <v>0</v>
      </c>
      <c r="AA891" s="90">
        <v>1</v>
      </c>
      <c r="AB891" s="90">
        <v>0.11535865332483</v>
      </c>
      <c r="AC891" s="90">
        <v>1.69805530284E-2</v>
      </c>
      <c r="AD891" s="90">
        <v>242.90278622657601</v>
      </c>
      <c r="AF891" s="90">
        <v>-1</v>
      </c>
      <c r="AG891" s="90">
        <v>-1</v>
      </c>
      <c r="AH891" s="90">
        <v>-1</v>
      </c>
      <c r="AI891" s="90">
        <v>-1</v>
      </c>
      <c r="AJ891" s="90">
        <v>0</v>
      </c>
      <c r="AM891" s="90" t="s">
        <v>379</v>
      </c>
      <c r="AN891" s="90">
        <v>-1</v>
      </c>
      <c r="AQ891" s="90">
        <v>356</v>
      </c>
      <c r="AR891" s="90" t="s">
        <v>380</v>
      </c>
      <c r="AS891" s="90" t="s">
        <v>246</v>
      </c>
      <c r="AT891" s="90" t="s">
        <v>244</v>
      </c>
      <c r="AU891" s="90">
        <v>175.87190000000001</v>
      </c>
      <c r="AV891" s="90">
        <v>32.883829813525502</v>
      </c>
      <c r="AW891" s="90">
        <v>57.844691938767603</v>
      </c>
      <c r="AX891" s="90">
        <v>0.1970014487</v>
      </c>
    </row>
    <row r="892" spans="1:50" x14ac:dyDescent="0.25">
      <c r="A892" s="102">
        <v>830000</v>
      </c>
      <c r="B892" s="102">
        <v>2500000</v>
      </c>
      <c r="C892" s="102">
        <v>2500000</v>
      </c>
      <c r="D892" s="90" t="s">
        <v>374</v>
      </c>
      <c r="E892" s="90" t="s">
        <v>68</v>
      </c>
      <c r="F892" s="90" t="s">
        <v>375</v>
      </c>
      <c r="G892" s="90" t="s">
        <v>376</v>
      </c>
      <c r="H892" s="90">
        <v>0.59</v>
      </c>
      <c r="I892" s="90">
        <v>0.64</v>
      </c>
      <c r="J892" s="90" t="s">
        <v>244</v>
      </c>
      <c r="K892" s="90">
        <v>0.10542264656408</v>
      </c>
      <c r="L892" s="90">
        <v>3225.7914267083002</v>
      </c>
      <c r="M892" s="90">
        <v>8.0705746964854193</v>
      </c>
      <c r="N892" s="90">
        <v>1.1879717529077101</v>
      </c>
      <c r="O892" s="90">
        <v>0.85082134379662999</v>
      </c>
      <c r="P892" s="90">
        <v>0.12523912623489999</v>
      </c>
      <c r="Q892" s="90">
        <v>340.07146946732399</v>
      </c>
      <c r="R892" s="90">
        <v>1210</v>
      </c>
      <c r="S892" s="90" t="s">
        <v>385</v>
      </c>
      <c r="T892" s="90">
        <v>1210</v>
      </c>
      <c r="U892" s="90" t="s">
        <v>378</v>
      </c>
      <c r="V892" s="90" t="s">
        <v>244</v>
      </c>
      <c r="Z892" s="90">
        <v>0</v>
      </c>
      <c r="AA892" s="90">
        <v>1</v>
      </c>
      <c r="AB892" s="90">
        <v>0.85082134379662999</v>
      </c>
      <c r="AC892" s="90">
        <v>0.12523912623489999</v>
      </c>
      <c r="AD892" s="90">
        <v>808.56671174949201</v>
      </c>
      <c r="AF892" s="90">
        <v>-1</v>
      </c>
      <c r="AG892" s="90">
        <v>-1</v>
      </c>
      <c r="AH892" s="90">
        <v>-1</v>
      </c>
      <c r="AI892" s="90">
        <v>-1</v>
      </c>
      <c r="AJ892" s="90">
        <v>0</v>
      </c>
      <c r="AM892" s="90" t="s">
        <v>379</v>
      </c>
      <c r="AN892" s="90">
        <v>-1</v>
      </c>
      <c r="AQ892" s="90">
        <v>356</v>
      </c>
      <c r="AR892" s="90" t="s">
        <v>380</v>
      </c>
      <c r="AS892" s="90" t="s">
        <v>246</v>
      </c>
      <c r="AT892" s="90" t="s">
        <v>244</v>
      </c>
      <c r="AU892" s="90">
        <v>175.87190000000001</v>
      </c>
      <c r="AV892" s="90">
        <v>101.383940863467</v>
      </c>
      <c r="AW892" s="90">
        <v>426.63031431427203</v>
      </c>
      <c r="AX892" s="90">
        <v>0.65577186679999999</v>
      </c>
    </row>
    <row r="893" spans="1:50" x14ac:dyDescent="0.25">
      <c r="A893" s="102">
        <v>830000</v>
      </c>
      <c r="B893" s="102">
        <v>2500000</v>
      </c>
      <c r="C893" s="102">
        <v>2500000</v>
      </c>
      <c r="D893" s="90" t="s">
        <v>374</v>
      </c>
      <c r="E893" s="90" t="s">
        <v>68</v>
      </c>
      <c r="F893" s="90" t="s">
        <v>375</v>
      </c>
      <c r="G893" s="90" t="s">
        <v>376</v>
      </c>
      <c r="H893" s="90">
        <v>0.59</v>
      </c>
      <c r="I893" s="90">
        <v>0.64</v>
      </c>
      <c r="J893" s="90" t="s">
        <v>244</v>
      </c>
      <c r="K893" s="90">
        <v>0.61776345373694996</v>
      </c>
      <c r="L893" s="90">
        <v>3747.7351294554201</v>
      </c>
      <c r="M893" s="90">
        <v>10.7827144160287</v>
      </c>
      <c r="N893" s="90">
        <v>2.0776258090754798</v>
      </c>
      <c r="O893" s="90">
        <v>6.6611668983051402</v>
      </c>
      <c r="P893" s="90">
        <v>1.2834812953875001</v>
      </c>
      <c r="Q893" s="90">
        <v>2315.2137972636901</v>
      </c>
      <c r="R893" s="90">
        <v>1300</v>
      </c>
      <c r="S893" s="90" t="s">
        <v>387</v>
      </c>
      <c r="T893" s="90">
        <v>1300</v>
      </c>
      <c r="U893" s="90" t="s">
        <v>378</v>
      </c>
      <c r="V893" s="90" t="s">
        <v>244</v>
      </c>
      <c r="Z893" s="90">
        <v>0</v>
      </c>
      <c r="AA893" s="90">
        <v>1</v>
      </c>
      <c r="AB893" s="90">
        <v>6.6611668983051402</v>
      </c>
      <c r="AC893" s="90">
        <v>1.2834812953875001</v>
      </c>
      <c r="AD893" s="90">
        <v>2315.2137972636901</v>
      </c>
      <c r="AF893" s="90">
        <v>-1</v>
      </c>
      <c r="AG893" s="90">
        <v>-1</v>
      </c>
      <c r="AH893" s="90">
        <v>-1</v>
      </c>
      <c r="AI893" s="90">
        <v>-1</v>
      </c>
      <c r="AJ893" s="90">
        <v>0</v>
      </c>
      <c r="AM893" s="90" t="s">
        <v>379</v>
      </c>
      <c r="AN893" s="90">
        <v>-1</v>
      </c>
      <c r="AQ893" s="90">
        <v>356</v>
      </c>
      <c r="AR893" s="90" t="s">
        <v>380</v>
      </c>
      <c r="AS893" s="90" t="s">
        <v>246</v>
      </c>
      <c r="AT893" s="90" t="s">
        <v>244</v>
      </c>
      <c r="AU893" s="90">
        <v>175.87190000000001</v>
      </c>
      <c r="AV893" s="90">
        <v>200.00000001117499</v>
      </c>
      <c r="AW893" s="90">
        <v>2500.00000027939</v>
      </c>
      <c r="AX893" s="90">
        <v>1.8777078648000001</v>
      </c>
    </row>
    <row r="894" spans="1:50" x14ac:dyDescent="0.25">
      <c r="A894" s="102">
        <v>830000</v>
      </c>
      <c r="B894" s="102">
        <v>2500000</v>
      </c>
      <c r="C894" s="102">
        <v>2500000</v>
      </c>
      <c r="D894" s="90" t="s">
        <v>374</v>
      </c>
      <c r="E894" s="90" t="s">
        <v>68</v>
      </c>
      <c r="F894" s="90" t="s">
        <v>375</v>
      </c>
      <c r="G894" s="90" t="s">
        <v>376</v>
      </c>
      <c r="H894" s="90">
        <v>0.59</v>
      </c>
      <c r="I894" s="90">
        <v>0.64</v>
      </c>
      <c r="J894" s="90" t="s">
        <v>244</v>
      </c>
      <c r="K894" s="90">
        <v>2.8780886333599999E-3</v>
      </c>
      <c r="L894" s="90">
        <v>3746.26082570673</v>
      </c>
      <c r="M894" s="90">
        <v>10.7786013806613</v>
      </c>
      <c r="N894" s="90">
        <v>2.07684827753826</v>
      </c>
      <c r="O894" s="90">
        <v>3.1021770117249998E-2</v>
      </c>
      <c r="P894" s="90">
        <v>5.9773534208000002E-3</v>
      </c>
      <c r="Q894" s="90">
        <v>10.7820707000871</v>
      </c>
      <c r="R894" s="90">
        <v>1300</v>
      </c>
      <c r="S894" s="90" t="s">
        <v>387</v>
      </c>
      <c r="T894" s="90">
        <v>1300</v>
      </c>
      <c r="U894" s="90" t="s">
        <v>378</v>
      </c>
      <c r="V894" s="90" t="s">
        <v>244</v>
      </c>
      <c r="Z894" s="90">
        <v>0</v>
      </c>
      <c r="AA894" s="90">
        <v>1</v>
      </c>
      <c r="AB894" s="90">
        <v>3.1021770117249998E-2</v>
      </c>
      <c r="AC894" s="90">
        <v>5.9773534208000002E-3</v>
      </c>
      <c r="AD894" s="90">
        <v>10.7820707000888</v>
      </c>
      <c r="AF894" s="90">
        <v>-1</v>
      </c>
      <c r="AG894" s="90">
        <v>-1</v>
      </c>
      <c r="AH894" s="90">
        <v>-1</v>
      </c>
      <c r="AI894" s="90">
        <v>-1</v>
      </c>
      <c r="AJ894" s="90">
        <v>0</v>
      </c>
      <c r="AM894" s="90" t="s">
        <v>379</v>
      </c>
      <c r="AN894" s="90">
        <v>-1</v>
      </c>
      <c r="AQ894" s="90">
        <v>356</v>
      </c>
      <c r="AR894" s="90" t="s">
        <v>380</v>
      </c>
      <c r="AS894" s="90" t="s">
        <v>246</v>
      </c>
      <c r="AT894" s="90" t="s">
        <v>244</v>
      </c>
      <c r="AU894" s="90">
        <v>175.87190000000001</v>
      </c>
      <c r="AV894" s="90">
        <v>28.131153695037401</v>
      </c>
      <c r="AW894" s="90">
        <v>11.647211470171399</v>
      </c>
      <c r="AX894" s="90">
        <v>8.7445829000000006E-3</v>
      </c>
    </row>
    <row r="895" spans="1:50" x14ac:dyDescent="0.25">
      <c r="A895" s="102">
        <v>830000</v>
      </c>
      <c r="B895" s="102">
        <v>2500000</v>
      </c>
      <c r="C895" s="102">
        <v>2500000</v>
      </c>
      <c r="D895" s="90" t="s">
        <v>374</v>
      </c>
      <c r="E895" s="90" t="s">
        <v>68</v>
      </c>
      <c r="F895" s="90" t="s">
        <v>375</v>
      </c>
      <c r="G895" s="90" t="s">
        <v>376</v>
      </c>
      <c r="H895" s="90">
        <v>0.59</v>
      </c>
      <c r="I895" s="90">
        <v>0.64</v>
      </c>
      <c r="J895" s="90" t="s">
        <v>244</v>
      </c>
      <c r="K895" s="90">
        <v>3.5568276132800003E-2</v>
      </c>
      <c r="L895" s="90">
        <v>3746.26082570673</v>
      </c>
      <c r="M895" s="90">
        <v>10.7786013806613</v>
      </c>
      <c r="N895" s="90">
        <v>2.07684827753826</v>
      </c>
      <c r="O895" s="90">
        <v>0.38337627023283999</v>
      </c>
      <c r="P895" s="90">
        <v>7.3869913021430006E-2</v>
      </c>
      <c r="Q895" s="90">
        <v>133.24803951426199</v>
      </c>
      <c r="R895" s="90">
        <v>1300</v>
      </c>
      <c r="S895" s="90" t="s">
        <v>387</v>
      </c>
      <c r="T895" s="90">
        <v>1300</v>
      </c>
      <c r="U895" s="90" t="s">
        <v>378</v>
      </c>
      <c r="V895" s="90" t="s">
        <v>244</v>
      </c>
      <c r="Z895" s="90">
        <v>0</v>
      </c>
      <c r="AA895" s="90">
        <v>1</v>
      </c>
      <c r="AB895" s="90">
        <v>0.38337627023283999</v>
      </c>
      <c r="AC895" s="90">
        <v>7.3869913021430006E-2</v>
      </c>
      <c r="AD895" s="90">
        <v>133.24803951426</v>
      </c>
      <c r="AF895" s="90">
        <v>-1</v>
      </c>
      <c r="AG895" s="90">
        <v>-1</v>
      </c>
      <c r="AH895" s="90">
        <v>-1</v>
      </c>
      <c r="AI895" s="90">
        <v>-1</v>
      </c>
      <c r="AJ895" s="90">
        <v>0</v>
      </c>
      <c r="AM895" s="90" t="s">
        <v>379</v>
      </c>
      <c r="AN895" s="90">
        <v>-1</v>
      </c>
      <c r="AQ895" s="90">
        <v>356</v>
      </c>
      <c r="AR895" s="90" t="s">
        <v>380</v>
      </c>
      <c r="AS895" s="90" t="s">
        <v>246</v>
      </c>
      <c r="AT895" s="90" t="s">
        <v>244</v>
      </c>
      <c r="AU895" s="90">
        <v>175.87190000000001</v>
      </c>
      <c r="AV895" s="90">
        <v>75.598471084927894</v>
      </c>
      <c r="AW895" s="90">
        <v>143.93970670175301</v>
      </c>
      <c r="AX895" s="90">
        <v>0.10806815860000001</v>
      </c>
    </row>
    <row r="896" spans="1:50" x14ac:dyDescent="0.25">
      <c r="A896" s="102">
        <v>830000</v>
      </c>
      <c r="B896" s="102">
        <v>2500000</v>
      </c>
      <c r="C896" s="102">
        <v>2500000</v>
      </c>
      <c r="D896" s="90" t="s">
        <v>374</v>
      </c>
      <c r="E896" s="90" t="s">
        <v>68</v>
      </c>
      <c r="F896" s="90" t="s">
        <v>375</v>
      </c>
      <c r="G896" s="90" t="s">
        <v>376</v>
      </c>
      <c r="H896" s="90">
        <v>0.59</v>
      </c>
      <c r="I896" s="90">
        <v>0.64</v>
      </c>
      <c r="J896" s="90" t="s">
        <v>244</v>
      </c>
      <c r="K896" s="90">
        <v>0.16730756581653999</v>
      </c>
      <c r="L896" s="90">
        <v>3746.26082570673</v>
      </c>
      <c r="M896" s="90">
        <v>10.7786013806613</v>
      </c>
      <c r="N896" s="90">
        <v>2.07684827753826</v>
      </c>
      <c r="O896" s="90">
        <v>1.80334155990533</v>
      </c>
      <c r="P896" s="90">
        <v>0.34747242988520999</v>
      </c>
      <c r="Q896" s="90">
        <v>626.77777966288102</v>
      </c>
      <c r="R896" s="90">
        <v>1300</v>
      </c>
      <c r="S896" s="90" t="s">
        <v>387</v>
      </c>
      <c r="T896" s="90">
        <v>1300</v>
      </c>
      <c r="U896" s="90" t="s">
        <v>378</v>
      </c>
      <c r="V896" s="90" t="s">
        <v>244</v>
      </c>
      <c r="Z896" s="90">
        <v>0</v>
      </c>
      <c r="AA896" s="90">
        <v>1</v>
      </c>
      <c r="AB896" s="90">
        <v>1.80334155990533</v>
      </c>
      <c r="AC896" s="90">
        <v>0.34747242988520999</v>
      </c>
      <c r="AD896" s="90">
        <v>626.77777966288102</v>
      </c>
      <c r="AF896" s="90">
        <v>-1</v>
      </c>
      <c r="AG896" s="90">
        <v>-1</v>
      </c>
      <c r="AH896" s="90">
        <v>-1</v>
      </c>
      <c r="AI896" s="90">
        <v>-1</v>
      </c>
      <c r="AJ896" s="90">
        <v>0</v>
      </c>
      <c r="AM896" s="90" t="s">
        <v>379</v>
      </c>
      <c r="AN896" s="90">
        <v>-1</v>
      </c>
      <c r="AQ896" s="90">
        <v>356</v>
      </c>
      <c r="AR896" s="90" t="s">
        <v>380</v>
      </c>
      <c r="AS896" s="90" t="s">
        <v>246</v>
      </c>
      <c r="AT896" s="90" t="s">
        <v>244</v>
      </c>
      <c r="AU896" s="90">
        <v>175.87190000000001</v>
      </c>
      <c r="AV896" s="90">
        <v>130.07323384907701</v>
      </c>
      <c r="AW896" s="90">
        <v>677.06969724080398</v>
      </c>
      <c r="AX896" s="90">
        <v>0.50833558769999998</v>
      </c>
    </row>
    <row r="897" spans="1:50" x14ac:dyDescent="0.25">
      <c r="A897" s="102">
        <v>830000</v>
      </c>
      <c r="B897" s="102">
        <v>2500000</v>
      </c>
      <c r="C897" s="102">
        <v>2500000</v>
      </c>
      <c r="D897" s="90" t="s">
        <v>374</v>
      </c>
      <c r="E897" s="90" t="s">
        <v>68</v>
      </c>
      <c r="F897" s="90" t="s">
        <v>375</v>
      </c>
      <c r="G897" s="90" t="s">
        <v>376</v>
      </c>
      <c r="H897" s="90">
        <v>0.59</v>
      </c>
      <c r="I897" s="90">
        <v>0.64</v>
      </c>
      <c r="J897" s="90" t="s">
        <v>244</v>
      </c>
      <c r="K897" s="90">
        <v>5.7641905419699999E-3</v>
      </c>
      <c r="L897" s="90">
        <v>3746.26082570673</v>
      </c>
      <c r="M897" s="90">
        <v>10.7786013806613</v>
      </c>
      <c r="N897" s="90">
        <v>2.07684827753826</v>
      </c>
      <c r="O897" s="90">
        <v>6.2129912134149999E-2</v>
      </c>
      <c r="P897" s="90">
        <v>1.19713491985E-2</v>
      </c>
      <c r="Q897" s="90">
        <v>21.5941612193214</v>
      </c>
      <c r="R897" s="90">
        <v>1300</v>
      </c>
      <c r="S897" s="90" t="s">
        <v>387</v>
      </c>
      <c r="T897" s="90">
        <v>1300</v>
      </c>
      <c r="U897" s="90" t="s">
        <v>378</v>
      </c>
      <c r="V897" s="90" t="s">
        <v>244</v>
      </c>
      <c r="Z897" s="90">
        <v>0</v>
      </c>
      <c r="AA897" s="90">
        <v>1</v>
      </c>
      <c r="AB897" s="90">
        <v>6.2129912134149999E-2</v>
      </c>
      <c r="AC897" s="90">
        <v>1.19713491985E-2</v>
      </c>
      <c r="AD897" s="90">
        <v>21.594161219322402</v>
      </c>
      <c r="AF897" s="90">
        <v>-1</v>
      </c>
      <c r="AG897" s="90">
        <v>-1</v>
      </c>
      <c r="AH897" s="90">
        <v>-1</v>
      </c>
      <c r="AI897" s="90">
        <v>-1</v>
      </c>
      <c r="AJ897" s="90">
        <v>0</v>
      </c>
      <c r="AM897" s="90" t="s">
        <v>379</v>
      </c>
      <c r="AN897" s="90">
        <v>-1</v>
      </c>
      <c r="AQ897" s="90">
        <v>356</v>
      </c>
      <c r="AR897" s="90" t="s">
        <v>380</v>
      </c>
      <c r="AS897" s="90" t="s">
        <v>246</v>
      </c>
      <c r="AT897" s="90" t="s">
        <v>244</v>
      </c>
      <c r="AU897" s="90">
        <v>175.87190000000001</v>
      </c>
      <c r="AV897" s="90">
        <v>43.346624913372402</v>
      </c>
      <c r="AW897" s="90">
        <v>23.326851514742099</v>
      </c>
      <c r="AX897" s="90">
        <v>1.7513512700000001E-2</v>
      </c>
    </row>
    <row r="898" spans="1:50" x14ac:dyDescent="0.25">
      <c r="A898" s="102">
        <v>840000</v>
      </c>
      <c r="B898" s="102">
        <v>2400000</v>
      </c>
      <c r="C898" s="102">
        <v>2400000</v>
      </c>
      <c r="D898" s="90" t="s">
        <v>374</v>
      </c>
      <c r="E898" s="90" t="s">
        <v>68</v>
      </c>
      <c r="F898" s="90" t="s">
        <v>375</v>
      </c>
      <c r="G898" s="90" t="s">
        <v>376</v>
      </c>
      <c r="H898" s="90">
        <v>0.59</v>
      </c>
      <c r="I898" s="90">
        <v>0.64</v>
      </c>
      <c r="J898" s="90" t="s">
        <v>244</v>
      </c>
      <c r="K898" s="90">
        <v>3.5120687729999999E-5</v>
      </c>
      <c r="L898" s="90">
        <v>3782.1091691373299</v>
      </c>
      <c r="M898" s="90">
        <v>11.6204057133546</v>
      </c>
      <c r="N898" s="90">
        <v>1.53418801912293</v>
      </c>
      <c r="O898" s="90">
        <v>4.0811664042E-4</v>
      </c>
      <c r="P898" s="90">
        <v>5.3881738340000001E-5</v>
      </c>
      <c r="Q898" s="90">
        <v>0.13283027511272999</v>
      </c>
      <c r="R898" s="90">
        <v>1400</v>
      </c>
      <c r="S898" s="90" t="s">
        <v>324</v>
      </c>
      <c r="T898" s="90">
        <v>1400</v>
      </c>
      <c r="U898" s="90" t="s">
        <v>378</v>
      </c>
      <c r="V898" s="90" t="s">
        <v>244</v>
      </c>
      <c r="Z898" s="90">
        <v>0</v>
      </c>
      <c r="AA898" s="90">
        <v>1</v>
      </c>
      <c r="AB898" s="90">
        <v>4.0811664042E-4</v>
      </c>
      <c r="AC898" s="90">
        <v>5.3881738340000001E-5</v>
      </c>
      <c r="AD898" s="90">
        <v>401.131261116269</v>
      </c>
      <c r="AF898" s="90">
        <v>-1</v>
      </c>
      <c r="AG898" s="90">
        <v>-1</v>
      </c>
      <c r="AH898" s="90">
        <v>-1</v>
      </c>
      <c r="AI898" s="90">
        <v>-1</v>
      </c>
      <c r="AJ898" s="90">
        <v>0</v>
      </c>
      <c r="AM898" s="90" t="s">
        <v>379</v>
      </c>
      <c r="AN898" s="90">
        <v>-1</v>
      </c>
      <c r="AQ898" s="90">
        <v>356</v>
      </c>
      <c r="AR898" s="90" t="s">
        <v>380</v>
      </c>
      <c r="AS898" s="90" t="s">
        <v>246</v>
      </c>
      <c r="AT898" s="90" t="s">
        <v>244</v>
      </c>
      <c r="AU898" s="90">
        <v>175.87190000000001</v>
      </c>
      <c r="AV898" s="90">
        <v>3.0419885308712602</v>
      </c>
      <c r="AW898" s="90">
        <v>0.14212838072402001</v>
      </c>
      <c r="AX898" s="90">
        <v>0.32532949</v>
      </c>
    </row>
    <row r="899" spans="1:50" x14ac:dyDescent="0.25">
      <c r="A899" s="102">
        <v>840000</v>
      </c>
      <c r="B899" s="102">
        <v>2400000</v>
      </c>
      <c r="C899" s="102">
        <v>2400000</v>
      </c>
      <c r="D899" s="90" t="s">
        <v>374</v>
      </c>
      <c r="E899" s="90" t="s">
        <v>68</v>
      </c>
      <c r="F899" s="90" t="s">
        <v>375</v>
      </c>
      <c r="G899" s="90" t="s">
        <v>376</v>
      </c>
      <c r="H899" s="90">
        <v>0.59</v>
      </c>
      <c r="I899" s="90">
        <v>0.64</v>
      </c>
      <c r="J899" s="90" t="s">
        <v>381</v>
      </c>
      <c r="K899" s="90">
        <v>5.2759389653600003E-3</v>
      </c>
      <c r="L899" s="90">
        <v>3782.1091691373299</v>
      </c>
      <c r="M899" s="90">
        <v>11.6204057133546</v>
      </c>
      <c r="N899" s="90">
        <v>1.53418801912293</v>
      </c>
      <c r="O899" s="90">
        <v>6.1308551296420002E-2</v>
      </c>
      <c r="P899" s="90">
        <v>8.0942823502800007E-3</v>
      </c>
      <c r="Q899" s="90">
        <v>19.954177136712101</v>
      </c>
      <c r="R899" s="90">
        <v>1400</v>
      </c>
      <c r="S899" s="90" t="s">
        <v>324</v>
      </c>
      <c r="T899" s="90">
        <v>1400</v>
      </c>
      <c r="U899" s="90" t="s">
        <v>382</v>
      </c>
      <c r="V899" s="90" t="s">
        <v>381</v>
      </c>
      <c r="Z899" s="90">
        <v>0</v>
      </c>
      <c r="AA899" s="90">
        <v>1</v>
      </c>
      <c r="AB899" s="90">
        <v>6.1308551296420002E-2</v>
      </c>
      <c r="AC899" s="90">
        <v>8.0942823502800007E-3</v>
      </c>
      <c r="AD899" s="90">
        <v>169.967796311618</v>
      </c>
      <c r="AF899" s="90">
        <v>-1</v>
      </c>
      <c r="AG899" s="90">
        <v>-1</v>
      </c>
      <c r="AH899" s="90">
        <v>-1</v>
      </c>
      <c r="AI899" s="90">
        <v>-1</v>
      </c>
      <c r="AJ899" s="90">
        <v>0</v>
      </c>
      <c r="AM899" s="90" t="s">
        <v>379</v>
      </c>
      <c r="AN899" s="90">
        <v>-1</v>
      </c>
      <c r="AQ899" s="90">
        <v>356</v>
      </c>
      <c r="AR899" s="90" t="s">
        <v>380</v>
      </c>
      <c r="AS899" s="90" t="s">
        <v>246</v>
      </c>
      <c r="AT899" s="90" t="s">
        <v>244</v>
      </c>
      <c r="AU899" s="90">
        <v>175.87190000000001</v>
      </c>
      <c r="AV899" s="90">
        <v>18.352315166480999</v>
      </c>
      <c r="AW899" s="90">
        <v>21.350967486173701</v>
      </c>
      <c r="AX899" s="90">
        <v>0.1378489832</v>
      </c>
    </row>
    <row r="900" spans="1:50" x14ac:dyDescent="0.25">
      <c r="A900" s="102">
        <v>840000</v>
      </c>
      <c r="B900" s="102">
        <v>2400000</v>
      </c>
      <c r="C900" s="102">
        <v>2400000</v>
      </c>
      <c r="D900" s="90" t="s">
        <v>374</v>
      </c>
      <c r="E900" s="90" t="s">
        <v>68</v>
      </c>
      <c r="F900" s="90" t="s">
        <v>375</v>
      </c>
      <c r="G900" s="90" t="s">
        <v>376</v>
      </c>
      <c r="H900" s="90">
        <v>0.59</v>
      </c>
      <c r="I900" s="90">
        <v>0.64</v>
      </c>
      <c r="J900" s="90" t="s">
        <v>381</v>
      </c>
      <c r="K900" s="90">
        <v>5.2557563559000003E-4</v>
      </c>
      <c r="L900" s="90">
        <v>3724.5547691608899</v>
      </c>
      <c r="M900" s="90">
        <v>8.1072001934389402</v>
      </c>
      <c r="N900" s="90">
        <v>1.08242589716147</v>
      </c>
      <c r="O900" s="90">
        <v>4.26094689459E-3</v>
      </c>
      <c r="P900" s="90">
        <v>5.6889667888000001E-4</v>
      </c>
      <c r="Q900" s="90">
        <v>1.9575352401250199</v>
      </c>
      <c r="R900" s="90">
        <v>1400</v>
      </c>
      <c r="S900" s="90" t="s">
        <v>324</v>
      </c>
      <c r="T900" s="90">
        <v>1400</v>
      </c>
      <c r="U900" s="90" t="s">
        <v>382</v>
      </c>
      <c r="V900" s="90" t="s">
        <v>381</v>
      </c>
      <c r="Z900" s="90">
        <v>0</v>
      </c>
      <c r="AA900" s="90">
        <v>1</v>
      </c>
      <c r="AB900" s="90">
        <v>4.26094689459E-3</v>
      </c>
      <c r="AC900" s="90">
        <v>5.6889667888000001E-4</v>
      </c>
      <c r="AD900" s="90">
        <v>1.95753524012381</v>
      </c>
      <c r="AF900" s="90">
        <v>-1</v>
      </c>
      <c r="AG900" s="90">
        <v>-1</v>
      </c>
      <c r="AH900" s="90">
        <v>-1</v>
      </c>
      <c r="AI900" s="90">
        <v>-1</v>
      </c>
      <c r="AJ900" s="90">
        <v>0</v>
      </c>
      <c r="AM900" s="90" t="s">
        <v>379</v>
      </c>
      <c r="AN900" s="90">
        <v>-1</v>
      </c>
      <c r="AQ900" s="90">
        <v>356</v>
      </c>
      <c r="AR900" s="90" t="s">
        <v>380</v>
      </c>
      <c r="AS900" s="90" t="s">
        <v>246</v>
      </c>
      <c r="AT900" s="90" t="s">
        <v>244</v>
      </c>
      <c r="AU900" s="90">
        <v>175.87190000000001</v>
      </c>
      <c r="AV900" s="90">
        <v>23.542145143664101</v>
      </c>
      <c r="AW900" s="90">
        <v>2.1269291363794598</v>
      </c>
      <c r="AX900" s="90">
        <v>1.5876198E-3</v>
      </c>
    </row>
    <row r="901" spans="1:50" x14ac:dyDescent="0.25">
      <c r="A901" s="102">
        <v>840000</v>
      </c>
      <c r="B901" s="102">
        <v>2400000</v>
      </c>
      <c r="C901" s="102">
        <v>2400000</v>
      </c>
      <c r="D901" s="90" t="s">
        <v>374</v>
      </c>
      <c r="E901" s="90" t="s">
        <v>68</v>
      </c>
      <c r="F901" s="90" t="s">
        <v>375</v>
      </c>
      <c r="G901" s="90" t="s">
        <v>376</v>
      </c>
      <c r="H901" s="90">
        <v>0.59</v>
      </c>
      <c r="I901" s="90">
        <v>0.64</v>
      </c>
      <c r="J901" s="90" t="s">
        <v>381</v>
      </c>
      <c r="K901" s="90">
        <v>0.10055417213376</v>
      </c>
      <c r="L901" s="90">
        <v>3724.5547691608899</v>
      </c>
      <c r="M901" s="90">
        <v>8.1072001934389402</v>
      </c>
      <c r="N901" s="90">
        <v>1.08242589716147</v>
      </c>
      <c r="O901" s="90">
        <v>0.81521280377396999</v>
      </c>
      <c r="P901" s="90">
        <v>0.10884243998522</v>
      </c>
      <c r="Q901" s="90">
        <v>374.51952137985103</v>
      </c>
      <c r="R901" s="90">
        <v>8140</v>
      </c>
      <c r="S901" s="90" t="s">
        <v>386</v>
      </c>
      <c r="T901" s="90">
        <v>8140</v>
      </c>
      <c r="U901" s="90" t="s">
        <v>382</v>
      </c>
      <c r="V901" s="90" t="s">
        <v>381</v>
      </c>
      <c r="Z901" s="90">
        <v>0</v>
      </c>
      <c r="AA901" s="90">
        <v>1</v>
      </c>
      <c r="AB901" s="90">
        <v>0.81521280377396999</v>
      </c>
      <c r="AC901" s="90">
        <v>0.10884243998522</v>
      </c>
      <c r="AD901" s="90">
        <v>977.42905566511604</v>
      </c>
      <c r="AF901" s="90">
        <v>-1</v>
      </c>
      <c r="AG901" s="90">
        <v>-1</v>
      </c>
      <c r="AH901" s="90">
        <v>-1</v>
      </c>
      <c r="AI901" s="90">
        <v>-1</v>
      </c>
      <c r="AJ901" s="90">
        <v>0</v>
      </c>
      <c r="AM901" s="90" t="s">
        <v>379</v>
      </c>
      <c r="AN901" s="90">
        <v>-1</v>
      </c>
      <c r="AQ901" s="90">
        <v>356</v>
      </c>
      <c r="AR901" s="90" t="s">
        <v>380</v>
      </c>
      <c r="AS901" s="90" t="s">
        <v>246</v>
      </c>
      <c r="AT901" s="90" t="s">
        <v>244</v>
      </c>
      <c r="AU901" s="90">
        <v>175.87190000000001</v>
      </c>
      <c r="AV901" s="90">
        <v>116.065185203059</v>
      </c>
      <c r="AW901" s="90">
        <v>406.928297298654</v>
      </c>
      <c r="AX901" s="90">
        <v>0.79272429489999996</v>
      </c>
    </row>
    <row r="902" spans="1:50" x14ac:dyDescent="0.25">
      <c r="A902" s="102">
        <v>840000</v>
      </c>
      <c r="B902" s="102">
        <v>2400000</v>
      </c>
      <c r="C902" s="102">
        <v>2400000</v>
      </c>
      <c r="D902" s="90" t="s">
        <v>374</v>
      </c>
      <c r="E902" s="90" t="s">
        <v>68</v>
      </c>
      <c r="F902" s="90" t="s">
        <v>375</v>
      </c>
      <c r="G902" s="90" t="s">
        <v>376</v>
      </c>
      <c r="H902" s="90">
        <v>0.59</v>
      </c>
      <c r="I902" s="90">
        <v>0.64</v>
      </c>
      <c r="J902" s="90" t="s">
        <v>244</v>
      </c>
      <c r="K902" s="90">
        <v>6.9656622305999997E-4</v>
      </c>
      <c r="L902" s="90">
        <v>3760.8852341686002</v>
      </c>
      <c r="M902" s="90">
        <v>10.7699511152847</v>
      </c>
      <c r="N902" s="90">
        <v>1.4723322428641199</v>
      </c>
      <c r="O902" s="90">
        <v>7.5019841709200001E-3</v>
      </c>
      <c r="P902" s="90">
        <v>1.0255769095000001E-3</v>
      </c>
      <c r="Q902" s="90">
        <v>2.6197056229307099</v>
      </c>
      <c r="R902" s="90">
        <v>1450</v>
      </c>
      <c r="S902" s="90" t="s">
        <v>391</v>
      </c>
      <c r="T902" s="90">
        <v>1450</v>
      </c>
      <c r="U902" s="90" t="s">
        <v>378</v>
      </c>
      <c r="V902" s="90" t="s">
        <v>244</v>
      </c>
      <c r="Z902" s="90">
        <v>0</v>
      </c>
      <c r="AA902" s="90">
        <v>1</v>
      </c>
      <c r="AB902" s="90">
        <v>7.5019841709200001E-3</v>
      </c>
      <c r="AC902" s="90">
        <v>1.0255769095000001E-3</v>
      </c>
      <c r="AD902" s="90">
        <v>1136.0916326397701</v>
      </c>
      <c r="AF902" s="90">
        <v>-1</v>
      </c>
      <c r="AG902" s="90">
        <v>-1</v>
      </c>
      <c r="AH902" s="90">
        <v>-1</v>
      </c>
      <c r="AI902" s="90">
        <v>-1</v>
      </c>
      <c r="AJ902" s="90">
        <v>0</v>
      </c>
      <c r="AM902" s="90" t="s">
        <v>379</v>
      </c>
      <c r="AN902" s="90">
        <v>-1</v>
      </c>
      <c r="AQ902" s="90">
        <v>356</v>
      </c>
      <c r="AR902" s="90" t="s">
        <v>380</v>
      </c>
      <c r="AS902" s="90" t="s">
        <v>246</v>
      </c>
      <c r="AT902" s="90" t="s">
        <v>244</v>
      </c>
      <c r="AU902" s="90">
        <v>175.87190000000001</v>
      </c>
      <c r="AV902" s="90">
        <v>30.851299650825901</v>
      </c>
      <c r="AW902" s="90">
        <v>2.81890349342097</v>
      </c>
      <c r="AX902" s="90">
        <v>0.92140440599999995</v>
      </c>
    </row>
    <row r="903" spans="1:50" x14ac:dyDescent="0.25">
      <c r="A903" s="102">
        <v>840000</v>
      </c>
      <c r="B903" s="102">
        <v>2400000</v>
      </c>
      <c r="C903" s="102">
        <v>2400000</v>
      </c>
      <c r="D903" s="90" t="s">
        <v>374</v>
      </c>
      <c r="E903" s="90" t="s">
        <v>68</v>
      </c>
      <c r="F903" s="90" t="s">
        <v>375</v>
      </c>
      <c r="G903" s="90" t="s">
        <v>376</v>
      </c>
      <c r="H903" s="90">
        <v>0.59</v>
      </c>
      <c r="I903" s="90">
        <v>0.64</v>
      </c>
      <c r="J903" s="90" t="s">
        <v>244</v>
      </c>
      <c r="K903" s="90">
        <v>1.8426739464570002E-2</v>
      </c>
      <c r="L903" s="90">
        <v>3745.9434823829201</v>
      </c>
      <c r="M903" s="90">
        <v>10.777530530554801</v>
      </c>
      <c r="N903" s="90">
        <v>2.0766235887589701</v>
      </c>
      <c r="O903" s="90">
        <v>0.19859474715798001</v>
      </c>
      <c r="P903" s="90">
        <v>3.8265401836039999E-2</v>
      </c>
      <c r="Q903" s="90">
        <v>69.0255245988741</v>
      </c>
      <c r="R903" s="90">
        <v>1300</v>
      </c>
      <c r="S903" s="90" t="s">
        <v>387</v>
      </c>
      <c r="T903" s="90">
        <v>1300</v>
      </c>
      <c r="U903" s="90" t="s">
        <v>378</v>
      </c>
      <c r="V903" s="90" t="s">
        <v>244</v>
      </c>
      <c r="Z903" s="90">
        <v>0</v>
      </c>
      <c r="AA903" s="90">
        <v>1</v>
      </c>
      <c r="AB903" s="90">
        <v>0.19859474715798001</v>
      </c>
      <c r="AC903" s="90">
        <v>3.8265401836039999E-2</v>
      </c>
      <c r="AD903" s="90">
        <v>219.46023591702101</v>
      </c>
      <c r="AF903" s="90">
        <v>-1</v>
      </c>
      <c r="AG903" s="90">
        <v>-1</v>
      </c>
      <c r="AH903" s="90">
        <v>-1</v>
      </c>
      <c r="AI903" s="90">
        <v>-1</v>
      </c>
      <c r="AJ903" s="90">
        <v>0</v>
      </c>
      <c r="AM903" s="90" t="s">
        <v>379</v>
      </c>
      <c r="AN903" s="90">
        <v>-1</v>
      </c>
      <c r="AQ903" s="90">
        <v>356</v>
      </c>
      <c r="AR903" s="90" t="s">
        <v>380</v>
      </c>
      <c r="AS903" s="90" t="s">
        <v>246</v>
      </c>
      <c r="AT903" s="90" t="s">
        <v>244</v>
      </c>
      <c r="AU903" s="90">
        <v>175.87190000000001</v>
      </c>
      <c r="AV903" s="90">
        <v>55.176256759449501</v>
      </c>
      <c r="AW903" s="90">
        <v>74.570368946087299</v>
      </c>
      <c r="AX903" s="90">
        <v>0.1779888369</v>
      </c>
    </row>
    <row r="904" spans="1:50" x14ac:dyDescent="0.25">
      <c r="A904" s="102">
        <v>840000</v>
      </c>
      <c r="B904" s="102">
        <v>2400000</v>
      </c>
      <c r="C904" s="102">
        <v>2400000</v>
      </c>
      <c r="D904" s="90" t="s">
        <v>374</v>
      </c>
      <c r="E904" s="90" t="s">
        <v>68</v>
      </c>
      <c r="F904" s="90" t="s">
        <v>375</v>
      </c>
      <c r="G904" s="90" t="s">
        <v>376</v>
      </c>
      <c r="H904" s="90">
        <v>0.59</v>
      </c>
      <c r="I904" s="90">
        <v>0.64</v>
      </c>
      <c r="J904" s="90" t="s">
        <v>244</v>
      </c>
      <c r="K904" s="90">
        <v>1.0708530709E-4</v>
      </c>
      <c r="L904" s="90">
        <v>3745.9434823829201</v>
      </c>
      <c r="M904" s="90">
        <v>10.777530530554801</v>
      </c>
      <c r="N904" s="90">
        <v>2.0766235887589701</v>
      </c>
      <c r="O904" s="90">
        <v>1.15411516662E-3</v>
      </c>
      <c r="P904" s="90">
        <v>2.2237587471999999E-4</v>
      </c>
      <c r="Q904" s="90">
        <v>0.40113550818271998</v>
      </c>
      <c r="R904" s="90">
        <v>1300</v>
      </c>
      <c r="S904" s="90" t="s">
        <v>387</v>
      </c>
      <c r="T904" s="90">
        <v>1300</v>
      </c>
      <c r="U904" s="90" t="s">
        <v>378</v>
      </c>
      <c r="V904" s="90" t="s">
        <v>244</v>
      </c>
      <c r="Z904" s="90">
        <v>0</v>
      </c>
      <c r="AA904" s="90">
        <v>1</v>
      </c>
      <c r="AB904" s="90">
        <v>1.15411516662E-3</v>
      </c>
      <c r="AC904" s="90">
        <v>2.2237587471999999E-4</v>
      </c>
      <c r="AD904" s="90">
        <v>219.46023591702101</v>
      </c>
      <c r="AF904" s="90">
        <v>-1</v>
      </c>
      <c r="AG904" s="90">
        <v>-1</v>
      </c>
      <c r="AH904" s="90">
        <v>-1</v>
      </c>
      <c r="AI904" s="90">
        <v>-1</v>
      </c>
      <c r="AJ904" s="90">
        <v>0</v>
      </c>
      <c r="AM904" s="90" t="s">
        <v>379</v>
      </c>
      <c r="AN904" s="90">
        <v>-1</v>
      </c>
      <c r="AQ904" s="90">
        <v>356</v>
      </c>
      <c r="AR904" s="90" t="s">
        <v>380</v>
      </c>
      <c r="AS904" s="90" t="s">
        <v>246</v>
      </c>
      <c r="AT904" s="90" t="s">
        <v>244</v>
      </c>
      <c r="AU904" s="90">
        <v>175.87190000000001</v>
      </c>
      <c r="AV904" s="90">
        <v>38.257304371738797</v>
      </c>
      <c r="AW904" s="90">
        <v>0.43335886277233998</v>
      </c>
      <c r="AX904" s="90">
        <v>0.1779888369</v>
      </c>
    </row>
    <row r="905" spans="1:50" x14ac:dyDescent="0.25">
      <c r="A905" s="102">
        <v>840000</v>
      </c>
      <c r="B905" s="102">
        <v>2400000</v>
      </c>
      <c r="C905" s="102">
        <v>2400000</v>
      </c>
      <c r="D905" s="90" t="s">
        <v>374</v>
      </c>
      <c r="E905" s="90" t="s">
        <v>68</v>
      </c>
      <c r="F905" s="90" t="s">
        <v>375</v>
      </c>
      <c r="G905" s="90" t="s">
        <v>376</v>
      </c>
      <c r="H905" s="90">
        <v>0.59</v>
      </c>
      <c r="I905" s="90">
        <v>0.64</v>
      </c>
      <c r="J905" s="90" t="s">
        <v>244</v>
      </c>
      <c r="K905" s="90">
        <v>3.54312862584E-3</v>
      </c>
      <c r="L905" s="90">
        <v>3758.1299554347202</v>
      </c>
      <c r="M905" s="90">
        <v>10.6998943003032</v>
      </c>
      <c r="N905" s="90">
        <v>1.4670580481095601</v>
      </c>
      <c r="O905" s="90">
        <v>3.791110178887E-2</v>
      </c>
      <c r="P905" s="90">
        <v>5.1979753660200004E-3</v>
      </c>
      <c r="Q905" s="90">
        <v>13.315537824731299</v>
      </c>
      <c r="R905" s="90">
        <v>1400</v>
      </c>
      <c r="S905" s="90" t="s">
        <v>324</v>
      </c>
      <c r="T905" s="90">
        <v>1400</v>
      </c>
      <c r="U905" s="90" t="s">
        <v>378</v>
      </c>
      <c r="V905" s="90" t="s">
        <v>244</v>
      </c>
      <c r="Z905" s="90">
        <v>0</v>
      </c>
      <c r="AA905" s="90">
        <v>1</v>
      </c>
      <c r="AB905" s="90">
        <v>3.791110178887E-2</v>
      </c>
      <c r="AC905" s="90">
        <v>5.1979753660200004E-3</v>
      </c>
      <c r="AD905" s="90">
        <v>563.44991158954701</v>
      </c>
      <c r="AF905" s="90">
        <v>-1</v>
      </c>
      <c r="AG905" s="90">
        <v>-1</v>
      </c>
      <c r="AH905" s="90">
        <v>-1</v>
      </c>
      <c r="AI905" s="90">
        <v>-1</v>
      </c>
      <c r="AJ905" s="90">
        <v>0</v>
      </c>
      <c r="AM905" s="90" t="s">
        <v>379</v>
      </c>
      <c r="AN905" s="90">
        <v>-1</v>
      </c>
      <c r="AQ905" s="90">
        <v>356</v>
      </c>
      <c r="AR905" s="90" t="s">
        <v>380</v>
      </c>
      <c r="AS905" s="90" t="s">
        <v>246</v>
      </c>
      <c r="AT905" s="90" t="s">
        <v>244</v>
      </c>
      <c r="AU905" s="90">
        <v>175.87190000000001</v>
      </c>
      <c r="AV905" s="90">
        <v>22.506509922705799</v>
      </c>
      <c r="AW905" s="90">
        <v>14.3385328348754</v>
      </c>
      <c r="AX905" s="90">
        <v>0.4569747864</v>
      </c>
    </row>
    <row r="906" spans="1:50" x14ac:dyDescent="0.25">
      <c r="A906" s="102">
        <v>840000</v>
      </c>
      <c r="B906" s="102">
        <v>2400000</v>
      </c>
      <c r="C906" s="102">
        <v>2400000</v>
      </c>
      <c r="D906" s="90" t="s">
        <v>374</v>
      </c>
      <c r="E906" s="90" t="s">
        <v>68</v>
      </c>
      <c r="F906" s="90" t="s">
        <v>375</v>
      </c>
      <c r="G906" s="90" t="s">
        <v>376</v>
      </c>
      <c r="H906" s="90">
        <v>0.59</v>
      </c>
      <c r="I906" s="90">
        <v>0.64</v>
      </c>
      <c r="J906" s="90" t="s">
        <v>244</v>
      </c>
      <c r="K906" s="90">
        <v>8.5273238549400006E-3</v>
      </c>
      <c r="L906" s="90">
        <v>3758.1299554347202</v>
      </c>
      <c r="M906" s="90">
        <v>10.6998943003032</v>
      </c>
      <c r="N906" s="90">
        <v>1.4670580481095601</v>
      </c>
      <c r="O906" s="90">
        <v>9.1241463912360002E-2</v>
      </c>
      <c r="P906" s="90">
        <v>1.2510079090229999E-2</v>
      </c>
      <c r="Q906" s="90">
        <v>32.0467912189618</v>
      </c>
      <c r="R906" s="90">
        <v>1450</v>
      </c>
      <c r="S906" s="90" t="s">
        <v>391</v>
      </c>
      <c r="T906" s="90">
        <v>1450</v>
      </c>
      <c r="U906" s="90" t="s">
        <v>378</v>
      </c>
      <c r="V906" s="90" t="s">
        <v>244</v>
      </c>
      <c r="Z906" s="90">
        <v>0</v>
      </c>
      <c r="AA906" s="90">
        <v>1</v>
      </c>
      <c r="AB906" s="90">
        <v>9.1241463912360002E-2</v>
      </c>
      <c r="AC906" s="90">
        <v>1.2510079090229999E-2</v>
      </c>
      <c r="AD906" s="90">
        <v>850.10961950773003</v>
      </c>
      <c r="AF906" s="90">
        <v>-1</v>
      </c>
      <c r="AG906" s="90">
        <v>-1</v>
      </c>
      <c r="AH906" s="90">
        <v>-1</v>
      </c>
      <c r="AI906" s="90">
        <v>-1</v>
      </c>
      <c r="AJ906" s="90">
        <v>0</v>
      </c>
      <c r="AM906" s="90" t="s">
        <v>379</v>
      </c>
      <c r="AN906" s="90">
        <v>-1</v>
      </c>
      <c r="AQ906" s="90">
        <v>356</v>
      </c>
      <c r="AR906" s="90" t="s">
        <v>380</v>
      </c>
      <c r="AS906" s="90" t="s">
        <v>246</v>
      </c>
      <c r="AT906" s="90" t="s">
        <v>244</v>
      </c>
      <c r="AU906" s="90">
        <v>175.87190000000001</v>
      </c>
      <c r="AV906" s="90">
        <v>82.1551031025528</v>
      </c>
      <c r="AW906" s="90">
        <v>34.508855308270498</v>
      </c>
      <c r="AX906" s="90">
        <v>0.68946441160000005</v>
      </c>
    </row>
    <row r="907" spans="1:50" x14ac:dyDescent="0.25">
      <c r="A907" s="102">
        <v>840000</v>
      </c>
      <c r="B907" s="102">
        <v>2400000</v>
      </c>
      <c r="C907" s="102">
        <v>2400000</v>
      </c>
      <c r="D907" s="90" t="s">
        <v>374</v>
      </c>
      <c r="E907" s="90" t="s">
        <v>68</v>
      </c>
      <c r="F907" s="90" t="s">
        <v>375</v>
      </c>
      <c r="G907" s="90" t="s">
        <v>376</v>
      </c>
      <c r="H907" s="90">
        <v>0.59</v>
      </c>
      <c r="I907" s="90">
        <v>0.64</v>
      </c>
      <c r="J907" s="90" t="s">
        <v>244</v>
      </c>
      <c r="K907" s="90">
        <v>2.1454629676200001E-3</v>
      </c>
      <c r="L907" s="90">
        <v>3781.8716354419298</v>
      </c>
      <c r="M907" s="90">
        <v>11.579550042135599</v>
      </c>
      <c r="N907" s="90">
        <v>1.5286200724267101</v>
      </c>
      <c r="O907" s="90">
        <v>2.4843495797149999E-2</v>
      </c>
      <c r="P907" s="90">
        <v>3.2795977569500001E-3</v>
      </c>
      <c r="Q907" s="90">
        <v>8.1138655421482895</v>
      </c>
      <c r="R907" s="90">
        <v>1400</v>
      </c>
      <c r="S907" s="90" t="s">
        <v>324</v>
      </c>
      <c r="T907" s="90">
        <v>1400</v>
      </c>
      <c r="U907" s="90" t="s">
        <v>378</v>
      </c>
      <c r="V907" s="90" t="s">
        <v>244</v>
      </c>
      <c r="Z907" s="90">
        <v>0</v>
      </c>
      <c r="AA907" s="90">
        <v>1</v>
      </c>
      <c r="AB907" s="90">
        <v>2.4843495797149999E-2</v>
      </c>
      <c r="AC907" s="90">
        <v>3.2795977569500001E-3</v>
      </c>
      <c r="AD907" s="90">
        <v>8.1138655421491208</v>
      </c>
      <c r="AF907" s="90">
        <v>-1</v>
      </c>
      <c r="AG907" s="90">
        <v>-1</v>
      </c>
      <c r="AH907" s="90">
        <v>-1</v>
      </c>
      <c r="AI907" s="90">
        <v>-1</v>
      </c>
      <c r="AJ907" s="90">
        <v>0</v>
      </c>
      <c r="AM907" s="90" t="s">
        <v>379</v>
      </c>
      <c r="AN907" s="90">
        <v>-1</v>
      </c>
      <c r="AQ907" s="90">
        <v>356</v>
      </c>
      <c r="AR907" s="90" t="s">
        <v>380</v>
      </c>
      <c r="AS907" s="90" t="s">
        <v>246</v>
      </c>
      <c r="AT907" s="90" t="s">
        <v>244</v>
      </c>
      <c r="AU907" s="90">
        <v>175.87190000000001</v>
      </c>
      <c r="AV907" s="90">
        <v>100.369383924863</v>
      </c>
      <c r="AW907" s="90">
        <v>8.6823805895514194</v>
      </c>
      <c r="AX907" s="90">
        <v>6.5805884000000002E-3</v>
      </c>
    </row>
    <row r="908" spans="1:50" x14ac:dyDescent="0.25">
      <c r="A908" s="102">
        <v>840000</v>
      </c>
      <c r="B908" s="102">
        <v>2400000</v>
      </c>
      <c r="C908" s="102">
        <v>2400000</v>
      </c>
      <c r="D908" s="90" t="s">
        <v>374</v>
      </c>
      <c r="E908" s="90" t="s">
        <v>68</v>
      </c>
      <c r="F908" s="90" t="s">
        <v>375</v>
      </c>
      <c r="G908" s="90" t="s">
        <v>376</v>
      </c>
      <c r="H908" s="90">
        <v>0.59</v>
      </c>
      <c r="I908" s="90">
        <v>0.64</v>
      </c>
      <c r="J908" s="90" t="s">
        <v>381</v>
      </c>
      <c r="K908" s="90">
        <v>8.1572203335150001E-2</v>
      </c>
      <c r="L908" s="90">
        <v>3781.8716354419298</v>
      </c>
      <c r="M908" s="90">
        <v>11.579550042135599</v>
      </c>
      <c r="N908" s="90">
        <v>1.5286200724267101</v>
      </c>
      <c r="O908" s="90">
        <v>0.94456941056669996</v>
      </c>
      <c r="P908" s="90">
        <v>0.12469290737019</v>
      </c>
      <c r="Q908" s="90">
        <v>308.49560203372801</v>
      </c>
      <c r="R908" s="90">
        <v>1400</v>
      </c>
      <c r="S908" s="90" t="s">
        <v>324</v>
      </c>
      <c r="T908" s="90">
        <v>1400</v>
      </c>
      <c r="U908" s="90" t="s">
        <v>382</v>
      </c>
      <c r="V908" s="90" t="s">
        <v>381</v>
      </c>
      <c r="Z908" s="90">
        <v>0</v>
      </c>
      <c r="AA908" s="90">
        <v>1</v>
      </c>
      <c r="AB908" s="90">
        <v>0.94456941056669996</v>
      </c>
      <c r="AC908" s="90">
        <v>0.12469290737019</v>
      </c>
      <c r="AD908" s="90">
        <v>308.49560203372903</v>
      </c>
      <c r="AF908" s="90">
        <v>-1</v>
      </c>
      <c r="AG908" s="90">
        <v>-1</v>
      </c>
      <c r="AH908" s="90">
        <v>-1</v>
      </c>
      <c r="AI908" s="90">
        <v>-1</v>
      </c>
      <c r="AJ908" s="90">
        <v>0</v>
      </c>
      <c r="AM908" s="90" t="s">
        <v>379</v>
      </c>
      <c r="AN908" s="90">
        <v>-1</v>
      </c>
      <c r="AQ908" s="90">
        <v>356</v>
      </c>
      <c r="AR908" s="90" t="s">
        <v>380</v>
      </c>
      <c r="AS908" s="90" t="s">
        <v>246</v>
      </c>
      <c r="AT908" s="90" t="s">
        <v>244</v>
      </c>
      <c r="AU908" s="90">
        <v>175.87190000000001</v>
      </c>
      <c r="AV908" s="90">
        <v>112.71699787134899</v>
      </c>
      <c r="AW908" s="90">
        <v>330.11099495619499</v>
      </c>
      <c r="AX908" s="90">
        <v>0.25019919060000001</v>
      </c>
    </row>
    <row r="909" spans="1:50" x14ac:dyDescent="0.25">
      <c r="A909" s="102">
        <v>840000</v>
      </c>
      <c r="B909" s="102">
        <v>2400000</v>
      </c>
      <c r="C909" s="102">
        <v>2400000</v>
      </c>
      <c r="D909" s="90" t="s">
        <v>374</v>
      </c>
      <c r="E909" s="90" t="s">
        <v>68</v>
      </c>
      <c r="F909" s="90" t="s">
        <v>375</v>
      </c>
      <c r="G909" s="90" t="s">
        <v>376</v>
      </c>
      <c r="H909" s="90">
        <v>0.59</v>
      </c>
      <c r="I909" s="90">
        <v>0.64</v>
      </c>
      <c r="J909" s="90" t="s">
        <v>381</v>
      </c>
      <c r="K909" s="90">
        <v>8.7400388222400004E-3</v>
      </c>
      <c r="L909" s="90">
        <v>3781.8716354419298</v>
      </c>
      <c r="M909" s="90">
        <v>11.579550042135599</v>
      </c>
      <c r="N909" s="90">
        <v>1.5286200724267101</v>
      </c>
      <c r="O909" s="90">
        <v>0.10120571691234</v>
      </c>
      <c r="P909" s="90">
        <v>1.3360198777459999E-2</v>
      </c>
      <c r="Q909" s="90">
        <v>33.053704914494602</v>
      </c>
      <c r="R909" s="90">
        <v>8140</v>
      </c>
      <c r="S909" s="90" t="s">
        <v>386</v>
      </c>
      <c r="T909" s="90">
        <v>8140</v>
      </c>
      <c r="U909" s="90" t="s">
        <v>382</v>
      </c>
      <c r="V909" s="90" t="s">
        <v>381</v>
      </c>
      <c r="Z909" s="90">
        <v>0</v>
      </c>
      <c r="AA909" s="90">
        <v>1</v>
      </c>
      <c r="AB909" s="90">
        <v>0.10120571691234</v>
      </c>
      <c r="AC909" s="90">
        <v>1.3360198777459999E-2</v>
      </c>
      <c r="AD909" s="90">
        <v>33.0537049144964</v>
      </c>
      <c r="AF909" s="90">
        <v>-1</v>
      </c>
      <c r="AG909" s="90">
        <v>-1</v>
      </c>
      <c r="AH909" s="90">
        <v>-1</v>
      </c>
      <c r="AI909" s="90">
        <v>-1</v>
      </c>
      <c r="AJ909" s="90">
        <v>0</v>
      </c>
      <c r="AM909" s="90" t="s">
        <v>379</v>
      </c>
      <c r="AN909" s="90">
        <v>-1</v>
      </c>
      <c r="AQ909" s="90">
        <v>356</v>
      </c>
      <c r="AR909" s="90" t="s">
        <v>380</v>
      </c>
      <c r="AS909" s="90" t="s">
        <v>246</v>
      </c>
      <c r="AT909" s="90" t="s">
        <v>244</v>
      </c>
      <c r="AU909" s="90">
        <v>175.87190000000001</v>
      </c>
      <c r="AV909" s="90">
        <v>101.96529761782701</v>
      </c>
      <c r="AW909" s="90">
        <v>35.369682239813201</v>
      </c>
      <c r="AX909" s="90">
        <v>2.6807546599999999E-2</v>
      </c>
    </row>
    <row r="910" spans="1:50" x14ac:dyDescent="0.25">
      <c r="A910" s="102">
        <v>840000</v>
      </c>
      <c r="B910" s="102">
        <v>2400000</v>
      </c>
      <c r="C910" s="102">
        <v>2400000</v>
      </c>
      <c r="D910" s="90" t="s">
        <v>374</v>
      </c>
      <c r="E910" s="90" t="s">
        <v>68</v>
      </c>
      <c r="F910" s="90" t="s">
        <v>375</v>
      </c>
      <c r="G910" s="90" t="s">
        <v>376</v>
      </c>
      <c r="H910" s="90">
        <v>0.59</v>
      </c>
      <c r="I910" s="90">
        <v>0.64</v>
      </c>
      <c r="J910" s="90" t="s">
        <v>244</v>
      </c>
      <c r="K910" s="90">
        <v>0.47742420324753998</v>
      </c>
      <c r="L910" s="90">
        <v>3781.8716354419298</v>
      </c>
      <c r="M910" s="90">
        <v>11.579550042135599</v>
      </c>
      <c r="N910" s="90">
        <v>1.5286200724267101</v>
      </c>
      <c r="O910" s="90">
        <v>5.5283574528316697</v>
      </c>
      <c r="P910" s="90">
        <v>0.72980022014652002</v>
      </c>
      <c r="Q910" s="90">
        <v>1805.5570523353499</v>
      </c>
      <c r="R910" s="90">
        <v>1410</v>
      </c>
      <c r="S910" s="90" t="s">
        <v>325</v>
      </c>
      <c r="T910" s="90">
        <v>1410</v>
      </c>
      <c r="U910" s="90" t="s">
        <v>378</v>
      </c>
      <c r="V910" s="90" t="s">
        <v>244</v>
      </c>
      <c r="Z910" s="90">
        <v>0</v>
      </c>
      <c r="AA910" s="90">
        <v>1</v>
      </c>
      <c r="AB910" s="90">
        <v>5.5283574528316697</v>
      </c>
      <c r="AC910" s="90">
        <v>0.72980022014652002</v>
      </c>
      <c r="AD910" s="90">
        <v>1986.6389106970901</v>
      </c>
      <c r="AF910" s="90">
        <v>-1</v>
      </c>
      <c r="AG910" s="90">
        <v>-1</v>
      </c>
      <c r="AH910" s="90">
        <v>-1</v>
      </c>
      <c r="AI910" s="90">
        <v>-1</v>
      </c>
      <c r="AJ910" s="90">
        <v>0</v>
      </c>
      <c r="AM910" s="90" t="s">
        <v>379</v>
      </c>
      <c r="AN910" s="90">
        <v>-1</v>
      </c>
      <c r="AQ910" s="90">
        <v>356</v>
      </c>
      <c r="AR910" s="90" t="s">
        <v>380</v>
      </c>
      <c r="AS910" s="90" t="s">
        <v>246</v>
      </c>
      <c r="AT910" s="90" t="s">
        <v>244</v>
      </c>
      <c r="AU910" s="90">
        <v>175.87190000000001</v>
      </c>
      <c r="AV910" s="90">
        <v>175.07354506348901</v>
      </c>
      <c r="AW910" s="90">
        <v>1932.0672031215199</v>
      </c>
      <c r="AX910" s="90">
        <v>1.6112237719</v>
      </c>
    </row>
    <row r="911" spans="1:50" x14ac:dyDescent="0.25">
      <c r="A911" s="102">
        <v>840000</v>
      </c>
      <c r="B911" s="102">
        <v>2400000</v>
      </c>
      <c r="C911" s="102">
        <v>2400000</v>
      </c>
      <c r="D911" s="90" t="s">
        <v>374</v>
      </c>
      <c r="E911" s="90" t="s">
        <v>68</v>
      </c>
      <c r="F911" s="90" t="s">
        <v>375</v>
      </c>
      <c r="G911" s="90" t="s">
        <v>376</v>
      </c>
      <c r="H911" s="90">
        <v>0.59</v>
      </c>
      <c r="I911" s="90">
        <v>0.64</v>
      </c>
      <c r="J911" s="90" t="s">
        <v>244</v>
      </c>
      <c r="K911" s="90">
        <v>7.8372097874010005E-2</v>
      </c>
      <c r="L911" s="90">
        <v>3782.1091691373299</v>
      </c>
      <c r="M911" s="90">
        <v>11.6204057133546</v>
      </c>
      <c r="N911" s="90">
        <v>1.53418801912293</v>
      </c>
      <c r="O911" s="90">
        <v>0.91071557390281999</v>
      </c>
      <c r="P911" s="90">
        <v>0.12023753359184</v>
      </c>
      <c r="Q911" s="90">
        <v>296.41182997385198</v>
      </c>
      <c r="R911" s="90">
        <v>1400</v>
      </c>
      <c r="S911" s="90" t="s">
        <v>324</v>
      </c>
      <c r="T911" s="90">
        <v>1400</v>
      </c>
      <c r="U911" s="90" t="s">
        <v>378</v>
      </c>
      <c r="V911" s="90" t="s">
        <v>244</v>
      </c>
      <c r="Z911" s="90">
        <v>0</v>
      </c>
      <c r="AA911" s="90">
        <v>1</v>
      </c>
      <c r="AB911" s="90">
        <v>0.91071557390281999</v>
      </c>
      <c r="AC911" s="90">
        <v>0.12023753359184</v>
      </c>
      <c r="AD911" s="90">
        <v>296.41182997385198</v>
      </c>
      <c r="AF911" s="90">
        <v>-1</v>
      </c>
      <c r="AG911" s="90">
        <v>-1</v>
      </c>
      <c r="AH911" s="90">
        <v>-1</v>
      </c>
      <c r="AI911" s="90">
        <v>-1</v>
      </c>
      <c r="AJ911" s="90">
        <v>0</v>
      </c>
      <c r="AM911" s="90" t="s">
        <v>379</v>
      </c>
      <c r="AN911" s="90">
        <v>-1</v>
      </c>
      <c r="AQ911" s="90">
        <v>356</v>
      </c>
      <c r="AR911" s="90" t="s">
        <v>380</v>
      </c>
      <c r="AS911" s="90" t="s">
        <v>246</v>
      </c>
      <c r="AT911" s="90" t="s">
        <v>244</v>
      </c>
      <c r="AU911" s="90">
        <v>175.87190000000001</v>
      </c>
      <c r="AV911" s="90">
        <v>112.705094993532</v>
      </c>
      <c r="AW911" s="90">
        <v>317.16062761843199</v>
      </c>
      <c r="AX911" s="90">
        <v>0.2403988889</v>
      </c>
    </row>
    <row r="912" spans="1:50" x14ac:dyDescent="0.25">
      <c r="A912" s="102">
        <v>840000</v>
      </c>
      <c r="B912" s="102">
        <v>2400000</v>
      </c>
      <c r="C912" s="102">
        <v>2400000</v>
      </c>
      <c r="D912" s="90" t="s">
        <v>374</v>
      </c>
      <c r="E912" s="90" t="s">
        <v>68</v>
      </c>
      <c r="F912" s="90" t="s">
        <v>375</v>
      </c>
      <c r="G912" s="90" t="s">
        <v>376</v>
      </c>
      <c r="H912" s="90">
        <v>0.59</v>
      </c>
      <c r="I912" s="90">
        <v>0.64</v>
      </c>
      <c r="J912" s="90" t="s">
        <v>244</v>
      </c>
      <c r="K912" s="90">
        <v>0.53939135579388997</v>
      </c>
      <c r="L912" s="90">
        <v>3782.1091691373299</v>
      </c>
      <c r="M912" s="90">
        <v>11.6204057133546</v>
      </c>
      <c r="N912" s="90">
        <v>1.53418801912293</v>
      </c>
      <c r="O912" s="90">
        <v>6.2679463926014796</v>
      </c>
      <c r="P912" s="90">
        <v>0.82752775567746995</v>
      </c>
      <c r="Q912" s="90">
        <v>2040.0369925015</v>
      </c>
      <c r="R912" s="90">
        <v>1410</v>
      </c>
      <c r="S912" s="90" t="s">
        <v>325</v>
      </c>
      <c r="T912" s="90">
        <v>1410</v>
      </c>
      <c r="U912" s="90" t="s">
        <v>378</v>
      </c>
      <c r="V912" s="90" t="s">
        <v>244</v>
      </c>
      <c r="Z912" s="90">
        <v>0</v>
      </c>
      <c r="AA912" s="90">
        <v>1</v>
      </c>
      <c r="AB912" s="90">
        <v>6.2679463926014796</v>
      </c>
      <c r="AC912" s="90">
        <v>0.82752775567746995</v>
      </c>
      <c r="AD912" s="90">
        <v>2040.0369925015</v>
      </c>
      <c r="AF912" s="90">
        <v>-1</v>
      </c>
      <c r="AG912" s="90">
        <v>-1</v>
      </c>
      <c r="AH912" s="90">
        <v>-1</v>
      </c>
      <c r="AI912" s="90">
        <v>-1</v>
      </c>
      <c r="AJ912" s="90">
        <v>0</v>
      </c>
      <c r="AM912" s="90" t="s">
        <v>379</v>
      </c>
      <c r="AN912" s="90">
        <v>-1</v>
      </c>
      <c r="AQ912" s="90">
        <v>356</v>
      </c>
      <c r="AR912" s="90" t="s">
        <v>380</v>
      </c>
      <c r="AS912" s="90" t="s">
        <v>246</v>
      </c>
      <c r="AT912" s="90" t="s">
        <v>244</v>
      </c>
      <c r="AU912" s="90">
        <v>175.87190000000001</v>
      </c>
      <c r="AV912" s="90">
        <v>187.332244784057</v>
      </c>
      <c r="AW912" s="90">
        <v>2182.8393723815602</v>
      </c>
      <c r="AX912" s="90">
        <v>1.6545312186000001</v>
      </c>
    </row>
    <row r="913" spans="1:50" x14ac:dyDescent="0.25">
      <c r="A913" s="102">
        <v>840000</v>
      </c>
      <c r="B913" s="102">
        <v>2400000</v>
      </c>
      <c r="C913" s="102">
        <v>2400000</v>
      </c>
      <c r="D913" s="90" t="s">
        <v>374</v>
      </c>
      <c r="E913" s="90" t="s">
        <v>68</v>
      </c>
      <c r="F913" s="90" t="s">
        <v>375</v>
      </c>
      <c r="G913" s="90" t="s">
        <v>376</v>
      </c>
      <c r="H913" s="90">
        <v>0.59</v>
      </c>
      <c r="I913" s="90">
        <v>0.64</v>
      </c>
      <c r="J913" s="90" t="s">
        <v>244</v>
      </c>
      <c r="K913" s="90">
        <v>3.0752429091260001E-2</v>
      </c>
      <c r="L913" s="90">
        <v>3758.2429968760698</v>
      </c>
      <c r="M913" s="90">
        <v>11.0465500871888</v>
      </c>
      <c r="N913" s="90">
        <v>1.9024307402999601</v>
      </c>
      <c r="O913" s="90">
        <v>0.33970824825939999</v>
      </c>
      <c r="P913" s="90">
        <v>5.8504366442120002E-2</v>
      </c>
      <c r="Q913" s="90">
        <v>115.575101269182</v>
      </c>
      <c r="R913" s="90">
        <v>1300</v>
      </c>
      <c r="S913" s="90" t="s">
        <v>387</v>
      </c>
      <c r="T913" s="90">
        <v>1300</v>
      </c>
      <c r="U913" s="90" t="s">
        <v>378</v>
      </c>
      <c r="V913" s="90" t="s">
        <v>244</v>
      </c>
      <c r="Z913" s="90">
        <v>0</v>
      </c>
      <c r="AA913" s="90">
        <v>1</v>
      </c>
      <c r="AB913" s="90">
        <v>0.33970824825939999</v>
      </c>
      <c r="AC913" s="90">
        <v>5.8504366442120002E-2</v>
      </c>
      <c r="AD913" s="90">
        <v>307.84057609007999</v>
      </c>
      <c r="AF913" s="90">
        <v>-1</v>
      </c>
      <c r="AG913" s="90">
        <v>-1</v>
      </c>
      <c r="AH913" s="90">
        <v>-1</v>
      </c>
      <c r="AI913" s="90">
        <v>-1</v>
      </c>
      <c r="AJ913" s="90">
        <v>0</v>
      </c>
      <c r="AM913" s="90" t="s">
        <v>379</v>
      </c>
      <c r="AN913" s="90">
        <v>-1</v>
      </c>
      <c r="AQ913" s="90">
        <v>356</v>
      </c>
      <c r="AR913" s="90" t="s">
        <v>380</v>
      </c>
      <c r="AS913" s="90" t="s">
        <v>246</v>
      </c>
      <c r="AT913" s="90" t="s">
        <v>244</v>
      </c>
      <c r="AU913" s="90">
        <v>175.87190000000001</v>
      </c>
      <c r="AV913" s="90">
        <v>75.415044552947293</v>
      </c>
      <c r="AW913" s="90">
        <v>124.450665172393</v>
      </c>
      <c r="AX913" s="90">
        <v>0.24966794489999999</v>
      </c>
    </row>
    <row r="914" spans="1:50" x14ac:dyDescent="0.25">
      <c r="A914" s="102">
        <v>840000</v>
      </c>
      <c r="B914" s="102">
        <v>2400000</v>
      </c>
      <c r="C914" s="102">
        <v>2400000</v>
      </c>
      <c r="D914" s="90" t="s">
        <v>374</v>
      </c>
      <c r="E914" s="90" t="s">
        <v>68</v>
      </c>
      <c r="F914" s="90" t="s">
        <v>375</v>
      </c>
      <c r="G914" s="90" t="s">
        <v>376</v>
      </c>
      <c r="H914" s="90">
        <v>0.59</v>
      </c>
      <c r="I914" s="90">
        <v>0.64</v>
      </c>
      <c r="J914" s="90" t="s">
        <v>244</v>
      </c>
      <c r="K914" s="90">
        <v>6.8629075916999997E-4</v>
      </c>
      <c r="L914" s="90">
        <v>3758.2429968760698</v>
      </c>
      <c r="M914" s="90">
        <v>11.0465500871888</v>
      </c>
      <c r="N914" s="90">
        <v>1.9024307402999601</v>
      </c>
      <c r="O914" s="90">
        <v>7.5811452455999996E-3</v>
      </c>
      <c r="P914" s="90">
        <v>1.3056206370300001E-3</v>
      </c>
      <c r="Q914" s="90">
        <v>2.5792474394902101</v>
      </c>
      <c r="R914" s="90">
        <v>1300</v>
      </c>
      <c r="S914" s="90" t="s">
        <v>387</v>
      </c>
      <c r="T914" s="90">
        <v>1300</v>
      </c>
      <c r="U914" s="90" t="s">
        <v>378</v>
      </c>
      <c r="V914" s="90" t="s">
        <v>244</v>
      </c>
      <c r="Z914" s="90">
        <v>0</v>
      </c>
      <c r="AA914" s="90">
        <v>1</v>
      </c>
      <c r="AB914" s="90">
        <v>7.5811452455999996E-3</v>
      </c>
      <c r="AC914" s="90">
        <v>1.3056206370300001E-3</v>
      </c>
      <c r="AD914" s="90">
        <v>307.84057609007999</v>
      </c>
      <c r="AF914" s="90">
        <v>-1</v>
      </c>
      <c r="AG914" s="90">
        <v>-1</v>
      </c>
      <c r="AH914" s="90">
        <v>-1</v>
      </c>
      <c r="AI914" s="90">
        <v>-1</v>
      </c>
      <c r="AJ914" s="90">
        <v>0</v>
      </c>
      <c r="AM914" s="90" t="s">
        <v>379</v>
      </c>
      <c r="AN914" s="90">
        <v>-1</v>
      </c>
      <c r="AQ914" s="90">
        <v>356</v>
      </c>
      <c r="AR914" s="90" t="s">
        <v>380</v>
      </c>
      <c r="AS914" s="90" t="s">
        <v>246</v>
      </c>
      <c r="AT914" s="90" t="s">
        <v>244</v>
      </c>
      <c r="AU914" s="90">
        <v>175.87190000000001</v>
      </c>
      <c r="AV914" s="90">
        <v>65.977412021490494</v>
      </c>
      <c r="AW914" s="90">
        <v>2.7773201664014402</v>
      </c>
      <c r="AX914" s="90">
        <v>0.24966794489999999</v>
      </c>
    </row>
    <row r="915" spans="1:50" x14ac:dyDescent="0.25">
      <c r="A915" s="102">
        <v>840000</v>
      </c>
      <c r="B915" s="102">
        <v>2400000</v>
      </c>
      <c r="C915" s="102">
        <v>2400000</v>
      </c>
      <c r="D915" s="90" t="s">
        <v>374</v>
      </c>
      <c r="E915" s="90" t="s">
        <v>68</v>
      </c>
      <c r="F915" s="90" t="s">
        <v>375</v>
      </c>
      <c r="G915" s="90" t="s">
        <v>376</v>
      </c>
      <c r="H915" s="90">
        <v>0.59</v>
      </c>
      <c r="I915" s="90">
        <v>0.64</v>
      </c>
      <c r="J915" s="90" t="s">
        <v>381</v>
      </c>
      <c r="K915" s="90">
        <v>7.0875876168299996E-3</v>
      </c>
      <c r="L915" s="90">
        <v>3758.2429968760698</v>
      </c>
      <c r="M915" s="90">
        <v>11.0465500871888</v>
      </c>
      <c r="N915" s="90">
        <v>1.9024307402999601</v>
      </c>
      <c r="O915" s="90">
        <v>7.8293391606649998E-2</v>
      </c>
      <c r="P915" s="90">
        <v>1.3483644556819999E-2</v>
      </c>
      <c r="Q915" s="90">
        <v>26.636876525696898</v>
      </c>
      <c r="R915" s="90">
        <v>1300</v>
      </c>
      <c r="S915" s="90" t="s">
        <v>387</v>
      </c>
      <c r="T915" s="90">
        <v>1300</v>
      </c>
      <c r="U915" s="90" t="s">
        <v>382</v>
      </c>
      <c r="V915" s="90" t="s">
        <v>381</v>
      </c>
      <c r="Z915" s="90">
        <v>0</v>
      </c>
      <c r="AA915" s="90">
        <v>1</v>
      </c>
      <c r="AB915" s="90">
        <v>7.8293391606649998E-2</v>
      </c>
      <c r="AC915" s="90">
        <v>1.3483644556819999E-2</v>
      </c>
      <c r="AD915" s="90">
        <v>388.37265188056801</v>
      </c>
      <c r="AF915" s="90">
        <v>-1</v>
      </c>
      <c r="AG915" s="90">
        <v>-1</v>
      </c>
      <c r="AH915" s="90">
        <v>-1</v>
      </c>
      <c r="AI915" s="90">
        <v>-1</v>
      </c>
      <c r="AJ915" s="90">
        <v>0</v>
      </c>
      <c r="AM915" s="90" t="s">
        <v>379</v>
      </c>
      <c r="AN915" s="90">
        <v>-1</v>
      </c>
      <c r="AQ915" s="90">
        <v>356</v>
      </c>
      <c r="AR915" s="90" t="s">
        <v>380</v>
      </c>
      <c r="AS915" s="90" t="s">
        <v>246</v>
      </c>
      <c r="AT915" s="90" t="s">
        <v>244</v>
      </c>
      <c r="AU915" s="90">
        <v>175.87190000000001</v>
      </c>
      <c r="AV915" s="90">
        <v>22.764993355944501</v>
      </c>
      <c r="AW915" s="90">
        <v>28.682449466493001</v>
      </c>
      <c r="AX915" s="90">
        <v>0.31498187500000002</v>
      </c>
    </row>
    <row r="916" spans="1:50" x14ac:dyDescent="0.25">
      <c r="A916" s="102">
        <v>840000</v>
      </c>
      <c r="B916" s="102">
        <v>2400000</v>
      </c>
      <c r="C916" s="102">
        <v>2400000</v>
      </c>
      <c r="D916" s="90" t="s">
        <v>374</v>
      </c>
      <c r="E916" s="90" t="s">
        <v>68</v>
      </c>
      <c r="F916" s="90" t="s">
        <v>375</v>
      </c>
      <c r="G916" s="90" t="s">
        <v>376</v>
      </c>
      <c r="H916" s="90">
        <v>0.59</v>
      </c>
      <c r="I916" s="90">
        <v>0.64</v>
      </c>
      <c r="J916" s="90" t="s">
        <v>381</v>
      </c>
      <c r="K916" s="90">
        <v>2.3317850099000001E-4</v>
      </c>
      <c r="L916" s="90">
        <v>3758.2429968760698</v>
      </c>
      <c r="M916" s="90">
        <v>11.0465500871888</v>
      </c>
      <c r="N916" s="90">
        <v>1.9024307402999601</v>
      </c>
      <c r="O916" s="90">
        <v>2.5758179905400001E-3</v>
      </c>
      <c r="P916" s="90">
        <v>4.4360594826999998E-4</v>
      </c>
      <c r="Q916" s="90">
        <v>0.87634146840155003</v>
      </c>
      <c r="R916" s="90">
        <v>1300</v>
      </c>
      <c r="S916" s="90" t="s">
        <v>387</v>
      </c>
      <c r="T916" s="90">
        <v>1300</v>
      </c>
      <c r="U916" s="90" t="s">
        <v>382</v>
      </c>
      <c r="V916" s="90" t="s">
        <v>381</v>
      </c>
      <c r="Z916" s="90">
        <v>0</v>
      </c>
      <c r="AA916" s="90">
        <v>1</v>
      </c>
      <c r="AB916" s="90">
        <v>2.5758179905400001E-3</v>
      </c>
      <c r="AC916" s="90">
        <v>4.4360594826999998E-4</v>
      </c>
      <c r="AD916" s="90">
        <v>388.37265188056801</v>
      </c>
      <c r="AF916" s="90">
        <v>-1</v>
      </c>
      <c r="AG916" s="90">
        <v>-1</v>
      </c>
      <c r="AH916" s="90">
        <v>-1</v>
      </c>
      <c r="AI916" s="90">
        <v>-1</v>
      </c>
      <c r="AJ916" s="90">
        <v>0</v>
      </c>
      <c r="AM916" s="90" t="s">
        <v>379</v>
      </c>
      <c r="AN916" s="90">
        <v>-1</v>
      </c>
      <c r="AQ916" s="90">
        <v>356</v>
      </c>
      <c r="AR916" s="90" t="s">
        <v>380</v>
      </c>
      <c r="AS916" s="90" t="s">
        <v>246</v>
      </c>
      <c r="AT916" s="90" t="s">
        <v>244</v>
      </c>
      <c r="AU916" s="90">
        <v>175.87190000000001</v>
      </c>
      <c r="AV916" s="90">
        <v>14.583191158864601</v>
      </c>
      <c r="AW916" s="90">
        <v>0.94363991433472005</v>
      </c>
      <c r="AX916" s="90">
        <v>0.31498187500000002</v>
      </c>
    </row>
    <row r="917" spans="1:50" x14ac:dyDescent="0.25">
      <c r="A917" s="102">
        <v>840000</v>
      </c>
      <c r="B917" s="102">
        <v>2400000</v>
      </c>
      <c r="C917" s="102">
        <v>2400000</v>
      </c>
      <c r="D917" s="90" t="s">
        <v>374</v>
      </c>
      <c r="E917" s="90" t="s">
        <v>68</v>
      </c>
      <c r="F917" s="90" t="s">
        <v>375</v>
      </c>
      <c r="G917" s="90" t="s">
        <v>376</v>
      </c>
      <c r="H917" s="90">
        <v>0.59</v>
      </c>
      <c r="I917" s="90">
        <v>0.64</v>
      </c>
      <c r="J917" s="90" t="s">
        <v>381</v>
      </c>
      <c r="K917" s="90">
        <v>9.7912597458100006E-3</v>
      </c>
      <c r="L917" s="90">
        <v>3758.2429968760698</v>
      </c>
      <c r="M917" s="90">
        <v>11.0465500871888</v>
      </c>
      <c r="N917" s="90">
        <v>1.9024307402999601</v>
      </c>
      <c r="O917" s="90">
        <v>0.10815964119880001</v>
      </c>
      <c r="P917" s="90">
        <v>1.8627193526690001E-2</v>
      </c>
      <c r="Q917" s="90">
        <v>36.797933370296299</v>
      </c>
      <c r="R917" s="90">
        <v>1400</v>
      </c>
      <c r="S917" s="90" t="s">
        <v>324</v>
      </c>
      <c r="T917" s="90">
        <v>1400</v>
      </c>
      <c r="U917" s="90" t="s">
        <v>382</v>
      </c>
      <c r="V917" s="90" t="s">
        <v>381</v>
      </c>
      <c r="Z917" s="90">
        <v>0</v>
      </c>
      <c r="AA917" s="90">
        <v>1</v>
      </c>
      <c r="AB917" s="90">
        <v>0.10815964119880001</v>
      </c>
      <c r="AC917" s="90">
        <v>1.8627193526690001E-2</v>
      </c>
      <c r="AD917" s="90">
        <v>744.92422800204201</v>
      </c>
      <c r="AF917" s="90">
        <v>-1</v>
      </c>
      <c r="AG917" s="90">
        <v>-1</v>
      </c>
      <c r="AH917" s="90">
        <v>-1</v>
      </c>
      <c r="AI917" s="90">
        <v>-1</v>
      </c>
      <c r="AJ917" s="90">
        <v>0</v>
      </c>
      <c r="AM917" s="90" t="s">
        <v>379</v>
      </c>
      <c r="AN917" s="90">
        <v>-1</v>
      </c>
      <c r="AQ917" s="90">
        <v>356</v>
      </c>
      <c r="AR917" s="90" t="s">
        <v>380</v>
      </c>
      <c r="AS917" s="90" t="s">
        <v>246</v>
      </c>
      <c r="AT917" s="90" t="s">
        <v>244</v>
      </c>
      <c r="AU917" s="90">
        <v>175.87190000000001</v>
      </c>
      <c r="AV917" s="90">
        <v>27.255431086845899</v>
      </c>
      <c r="AW917" s="90">
        <v>39.623822385728197</v>
      </c>
      <c r="AX917" s="90">
        <v>0.60415590269999997</v>
      </c>
    </row>
    <row r="918" spans="1:50" x14ac:dyDescent="0.25">
      <c r="A918" s="102">
        <v>840000</v>
      </c>
      <c r="B918" s="102">
        <v>2400000</v>
      </c>
      <c r="C918" s="102">
        <v>2400000</v>
      </c>
      <c r="D918" s="90" t="s">
        <v>374</v>
      </c>
      <c r="E918" s="90" t="s">
        <v>68</v>
      </c>
      <c r="F918" s="90" t="s">
        <v>375</v>
      </c>
      <c r="G918" s="90" t="s">
        <v>376</v>
      </c>
      <c r="H918" s="90">
        <v>0.59</v>
      </c>
      <c r="I918" s="90">
        <v>0.64</v>
      </c>
      <c r="J918" s="90" t="s">
        <v>381</v>
      </c>
      <c r="K918" s="90">
        <v>3.7493736193999999E-4</v>
      </c>
      <c r="L918" s="90">
        <v>3758.2429968760698</v>
      </c>
      <c r="M918" s="90">
        <v>11.0465500871888</v>
      </c>
      <c r="N918" s="90">
        <v>1.9024307402999601</v>
      </c>
      <c r="O918" s="90">
        <v>4.1417643482599999E-3</v>
      </c>
      <c r="P918" s="90">
        <v>7.1329236304E-4</v>
      </c>
      <c r="Q918" s="90">
        <v>1.4091057147894701</v>
      </c>
      <c r="R918" s="90">
        <v>1400</v>
      </c>
      <c r="S918" s="90" t="s">
        <v>324</v>
      </c>
      <c r="T918" s="90">
        <v>1400</v>
      </c>
      <c r="U918" s="90" t="s">
        <v>382</v>
      </c>
      <c r="V918" s="90" t="s">
        <v>381</v>
      </c>
      <c r="Z918" s="90">
        <v>0</v>
      </c>
      <c r="AA918" s="90">
        <v>1</v>
      </c>
      <c r="AB918" s="90">
        <v>4.1417643482599999E-3</v>
      </c>
      <c r="AC918" s="90">
        <v>7.1329236304E-4</v>
      </c>
      <c r="AD918" s="90">
        <v>744.92422800204201</v>
      </c>
      <c r="AF918" s="90">
        <v>-1</v>
      </c>
      <c r="AG918" s="90">
        <v>-1</v>
      </c>
      <c r="AH918" s="90">
        <v>-1</v>
      </c>
      <c r="AI918" s="90">
        <v>-1</v>
      </c>
      <c r="AJ918" s="90">
        <v>0</v>
      </c>
      <c r="AM918" s="90" t="s">
        <v>379</v>
      </c>
      <c r="AN918" s="90">
        <v>-1</v>
      </c>
      <c r="AQ918" s="90">
        <v>356</v>
      </c>
      <c r="AR918" s="90" t="s">
        <v>380</v>
      </c>
      <c r="AS918" s="90" t="s">
        <v>246</v>
      </c>
      <c r="AT918" s="90" t="s">
        <v>244</v>
      </c>
      <c r="AU918" s="90">
        <v>175.87190000000001</v>
      </c>
      <c r="AV918" s="90">
        <v>20.2393004510438</v>
      </c>
      <c r="AW918" s="90">
        <v>1.51731767117695</v>
      </c>
      <c r="AX918" s="90">
        <v>0.60415590269999997</v>
      </c>
    </row>
    <row r="919" spans="1:50" x14ac:dyDescent="0.25">
      <c r="A919" s="102">
        <v>840000</v>
      </c>
      <c r="B919" s="102">
        <v>2400000</v>
      </c>
      <c r="C919" s="102">
        <v>2400000</v>
      </c>
      <c r="D919" s="90" t="s">
        <v>374</v>
      </c>
      <c r="E919" s="90" t="s">
        <v>68</v>
      </c>
      <c r="F919" s="90" t="s">
        <v>375</v>
      </c>
      <c r="G919" s="90" t="s">
        <v>376</v>
      </c>
      <c r="H919" s="90">
        <v>0.59</v>
      </c>
      <c r="I919" s="90">
        <v>0.64</v>
      </c>
      <c r="J919" s="90" t="s">
        <v>381</v>
      </c>
      <c r="K919" s="90">
        <v>3.8371460621069997E-2</v>
      </c>
      <c r="L919" s="90">
        <v>3774.46272523159</v>
      </c>
      <c r="M919" s="90">
        <v>10.6418536584173</v>
      </c>
      <c r="N919" s="90">
        <v>1.4008455664980699</v>
      </c>
      <c r="O919" s="90">
        <v>0.40834346858916998</v>
      </c>
      <c r="P919" s="90">
        <v>5.3752490491080003E-2</v>
      </c>
      <c r="Q919" s="90">
        <v>144.83164782692799</v>
      </c>
      <c r="R919" s="90">
        <v>8140</v>
      </c>
      <c r="S919" s="90" t="s">
        <v>386</v>
      </c>
      <c r="T919" s="90">
        <v>8140</v>
      </c>
      <c r="U919" s="90" t="s">
        <v>382</v>
      </c>
      <c r="V919" s="90" t="s">
        <v>381</v>
      </c>
      <c r="Z919" s="90">
        <v>0</v>
      </c>
      <c r="AA919" s="90">
        <v>1</v>
      </c>
      <c r="AB919" s="90">
        <v>0.40834346858916998</v>
      </c>
      <c r="AC919" s="90">
        <v>5.3752490491080003E-2</v>
      </c>
      <c r="AD919" s="90">
        <v>786.01381358088497</v>
      </c>
      <c r="AF919" s="90">
        <v>-1</v>
      </c>
      <c r="AG919" s="90">
        <v>-1</v>
      </c>
      <c r="AH919" s="90">
        <v>-1</v>
      </c>
      <c r="AI919" s="90">
        <v>-1</v>
      </c>
      <c r="AJ919" s="90">
        <v>0</v>
      </c>
      <c r="AM919" s="90" t="s">
        <v>379</v>
      </c>
      <c r="AN919" s="90">
        <v>-1</v>
      </c>
      <c r="AQ919" s="90">
        <v>356</v>
      </c>
      <c r="AR919" s="90" t="s">
        <v>380</v>
      </c>
      <c r="AS919" s="90" t="s">
        <v>246</v>
      </c>
      <c r="AT919" s="90" t="s">
        <v>244</v>
      </c>
      <c r="AU919" s="90">
        <v>175.87190000000001</v>
      </c>
      <c r="AV919" s="90">
        <v>106.275710194751</v>
      </c>
      <c r="AW919" s="90">
        <v>155.283791851252</v>
      </c>
      <c r="AX919" s="90">
        <v>0.63748078959999999</v>
      </c>
    </row>
    <row r="920" spans="1:50" x14ac:dyDescent="0.25">
      <c r="A920" s="102">
        <v>840000</v>
      </c>
      <c r="B920" s="102">
        <v>2400000</v>
      </c>
      <c r="C920" s="102">
        <v>2400000</v>
      </c>
      <c r="D920" s="90" t="s">
        <v>374</v>
      </c>
      <c r="E920" s="90" t="s">
        <v>68</v>
      </c>
      <c r="F920" s="90" t="s">
        <v>375</v>
      </c>
      <c r="G920" s="90" t="s">
        <v>376</v>
      </c>
      <c r="H920" s="90">
        <v>0.59</v>
      </c>
      <c r="I920" s="90">
        <v>0.64</v>
      </c>
      <c r="J920" s="90" t="s">
        <v>244</v>
      </c>
      <c r="K920" s="90">
        <v>0.12731611169095</v>
      </c>
      <c r="L920" s="90">
        <v>3783.8090208048302</v>
      </c>
      <c r="M920" s="90">
        <v>11.6254551144582</v>
      </c>
      <c r="N920" s="90">
        <v>1.53485638481041</v>
      </c>
      <c r="O920" s="90">
        <v>1.4801077418105499</v>
      </c>
      <c r="P920" s="90">
        <v>0.19541194691809</v>
      </c>
      <c r="Q920" s="90">
        <v>481.73985191003101</v>
      </c>
      <c r="R920" s="90">
        <v>1450</v>
      </c>
      <c r="S920" s="90" t="s">
        <v>391</v>
      </c>
      <c r="T920" s="90">
        <v>1450</v>
      </c>
      <c r="U920" s="90" t="s">
        <v>378</v>
      </c>
      <c r="V920" s="90" t="s">
        <v>244</v>
      </c>
      <c r="Z920" s="90">
        <v>0</v>
      </c>
      <c r="AA920" s="90">
        <v>1</v>
      </c>
      <c r="AB920" s="90">
        <v>1.4801077418105499</v>
      </c>
      <c r="AC920" s="90">
        <v>0.19541194691809</v>
      </c>
      <c r="AD920" s="90">
        <v>2337.4989289734299</v>
      </c>
      <c r="AF920" s="90">
        <v>-1</v>
      </c>
      <c r="AG920" s="90">
        <v>-1</v>
      </c>
      <c r="AH920" s="90">
        <v>-1</v>
      </c>
      <c r="AI920" s="90">
        <v>-1</v>
      </c>
      <c r="AJ920" s="90">
        <v>0</v>
      </c>
      <c r="AM920" s="90" t="s">
        <v>379</v>
      </c>
      <c r="AN920" s="90">
        <v>-1</v>
      </c>
      <c r="AQ920" s="90">
        <v>356</v>
      </c>
      <c r="AR920" s="90" t="s">
        <v>380</v>
      </c>
      <c r="AS920" s="90" t="s">
        <v>246</v>
      </c>
      <c r="AT920" s="90" t="s">
        <v>244</v>
      </c>
      <c r="AU920" s="90">
        <v>175.87190000000001</v>
      </c>
      <c r="AV920" s="90">
        <v>121.02366313856101</v>
      </c>
      <c r="AW920" s="90">
        <v>515.23002427153801</v>
      </c>
      <c r="AX920" s="90">
        <v>1.8957817752999999</v>
      </c>
    </row>
    <row r="921" spans="1:50" x14ac:dyDescent="0.25">
      <c r="A921" s="102">
        <v>840000</v>
      </c>
      <c r="B921" s="102">
        <v>2400000</v>
      </c>
      <c r="C921" s="102">
        <v>2400000</v>
      </c>
      <c r="D921" s="90" t="s">
        <v>374</v>
      </c>
      <c r="E921" s="90" t="s">
        <v>68</v>
      </c>
      <c r="F921" s="90" t="s">
        <v>375</v>
      </c>
      <c r="G921" s="90" t="s">
        <v>376</v>
      </c>
      <c r="H921" s="90">
        <v>0.59</v>
      </c>
      <c r="I921" s="90">
        <v>0.64</v>
      </c>
      <c r="J921" s="90" t="s">
        <v>381</v>
      </c>
      <c r="K921" s="90">
        <v>4.9863011619000002E-4</v>
      </c>
      <c r="L921" s="90">
        <v>3724.5902340310099</v>
      </c>
      <c r="M921" s="90">
        <v>8.1031414486942204</v>
      </c>
      <c r="N921" s="90">
        <v>1.0815343837899101</v>
      </c>
      <c r="O921" s="90">
        <v>4.0404703621299996E-3</v>
      </c>
      <c r="P921" s="90">
        <v>5.3928561546000005E-4</v>
      </c>
      <c r="Q921" s="90">
        <v>1.85719286118854</v>
      </c>
      <c r="R921" s="90">
        <v>1400</v>
      </c>
      <c r="S921" s="90" t="s">
        <v>324</v>
      </c>
      <c r="T921" s="90">
        <v>1400</v>
      </c>
      <c r="U921" s="90" t="s">
        <v>382</v>
      </c>
      <c r="V921" s="90" t="s">
        <v>381</v>
      </c>
      <c r="Z921" s="90">
        <v>0</v>
      </c>
      <c r="AA921" s="90">
        <v>1</v>
      </c>
      <c r="AB921" s="90">
        <v>4.0404703621299996E-3</v>
      </c>
      <c r="AC921" s="90">
        <v>5.3928561546000005E-4</v>
      </c>
      <c r="AD921" s="90">
        <v>60.367873091993403</v>
      </c>
      <c r="AF921" s="90">
        <v>-1</v>
      </c>
      <c r="AG921" s="90">
        <v>-1</v>
      </c>
      <c r="AH921" s="90">
        <v>-1</v>
      </c>
      <c r="AI921" s="90">
        <v>-1</v>
      </c>
      <c r="AJ921" s="90">
        <v>0</v>
      </c>
      <c r="AM921" s="90" t="s">
        <v>379</v>
      </c>
      <c r="AN921" s="90">
        <v>-1</v>
      </c>
      <c r="AQ921" s="90">
        <v>356</v>
      </c>
      <c r="AR921" s="90" t="s">
        <v>380</v>
      </c>
      <c r="AS921" s="90" t="s">
        <v>246</v>
      </c>
      <c r="AT921" s="90" t="s">
        <v>244</v>
      </c>
      <c r="AU921" s="90">
        <v>175.87190000000001</v>
      </c>
      <c r="AV921" s="90">
        <v>10.0563273796435</v>
      </c>
      <c r="AW921" s="90">
        <v>2.0178844881417399</v>
      </c>
      <c r="AX921" s="90">
        <v>4.8960156599999999E-2</v>
      </c>
    </row>
    <row r="922" spans="1:50" x14ac:dyDescent="0.25">
      <c r="A922" s="102">
        <v>840000</v>
      </c>
      <c r="B922" s="102">
        <v>2400000</v>
      </c>
      <c r="C922" s="102">
        <v>2400000</v>
      </c>
      <c r="D922" s="90" t="s">
        <v>374</v>
      </c>
      <c r="E922" s="90" t="s">
        <v>68</v>
      </c>
      <c r="F922" s="90" t="s">
        <v>375</v>
      </c>
      <c r="G922" s="90" t="s">
        <v>376</v>
      </c>
      <c r="H922" s="90">
        <v>0.59</v>
      </c>
      <c r="I922" s="90">
        <v>0.64</v>
      </c>
      <c r="J922" s="90" t="s">
        <v>381</v>
      </c>
      <c r="K922" s="90">
        <v>1.008702253066E-2</v>
      </c>
      <c r="L922" s="90">
        <v>3724.5902340310099</v>
      </c>
      <c r="M922" s="90">
        <v>8.1031414486942204</v>
      </c>
      <c r="N922" s="90">
        <v>1.0815343837899101</v>
      </c>
      <c r="O922" s="90">
        <v>8.1736570362140007E-2</v>
      </c>
      <c r="P922" s="90">
        <v>1.090946169697E-2</v>
      </c>
      <c r="Q922" s="90">
        <v>37.570025608165601</v>
      </c>
      <c r="R922" s="90">
        <v>8140</v>
      </c>
      <c r="S922" s="90" t="s">
        <v>386</v>
      </c>
      <c r="T922" s="90">
        <v>8140</v>
      </c>
      <c r="U922" s="90" t="s">
        <v>382</v>
      </c>
      <c r="V922" s="90" t="s">
        <v>381</v>
      </c>
      <c r="Z922" s="90">
        <v>0</v>
      </c>
      <c r="AA922" s="90">
        <v>1</v>
      </c>
      <c r="AB922" s="90">
        <v>8.1736570362140007E-2</v>
      </c>
      <c r="AC922" s="90">
        <v>1.090946169697E-2</v>
      </c>
      <c r="AD922" s="90">
        <v>998.96236710378298</v>
      </c>
      <c r="AF922" s="90">
        <v>-1</v>
      </c>
      <c r="AG922" s="90">
        <v>-1</v>
      </c>
      <c r="AH922" s="90">
        <v>-1</v>
      </c>
      <c r="AI922" s="90">
        <v>-1</v>
      </c>
      <c r="AJ922" s="90">
        <v>0</v>
      </c>
      <c r="AM922" s="90" t="s">
        <v>379</v>
      </c>
      <c r="AN922" s="90">
        <v>-1</v>
      </c>
      <c r="AQ922" s="90">
        <v>356</v>
      </c>
      <c r="AR922" s="90" t="s">
        <v>380</v>
      </c>
      <c r="AS922" s="90" t="s">
        <v>246</v>
      </c>
      <c r="AT922" s="90" t="s">
        <v>244</v>
      </c>
      <c r="AU922" s="90">
        <v>175.87190000000001</v>
      </c>
      <c r="AV922" s="90">
        <v>27.198996134420302</v>
      </c>
      <c r="AW922" s="90">
        <v>40.820731911114699</v>
      </c>
      <c r="AX922" s="90">
        <v>0.81018845669999995</v>
      </c>
    </row>
    <row r="923" spans="1:50" x14ac:dyDescent="0.25">
      <c r="A923" s="102">
        <v>840000</v>
      </c>
      <c r="B923" s="102">
        <v>2400000</v>
      </c>
      <c r="C923" s="102">
        <v>2400000</v>
      </c>
      <c r="D923" s="90" t="s">
        <v>374</v>
      </c>
      <c r="E923" s="90" t="s">
        <v>68</v>
      </c>
      <c r="F923" s="90" t="s">
        <v>375</v>
      </c>
      <c r="G923" s="90" t="s">
        <v>376</v>
      </c>
      <c r="H923" s="90">
        <v>0.59</v>
      </c>
      <c r="I923" s="90">
        <v>0.64</v>
      </c>
      <c r="J923" s="90" t="s">
        <v>244</v>
      </c>
      <c r="K923" s="90">
        <v>2.2898192477729999E-2</v>
      </c>
      <c r="L923" s="90">
        <v>3746.0260549578902</v>
      </c>
      <c r="M923" s="90">
        <v>10.779169181903001</v>
      </c>
      <c r="N923" s="90">
        <v>2.0755727976781202</v>
      </c>
      <c r="O923" s="90">
        <v>0.24682349067726</v>
      </c>
      <c r="P923" s="90">
        <v>4.752686542278E-2</v>
      </c>
      <c r="Q923" s="90">
        <v>85.777225633028493</v>
      </c>
      <c r="R923" s="90">
        <v>1300</v>
      </c>
      <c r="S923" s="90" t="s">
        <v>387</v>
      </c>
      <c r="T923" s="90">
        <v>1300</v>
      </c>
      <c r="U923" s="90" t="s">
        <v>378</v>
      </c>
      <c r="V923" s="90" t="s">
        <v>244</v>
      </c>
      <c r="Z923" s="90">
        <v>0</v>
      </c>
      <c r="AA923" s="90">
        <v>1</v>
      </c>
      <c r="AB923" s="90">
        <v>0.24682349067726</v>
      </c>
      <c r="AC923" s="90">
        <v>4.752686542278E-2</v>
      </c>
      <c r="AD923" s="90">
        <v>85.777225633028195</v>
      </c>
      <c r="AF923" s="90">
        <v>-1</v>
      </c>
      <c r="AG923" s="90">
        <v>-1</v>
      </c>
      <c r="AH923" s="90">
        <v>-1</v>
      </c>
      <c r="AI923" s="90">
        <v>-1</v>
      </c>
      <c r="AJ923" s="90">
        <v>0</v>
      </c>
      <c r="AM923" s="90" t="s">
        <v>379</v>
      </c>
      <c r="AN923" s="90">
        <v>-1</v>
      </c>
      <c r="AQ923" s="90">
        <v>356</v>
      </c>
      <c r="AR923" s="90" t="s">
        <v>380</v>
      </c>
      <c r="AS923" s="90" t="s">
        <v>246</v>
      </c>
      <c r="AT923" s="90" t="s">
        <v>244</v>
      </c>
      <c r="AU923" s="90">
        <v>175.87190000000001</v>
      </c>
      <c r="AV923" s="90">
        <v>56.948652464065603</v>
      </c>
      <c r="AW923" s="90">
        <v>92.665697289864696</v>
      </c>
      <c r="AX923" s="90">
        <v>6.9567904E-2</v>
      </c>
    </row>
    <row r="924" spans="1:50" x14ac:dyDescent="0.25">
      <c r="A924" s="102">
        <v>840000</v>
      </c>
      <c r="B924" s="102">
        <v>2400000</v>
      </c>
      <c r="C924" s="102">
        <v>2400000</v>
      </c>
      <c r="D924" s="90" t="s">
        <v>374</v>
      </c>
      <c r="E924" s="90" t="s">
        <v>68</v>
      </c>
      <c r="F924" s="90" t="s">
        <v>375</v>
      </c>
      <c r="G924" s="90" t="s">
        <v>376</v>
      </c>
      <c r="H924" s="90">
        <v>0.59</v>
      </c>
      <c r="I924" s="90">
        <v>0.64</v>
      </c>
      <c r="J924" s="90" t="s">
        <v>244</v>
      </c>
      <c r="K924" s="90">
        <v>5.8625365769000002E-4</v>
      </c>
      <c r="L924" s="90">
        <v>3746.0260549578902</v>
      </c>
      <c r="M924" s="90">
        <v>10.779169181903001</v>
      </c>
      <c r="N924" s="90">
        <v>2.0755727976781202</v>
      </c>
      <c r="O924" s="90">
        <v>6.3193273598199998E-3</v>
      </c>
      <c r="P924" s="90">
        <v>1.21681214445E-3</v>
      </c>
      <c r="Q924" s="90">
        <v>2.19612147654732</v>
      </c>
      <c r="R924" s="90">
        <v>1400</v>
      </c>
      <c r="S924" s="90" t="s">
        <v>324</v>
      </c>
      <c r="T924" s="90">
        <v>1400</v>
      </c>
      <c r="U924" s="90" t="s">
        <v>378</v>
      </c>
      <c r="V924" s="90" t="s">
        <v>244</v>
      </c>
      <c r="Z924" s="90">
        <v>0</v>
      </c>
      <c r="AA924" s="90">
        <v>1</v>
      </c>
      <c r="AB924" s="90">
        <v>6.3193273598199998E-3</v>
      </c>
      <c r="AC924" s="90">
        <v>1.21681214445E-3</v>
      </c>
      <c r="AD924" s="90">
        <v>2.1961214765478898</v>
      </c>
      <c r="AF924" s="90">
        <v>-1</v>
      </c>
      <c r="AG924" s="90">
        <v>-1</v>
      </c>
      <c r="AH924" s="90">
        <v>-1</v>
      </c>
      <c r="AI924" s="90">
        <v>-1</v>
      </c>
      <c r="AJ924" s="90">
        <v>0</v>
      </c>
      <c r="AM924" s="90" t="s">
        <v>379</v>
      </c>
      <c r="AN924" s="90">
        <v>-1</v>
      </c>
      <c r="AQ924" s="90">
        <v>356</v>
      </c>
      <c r="AR924" s="90" t="s">
        <v>380</v>
      </c>
      <c r="AS924" s="90" t="s">
        <v>246</v>
      </c>
      <c r="AT924" s="90" t="s">
        <v>244</v>
      </c>
      <c r="AU924" s="90">
        <v>175.87190000000001</v>
      </c>
      <c r="AV924" s="90">
        <v>13.452817855024</v>
      </c>
      <c r="AW924" s="90">
        <v>2.3724843798072102</v>
      </c>
      <c r="AX924" s="90">
        <v>1.7811204000000001E-3</v>
      </c>
    </row>
    <row r="925" spans="1:50" x14ac:dyDescent="0.25">
      <c r="A925" s="102">
        <v>840000</v>
      </c>
      <c r="B925" s="102">
        <v>2400000</v>
      </c>
      <c r="C925" s="102">
        <v>2400000</v>
      </c>
      <c r="D925" s="90" t="s">
        <v>374</v>
      </c>
      <c r="E925" s="90" t="s">
        <v>68</v>
      </c>
      <c r="F925" s="90" t="s">
        <v>375</v>
      </c>
      <c r="G925" s="90" t="s">
        <v>376</v>
      </c>
      <c r="H925" s="90">
        <v>0.59</v>
      </c>
      <c r="I925" s="90">
        <v>0.64</v>
      </c>
      <c r="J925" s="90" t="s">
        <v>244</v>
      </c>
      <c r="K925" s="90">
        <v>2.6299379133839999E-2</v>
      </c>
      <c r="L925" s="90">
        <v>3746.0260549578902</v>
      </c>
      <c r="M925" s="90">
        <v>10.779169181903001</v>
      </c>
      <c r="N925" s="90">
        <v>2.0755727976781202</v>
      </c>
      <c r="O925" s="90">
        <v>0.28348545706269002</v>
      </c>
      <c r="P925" s="90">
        <v>5.458627592602E-2</v>
      </c>
      <c r="Q925" s="90">
        <v>98.518159464587995</v>
      </c>
      <c r="R925" s="90">
        <v>1300</v>
      </c>
      <c r="S925" s="90" t="s">
        <v>387</v>
      </c>
      <c r="T925" s="90">
        <v>1300</v>
      </c>
      <c r="U925" s="90" t="s">
        <v>378</v>
      </c>
      <c r="V925" s="90" t="s">
        <v>244</v>
      </c>
      <c r="Z925" s="90">
        <v>0</v>
      </c>
      <c r="AA925" s="90">
        <v>1</v>
      </c>
      <c r="AB925" s="90">
        <v>0.28348545706269002</v>
      </c>
      <c r="AC925" s="90">
        <v>5.458627592602E-2</v>
      </c>
      <c r="AD925" s="90">
        <v>1045.13186191933</v>
      </c>
      <c r="AF925" s="90">
        <v>-1</v>
      </c>
      <c r="AG925" s="90">
        <v>-1</v>
      </c>
      <c r="AH925" s="90">
        <v>-1</v>
      </c>
      <c r="AI925" s="90">
        <v>-1</v>
      </c>
      <c r="AJ925" s="90">
        <v>0</v>
      </c>
      <c r="AM925" s="90" t="s">
        <v>379</v>
      </c>
      <c r="AN925" s="90">
        <v>-1</v>
      </c>
      <c r="AQ925" s="90">
        <v>356</v>
      </c>
      <c r="AR925" s="90" t="s">
        <v>380</v>
      </c>
      <c r="AS925" s="90" t="s">
        <v>246</v>
      </c>
      <c r="AT925" s="90" t="s">
        <v>244</v>
      </c>
      <c r="AU925" s="90">
        <v>175.87190000000001</v>
      </c>
      <c r="AV925" s="90">
        <v>56.1163775465089</v>
      </c>
      <c r="AW925" s="90">
        <v>106.42981135292</v>
      </c>
      <c r="AX925" s="90">
        <v>0.84763330240000001</v>
      </c>
    </row>
    <row r="926" spans="1:50" x14ac:dyDescent="0.25">
      <c r="A926" s="102">
        <v>840000</v>
      </c>
      <c r="B926" s="102">
        <v>2400000</v>
      </c>
      <c r="C926" s="102">
        <v>2400000</v>
      </c>
      <c r="D926" s="90" t="s">
        <v>374</v>
      </c>
      <c r="E926" s="90" t="s">
        <v>68</v>
      </c>
      <c r="F926" s="90" t="s">
        <v>375</v>
      </c>
      <c r="G926" s="90" t="s">
        <v>376</v>
      </c>
      <c r="H926" s="90">
        <v>0.59</v>
      </c>
      <c r="I926" s="90">
        <v>0.64</v>
      </c>
      <c r="J926" s="90" t="s">
        <v>381</v>
      </c>
      <c r="K926" s="90">
        <v>2.39801993196E-3</v>
      </c>
      <c r="L926" s="90">
        <v>3776.3353987987098</v>
      </c>
      <c r="M926" s="90">
        <v>10.7516417475435</v>
      </c>
      <c r="N926" s="90">
        <v>1.4157952348805301</v>
      </c>
      <c r="O926" s="90">
        <v>2.578265121191E-2</v>
      </c>
      <c r="P926" s="90">
        <v>3.39510519281E-3</v>
      </c>
      <c r="Q926" s="90">
        <v>9.0557275560892094</v>
      </c>
      <c r="R926" s="90">
        <v>8140</v>
      </c>
      <c r="S926" s="90" t="s">
        <v>386</v>
      </c>
      <c r="T926" s="90">
        <v>8140</v>
      </c>
      <c r="U926" s="90" t="s">
        <v>382</v>
      </c>
      <c r="V926" s="90" t="s">
        <v>381</v>
      </c>
      <c r="Z926" s="90">
        <v>0</v>
      </c>
      <c r="AA926" s="90">
        <v>1</v>
      </c>
      <c r="AB926" s="90">
        <v>2.578265121191E-2</v>
      </c>
      <c r="AC926" s="90">
        <v>3.39510519281E-3</v>
      </c>
      <c r="AD926" s="90">
        <v>700.37633038001502</v>
      </c>
      <c r="AF926" s="90">
        <v>-1</v>
      </c>
      <c r="AG926" s="90">
        <v>-1</v>
      </c>
      <c r="AH926" s="90">
        <v>-1</v>
      </c>
      <c r="AI926" s="90">
        <v>-1</v>
      </c>
      <c r="AJ926" s="90">
        <v>0</v>
      </c>
      <c r="AM926" s="90" t="s">
        <v>379</v>
      </c>
      <c r="AN926" s="90">
        <v>-1</v>
      </c>
      <c r="AQ926" s="90">
        <v>356</v>
      </c>
      <c r="AR926" s="90" t="s">
        <v>380</v>
      </c>
      <c r="AS926" s="90" t="s">
        <v>246</v>
      </c>
      <c r="AT926" s="90" t="s">
        <v>244</v>
      </c>
      <c r="AU926" s="90">
        <v>175.87190000000001</v>
      </c>
      <c r="AV926" s="90">
        <v>14.880290389072201</v>
      </c>
      <c r="AW926" s="90">
        <v>9.7044423626996004</v>
      </c>
      <c r="AX926" s="90">
        <v>0.56802622089999999</v>
      </c>
    </row>
    <row r="927" spans="1:50" x14ac:dyDescent="0.25">
      <c r="A927" s="102">
        <v>840000</v>
      </c>
      <c r="B927" s="102">
        <v>2400000</v>
      </c>
      <c r="C927" s="102">
        <v>2400000</v>
      </c>
      <c r="D927" s="90" t="s">
        <v>374</v>
      </c>
      <c r="E927" s="90" t="s">
        <v>68</v>
      </c>
      <c r="F927" s="90" t="s">
        <v>375</v>
      </c>
      <c r="G927" s="90" t="s">
        <v>376</v>
      </c>
      <c r="H927" s="90">
        <v>0.59</v>
      </c>
      <c r="I927" s="90">
        <v>0.64</v>
      </c>
      <c r="J927" s="90" t="s">
        <v>381</v>
      </c>
      <c r="K927" s="90">
        <v>6.9725604184370002E-2</v>
      </c>
      <c r="L927" s="90">
        <v>3773.50880480261</v>
      </c>
      <c r="M927" s="90">
        <v>10.5118458581266</v>
      </c>
      <c r="N927" s="90">
        <v>1.3831271150873501</v>
      </c>
      <c r="O927" s="90">
        <v>0.73294480355090996</v>
      </c>
      <c r="P927" s="90">
        <v>9.643937376325E-2</v>
      </c>
      <c r="Q927" s="90">
        <v>263.11018130992397</v>
      </c>
      <c r="R927" s="90">
        <v>8140</v>
      </c>
      <c r="S927" s="90" t="s">
        <v>386</v>
      </c>
      <c r="T927" s="90">
        <v>8140</v>
      </c>
      <c r="U927" s="90" t="s">
        <v>382</v>
      </c>
      <c r="V927" s="90" t="s">
        <v>381</v>
      </c>
      <c r="Z927" s="90">
        <v>0</v>
      </c>
      <c r="AA927" s="90">
        <v>1</v>
      </c>
      <c r="AB927" s="90">
        <v>0.73294480355090996</v>
      </c>
      <c r="AC927" s="90">
        <v>9.643937376325E-2</v>
      </c>
      <c r="AD927" s="90">
        <v>890.49505133160403</v>
      </c>
      <c r="AF927" s="90">
        <v>-1</v>
      </c>
      <c r="AG927" s="90">
        <v>-1</v>
      </c>
      <c r="AH927" s="90">
        <v>-1</v>
      </c>
      <c r="AI927" s="90">
        <v>-1</v>
      </c>
      <c r="AJ927" s="90">
        <v>0</v>
      </c>
      <c r="AM927" s="90" t="s">
        <v>379</v>
      </c>
      <c r="AN927" s="90">
        <v>-1</v>
      </c>
      <c r="AQ927" s="90">
        <v>356</v>
      </c>
      <c r="AR927" s="90" t="s">
        <v>380</v>
      </c>
      <c r="AS927" s="90" t="s">
        <v>246</v>
      </c>
      <c r="AT927" s="90" t="s">
        <v>244</v>
      </c>
      <c r="AU927" s="90">
        <v>175.87190000000001</v>
      </c>
      <c r="AV927" s="90">
        <v>111.351138878255</v>
      </c>
      <c r="AW927" s="90">
        <v>282.16950909926197</v>
      </c>
      <c r="AX927" s="90">
        <v>0.72221820869999998</v>
      </c>
    </row>
    <row r="928" spans="1:50" x14ac:dyDescent="0.25">
      <c r="A928" s="102">
        <v>840000</v>
      </c>
      <c r="B928" s="102">
        <v>2400000</v>
      </c>
      <c r="C928" s="102">
        <v>2400000</v>
      </c>
      <c r="D928" s="90" t="s">
        <v>374</v>
      </c>
      <c r="E928" s="90" t="s">
        <v>68</v>
      </c>
      <c r="F928" s="90" t="s">
        <v>375</v>
      </c>
      <c r="G928" s="90" t="s">
        <v>376</v>
      </c>
      <c r="H928" s="90">
        <v>0.59</v>
      </c>
      <c r="I928" s="90">
        <v>0.64</v>
      </c>
      <c r="J928" s="90" t="s">
        <v>244</v>
      </c>
      <c r="K928" s="90">
        <v>4.1710682680399999E-3</v>
      </c>
      <c r="L928" s="90">
        <v>3781.4657523627202</v>
      </c>
      <c r="M928" s="90">
        <v>11.211659378571699</v>
      </c>
      <c r="N928" s="90">
        <v>1.47846289516623</v>
      </c>
      <c r="O928" s="90">
        <v>4.6764596666090001E-2</v>
      </c>
      <c r="P928" s="90">
        <v>6.1667696675100003E-3</v>
      </c>
      <c r="Q928" s="90">
        <v>15.772751806379</v>
      </c>
      <c r="R928" s="90">
        <v>1450</v>
      </c>
      <c r="S928" s="90" t="s">
        <v>391</v>
      </c>
      <c r="T928" s="90">
        <v>1450</v>
      </c>
      <c r="U928" s="90" t="s">
        <v>378</v>
      </c>
      <c r="V928" s="90" t="s">
        <v>244</v>
      </c>
      <c r="Z928" s="90">
        <v>0</v>
      </c>
      <c r="AA928" s="90">
        <v>1</v>
      </c>
      <c r="AB928" s="90">
        <v>4.6764596666090001E-2</v>
      </c>
      <c r="AC928" s="90">
        <v>6.1667696675100003E-3</v>
      </c>
      <c r="AD928" s="90">
        <v>1779.6626758668101</v>
      </c>
      <c r="AF928" s="90">
        <v>-1</v>
      </c>
      <c r="AG928" s="90">
        <v>-1</v>
      </c>
      <c r="AH928" s="90">
        <v>-1</v>
      </c>
      <c r="AI928" s="90">
        <v>-1</v>
      </c>
      <c r="AJ928" s="90">
        <v>0</v>
      </c>
      <c r="AM928" s="90" t="s">
        <v>379</v>
      </c>
      <c r="AN928" s="90">
        <v>-1</v>
      </c>
      <c r="AQ928" s="90">
        <v>356</v>
      </c>
      <c r="AR928" s="90" t="s">
        <v>380</v>
      </c>
      <c r="AS928" s="90" t="s">
        <v>246</v>
      </c>
      <c r="AT928" s="90" t="s">
        <v>244</v>
      </c>
      <c r="AU928" s="90">
        <v>175.87190000000001</v>
      </c>
      <c r="AV928" s="90">
        <v>23.424676870584801</v>
      </c>
      <c r="AW928" s="90">
        <v>16.879714408808201</v>
      </c>
      <c r="AX928" s="90">
        <v>1.4433598344</v>
      </c>
    </row>
    <row r="929" spans="1:50" x14ac:dyDescent="0.25">
      <c r="A929" s="102">
        <v>840000</v>
      </c>
      <c r="B929" s="102">
        <v>2400000</v>
      </c>
      <c r="C929" s="102">
        <v>2400000</v>
      </c>
      <c r="D929" s="90" t="s">
        <v>374</v>
      </c>
      <c r="E929" s="90" t="s">
        <v>68</v>
      </c>
      <c r="F929" s="90" t="s">
        <v>375</v>
      </c>
      <c r="G929" s="90" t="s">
        <v>376</v>
      </c>
      <c r="H929" s="90">
        <v>0.59</v>
      </c>
      <c r="I929" s="90">
        <v>0.64</v>
      </c>
      <c r="J929" s="90" t="s">
        <v>244</v>
      </c>
      <c r="K929" s="90">
        <v>7.8329125672799996E-2</v>
      </c>
      <c r="L929" s="90">
        <v>3781.2318427149698</v>
      </c>
      <c r="M929" s="90">
        <v>11.4678244406386</v>
      </c>
      <c r="N929" s="90">
        <v>1.51339376336706</v>
      </c>
      <c r="O929" s="90">
        <v>0.89826466180444997</v>
      </c>
      <c r="P929" s="90">
        <v>0.11854281028321</v>
      </c>
      <c r="Q929" s="90">
        <v>296.18058420603199</v>
      </c>
      <c r="R929" s="90">
        <v>1400</v>
      </c>
      <c r="S929" s="90" t="s">
        <v>324</v>
      </c>
      <c r="T929" s="90">
        <v>1400</v>
      </c>
      <c r="U929" s="90" t="s">
        <v>378</v>
      </c>
      <c r="V929" s="90" t="s">
        <v>244</v>
      </c>
      <c r="Z929" s="90">
        <v>0</v>
      </c>
      <c r="AA929" s="90">
        <v>1</v>
      </c>
      <c r="AB929" s="90">
        <v>0.89826466180444997</v>
      </c>
      <c r="AC929" s="90">
        <v>0.11854281028321</v>
      </c>
      <c r="AD929" s="90">
        <v>296.18058420603199</v>
      </c>
      <c r="AF929" s="90">
        <v>-1</v>
      </c>
      <c r="AG929" s="90">
        <v>-1</v>
      </c>
      <c r="AH929" s="90">
        <v>-1</v>
      </c>
      <c r="AI929" s="90">
        <v>-1</v>
      </c>
      <c r="AJ929" s="90">
        <v>0</v>
      </c>
      <c r="AM929" s="90" t="s">
        <v>379</v>
      </c>
      <c r="AN929" s="90">
        <v>-1</v>
      </c>
      <c r="AQ929" s="90">
        <v>356</v>
      </c>
      <c r="AR929" s="90" t="s">
        <v>380</v>
      </c>
      <c r="AS929" s="90" t="s">
        <v>246</v>
      </c>
      <c r="AT929" s="90" t="s">
        <v>244</v>
      </c>
      <c r="AU929" s="90">
        <v>175.87190000000001</v>
      </c>
      <c r="AV929" s="90">
        <v>180.59953825431199</v>
      </c>
      <c r="AW929" s="90">
        <v>316.98672528996599</v>
      </c>
      <c r="AX929" s="90">
        <v>0.24021134159999999</v>
      </c>
    </row>
    <row r="930" spans="1:50" x14ac:dyDescent="0.25">
      <c r="A930" s="102">
        <v>840000</v>
      </c>
      <c r="B930" s="102">
        <v>2400000</v>
      </c>
      <c r="C930" s="102">
        <v>2400000</v>
      </c>
      <c r="D930" s="90" t="s">
        <v>374</v>
      </c>
      <c r="E930" s="90" t="s">
        <v>68</v>
      </c>
      <c r="F930" s="90" t="s">
        <v>375</v>
      </c>
      <c r="G930" s="90" t="s">
        <v>376</v>
      </c>
      <c r="H930" s="90">
        <v>0.59</v>
      </c>
      <c r="I930" s="90">
        <v>0.64</v>
      </c>
      <c r="J930" s="90" t="s">
        <v>381</v>
      </c>
      <c r="K930" s="90">
        <v>7.1928941767760005E-2</v>
      </c>
      <c r="L930" s="90">
        <v>3781.2318427149698</v>
      </c>
      <c r="M930" s="90">
        <v>11.4678244406386</v>
      </c>
      <c r="N930" s="90">
        <v>1.51339376336706</v>
      </c>
      <c r="O930" s="90">
        <v>0.82486847639367999</v>
      </c>
      <c r="P930" s="90">
        <v>0.10885681187693</v>
      </c>
      <c r="Q930" s="90">
        <v>271.980005025075</v>
      </c>
      <c r="R930" s="90">
        <v>1400</v>
      </c>
      <c r="S930" s="90" t="s">
        <v>324</v>
      </c>
      <c r="T930" s="90">
        <v>1400</v>
      </c>
      <c r="U930" s="90" t="s">
        <v>382</v>
      </c>
      <c r="V930" s="90" t="s">
        <v>381</v>
      </c>
      <c r="Z930" s="90">
        <v>0</v>
      </c>
      <c r="AA930" s="90">
        <v>1</v>
      </c>
      <c r="AB930" s="90">
        <v>0.82486847639367999</v>
      </c>
      <c r="AC930" s="90">
        <v>0.10885681187693</v>
      </c>
      <c r="AD930" s="90">
        <v>271.98000502507603</v>
      </c>
      <c r="AF930" s="90">
        <v>-1</v>
      </c>
      <c r="AG930" s="90">
        <v>-1</v>
      </c>
      <c r="AH930" s="90">
        <v>-1</v>
      </c>
      <c r="AI930" s="90">
        <v>-1</v>
      </c>
      <c r="AJ930" s="90">
        <v>0</v>
      </c>
      <c r="AM930" s="90" t="s">
        <v>379</v>
      </c>
      <c r="AN930" s="90">
        <v>-1</v>
      </c>
      <c r="AQ930" s="90">
        <v>356</v>
      </c>
      <c r="AR930" s="90" t="s">
        <v>380</v>
      </c>
      <c r="AS930" s="90" t="s">
        <v>246</v>
      </c>
      <c r="AT930" s="90" t="s">
        <v>244</v>
      </c>
      <c r="AU930" s="90">
        <v>175.87190000000001</v>
      </c>
      <c r="AV930" s="90">
        <v>112.393345786296</v>
      </c>
      <c r="AW930" s="90">
        <v>291.086099949328</v>
      </c>
      <c r="AX930" s="90">
        <v>0.22058394570000001</v>
      </c>
    </row>
    <row r="931" spans="1:50" x14ac:dyDescent="0.25">
      <c r="A931" s="102">
        <v>840000</v>
      </c>
      <c r="B931" s="102">
        <v>2400000</v>
      </c>
      <c r="C931" s="102">
        <v>2400000</v>
      </c>
      <c r="D931" s="90" t="s">
        <v>374</v>
      </c>
      <c r="E931" s="90" t="s">
        <v>68</v>
      </c>
      <c r="F931" s="90" t="s">
        <v>375</v>
      </c>
      <c r="G931" s="90" t="s">
        <v>376</v>
      </c>
      <c r="H931" s="90">
        <v>0.59</v>
      </c>
      <c r="I931" s="90">
        <v>0.64</v>
      </c>
      <c r="J931" s="90" t="s">
        <v>381</v>
      </c>
      <c r="K931" s="90">
        <v>3.2646203798430001E-2</v>
      </c>
      <c r="L931" s="90">
        <v>3781.2318427149698</v>
      </c>
      <c r="M931" s="90">
        <v>11.4678244406386</v>
      </c>
      <c r="N931" s="90">
        <v>1.51339376336706</v>
      </c>
      <c r="O931" s="90">
        <v>0.37438093381375998</v>
      </c>
      <c r="P931" s="90">
        <v>4.9406561226160002E-2</v>
      </c>
      <c r="Q931" s="90">
        <v>123.44286534640401</v>
      </c>
      <c r="R931" s="90">
        <v>8140</v>
      </c>
      <c r="S931" s="90" t="s">
        <v>386</v>
      </c>
      <c r="T931" s="90">
        <v>8140</v>
      </c>
      <c r="U931" s="90" t="s">
        <v>382</v>
      </c>
      <c r="V931" s="90" t="s">
        <v>381</v>
      </c>
      <c r="Z931" s="90">
        <v>0</v>
      </c>
      <c r="AA931" s="90">
        <v>1</v>
      </c>
      <c r="AB931" s="90">
        <v>0.37438093381375998</v>
      </c>
      <c r="AC931" s="90">
        <v>4.9406561226160002E-2</v>
      </c>
      <c r="AD931" s="90">
        <v>123.442865346405</v>
      </c>
      <c r="AF931" s="90">
        <v>-1</v>
      </c>
      <c r="AG931" s="90">
        <v>-1</v>
      </c>
      <c r="AH931" s="90">
        <v>-1</v>
      </c>
      <c r="AI931" s="90">
        <v>-1</v>
      </c>
      <c r="AJ931" s="90">
        <v>0</v>
      </c>
      <c r="AM931" s="90" t="s">
        <v>379</v>
      </c>
      <c r="AN931" s="90">
        <v>-1</v>
      </c>
      <c r="AQ931" s="90">
        <v>356</v>
      </c>
      <c r="AR931" s="90" t="s">
        <v>380</v>
      </c>
      <c r="AS931" s="90" t="s">
        <v>246</v>
      </c>
      <c r="AT931" s="90" t="s">
        <v>244</v>
      </c>
      <c r="AU931" s="90">
        <v>175.87190000000001</v>
      </c>
      <c r="AV931" s="90">
        <v>105.169354865695</v>
      </c>
      <c r="AW931" s="90">
        <v>132.114499508676</v>
      </c>
      <c r="AX931" s="90">
        <v>0.10011586810000001</v>
      </c>
    </row>
    <row r="932" spans="1:50" x14ac:dyDescent="0.25">
      <c r="A932" s="102">
        <v>840000</v>
      </c>
      <c r="B932" s="102">
        <v>2400000</v>
      </c>
      <c r="C932" s="102">
        <v>2400000</v>
      </c>
      <c r="D932" s="90" t="s">
        <v>374</v>
      </c>
      <c r="E932" s="90" t="s">
        <v>68</v>
      </c>
      <c r="F932" s="90" t="s">
        <v>375</v>
      </c>
      <c r="G932" s="90" t="s">
        <v>376</v>
      </c>
      <c r="H932" s="90">
        <v>0.59</v>
      </c>
      <c r="I932" s="90">
        <v>0.64</v>
      </c>
      <c r="J932" s="90" t="s">
        <v>244</v>
      </c>
      <c r="K932" s="90">
        <v>0.43485918256697997</v>
      </c>
      <c r="L932" s="90">
        <v>3781.2318427149698</v>
      </c>
      <c r="M932" s="90">
        <v>11.4678244406386</v>
      </c>
      <c r="N932" s="90">
        <v>1.51339376336706</v>
      </c>
      <c r="O932" s="90">
        <v>4.9868887620778404</v>
      </c>
      <c r="P932" s="90">
        <v>0.65811317483977005</v>
      </c>
      <c r="Q932" s="90">
        <v>1644.3033882192899</v>
      </c>
      <c r="R932" s="90">
        <v>1410</v>
      </c>
      <c r="S932" s="90" t="s">
        <v>325</v>
      </c>
      <c r="T932" s="90">
        <v>1410</v>
      </c>
      <c r="U932" s="90" t="s">
        <v>378</v>
      </c>
      <c r="V932" s="90" t="s">
        <v>244</v>
      </c>
      <c r="Z932" s="90">
        <v>0</v>
      </c>
      <c r="AA932" s="90">
        <v>1</v>
      </c>
      <c r="AB932" s="90">
        <v>4.9868887620778404</v>
      </c>
      <c r="AC932" s="90">
        <v>0.65811317483977005</v>
      </c>
      <c r="AD932" s="90">
        <v>1644.3033882192899</v>
      </c>
      <c r="AF932" s="90">
        <v>-1</v>
      </c>
      <c r="AG932" s="90">
        <v>-1</v>
      </c>
      <c r="AH932" s="90">
        <v>-1</v>
      </c>
      <c r="AI932" s="90">
        <v>-1</v>
      </c>
      <c r="AJ932" s="90">
        <v>0</v>
      </c>
      <c r="AM932" s="90" t="s">
        <v>379</v>
      </c>
      <c r="AN932" s="90">
        <v>-1</v>
      </c>
      <c r="AQ932" s="90">
        <v>356</v>
      </c>
      <c r="AR932" s="90" t="s">
        <v>380</v>
      </c>
      <c r="AS932" s="90" t="s">
        <v>246</v>
      </c>
      <c r="AT932" s="90" t="s">
        <v>244</v>
      </c>
      <c r="AU932" s="90">
        <v>175.87190000000001</v>
      </c>
      <c r="AV932" s="90">
        <v>167.848450872206</v>
      </c>
      <c r="AW932" s="90">
        <v>1759.8126758108201</v>
      </c>
      <c r="AX932" s="90">
        <v>1.3335793902999999</v>
      </c>
    </row>
    <row r="933" spans="1:50" x14ac:dyDescent="0.25">
      <c r="A933" s="102">
        <v>840000</v>
      </c>
      <c r="B933" s="102">
        <v>2400000</v>
      </c>
      <c r="C933" s="102">
        <v>2400000</v>
      </c>
      <c r="D933" s="90" t="s">
        <v>374</v>
      </c>
      <c r="E933" s="90" t="s">
        <v>68</v>
      </c>
      <c r="F933" s="90" t="s">
        <v>375</v>
      </c>
      <c r="G933" s="90" t="s">
        <v>376</v>
      </c>
      <c r="H933" s="90">
        <v>0.59</v>
      </c>
      <c r="I933" s="90">
        <v>0.64</v>
      </c>
      <c r="J933" s="90" t="s">
        <v>381</v>
      </c>
      <c r="K933" s="90">
        <v>2.23426548641E-3</v>
      </c>
      <c r="L933" s="90">
        <v>3773.5392049614502</v>
      </c>
      <c r="M933" s="90">
        <v>11.594993325188099</v>
      </c>
      <c r="N933" s="90">
        <v>1.53082384235918</v>
      </c>
      <c r="O933" s="90">
        <v>2.5906293401639999E-2</v>
      </c>
      <c r="P933" s="90">
        <v>3.42026687676E-3</v>
      </c>
      <c r="Q933" s="90">
        <v>8.4310884072679606</v>
      </c>
      <c r="R933" s="90">
        <v>1400</v>
      </c>
      <c r="S933" s="90" t="s">
        <v>324</v>
      </c>
      <c r="T933" s="90">
        <v>1400</v>
      </c>
      <c r="U933" s="90" t="s">
        <v>382</v>
      </c>
      <c r="V933" s="90" t="s">
        <v>381</v>
      </c>
      <c r="Z933" s="90">
        <v>0</v>
      </c>
      <c r="AA933" s="90">
        <v>1</v>
      </c>
      <c r="AB933" s="90">
        <v>2.5906293401639999E-2</v>
      </c>
      <c r="AC933" s="90">
        <v>3.42026687676E-3</v>
      </c>
      <c r="AD933" s="90">
        <v>603.78540914011</v>
      </c>
      <c r="AF933" s="90">
        <v>-1</v>
      </c>
      <c r="AG933" s="90">
        <v>-1</v>
      </c>
      <c r="AH933" s="90">
        <v>-1</v>
      </c>
      <c r="AI933" s="90">
        <v>-1</v>
      </c>
      <c r="AJ933" s="90">
        <v>0</v>
      </c>
      <c r="AM933" s="90" t="s">
        <v>379</v>
      </c>
      <c r="AN933" s="90">
        <v>-1</v>
      </c>
      <c r="AQ933" s="90">
        <v>356</v>
      </c>
      <c r="AR933" s="90" t="s">
        <v>380</v>
      </c>
      <c r="AS933" s="90" t="s">
        <v>246</v>
      </c>
      <c r="AT933" s="90" t="s">
        <v>244</v>
      </c>
      <c r="AU933" s="90">
        <v>175.87190000000001</v>
      </c>
      <c r="AV933" s="90">
        <v>12.929726042172099</v>
      </c>
      <c r="AW933" s="90">
        <v>9.0417516330328596</v>
      </c>
      <c r="AX933" s="90">
        <v>0.48968808530000002</v>
      </c>
    </row>
    <row r="934" spans="1:50" x14ac:dyDescent="0.25">
      <c r="A934" s="102">
        <v>840000</v>
      </c>
      <c r="B934" s="102">
        <v>2400000</v>
      </c>
      <c r="C934" s="102">
        <v>2400000</v>
      </c>
      <c r="D934" s="90" t="s">
        <v>374</v>
      </c>
      <c r="E934" s="90" t="s">
        <v>68</v>
      </c>
      <c r="F934" s="90" t="s">
        <v>375</v>
      </c>
      <c r="G934" s="90" t="s">
        <v>376</v>
      </c>
      <c r="H934" s="90">
        <v>0.59</v>
      </c>
      <c r="I934" s="90">
        <v>0.64</v>
      </c>
      <c r="J934" s="90" t="s">
        <v>381</v>
      </c>
      <c r="K934" s="90">
        <v>3.8461127419999997E-5</v>
      </c>
      <c r="L934" s="90">
        <v>3773.5392049614502</v>
      </c>
      <c r="M934" s="90">
        <v>11.594993325188099</v>
      </c>
      <c r="N934" s="90">
        <v>1.53082384235918</v>
      </c>
      <c r="O934" s="90">
        <v>4.4595651579000002E-4</v>
      </c>
      <c r="P934" s="90">
        <v>5.8877210859999998E-5</v>
      </c>
      <c r="Q934" s="90">
        <v>0.14513457221279999</v>
      </c>
      <c r="R934" s="90">
        <v>1400</v>
      </c>
      <c r="S934" s="90" t="s">
        <v>324</v>
      </c>
      <c r="T934" s="90">
        <v>1400</v>
      </c>
      <c r="U934" s="90" t="s">
        <v>382</v>
      </c>
      <c r="V934" s="90" t="s">
        <v>381</v>
      </c>
      <c r="Z934" s="90">
        <v>0</v>
      </c>
      <c r="AA934" s="90">
        <v>1</v>
      </c>
      <c r="AB934" s="90">
        <v>4.4595651579000002E-4</v>
      </c>
      <c r="AC934" s="90">
        <v>5.8877210859999998E-5</v>
      </c>
      <c r="AD934" s="90">
        <v>603.78540914011</v>
      </c>
      <c r="AF934" s="90">
        <v>-1</v>
      </c>
      <c r="AG934" s="90">
        <v>-1</v>
      </c>
      <c r="AH934" s="90">
        <v>-1</v>
      </c>
      <c r="AI934" s="90">
        <v>-1</v>
      </c>
      <c r="AJ934" s="90">
        <v>0</v>
      </c>
      <c r="AM934" s="90" t="s">
        <v>379</v>
      </c>
      <c r="AN934" s="90">
        <v>-1</v>
      </c>
      <c r="AQ934" s="90">
        <v>356</v>
      </c>
      <c r="AR934" s="90" t="s">
        <v>380</v>
      </c>
      <c r="AS934" s="90" t="s">
        <v>246</v>
      </c>
      <c r="AT934" s="90" t="s">
        <v>244</v>
      </c>
      <c r="AU934" s="90">
        <v>175.87190000000001</v>
      </c>
      <c r="AV934" s="90">
        <v>2.2319902220880001</v>
      </c>
      <c r="AW934" s="90">
        <v>0.15564666053990001</v>
      </c>
      <c r="AX934" s="90">
        <v>0.48968808530000002</v>
      </c>
    </row>
    <row r="935" spans="1:50" x14ac:dyDescent="0.25">
      <c r="A935" s="102">
        <v>840000</v>
      </c>
      <c r="B935" s="102">
        <v>2400000</v>
      </c>
      <c r="C935" s="102">
        <v>2500000</v>
      </c>
      <c r="D935" s="90" t="s">
        <v>374</v>
      </c>
      <c r="E935" s="90" t="s">
        <v>68</v>
      </c>
      <c r="F935" s="90" t="s">
        <v>375</v>
      </c>
      <c r="G935" s="90" t="s">
        <v>376</v>
      </c>
      <c r="H935" s="90">
        <v>0.59</v>
      </c>
      <c r="I935" s="90">
        <v>0.64</v>
      </c>
      <c r="J935" s="90" t="s">
        <v>381</v>
      </c>
      <c r="K935" s="90">
        <v>1.61167246928E-3</v>
      </c>
      <c r="L935" s="90">
        <v>3773.5392045397298</v>
      </c>
      <c r="M935" s="90">
        <v>11.5949933238923</v>
      </c>
      <c r="N935" s="90">
        <v>1.5308238421881</v>
      </c>
      <c r="O935" s="90">
        <v>1.868733152167E-2</v>
      </c>
      <c r="P935" s="90">
        <v>2.4671866417799999E-3</v>
      </c>
      <c r="Q935" s="90">
        <v>6.0817092477280701</v>
      </c>
      <c r="R935" s="90">
        <v>1400</v>
      </c>
      <c r="S935" s="90" t="s">
        <v>324</v>
      </c>
      <c r="T935" s="90">
        <v>1400</v>
      </c>
      <c r="U935" s="90" t="s">
        <v>382</v>
      </c>
      <c r="V935" s="90" t="s">
        <v>381</v>
      </c>
      <c r="Z935" s="90">
        <v>0</v>
      </c>
      <c r="AA935" s="90">
        <v>1</v>
      </c>
      <c r="AB935" s="90">
        <v>1.868733152167E-2</v>
      </c>
      <c r="AC935" s="90">
        <v>2.4671866417799999E-3</v>
      </c>
      <c r="AD935" s="90">
        <v>1382.99573863351</v>
      </c>
      <c r="AF935" s="90">
        <v>-1</v>
      </c>
      <c r="AG935" s="90">
        <v>-1</v>
      </c>
      <c r="AH935" s="90">
        <v>-1</v>
      </c>
      <c r="AI935" s="90">
        <v>-1</v>
      </c>
      <c r="AJ935" s="90">
        <v>0</v>
      </c>
      <c r="AM935" s="90" t="s">
        <v>379</v>
      </c>
      <c r="AN935" s="90">
        <v>-1</v>
      </c>
      <c r="AQ935" s="90">
        <v>356</v>
      </c>
      <c r="AR935" s="90" t="s">
        <v>380</v>
      </c>
      <c r="AS935" s="90" t="s">
        <v>246</v>
      </c>
      <c r="AT935" s="90" t="s">
        <v>244</v>
      </c>
      <c r="AU935" s="90">
        <v>175.87190000000001</v>
      </c>
      <c r="AV935" s="90">
        <v>11.470666294288799</v>
      </c>
      <c r="AW935" s="90">
        <v>6.5222070831372498</v>
      </c>
      <c r="AX935" s="90">
        <v>1.1216510450999999</v>
      </c>
    </row>
    <row r="936" spans="1:50" x14ac:dyDescent="0.25">
      <c r="A936" s="102">
        <v>840000</v>
      </c>
      <c r="B936" s="102">
        <v>2400000</v>
      </c>
      <c r="C936" s="102">
        <v>2500000</v>
      </c>
      <c r="D936" s="90" t="s">
        <v>374</v>
      </c>
      <c r="E936" s="90" t="s">
        <v>68</v>
      </c>
      <c r="F936" s="90" t="s">
        <v>375</v>
      </c>
      <c r="G936" s="90" t="s">
        <v>376</v>
      </c>
      <c r="H936" s="90">
        <v>0.59</v>
      </c>
      <c r="I936" s="90">
        <v>0.64</v>
      </c>
      <c r="J936" s="90" t="s">
        <v>244</v>
      </c>
      <c r="K936" s="90">
        <v>2.3013823079799998E-3</v>
      </c>
      <c r="L936" s="90">
        <v>3755.9533178683901</v>
      </c>
      <c r="M936" s="90">
        <v>10.6608373855219</v>
      </c>
      <c r="N936" s="90">
        <v>1.4639972397383201</v>
      </c>
      <c r="O936" s="90">
        <v>2.4534662547320001E-2</v>
      </c>
      <c r="P936" s="90">
        <v>3.3692173464700001E-3</v>
      </c>
      <c r="Q936" s="90">
        <v>8.6438845153523705</v>
      </c>
      <c r="R936" s="90">
        <v>1400</v>
      </c>
      <c r="S936" s="90" t="s">
        <v>324</v>
      </c>
      <c r="T936" s="90">
        <v>1400</v>
      </c>
      <c r="U936" s="90" t="s">
        <v>378</v>
      </c>
      <c r="V936" s="90" t="s">
        <v>244</v>
      </c>
      <c r="Z936" s="90">
        <v>0</v>
      </c>
      <c r="AA936" s="90">
        <v>1</v>
      </c>
      <c r="AB936" s="90">
        <v>2.4534662547320001E-2</v>
      </c>
      <c r="AC936" s="90">
        <v>3.3692173464700001E-3</v>
      </c>
      <c r="AD936" s="90">
        <v>265.17371144785</v>
      </c>
      <c r="AF936" s="90">
        <v>-1</v>
      </c>
      <c r="AG936" s="90">
        <v>-1</v>
      </c>
      <c r="AH936" s="90">
        <v>-1</v>
      </c>
      <c r="AI936" s="90">
        <v>-1</v>
      </c>
      <c r="AJ936" s="90">
        <v>0</v>
      </c>
      <c r="AM936" s="90" t="s">
        <v>379</v>
      </c>
      <c r="AN936" s="90">
        <v>-1</v>
      </c>
      <c r="AQ936" s="90">
        <v>356</v>
      </c>
      <c r="AR936" s="90" t="s">
        <v>380</v>
      </c>
      <c r="AS936" s="90" t="s">
        <v>246</v>
      </c>
      <c r="AT936" s="90" t="s">
        <v>244</v>
      </c>
      <c r="AU936" s="90">
        <v>175.87190000000001</v>
      </c>
      <c r="AV936" s="90">
        <v>14.5793238808666</v>
      </c>
      <c r="AW936" s="90">
        <v>9.3133637734579207</v>
      </c>
      <c r="AX936" s="90">
        <v>0.2150638373</v>
      </c>
    </row>
    <row r="937" spans="1:50" x14ac:dyDescent="0.25">
      <c r="A937" s="102">
        <v>840000</v>
      </c>
      <c r="B937" s="102">
        <v>2400000</v>
      </c>
      <c r="C937" s="102">
        <v>2500000</v>
      </c>
      <c r="D937" s="90" t="s">
        <v>374</v>
      </c>
      <c r="E937" s="90" t="s">
        <v>68</v>
      </c>
      <c r="F937" s="90" t="s">
        <v>375</v>
      </c>
      <c r="G937" s="90" t="s">
        <v>376</v>
      </c>
      <c r="H937" s="90">
        <v>0.59</v>
      </c>
      <c r="I937" s="90">
        <v>0.64</v>
      </c>
      <c r="J937" s="90" t="s">
        <v>244</v>
      </c>
      <c r="K937" s="90">
        <v>2.476773696601E-2</v>
      </c>
      <c r="L937" s="90">
        <v>3755.9533178683901</v>
      </c>
      <c r="M937" s="90">
        <v>10.6608373855219</v>
      </c>
      <c r="N937" s="90">
        <v>1.4639972397383201</v>
      </c>
      <c r="O937" s="90">
        <v>0.26404481620202003</v>
      </c>
      <c r="P937" s="90">
        <v>3.6259898552799999E-2</v>
      </c>
      <c r="Q937" s="90">
        <v>93.026463833580706</v>
      </c>
      <c r="R937" s="90">
        <v>1410</v>
      </c>
      <c r="S937" s="90" t="s">
        <v>325</v>
      </c>
      <c r="T937" s="90">
        <v>1410</v>
      </c>
      <c r="U937" s="90" t="s">
        <v>378</v>
      </c>
      <c r="V937" s="90" t="s">
        <v>244</v>
      </c>
      <c r="Z937" s="90">
        <v>0</v>
      </c>
      <c r="AA937" s="90">
        <v>1</v>
      </c>
      <c r="AB937" s="90">
        <v>0.26404481620202003</v>
      </c>
      <c r="AC937" s="90">
        <v>3.6259898552799999E-2</v>
      </c>
      <c r="AD937" s="90">
        <v>1112.3133157715599</v>
      </c>
      <c r="AF937" s="90">
        <v>-1</v>
      </c>
      <c r="AG937" s="90">
        <v>-1</v>
      </c>
      <c r="AH937" s="90">
        <v>-1</v>
      </c>
      <c r="AI937" s="90">
        <v>-1</v>
      </c>
      <c r="AJ937" s="90">
        <v>0</v>
      </c>
      <c r="AM937" s="90" t="s">
        <v>379</v>
      </c>
      <c r="AN937" s="90">
        <v>-1</v>
      </c>
      <c r="AQ937" s="90">
        <v>356</v>
      </c>
      <c r="AR937" s="90" t="s">
        <v>380</v>
      </c>
      <c r="AS937" s="90" t="s">
        <v>246</v>
      </c>
      <c r="AT937" s="90" t="s">
        <v>244</v>
      </c>
      <c r="AU937" s="90">
        <v>175.87190000000001</v>
      </c>
      <c r="AV937" s="90">
        <v>93.258886653811302</v>
      </c>
      <c r="AW937" s="90">
        <v>100.231475409216</v>
      </c>
      <c r="AX937" s="90">
        <v>0.90211947749999999</v>
      </c>
    </row>
    <row r="938" spans="1:50" x14ac:dyDescent="0.25">
      <c r="A938" s="102">
        <v>840000</v>
      </c>
      <c r="B938" s="102">
        <v>2400000</v>
      </c>
      <c r="C938" s="102">
        <v>2500000</v>
      </c>
      <c r="D938" s="90" t="s">
        <v>374</v>
      </c>
      <c r="E938" s="90" t="s">
        <v>68</v>
      </c>
      <c r="F938" s="90" t="s">
        <v>375</v>
      </c>
      <c r="G938" s="90" t="s">
        <v>376</v>
      </c>
      <c r="H938" s="90">
        <v>0.59</v>
      </c>
      <c r="I938" s="90">
        <v>0.64</v>
      </c>
      <c r="J938" s="90" t="s">
        <v>244</v>
      </c>
      <c r="K938" s="90">
        <v>0.34560441250735002</v>
      </c>
      <c r="L938" s="90">
        <v>3780.52060040059</v>
      </c>
      <c r="M938" s="90">
        <v>11.558518110403501</v>
      </c>
      <c r="N938" s="90">
        <v>1.52967414833229</v>
      </c>
      <c r="O938" s="90">
        <v>3.9946748610016298</v>
      </c>
      <c r="P938" s="90">
        <v>0.52866213536206996</v>
      </c>
      <c r="Q938" s="90">
        <v>1306.5646010733999</v>
      </c>
      <c r="R938" s="90">
        <v>1410</v>
      </c>
      <c r="S938" s="90" t="s">
        <v>325</v>
      </c>
      <c r="T938" s="90">
        <v>1410</v>
      </c>
      <c r="U938" s="90" t="s">
        <v>378</v>
      </c>
      <c r="V938" s="90" t="s">
        <v>244</v>
      </c>
      <c r="Z938" s="90">
        <v>0</v>
      </c>
      <c r="AA938" s="90">
        <v>1</v>
      </c>
      <c r="AB938" s="90">
        <v>3.9946748610016298</v>
      </c>
      <c r="AC938" s="90">
        <v>0.52866213536206996</v>
      </c>
      <c r="AD938" s="90">
        <v>2274.0610253446498</v>
      </c>
      <c r="AF938" s="90">
        <v>-1</v>
      </c>
      <c r="AG938" s="90">
        <v>-1</v>
      </c>
      <c r="AH938" s="90">
        <v>-1</v>
      </c>
      <c r="AI938" s="90">
        <v>-1</v>
      </c>
      <c r="AJ938" s="90">
        <v>0</v>
      </c>
      <c r="AM938" s="90" t="s">
        <v>379</v>
      </c>
      <c r="AN938" s="90">
        <v>-1</v>
      </c>
      <c r="AQ938" s="90">
        <v>356</v>
      </c>
      <c r="AR938" s="90" t="s">
        <v>380</v>
      </c>
      <c r="AS938" s="90" t="s">
        <v>246</v>
      </c>
      <c r="AT938" s="90" t="s">
        <v>244</v>
      </c>
      <c r="AU938" s="90">
        <v>175.87190000000001</v>
      </c>
      <c r="AV938" s="90">
        <v>158.03811840496701</v>
      </c>
      <c r="AW938" s="90">
        <v>1398.61143636517</v>
      </c>
      <c r="AX938" s="90">
        <v>1.8443317318000001</v>
      </c>
    </row>
    <row r="939" spans="1:50" x14ac:dyDescent="0.25">
      <c r="A939" s="102">
        <v>840000</v>
      </c>
      <c r="B939" s="102">
        <v>2400000</v>
      </c>
      <c r="C939" s="102">
        <v>2500000</v>
      </c>
      <c r="D939" s="90" t="s">
        <v>374</v>
      </c>
      <c r="E939" s="90" t="s">
        <v>68</v>
      </c>
      <c r="F939" s="90" t="s">
        <v>375</v>
      </c>
      <c r="G939" s="90" t="s">
        <v>376</v>
      </c>
      <c r="H939" s="90">
        <v>0.59</v>
      </c>
      <c r="I939" s="90">
        <v>0.64</v>
      </c>
      <c r="J939" s="90" t="s">
        <v>244</v>
      </c>
      <c r="K939" s="90">
        <v>7.2688351864429998E-2</v>
      </c>
      <c r="L939" s="90">
        <v>3781.58062557526</v>
      </c>
      <c r="M939" s="90">
        <v>11.350942464772301</v>
      </c>
      <c r="N939" s="90">
        <v>1.4974528204359101</v>
      </c>
      <c r="O939" s="90">
        <v>0.82508129987231005</v>
      </c>
      <c r="P939" s="90">
        <v>0.10884737751223</v>
      </c>
      <c r="Q939" s="90">
        <v>274.87686311554103</v>
      </c>
      <c r="R939" s="90">
        <v>1400</v>
      </c>
      <c r="S939" s="90" t="s">
        <v>324</v>
      </c>
      <c r="T939" s="90">
        <v>1400</v>
      </c>
      <c r="U939" s="90" t="s">
        <v>378</v>
      </c>
      <c r="V939" s="90" t="s">
        <v>244</v>
      </c>
      <c r="Z939" s="90">
        <v>0</v>
      </c>
      <c r="AA939" s="90">
        <v>1</v>
      </c>
      <c r="AB939" s="90">
        <v>0.82508129987231005</v>
      </c>
      <c r="AC939" s="90">
        <v>0.10884737751223</v>
      </c>
      <c r="AD939" s="90">
        <v>287.78989085125198</v>
      </c>
      <c r="AF939" s="90">
        <v>-1</v>
      </c>
      <c r="AG939" s="90">
        <v>-1</v>
      </c>
      <c r="AH939" s="90">
        <v>-1</v>
      </c>
      <c r="AI939" s="90">
        <v>-1</v>
      </c>
      <c r="AJ939" s="90">
        <v>0</v>
      </c>
      <c r="AM939" s="90" t="s">
        <v>379</v>
      </c>
      <c r="AN939" s="90">
        <v>-1</v>
      </c>
      <c r="AQ939" s="90">
        <v>356</v>
      </c>
      <c r="AR939" s="90" t="s">
        <v>380</v>
      </c>
      <c r="AS939" s="90" t="s">
        <v>246</v>
      </c>
      <c r="AT939" s="90" t="s">
        <v>244</v>
      </c>
      <c r="AU939" s="90">
        <v>175.87190000000001</v>
      </c>
      <c r="AV939" s="90">
        <v>93.7730908546949</v>
      </c>
      <c r="AW939" s="90">
        <v>294.15932357625701</v>
      </c>
      <c r="AX939" s="90">
        <v>0.2334062375</v>
      </c>
    </row>
    <row r="940" spans="1:50" x14ac:dyDescent="0.25">
      <c r="A940" s="102">
        <v>840000</v>
      </c>
      <c r="B940" s="102">
        <v>2400000</v>
      </c>
      <c r="C940" s="102">
        <v>2500000</v>
      </c>
      <c r="D940" s="90" t="s">
        <v>374</v>
      </c>
      <c r="E940" s="90" t="s">
        <v>68</v>
      </c>
      <c r="F940" s="90" t="s">
        <v>375</v>
      </c>
      <c r="G940" s="90" t="s">
        <v>376</v>
      </c>
      <c r="H940" s="90">
        <v>0.59</v>
      </c>
      <c r="I940" s="90">
        <v>0.64</v>
      </c>
      <c r="J940" s="90" t="s">
        <v>381</v>
      </c>
      <c r="K940" s="90">
        <v>6.7169075508899997E-3</v>
      </c>
      <c r="L940" s="90">
        <v>3781.58062557526</v>
      </c>
      <c r="M940" s="90">
        <v>11.350942464772301</v>
      </c>
      <c r="N940" s="90">
        <v>1.4974528204359101</v>
      </c>
      <c r="O940" s="90">
        <v>7.624323115145E-2</v>
      </c>
      <c r="P940" s="90">
        <v>1.00582521567E-2</v>
      </c>
      <c r="Q940" s="90">
        <v>25.400527458259798</v>
      </c>
      <c r="R940" s="90">
        <v>1400</v>
      </c>
      <c r="S940" s="90" t="s">
        <v>324</v>
      </c>
      <c r="T940" s="90">
        <v>1400</v>
      </c>
      <c r="U940" s="90" t="s">
        <v>382</v>
      </c>
      <c r="V940" s="90" t="s">
        <v>381</v>
      </c>
      <c r="Z940" s="90">
        <v>0</v>
      </c>
      <c r="AA940" s="90">
        <v>1</v>
      </c>
      <c r="AB940" s="90">
        <v>7.624323115145E-2</v>
      </c>
      <c r="AC940" s="90">
        <v>1.00582521567E-2</v>
      </c>
      <c r="AD940" s="90">
        <v>275.17529655226099</v>
      </c>
      <c r="AF940" s="90">
        <v>-1</v>
      </c>
      <c r="AG940" s="90">
        <v>-1</v>
      </c>
      <c r="AH940" s="90">
        <v>-1</v>
      </c>
      <c r="AI940" s="90">
        <v>-1</v>
      </c>
      <c r="AJ940" s="90">
        <v>0</v>
      </c>
      <c r="AM940" s="90" t="s">
        <v>379</v>
      </c>
      <c r="AN940" s="90">
        <v>-1</v>
      </c>
      <c r="AQ940" s="90">
        <v>356</v>
      </c>
      <c r="AR940" s="90" t="s">
        <v>380</v>
      </c>
      <c r="AS940" s="90" t="s">
        <v>246</v>
      </c>
      <c r="AT940" s="90" t="s">
        <v>244</v>
      </c>
      <c r="AU940" s="90">
        <v>175.87190000000001</v>
      </c>
      <c r="AV940" s="90">
        <v>21.1404890097348</v>
      </c>
      <c r="AW940" s="90">
        <v>27.182360461020998</v>
      </c>
      <c r="AX940" s="90">
        <v>0.22317542300000001</v>
      </c>
    </row>
    <row r="941" spans="1:50" x14ac:dyDescent="0.25">
      <c r="A941" s="102">
        <v>840000</v>
      </c>
      <c r="B941" s="102">
        <v>2400000</v>
      </c>
      <c r="C941" s="102">
        <v>2500000</v>
      </c>
      <c r="D941" s="90" t="s">
        <v>374</v>
      </c>
      <c r="E941" s="90" t="s">
        <v>68</v>
      </c>
      <c r="F941" s="90" t="s">
        <v>375</v>
      </c>
      <c r="G941" s="90" t="s">
        <v>376</v>
      </c>
      <c r="H941" s="90">
        <v>0.59</v>
      </c>
      <c r="I941" s="90">
        <v>0.64</v>
      </c>
      <c r="J941" s="90" t="s">
        <v>381</v>
      </c>
      <c r="K941" s="90">
        <v>4.8615917457900002E-3</v>
      </c>
      <c r="L941" s="90">
        <v>3781.58062557526</v>
      </c>
      <c r="M941" s="90">
        <v>11.350942464772301</v>
      </c>
      <c r="N941" s="90">
        <v>1.4974528204359101</v>
      </c>
      <c r="O941" s="90">
        <v>5.518364819372E-2</v>
      </c>
      <c r="P941" s="90">
        <v>7.2800042715400002E-3</v>
      </c>
      <c r="Q941" s="90">
        <v>18.384501155351099</v>
      </c>
      <c r="R941" s="90">
        <v>8140</v>
      </c>
      <c r="S941" s="90" t="s">
        <v>386</v>
      </c>
      <c r="T941" s="90">
        <v>8140</v>
      </c>
      <c r="U941" s="90" t="s">
        <v>382</v>
      </c>
      <c r="V941" s="90" t="s">
        <v>381</v>
      </c>
      <c r="Z941" s="90">
        <v>0</v>
      </c>
      <c r="AA941" s="90">
        <v>1</v>
      </c>
      <c r="AB941" s="90">
        <v>5.518364819372E-2</v>
      </c>
      <c r="AC941" s="90">
        <v>7.2800042715400002E-3</v>
      </c>
      <c r="AD941" s="90">
        <v>220.455815540039</v>
      </c>
      <c r="AF941" s="90">
        <v>-1</v>
      </c>
      <c r="AG941" s="90">
        <v>-1</v>
      </c>
      <c r="AH941" s="90">
        <v>-1</v>
      </c>
      <c r="AI941" s="90">
        <v>-1</v>
      </c>
      <c r="AJ941" s="90">
        <v>0</v>
      </c>
      <c r="AM941" s="90" t="s">
        <v>379</v>
      </c>
      <c r="AN941" s="90">
        <v>-1</v>
      </c>
      <c r="AQ941" s="90">
        <v>356</v>
      </c>
      <c r="AR941" s="90" t="s">
        <v>380</v>
      </c>
      <c r="AS941" s="90" t="s">
        <v>246</v>
      </c>
      <c r="AT941" s="90" t="s">
        <v>244</v>
      </c>
      <c r="AU941" s="90">
        <v>175.87190000000001</v>
      </c>
      <c r="AV941" s="90">
        <v>18.065989823471401</v>
      </c>
      <c r="AW941" s="90">
        <v>19.674163779554799</v>
      </c>
      <c r="AX941" s="90">
        <v>0.17879628189999999</v>
      </c>
    </row>
    <row r="942" spans="1:50" x14ac:dyDescent="0.25">
      <c r="A942" s="102">
        <v>840000</v>
      </c>
      <c r="B942" s="102">
        <v>2400000</v>
      </c>
      <c r="C942" s="102">
        <v>2500000</v>
      </c>
      <c r="D942" s="90" t="s">
        <v>374</v>
      </c>
      <c r="E942" s="90" t="s">
        <v>68</v>
      </c>
      <c r="F942" s="90" t="s">
        <v>375</v>
      </c>
      <c r="G942" s="90" t="s">
        <v>376</v>
      </c>
      <c r="H942" s="90">
        <v>0.59</v>
      </c>
      <c r="I942" s="90">
        <v>0.64</v>
      </c>
      <c r="J942" s="90" t="s">
        <v>244</v>
      </c>
      <c r="K942" s="90">
        <v>0.26127129688949002</v>
      </c>
      <c r="L942" s="90">
        <v>3781.58062557526</v>
      </c>
      <c r="M942" s="90">
        <v>11.350942464772301</v>
      </c>
      <c r="N942" s="90">
        <v>1.4974528204359101</v>
      </c>
      <c r="O942" s="90">
        <v>2.9656754586890601</v>
      </c>
      <c r="P942" s="90">
        <v>0.39124144042610998</v>
      </c>
      <c r="Q942" s="90">
        <v>988.01847433622095</v>
      </c>
      <c r="R942" s="90">
        <v>1450</v>
      </c>
      <c r="S942" s="90" t="s">
        <v>391</v>
      </c>
      <c r="T942" s="90">
        <v>1450</v>
      </c>
      <c r="U942" s="90" t="s">
        <v>378</v>
      </c>
      <c r="V942" s="90" t="s">
        <v>244</v>
      </c>
      <c r="Z942" s="90">
        <v>0</v>
      </c>
      <c r="AA942" s="90">
        <v>1</v>
      </c>
      <c r="AB942" s="90">
        <v>2.9656754586890601</v>
      </c>
      <c r="AC942" s="90">
        <v>0.39124144042610998</v>
      </c>
      <c r="AD942" s="90">
        <v>1552.70130498359</v>
      </c>
      <c r="AF942" s="90">
        <v>-1</v>
      </c>
      <c r="AG942" s="90">
        <v>-1</v>
      </c>
      <c r="AH942" s="90">
        <v>-1</v>
      </c>
      <c r="AI942" s="90">
        <v>-1</v>
      </c>
      <c r="AJ942" s="90">
        <v>0</v>
      </c>
      <c r="AM942" s="90" t="s">
        <v>379</v>
      </c>
      <c r="AN942" s="90">
        <v>-1</v>
      </c>
      <c r="AQ942" s="90">
        <v>356</v>
      </c>
      <c r="AR942" s="90" t="s">
        <v>380</v>
      </c>
      <c r="AS942" s="90" t="s">
        <v>246</v>
      </c>
      <c r="AT942" s="90" t="s">
        <v>244</v>
      </c>
      <c r="AU942" s="90">
        <v>175.87190000000001</v>
      </c>
      <c r="AV942" s="90">
        <v>140.29832468844799</v>
      </c>
      <c r="AW942" s="90">
        <v>1057.3274258060101</v>
      </c>
      <c r="AX942" s="90">
        <v>1.2592873520000001</v>
      </c>
    </row>
    <row r="943" spans="1:50" x14ac:dyDescent="0.25">
      <c r="A943" s="102">
        <v>840000</v>
      </c>
      <c r="B943" s="102">
        <v>2400000</v>
      </c>
      <c r="C943" s="102">
        <v>2500000</v>
      </c>
      <c r="D943" s="90" t="s">
        <v>374</v>
      </c>
      <c r="E943" s="90" t="s">
        <v>68</v>
      </c>
      <c r="F943" s="90" t="s">
        <v>375</v>
      </c>
      <c r="G943" s="90" t="s">
        <v>376</v>
      </c>
      <c r="H943" s="90">
        <v>0.59</v>
      </c>
      <c r="I943" s="90">
        <v>0.64</v>
      </c>
      <c r="J943" s="90" t="s">
        <v>244</v>
      </c>
      <c r="K943" s="90">
        <v>2.2727705124400002E-2</v>
      </c>
      <c r="L943" s="90">
        <v>3772.23717431368</v>
      </c>
      <c r="M943" s="90">
        <v>11.535326158682301</v>
      </c>
      <c r="N943" s="90">
        <v>1.57186229106693</v>
      </c>
      <c r="O943" s="90">
        <v>0.26217149144840002</v>
      </c>
      <c r="P943" s="90">
        <v>3.5724822647539997E-2</v>
      </c>
      <c r="Q943" s="90">
        <v>85.734294157131302</v>
      </c>
      <c r="R943" s="90">
        <v>1300</v>
      </c>
      <c r="S943" s="90" t="s">
        <v>387</v>
      </c>
      <c r="T943" s="90">
        <v>1300</v>
      </c>
      <c r="U943" s="90" t="s">
        <v>378</v>
      </c>
      <c r="V943" s="90" t="s">
        <v>244</v>
      </c>
      <c r="Z943" s="90">
        <v>0</v>
      </c>
      <c r="AA943" s="90">
        <v>1</v>
      </c>
      <c r="AB943" s="90">
        <v>0.26217149144840002</v>
      </c>
      <c r="AC943" s="90">
        <v>3.5724822647539997E-2</v>
      </c>
      <c r="AD943" s="90">
        <v>85.734294157133206</v>
      </c>
      <c r="AF943" s="90">
        <v>-1</v>
      </c>
      <c r="AG943" s="90">
        <v>-1</v>
      </c>
      <c r="AH943" s="90">
        <v>-1</v>
      </c>
      <c r="AI943" s="90">
        <v>-1</v>
      </c>
      <c r="AJ943" s="90">
        <v>0</v>
      </c>
      <c r="AM943" s="90" t="s">
        <v>379</v>
      </c>
      <c r="AN943" s="90">
        <v>-1</v>
      </c>
      <c r="AQ943" s="90">
        <v>356</v>
      </c>
      <c r="AR943" s="90" t="s">
        <v>380</v>
      </c>
      <c r="AS943" s="90" t="s">
        <v>246</v>
      </c>
      <c r="AT943" s="90" t="s">
        <v>244</v>
      </c>
      <c r="AU943" s="90">
        <v>175.87190000000001</v>
      </c>
      <c r="AV943" s="90">
        <v>75.890561544973295</v>
      </c>
      <c r="AW943" s="90">
        <v>91.975759449125704</v>
      </c>
      <c r="AX943" s="90">
        <v>6.9533085300000005E-2</v>
      </c>
    </row>
    <row r="944" spans="1:50" x14ac:dyDescent="0.25">
      <c r="A944" s="102">
        <v>840000</v>
      </c>
      <c r="B944" s="102">
        <v>2400000</v>
      </c>
      <c r="C944" s="102">
        <v>2500000</v>
      </c>
      <c r="D944" s="90" t="s">
        <v>374</v>
      </c>
      <c r="E944" s="90" t="s">
        <v>68</v>
      </c>
      <c r="F944" s="90" t="s">
        <v>375</v>
      </c>
      <c r="G944" s="90" t="s">
        <v>376</v>
      </c>
      <c r="H944" s="90">
        <v>0.59</v>
      </c>
      <c r="I944" s="90">
        <v>0.64</v>
      </c>
      <c r="J944" s="90" t="s">
        <v>381</v>
      </c>
      <c r="K944" s="90">
        <v>3.4371567940200002E-3</v>
      </c>
      <c r="L944" s="90">
        <v>3772.23717431368</v>
      </c>
      <c r="M944" s="90">
        <v>11.535326158682301</v>
      </c>
      <c r="N944" s="90">
        <v>1.57186229106693</v>
      </c>
      <c r="O944" s="90">
        <v>3.9648724677570003E-2</v>
      </c>
      <c r="P944" s="90">
        <v>5.4027371530000002E-3</v>
      </c>
      <c r="Q944" s="90">
        <v>12.9657706323546</v>
      </c>
      <c r="R944" s="90">
        <v>1300</v>
      </c>
      <c r="S944" s="90" t="s">
        <v>387</v>
      </c>
      <c r="T944" s="90">
        <v>1300</v>
      </c>
      <c r="U944" s="90" t="s">
        <v>382</v>
      </c>
      <c r="V944" s="90" t="s">
        <v>381</v>
      </c>
      <c r="Z944" s="90">
        <v>0</v>
      </c>
      <c r="AA944" s="90">
        <v>1</v>
      </c>
      <c r="AB944" s="90">
        <v>3.9648724677570003E-2</v>
      </c>
      <c r="AC944" s="90">
        <v>5.4027371530000002E-3</v>
      </c>
      <c r="AD944" s="90">
        <v>12.965770632353999</v>
      </c>
      <c r="AF944" s="90">
        <v>-1</v>
      </c>
      <c r="AG944" s="90">
        <v>-1</v>
      </c>
      <c r="AH944" s="90">
        <v>-1</v>
      </c>
      <c r="AI944" s="90">
        <v>-1</v>
      </c>
      <c r="AJ944" s="90">
        <v>0</v>
      </c>
      <c r="AM944" s="90" t="s">
        <v>379</v>
      </c>
      <c r="AN944" s="90">
        <v>-1</v>
      </c>
      <c r="AQ944" s="90">
        <v>356</v>
      </c>
      <c r="AR944" s="90" t="s">
        <v>380</v>
      </c>
      <c r="AS944" s="90" t="s">
        <v>246</v>
      </c>
      <c r="AT944" s="90" t="s">
        <v>244</v>
      </c>
      <c r="AU944" s="90">
        <v>175.87190000000001</v>
      </c>
      <c r="AV944" s="90">
        <v>17.768443834327599</v>
      </c>
      <c r="AW944" s="90">
        <v>13.9096800466831</v>
      </c>
      <c r="AX944" s="90">
        <v>1.05156291E-2</v>
      </c>
    </row>
    <row r="945" spans="1:50" x14ac:dyDescent="0.25">
      <c r="A945" s="102">
        <v>840000</v>
      </c>
      <c r="B945" s="102">
        <v>2400000</v>
      </c>
      <c r="C945" s="102">
        <v>2500000</v>
      </c>
      <c r="D945" s="90" t="s">
        <v>374</v>
      </c>
      <c r="E945" s="90" t="s">
        <v>68</v>
      </c>
      <c r="F945" s="90" t="s">
        <v>375</v>
      </c>
      <c r="G945" s="90" t="s">
        <v>376</v>
      </c>
      <c r="H945" s="90">
        <v>0.59</v>
      </c>
      <c r="I945" s="90">
        <v>0.64</v>
      </c>
      <c r="J945" s="90" t="s">
        <v>244</v>
      </c>
      <c r="K945" s="90">
        <v>5.0218117390859997E-2</v>
      </c>
      <c r="L945" s="90">
        <v>3772.23717431368</v>
      </c>
      <c r="M945" s="90">
        <v>11.535326158682301</v>
      </c>
      <c r="N945" s="90">
        <v>1.57186229106693</v>
      </c>
      <c r="O945" s="90">
        <v>0.57928236317859005</v>
      </c>
      <c r="P945" s="90">
        <v>7.8935965055059995E-2</v>
      </c>
      <c r="Q945" s="90">
        <v>189.434649245857</v>
      </c>
      <c r="R945" s="90">
        <v>1400</v>
      </c>
      <c r="S945" s="90" t="s">
        <v>324</v>
      </c>
      <c r="T945" s="90">
        <v>1400</v>
      </c>
      <c r="U945" s="90" t="s">
        <v>378</v>
      </c>
      <c r="V945" s="90" t="s">
        <v>244</v>
      </c>
      <c r="Z945" s="90">
        <v>0</v>
      </c>
      <c r="AA945" s="90">
        <v>1</v>
      </c>
      <c r="AB945" s="90">
        <v>0.57928236317859005</v>
      </c>
      <c r="AC945" s="90">
        <v>7.8935965055059995E-2</v>
      </c>
      <c r="AD945" s="90">
        <v>1763.70129821047</v>
      </c>
      <c r="AF945" s="90">
        <v>-1</v>
      </c>
      <c r="AG945" s="90">
        <v>-1</v>
      </c>
      <c r="AH945" s="90">
        <v>-1</v>
      </c>
      <c r="AI945" s="90">
        <v>-1</v>
      </c>
      <c r="AJ945" s="90">
        <v>0</v>
      </c>
      <c r="AM945" s="90" t="s">
        <v>379</v>
      </c>
      <c r="AN945" s="90">
        <v>-1</v>
      </c>
      <c r="AQ945" s="90">
        <v>356</v>
      </c>
      <c r="AR945" s="90" t="s">
        <v>380</v>
      </c>
      <c r="AS945" s="90" t="s">
        <v>246</v>
      </c>
      <c r="AT945" s="90" t="s">
        <v>244</v>
      </c>
      <c r="AU945" s="90">
        <v>175.87190000000001</v>
      </c>
      <c r="AV945" s="90">
        <v>83.938930909556305</v>
      </c>
      <c r="AW945" s="90">
        <v>203.225510884047</v>
      </c>
      <c r="AX945" s="90">
        <v>1.4304146782</v>
      </c>
    </row>
    <row r="946" spans="1:50" x14ac:dyDescent="0.25">
      <c r="A946" s="102">
        <v>840000</v>
      </c>
      <c r="B946" s="102">
        <v>2400000</v>
      </c>
      <c r="C946" s="102">
        <v>2500000</v>
      </c>
      <c r="D946" s="90" t="s">
        <v>374</v>
      </c>
      <c r="E946" s="90" t="s">
        <v>68</v>
      </c>
      <c r="F946" s="90" t="s">
        <v>375</v>
      </c>
      <c r="G946" s="90" t="s">
        <v>376</v>
      </c>
      <c r="H946" s="90">
        <v>0.59</v>
      </c>
      <c r="I946" s="90">
        <v>0.64</v>
      </c>
      <c r="J946" s="90" t="s">
        <v>381</v>
      </c>
      <c r="K946" s="90">
        <v>1.555852652279E-2</v>
      </c>
      <c r="L946" s="90">
        <v>3772.23717431368</v>
      </c>
      <c r="M946" s="90">
        <v>11.535326158682301</v>
      </c>
      <c r="N946" s="90">
        <v>1.57186229106693</v>
      </c>
      <c r="O946" s="90">
        <v>0.17947267798891001</v>
      </c>
      <c r="P946" s="90">
        <v>2.4455861145739999E-2</v>
      </c>
      <c r="Q946" s="90">
        <v>58.690452126821299</v>
      </c>
      <c r="R946" s="90">
        <v>1400</v>
      </c>
      <c r="S946" s="90" t="s">
        <v>324</v>
      </c>
      <c r="T946" s="90">
        <v>1400</v>
      </c>
      <c r="U946" s="90" t="s">
        <v>382</v>
      </c>
      <c r="V946" s="90" t="s">
        <v>381</v>
      </c>
      <c r="Z946" s="90">
        <v>0</v>
      </c>
      <c r="AA946" s="90">
        <v>1</v>
      </c>
      <c r="AB946" s="90">
        <v>0.17947267798891001</v>
      </c>
      <c r="AC946" s="90">
        <v>2.4455861145739999E-2</v>
      </c>
      <c r="AD946" s="90">
        <v>270.308179827164</v>
      </c>
      <c r="AF946" s="90">
        <v>-1</v>
      </c>
      <c r="AG946" s="90">
        <v>-1</v>
      </c>
      <c r="AH946" s="90">
        <v>-1</v>
      </c>
      <c r="AI946" s="90">
        <v>-1</v>
      </c>
      <c r="AJ946" s="90">
        <v>0</v>
      </c>
      <c r="AM946" s="90" t="s">
        <v>379</v>
      </c>
      <c r="AN946" s="90">
        <v>-1</v>
      </c>
      <c r="AQ946" s="90">
        <v>356</v>
      </c>
      <c r="AR946" s="90" t="s">
        <v>380</v>
      </c>
      <c r="AS946" s="90" t="s">
        <v>246</v>
      </c>
      <c r="AT946" s="90" t="s">
        <v>244</v>
      </c>
      <c r="AU946" s="90">
        <v>175.87190000000001</v>
      </c>
      <c r="AV946" s="90">
        <v>38.718837337598401</v>
      </c>
      <c r="AW946" s="90">
        <v>62.963122981839902</v>
      </c>
      <c r="AX946" s="90">
        <v>0.21922804530000001</v>
      </c>
    </row>
    <row r="947" spans="1:50" x14ac:dyDescent="0.25">
      <c r="A947" s="102">
        <v>840000</v>
      </c>
      <c r="B947" s="102">
        <v>2400000</v>
      </c>
      <c r="C947" s="102">
        <v>2500000</v>
      </c>
      <c r="D947" s="90" t="s">
        <v>374</v>
      </c>
      <c r="E947" s="90" t="s">
        <v>68</v>
      </c>
      <c r="F947" s="90" t="s">
        <v>375</v>
      </c>
      <c r="G947" s="90" t="s">
        <v>376</v>
      </c>
      <c r="H947" s="90">
        <v>0.59</v>
      </c>
      <c r="I947" s="90">
        <v>0.64</v>
      </c>
      <c r="J947" s="90" t="s">
        <v>244</v>
      </c>
      <c r="K947" s="90">
        <v>2.6446817695600002E-3</v>
      </c>
      <c r="L947" s="90">
        <v>3772.23717431368</v>
      </c>
      <c r="M947" s="90">
        <v>11.535326158682301</v>
      </c>
      <c r="N947" s="90">
        <v>1.57186229106693</v>
      </c>
      <c r="O947" s="90">
        <v>3.0507266797830002E-2</v>
      </c>
      <c r="P947" s="90">
        <v>4.1570755454400001E-3</v>
      </c>
      <c r="Q947" s="90">
        <v>9.9763668853752296</v>
      </c>
      <c r="R947" s="90">
        <v>1300</v>
      </c>
      <c r="S947" s="90" t="s">
        <v>387</v>
      </c>
      <c r="T947" s="90">
        <v>1300</v>
      </c>
      <c r="U947" s="90" t="s">
        <v>378</v>
      </c>
      <c r="V947" s="90" t="s">
        <v>244</v>
      </c>
      <c r="Z947" s="90">
        <v>0</v>
      </c>
      <c r="AA947" s="90">
        <v>1</v>
      </c>
      <c r="AB947" s="90">
        <v>3.0507266797830002E-2</v>
      </c>
      <c r="AC947" s="90">
        <v>4.1570755454400001E-3</v>
      </c>
      <c r="AD947" s="90">
        <v>75.638176399470396</v>
      </c>
      <c r="AF947" s="90">
        <v>-1</v>
      </c>
      <c r="AG947" s="90">
        <v>-1</v>
      </c>
      <c r="AH947" s="90">
        <v>-1</v>
      </c>
      <c r="AI947" s="90">
        <v>-1</v>
      </c>
      <c r="AJ947" s="90">
        <v>0</v>
      </c>
      <c r="AM947" s="90" t="s">
        <v>379</v>
      </c>
      <c r="AN947" s="90">
        <v>-1</v>
      </c>
      <c r="AQ947" s="90">
        <v>356</v>
      </c>
      <c r="AR947" s="90" t="s">
        <v>380</v>
      </c>
      <c r="AS947" s="90" t="s">
        <v>246</v>
      </c>
      <c r="AT947" s="90" t="s">
        <v>244</v>
      </c>
      <c r="AU947" s="90">
        <v>175.87190000000001</v>
      </c>
      <c r="AV947" s="90">
        <v>14.822544292559501</v>
      </c>
      <c r="AW947" s="90">
        <v>10.702647404358901</v>
      </c>
      <c r="AX947" s="90">
        <v>6.13448308E-2</v>
      </c>
    </row>
    <row r="948" spans="1:50" x14ac:dyDescent="0.25">
      <c r="A948" s="102">
        <v>840000</v>
      </c>
      <c r="B948" s="102">
        <v>2400000</v>
      </c>
      <c r="C948" s="102">
        <v>2500000</v>
      </c>
      <c r="D948" s="90" t="s">
        <v>374</v>
      </c>
      <c r="E948" s="90" t="s">
        <v>68</v>
      </c>
      <c r="F948" s="90" t="s">
        <v>375</v>
      </c>
      <c r="G948" s="90" t="s">
        <v>376</v>
      </c>
      <c r="H948" s="90">
        <v>0.59</v>
      </c>
      <c r="I948" s="90">
        <v>0.64</v>
      </c>
      <c r="J948" s="90" t="s">
        <v>244</v>
      </c>
      <c r="K948" s="90">
        <v>1.517528319903E-2</v>
      </c>
      <c r="L948" s="90">
        <v>3643.8667555897</v>
      </c>
      <c r="M948" s="90">
        <v>10.257181101883599</v>
      </c>
      <c r="N948" s="90">
        <v>1.4163915456398199</v>
      </c>
      <c r="O948" s="90">
        <v>0.15565562804488001</v>
      </c>
      <c r="P948" s="90">
        <v>2.1494142825799999E-2</v>
      </c>
      <c r="Q948" s="90">
        <v>55.296709955626199</v>
      </c>
      <c r="R948" s="90">
        <v>1410</v>
      </c>
      <c r="S948" s="90" t="s">
        <v>325</v>
      </c>
      <c r="T948" s="90">
        <v>1410</v>
      </c>
      <c r="U948" s="90" t="s">
        <v>378</v>
      </c>
      <c r="V948" s="90" t="s">
        <v>244</v>
      </c>
      <c r="Z948" s="90">
        <v>0</v>
      </c>
      <c r="AA948" s="90">
        <v>1</v>
      </c>
      <c r="AB948" s="90">
        <v>0.15565562804488001</v>
      </c>
      <c r="AC948" s="90">
        <v>2.1494142825799999E-2</v>
      </c>
      <c r="AD948" s="90">
        <v>1167.9600242965601</v>
      </c>
      <c r="AF948" s="90">
        <v>-1</v>
      </c>
      <c r="AG948" s="90">
        <v>-1</v>
      </c>
      <c r="AH948" s="90">
        <v>-1</v>
      </c>
      <c r="AI948" s="90">
        <v>-1</v>
      </c>
      <c r="AJ948" s="90">
        <v>0</v>
      </c>
      <c r="AM948" s="90" t="s">
        <v>379</v>
      </c>
      <c r="AN948" s="90">
        <v>-1</v>
      </c>
      <c r="AQ948" s="90">
        <v>356</v>
      </c>
      <c r="AR948" s="90" t="s">
        <v>380</v>
      </c>
      <c r="AS948" s="90" t="s">
        <v>246</v>
      </c>
      <c r="AT948" s="90" t="s">
        <v>244</v>
      </c>
      <c r="AU948" s="90">
        <v>175.87190000000001</v>
      </c>
      <c r="AV948" s="90">
        <v>46.5834242129567</v>
      </c>
      <c r="AW948" s="90">
        <v>61.412192275757398</v>
      </c>
      <c r="AX948" s="90">
        <v>0.94725062800000004</v>
      </c>
    </row>
    <row r="949" spans="1:50" x14ac:dyDescent="0.25">
      <c r="A949" s="102">
        <v>840000</v>
      </c>
      <c r="B949" s="102">
        <v>2500000</v>
      </c>
      <c r="C949" s="102">
        <v>2500000</v>
      </c>
      <c r="D949" s="90" t="s">
        <v>374</v>
      </c>
      <c r="E949" s="90" t="s">
        <v>68</v>
      </c>
      <c r="F949" s="90" t="s">
        <v>375</v>
      </c>
      <c r="G949" s="90" t="s">
        <v>376</v>
      </c>
      <c r="H949" s="90">
        <v>0.59</v>
      </c>
      <c r="I949" s="90">
        <v>0.64</v>
      </c>
      <c r="J949" s="90" t="s">
        <v>244</v>
      </c>
      <c r="K949" s="90">
        <v>0.11062643771373</v>
      </c>
      <c r="L949" s="90">
        <v>3783.1290786606401</v>
      </c>
      <c r="M949" s="90">
        <v>11.6234353517301</v>
      </c>
      <c r="N949" s="90">
        <v>1.5345890382112199</v>
      </c>
      <c r="O949" s="90">
        <v>1.2858592469577801</v>
      </c>
      <c r="P949" s="90">
        <v>0.16976611865185001</v>
      </c>
      <c r="Q949" s="90">
        <v>418.51409338346298</v>
      </c>
      <c r="R949" s="90">
        <v>1400</v>
      </c>
      <c r="S949" s="90" t="s">
        <v>324</v>
      </c>
      <c r="T949" s="90">
        <v>1400</v>
      </c>
      <c r="U949" s="90" t="s">
        <v>378</v>
      </c>
      <c r="V949" s="90" t="s">
        <v>244</v>
      </c>
      <c r="Z949" s="90">
        <v>0</v>
      </c>
      <c r="AA949" s="90">
        <v>1</v>
      </c>
      <c r="AB949" s="90">
        <v>1.2858592469577801</v>
      </c>
      <c r="AC949" s="90">
        <v>0.16976611865185001</v>
      </c>
      <c r="AD949" s="90">
        <v>418.51409338346298</v>
      </c>
      <c r="AF949" s="90">
        <v>-1</v>
      </c>
      <c r="AG949" s="90">
        <v>-1</v>
      </c>
      <c r="AH949" s="90">
        <v>-1</v>
      </c>
      <c r="AI949" s="90">
        <v>-1</v>
      </c>
      <c r="AJ949" s="90">
        <v>0</v>
      </c>
      <c r="AM949" s="90" t="s">
        <v>379</v>
      </c>
      <c r="AN949" s="90">
        <v>-1</v>
      </c>
      <c r="AQ949" s="90">
        <v>356</v>
      </c>
      <c r="AR949" s="90" t="s">
        <v>380</v>
      </c>
      <c r="AS949" s="90" t="s">
        <v>246</v>
      </c>
      <c r="AT949" s="90" t="s">
        <v>244</v>
      </c>
      <c r="AU949" s="90">
        <v>175.87190000000001</v>
      </c>
      <c r="AV949" s="90">
        <v>117.933873565497</v>
      </c>
      <c r="AW949" s="90">
        <v>447.68930994905497</v>
      </c>
      <c r="AX949" s="90">
        <v>0.33942748859999999</v>
      </c>
    </row>
    <row r="950" spans="1:50" x14ac:dyDescent="0.25">
      <c r="A950" s="102">
        <v>840000</v>
      </c>
      <c r="B950" s="102">
        <v>2500000</v>
      </c>
      <c r="C950" s="102">
        <v>2500000</v>
      </c>
      <c r="D950" s="90" t="s">
        <v>374</v>
      </c>
      <c r="E950" s="90" t="s">
        <v>68</v>
      </c>
      <c r="F950" s="90" t="s">
        <v>375</v>
      </c>
      <c r="G950" s="90" t="s">
        <v>376</v>
      </c>
      <c r="H950" s="90">
        <v>0.59</v>
      </c>
      <c r="I950" s="90">
        <v>0.64</v>
      </c>
      <c r="J950" s="90" t="s">
        <v>244</v>
      </c>
      <c r="K950" s="90">
        <v>0.50713701590814997</v>
      </c>
      <c r="L950" s="90">
        <v>3783.1290786606401</v>
      </c>
      <c r="M950" s="90">
        <v>11.6234353517301</v>
      </c>
      <c r="N950" s="90">
        <v>1.5345890382112199</v>
      </c>
      <c r="O950" s="90">
        <v>5.8946743188777697</v>
      </c>
      <c r="P950" s="90">
        <v>0.77824690548380004</v>
      </c>
      <c r="Q950" s="90">
        <v>1918.56479174731</v>
      </c>
      <c r="R950" s="90">
        <v>1450</v>
      </c>
      <c r="S950" s="90" t="s">
        <v>391</v>
      </c>
      <c r="T950" s="90">
        <v>1450</v>
      </c>
      <c r="U950" s="90" t="s">
        <v>378</v>
      </c>
      <c r="V950" s="90" t="s">
        <v>244</v>
      </c>
      <c r="Z950" s="90">
        <v>0</v>
      </c>
      <c r="AA950" s="90">
        <v>1</v>
      </c>
      <c r="AB950" s="90">
        <v>5.8946743188777697</v>
      </c>
      <c r="AC950" s="90">
        <v>0.77824690548380004</v>
      </c>
      <c r="AD950" s="90">
        <v>1918.56479174731</v>
      </c>
      <c r="AF950" s="90">
        <v>-1</v>
      </c>
      <c r="AG950" s="90">
        <v>-1</v>
      </c>
      <c r="AH950" s="90">
        <v>-1</v>
      </c>
      <c r="AI950" s="90">
        <v>-1</v>
      </c>
      <c r="AJ950" s="90">
        <v>0</v>
      </c>
      <c r="AM950" s="90" t="s">
        <v>379</v>
      </c>
      <c r="AN950" s="90">
        <v>-1</v>
      </c>
      <c r="AQ950" s="90">
        <v>356</v>
      </c>
      <c r="AR950" s="90" t="s">
        <v>380</v>
      </c>
      <c r="AS950" s="90" t="s">
        <v>246</v>
      </c>
      <c r="AT950" s="90" t="s">
        <v>244</v>
      </c>
      <c r="AU950" s="90">
        <v>175.87190000000001</v>
      </c>
      <c r="AV950" s="90">
        <v>182.118728762122</v>
      </c>
      <c r="AW950" s="90">
        <v>2052.3106898646802</v>
      </c>
      <c r="AX950" s="90">
        <v>1.5560136186</v>
      </c>
    </row>
    <row r="951" spans="1:50" x14ac:dyDescent="0.25">
      <c r="A951" s="102">
        <v>840000</v>
      </c>
      <c r="B951" s="102">
        <v>2500000</v>
      </c>
      <c r="C951" s="102">
        <v>2500000</v>
      </c>
      <c r="D951" s="90" t="s">
        <v>374</v>
      </c>
      <c r="E951" s="90" t="s">
        <v>68</v>
      </c>
      <c r="F951" s="90" t="s">
        <v>375</v>
      </c>
      <c r="G951" s="90" t="s">
        <v>376</v>
      </c>
      <c r="H951" s="90">
        <v>0.59</v>
      </c>
      <c r="I951" s="90">
        <v>0.64</v>
      </c>
      <c r="J951" s="90" t="s">
        <v>244</v>
      </c>
      <c r="K951" s="90">
        <v>7.4609383869000002E-4</v>
      </c>
      <c r="L951" s="90">
        <v>3782.0297623923402</v>
      </c>
      <c r="M951" s="90">
        <v>11.606796577064999</v>
      </c>
      <c r="N951" s="90">
        <v>1.5323333199976701</v>
      </c>
      <c r="O951" s="90">
        <v>8.6597594130800003E-3</v>
      </c>
      <c r="P951" s="90">
        <v>1.1432644488699999E-3</v>
      </c>
      <c r="Q951" s="90">
        <v>2.8217491034669102</v>
      </c>
      <c r="R951" s="90">
        <v>1400</v>
      </c>
      <c r="S951" s="90" t="s">
        <v>324</v>
      </c>
      <c r="T951" s="90">
        <v>1400</v>
      </c>
      <c r="U951" s="90" t="s">
        <v>378</v>
      </c>
      <c r="V951" s="90" t="s">
        <v>244</v>
      </c>
      <c r="Z951" s="90">
        <v>0</v>
      </c>
      <c r="AA951" s="90">
        <v>1</v>
      </c>
      <c r="AB951" s="90">
        <v>8.6597594130800003E-3</v>
      </c>
      <c r="AC951" s="90">
        <v>1.1432644488699999E-3</v>
      </c>
      <c r="AD951" s="90">
        <v>268.36139527567002</v>
      </c>
      <c r="AF951" s="90">
        <v>-1</v>
      </c>
      <c r="AG951" s="90">
        <v>-1</v>
      </c>
      <c r="AH951" s="90">
        <v>-1</v>
      </c>
      <c r="AI951" s="90">
        <v>-1</v>
      </c>
      <c r="AJ951" s="90">
        <v>0</v>
      </c>
      <c r="AM951" s="90" t="s">
        <v>379</v>
      </c>
      <c r="AN951" s="90">
        <v>-1</v>
      </c>
      <c r="AQ951" s="90">
        <v>356</v>
      </c>
      <c r="AR951" s="90" t="s">
        <v>380</v>
      </c>
      <c r="AS951" s="90" t="s">
        <v>246</v>
      </c>
      <c r="AT951" s="90" t="s">
        <v>244</v>
      </c>
      <c r="AU951" s="90">
        <v>175.87190000000001</v>
      </c>
      <c r="AV951" s="90">
        <v>35.587831984028803</v>
      </c>
      <c r="AW951" s="90">
        <v>3.0193346428212702</v>
      </c>
      <c r="AX951" s="90">
        <v>0.21764914460000001</v>
      </c>
    </row>
    <row r="952" spans="1:50" x14ac:dyDescent="0.25">
      <c r="A952" s="102">
        <v>840000</v>
      </c>
      <c r="B952" s="102">
        <v>2500000</v>
      </c>
      <c r="C952" s="102">
        <v>2500000</v>
      </c>
      <c r="D952" s="90" t="s">
        <v>374</v>
      </c>
      <c r="E952" s="90" t="s">
        <v>68</v>
      </c>
      <c r="F952" s="90" t="s">
        <v>375</v>
      </c>
      <c r="G952" s="90" t="s">
        <v>376</v>
      </c>
      <c r="H952" s="90">
        <v>0.59</v>
      </c>
      <c r="I952" s="90">
        <v>0.64</v>
      </c>
      <c r="J952" s="90" t="s">
        <v>381</v>
      </c>
      <c r="K952" s="90">
        <v>5.6700088694110001E-2</v>
      </c>
      <c r="L952" s="90">
        <v>3782.0297623923402</v>
      </c>
      <c r="M952" s="90">
        <v>11.606796577064999</v>
      </c>
      <c r="N952" s="90">
        <v>1.5323333199976701</v>
      </c>
      <c r="O952" s="90">
        <v>0.65810639537415005</v>
      </c>
      <c r="P952" s="90">
        <v>8.6883435152809996E-2</v>
      </c>
      <c r="Q952" s="90">
        <v>214.44142297143199</v>
      </c>
      <c r="R952" s="90">
        <v>1400</v>
      </c>
      <c r="S952" s="90" t="s">
        <v>324</v>
      </c>
      <c r="T952" s="90">
        <v>1400</v>
      </c>
      <c r="U952" s="90" t="s">
        <v>382</v>
      </c>
      <c r="V952" s="90" t="s">
        <v>381</v>
      </c>
      <c r="Z952" s="90">
        <v>0</v>
      </c>
      <c r="AA952" s="90">
        <v>1</v>
      </c>
      <c r="AB952" s="90">
        <v>0.65810639537415005</v>
      </c>
      <c r="AC952" s="90">
        <v>8.6883435152809996E-2</v>
      </c>
      <c r="AD952" s="90">
        <v>278.56824430954498</v>
      </c>
      <c r="AF952" s="90">
        <v>-1</v>
      </c>
      <c r="AG952" s="90">
        <v>-1</v>
      </c>
      <c r="AH952" s="90">
        <v>-1</v>
      </c>
      <c r="AI952" s="90">
        <v>-1</v>
      </c>
      <c r="AJ952" s="90">
        <v>0</v>
      </c>
      <c r="AM952" s="90" t="s">
        <v>379</v>
      </c>
      <c r="AN952" s="90">
        <v>-1</v>
      </c>
      <c r="AQ952" s="90">
        <v>356</v>
      </c>
      <c r="AR952" s="90" t="s">
        <v>380</v>
      </c>
      <c r="AS952" s="90" t="s">
        <v>246</v>
      </c>
      <c r="AT952" s="90" t="s">
        <v>244</v>
      </c>
      <c r="AU952" s="90">
        <v>175.87190000000001</v>
      </c>
      <c r="AV952" s="90">
        <v>112.56202449377</v>
      </c>
      <c r="AW952" s="90">
        <v>229.457118082432</v>
      </c>
      <c r="AX952" s="90">
        <v>0.2259272054</v>
      </c>
    </row>
    <row r="953" spans="1:50" x14ac:dyDescent="0.25">
      <c r="A953" s="102">
        <v>840000</v>
      </c>
      <c r="B953" s="102">
        <v>2500000</v>
      </c>
      <c r="C953" s="102">
        <v>2500000</v>
      </c>
      <c r="D953" s="90" t="s">
        <v>374</v>
      </c>
      <c r="E953" s="90" t="s">
        <v>68</v>
      </c>
      <c r="F953" s="90" t="s">
        <v>375</v>
      </c>
      <c r="G953" s="90" t="s">
        <v>376</v>
      </c>
      <c r="H953" s="90">
        <v>0.59</v>
      </c>
      <c r="I953" s="90">
        <v>0.64</v>
      </c>
      <c r="J953" s="90" t="s">
        <v>381</v>
      </c>
      <c r="K953" s="90">
        <v>2.9109005299300002E-3</v>
      </c>
      <c r="L953" s="90">
        <v>3782.0297623923402</v>
      </c>
      <c r="M953" s="90">
        <v>11.606796577064999</v>
      </c>
      <c r="N953" s="90">
        <v>1.5323333199976701</v>
      </c>
      <c r="O953" s="90">
        <v>3.3786230306979997E-2</v>
      </c>
      <c r="P953" s="90">
        <v>4.4604698732099999E-3</v>
      </c>
      <c r="Q953" s="90">
        <v>11.0091124395626</v>
      </c>
      <c r="R953" s="90">
        <v>8140</v>
      </c>
      <c r="S953" s="90" t="s">
        <v>386</v>
      </c>
      <c r="T953" s="90">
        <v>8140</v>
      </c>
      <c r="U953" s="90" t="s">
        <v>382</v>
      </c>
      <c r="V953" s="90" t="s">
        <v>381</v>
      </c>
      <c r="Z953" s="90">
        <v>0</v>
      </c>
      <c r="AA953" s="90">
        <v>1</v>
      </c>
      <c r="AB953" s="90">
        <v>3.3786230306979997E-2</v>
      </c>
      <c r="AC953" s="90">
        <v>4.4604698732099999E-3</v>
      </c>
      <c r="AD953" s="90">
        <v>11.009112439562299</v>
      </c>
      <c r="AF953" s="90">
        <v>-1</v>
      </c>
      <c r="AG953" s="90">
        <v>-1</v>
      </c>
      <c r="AH953" s="90">
        <v>-1</v>
      </c>
      <c r="AI953" s="90">
        <v>-1</v>
      </c>
      <c r="AJ953" s="90">
        <v>0</v>
      </c>
      <c r="AM953" s="90" t="s">
        <v>379</v>
      </c>
      <c r="AN953" s="90">
        <v>-1</v>
      </c>
      <c r="AQ953" s="90">
        <v>356</v>
      </c>
      <c r="AR953" s="90" t="s">
        <v>380</v>
      </c>
      <c r="AS953" s="90" t="s">
        <v>246</v>
      </c>
      <c r="AT953" s="90" t="s">
        <v>244</v>
      </c>
      <c r="AU953" s="90">
        <v>175.87190000000001</v>
      </c>
      <c r="AV953" s="90">
        <v>77.269961394896796</v>
      </c>
      <c r="AW953" s="90">
        <v>11.779996504518399</v>
      </c>
      <c r="AX953" s="90">
        <v>8.9287206000000004E-3</v>
      </c>
    </row>
    <row r="954" spans="1:50" x14ac:dyDescent="0.25">
      <c r="A954" s="102">
        <v>840000</v>
      </c>
      <c r="B954" s="102">
        <v>2500000</v>
      </c>
      <c r="C954" s="102">
        <v>2500000</v>
      </c>
      <c r="D954" s="90" t="s">
        <v>374</v>
      </c>
      <c r="E954" s="90" t="s">
        <v>68</v>
      </c>
      <c r="F954" s="90" t="s">
        <v>375</v>
      </c>
      <c r="G954" s="90" t="s">
        <v>376</v>
      </c>
      <c r="H954" s="90">
        <v>0.59</v>
      </c>
      <c r="I954" s="90">
        <v>0.64</v>
      </c>
      <c r="J954" s="90" t="s">
        <v>244</v>
      </c>
      <c r="K954" s="90">
        <v>4.1450865976820003E-2</v>
      </c>
      <c r="L954" s="90">
        <v>3782.0297623923402</v>
      </c>
      <c r="M954" s="90">
        <v>11.606796577064999</v>
      </c>
      <c r="N954" s="90">
        <v>1.5323333199976701</v>
      </c>
      <c r="O954" s="90">
        <v>0.48111176933616001</v>
      </c>
      <c r="P954" s="90">
        <v>6.3516543079040005E-2</v>
      </c>
      <c r="Q954" s="90">
        <v>156.76840880127699</v>
      </c>
      <c r="R954" s="90">
        <v>1410</v>
      </c>
      <c r="S954" s="90" t="s">
        <v>325</v>
      </c>
      <c r="T954" s="90">
        <v>1410</v>
      </c>
      <c r="U954" s="90" t="s">
        <v>378</v>
      </c>
      <c r="V954" s="90" t="s">
        <v>244</v>
      </c>
      <c r="Z954" s="90">
        <v>0</v>
      </c>
      <c r="AA954" s="90">
        <v>1</v>
      </c>
      <c r="AB954" s="90">
        <v>0.48111176933616001</v>
      </c>
      <c r="AC954" s="90">
        <v>6.3516543079040005E-2</v>
      </c>
      <c r="AD954" s="90">
        <v>606.64710383142199</v>
      </c>
      <c r="AF954" s="90">
        <v>-1</v>
      </c>
      <c r="AG954" s="90">
        <v>-1</v>
      </c>
      <c r="AH954" s="90">
        <v>-1</v>
      </c>
      <c r="AI954" s="90">
        <v>-1</v>
      </c>
      <c r="AJ954" s="90">
        <v>0</v>
      </c>
      <c r="AM954" s="90" t="s">
        <v>379</v>
      </c>
      <c r="AN954" s="90">
        <v>-1</v>
      </c>
      <c r="AQ954" s="90">
        <v>356</v>
      </c>
      <c r="AR954" s="90" t="s">
        <v>380</v>
      </c>
      <c r="AS954" s="90" t="s">
        <v>246</v>
      </c>
      <c r="AT954" s="90" t="s">
        <v>244</v>
      </c>
      <c r="AU954" s="90">
        <v>175.87190000000001</v>
      </c>
      <c r="AV954" s="90">
        <v>62.017992804846699</v>
      </c>
      <c r="AW954" s="90">
        <v>167.745703192343</v>
      </c>
      <c r="AX954" s="90">
        <v>0.49200900549999999</v>
      </c>
    </row>
    <row r="955" spans="1:50" x14ac:dyDescent="0.25">
      <c r="A955" s="102">
        <v>840000</v>
      </c>
      <c r="B955" s="102">
        <v>2500000</v>
      </c>
      <c r="C955" s="102">
        <v>2500000</v>
      </c>
      <c r="D955" s="90" t="s">
        <v>374</v>
      </c>
      <c r="E955" s="90" t="s">
        <v>68</v>
      </c>
      <c r="F955" s="90" t="s">
        <v>375</v>
      </c>
      <c r="G955" s="90" t="s">
        <v>376</v>
      </c>
      <c r="H955" s="90">
        <v>0.59</v>
      </c>
      <c r="I955" s="90">
        <v>0.64</v>
      </c>
      <c r="J955" s="90" t="s">
        <v>244</v>
      </c>
      <c r="K955" s="90">
        <v>4.7787276124000003E-4</v>
      </c>
      <c r="L955" s="90">
        <v>3782.0297623923402</v>
      </c>
      <c r="M955" s="90">
        <v>11.606796577064999</v>
      </c>
      <c r="N955" s="90">
        <v>1.5323333199976701</v>
      </c>
      <c r="O955" s="90">
        <v>5.5465719294499997E-3</v>
      </c>
      <c r="P955" s="90">
        <v>7.3226035477000004E-4</v>
      </c>
      <c r="Q955" s="90">
        <v>1.80732900565385</v>
      </c>
      <c r="R955" s="90">
        <v>1430</v>
      </c>
      <c r="S955" s="90" t="s">
        <v>326</v>
      </c>
      <c r="T955" s="90">
        <v>1430</v>
      </c>
      <c r="U955" s="90" t="s">
        <v>378</v>
      </c>
      <c r="V955" s="90" t="s">
        <v>244</v>
      </c>
      <c r="Z955" s="90">
        <v>0</v>
      </c>
      <c r="AA955" s="90">
        <v>1</v>
      </c>
      <c r="AB955" s="90">
        <v>5.5465719294499997E-3</v>
      </c>
      <c r="AC955" s="90">
        <v>7.3226035477000004E-4</v>
      </c>
      <c r="AD955" s="90">
        <v>1171.8139128174601</v>
      </c>
      <c r="AF955" s="90">
        <v>-1</v>
      </c>
      <c r="AG955" s="90">
        <v>-1</v>
      </c>
      <c r="AH955" s="90">
        <v>-1</v>
      </c>
      <c r="AI955" s="90">
        <v>-1</v>
      </c>
      <c r="AJ955" s="90">
        <v>0</v>
      </c>
      <c r="AM955" s="90" t="s">
        <v>379</v>
      </c>
      <c r="AN955" s="90">
        <v>-1</v>
      </c>
      <c r="AQ955" s="90">
        <v>356</v>
      </c>
      <c r="AR955" s="90" t="s">
        <v>380</v>
      </c>
      <c r="AS955" s="90" t="s">
        <v>246</v>
      </c>
      <c r="AT955" s="90" t="s">
        <v>244</v>
      </c>
      <c r="AU955" s="90">
        <v>175.87190000000001</v>
      </c>
      <c r="AV955" s="90">
        <v>6.7882012539698602</v>
      </c>
      <c r="AW955" s="90">
        <v>1.93388245292144</v>
      </c>
      <c r="AX955" s="90">
        <v>0.95037624720000002</v>
      </c>
    </row>
    <row r="956" spans="1:50" x14ac:dyDescent="0.25">
      <c r="A956" s="102">
        <v>830000</v>
      </c>
      <c r="B956" s="102">
        <v>2400000</v>
      </c>
      <c r="C956" s="102">
        <v>2400000</v>
      </c>
      <c r="D956" s="90" t="s">
        <v>374</v>
      </c>
      <c r="E956" s="90" t="s">
        <v>68</v>
      </c>
      <c r="F956" s="90" t="s">
        <v>375</v>
      </c>
      <c r="G956" s="90" t="s">
        <v>376</v>
      </c>
      <c r="H956" s="90">
        <v>0.59</v>
      </c>
      <c r="I956" s="90">
        <v>0.64</v>
      </c>
      <c r="J956" s="90" t="s">
        <v>244</v>
      </c>
      <c r="K956" s="90">
        <v>7.2634350299600001E-3</v>
      </c>
      <c r="L956" s="90">
        <v>3713.6570371498401</v>
      </c>
      <c r="M956" s="90">
        <v>9.2531954729333297</v>
      </c>
      <c r="N956" s="90">
        <v>1.3607658251604899</v>
      </c>
      <c r="O956" s="90">
        <v>6.7209984137230006E-2</v>
      </c>
      <c r="P956" s="90">
        <v>9.8838341620499995E-3</v>
      </c>
      <c r="Q956" s="90">
        <v>26.973906612917599</v>
      </c>
      <c r="R956" s="90">
        <v>1200</v>
      </c>
      <c r="S956" s="90" t="s">
        <v>384</v>
      </c>
      <c r="T956" s="90">
        <v>1200</v>
      </c>
      <c r="U956" s="90" t="s">
        <v>378</v>
      </c>
      <c r="V956" s="90" t="s">
        <v>244</v>
      </c>
      <c r="Z956" s="90">
        <v>0</v>
      </c>
      <c r="AA956" s="90">
        <v>1</v>
      </c>
      <c r="AB956" s="90">
        <v>6.7209984137230006E-2</v>
      </c>
      <c r="AC956" s="90">
        <v>9.8838341620499995E-3</v>
      </c>
      <c r="AD956" s="90">
        <v>60.455743984297797</v>
      </c>
      <c r="AF956" s="90">
        <v>-1</v>
      </c>
      <c r="AG956" s="90">
        <v>-1</v>
      </c>
      <c r="AH956" s="90">
        <v>-1</v>
      </c>
      <c r="AI956" s="90">
        <v>-1</v>
      </c>
      <c r="AJ956" s="90">
        <v>0</v>
      </c>
      <c r="AM956" s="90" t="s">
        <v>379</v>
      </c>
      <c r="AN956" s="90">
        <v>-1</v>
      </c>
      <c r="AQ956" s="90">
        <v>365</v>
      </c>
      <c r="AR956" s="90" t="s">
        <v>263</v>
      </c>
      <c r="AS956" s="90" t="s">
        <v>394</v>
      </c>
      <c r="AT956" s="90" t="s">
        <v>244</v>
      </c>
      <c r="AU956" s="90">
        <v>1.8981889999999999</v>
      </c>
      <c r="AV956" s="90">
        <v>23.334198962245999</v>
      </c>
      <c r="AW956" s="90">
        <v>29.394078699705901</v>
      </c>
      <c r="AX956" s="90">
        <v>4.9031422499999998E-2</v>
      </c>
    </row>
    <row r="957" spans="1:50" x14ac:dyDescent="0.25">
      <c r="A957" s="102">
        <v>830000</v>
      </c>
      <c r="B957" s="102">
        <v>2400000</v>
      </c>
      <c r="C957" s="102">
        <v>2400000</v>
      </c>
      <c r="D957" s="90" t="s">
        <v>374</v>
      </c>
      <c r="E957" s="90" t="s">
        <v>68</v>
      </c>
      <c r="F957" s="90" t="s">
        <v>375</v>
      </c>
      <c r="G957" s="90" t="s">
        <v>376</v>
      </c>
      <c r="H957" s="90">
        <v>0.59</v>
      </c>
      <c r="I957" s="90">
        <v>0.64</v>
      </c>
      <c r="J957" s="90" t="s">
        <v>244</v>
      </c>
      <c r="K957" s="90">
        <v>0.13374894951515001</v>
      </c>
      <c r="L957" s="90">
        <v>3713.6570371498401</v>
      </c>
      <c r="M957" s="90">
        <v>9.2531954729333297</v>
      </c>
      <c r="N957" s="90">
        <v>1.3607658251604899</v>
      </c>
      <c r="O957" s="90">
        <v>1.2376051741631799</v>
      </c>
      <c r="P957" s="90">
        <v>0.18200099965132999</v>
      </c>
      <c r="Q957" s="90">
        <v>496.69772757833999</v>
      </c>
      <c r="R957" s="90">
        <v>1200</v>
      </c>
      <c r="S957" s="90" t="s">
        <v>384</v>
      </c>
      <c r="T957" s="90">
        <v>1200</v>
      </c>
      <c r="U957" s="90" t="s">
        <v>378</v>
      </c>
      <c r="V957" s="90" t="s">
        <v>244</v>
      </c>
      <c r="Z957" s="90">
        <v>0</v>
      </c>
      <c r="AA957" s="90">
        <v>1</v>
      </c>
      <c r="AB957" s="90">
        <v>1.2376051741631799</v>
      </c>
      <c r="AC957" s="90">
        <v>0.18200099965132999</v>
      </c>
      <c r="AD957" s="90">
        <v>1095.7999531987</v>
      </c>
      <c r="AF957" s="90">
        <v>-1</v>
      </c>
      <c r="AG957" s="90">
        <v>-1</v>
      </c>
      <c r="AH957" s="90">
        <v>-1</v>
      </c>
      <c r="AI957" s="90">
        <v>-1</v>
      </c>
      <c r="AJ957" s="90">
        <v>0</v>
      </c>
      <c r="AM957" s="90" t="s">
        <v>379</v>
      </c>
      <c r="AN957" s="90">
        <v>-1</v>
      </c>
      <c r="AQ957" s="90">
        <v>365</v>
      </c>
      <c r="AR957" s="90" t="s">
        <v>263</v>
      </c>
      <c r="AS957" s="90" t="s">
        <v>394</v>
      </c>
      <c r="AT957" s="90" t="s">
        <v>244</v>
      </c>
      <c r="AU957" s="90">
        <v>1.8981889999999999</v>
      </c>
      <c r="AV957" s="90">
        <v>120.87429548716401</v>
      </c>
      <c r="AW957" s="90">
        <v>541.26279533464105</v>
      </c>
      <c r="AX957" s="90">
        <v>0.88872664489999997</v>
      </c>
    </row>
    <row r="958" spans="1:50" x14ac:dyDescent="0.25">
      <c r="A958" s="102">
        <v>830000</v>
      </c>
      <c r="B958" s="102">
        <v>2400000</v>
      </c>
      <c r="C958" s="102">
        <v>2400000</v>
      </c>
      <c r="D958" s="90" t="s">
        <v>374</v>
      </c>
      <c r="E958" s="90" t="s">
        <v>68</v>
      </c>
      <c r="F958" s="90" t="s">
        <v>375</v>
      </c>
      <c r="G958" s="90" t="s">
        <v>376</v>
      </c>
      <c r="H958" s="90">
        <v>0.59</v>
      </c>
      <c r="I958" s="90">
        <v>0.64</v>
      </c>
      <c r="J958" s="90" t="s">
        <v>244</v>
      </c>
      <c r="K958" s="90">
        <v>6.8924013465599997E-3</v>
      </c>
      <c r="L958" s="90">
        <v>3713.6570371498401</v>
      </c>
      <c r="M958" s="90">
        <v>9.2531954729333297</v>
      </c>
      <c r="N958" s="90">
        <v>1.3607658251604899</v>
      </c>
      <c r="O958" s="90">
        <v>6.3776736937669998E-2</v>
      </c>
      <c r="P958" s="90">
        <v>9.3789442056899999E-3</v>
      </c>
      <c r="Q958" s="90">
        <v>25.5960147635321</v>
      </c>
      <c r="R958" s="90">
        <v>1210</v>
      </c>
      <c r="S958" s="90" t="s">
        <v>385</v>
      </c>
      <c r="T958" s="90">
        <v>1210</v>
      </c>
      <c r="U958" s="90" t="s">
        <v>378</v>
      </c>
      <c r="V958" s="90" t="s">
        <v>244</v>
      </c>
      <c r="Z958" s="90">
        <v>0</v>
      </c>
      <c r="AA958" s="90">
        <v>1</v>
      </c>
      <c r="AB958" s="90">
        <v>6.3776736937669998E-2</v>
      </c>
      <c r="AC958" s="90">
        <v>9.3789442056899999E-3</v>
      </c>
      <c r="AD958" s="90">
        <v>25.596014763533301</v>
      </c>
      <c r="AF958" s="90">
        <v>-1</v>
      </c>
      <c r="AG958" s="90">
        <v>-1</v>
      </c>
      <c r="AH958" s="90">
        <v>-1</v>
      </c>
      <c r="AI958" s="90">
        <v>-1</v>
      </c>
      <c r="AJ958" s="90">
        <v>0</v>
      </c>
      <c r="AM958" s="90" t="s">
        <v>379</v>
      </c>
      <c r="AN958" s="90">
        <v>-1</v>
      </c>
      <c r="AQ958" s="90">
        <v>365</v>
      </c>
      <c r="AR958" s="90" t="s">
        <v>263</v>
      </c>
      <c r="AS958" s="90" t="s">
        <v>394</v>
      </c>
      <c r="AT958" s="90" t="s">
        <v>244</v>
      </c>
      <c r="AU958" s="90">
        <v>1.8981889999999999</v>
      </c>
      <c r="AV958" s="90">
        <v>42.145823977275597</v>
      </c>
      <c r="AW958" s="90">
        <v>27.8925586551062</v>
      </c>
      <c r="AX958" s="90">
        <v>2.0759136099999999E-2</v>
      </c>
    </row>
    <row r="959" spans="1:50" x14ac:dyDescent="0.25">
      <c r="A959" s="102">
        <v>830000</v>
      </c>
      <c r="B959" s="102">
        <v>2400000</v>
      </c>
      <c r="C959" s="102">
        <v>2400000</v>
      </c>
      <c r="D959" s="90" t="s">
        <v>374</v>
      </c>
      <c r="E959" s="90" t="s">
        <v>68</v>
      </c>
      <c r="F959" s="90" t="s">
        <v>375</v>
      </c>
      <c r="G959" s="90" t="s">
        <v>376</v>
      </c>
      <c r="H959" s="90">
        <v>0.59</v>
      </c>
      <c r="I959" s="90">
        <v>0.64</v>
      </c>
      <c r="J959" s="90" t="s">
        <v>244</v>
      </c>
      <c r="K959" s="90">
        <v>0.10244524776364</v>
      </c>
      <c r="L959" s="90">
        <v>3713.6570371498401</v>
      </c>
      <c r="M959" s="90">
        <v>9.2531954729333297</v>
      </c>
      <c r="N959" s="90">
        <v>1.3607658251604899</v>
      </c>
      <c r="O959" s="90">
        <v>0.94794590283011004</v>
      </c>
      <c r="P959" s="90">
        <v>0.13940399210686999</v>
      </c>
      <c r="Q959" s="90">
        <v>380.44651528002697</v>
      </c>
      <c r="R959" s="90">
        <v>1210</v>
      </c>
      <c r="S959" s="90" t="s">
        <v>385</v>
      </c>
      <c r="T959" s="90">
        <v>1210</v>
      </c>
      <c r="U959" s="90" t="s">
        <v>378</v>
      </c>
      <c r="V959" s="90" t="s">
        <v>244</v>
      </c>
      <c r="Z959" s="90">
        <v>0</v>
      </c>
      <c r="AA959" s="90">
        <v>1</v>
      </c>
      <c r="AB959" s="90">
        <v>0.94794590283011004</v>
      </c>
      <c r="AC959" s="90">
        <v>0.13940399210686999</v>
      </c>
      <c r="AD959" s="90">
        <v>380.44651528002697</v>
      </c>
      <c r="AF959" s="90">
        <v>-1</v>
      </c>
      <c r="AG959" s="90">
        <v>-1</v>
      </c>
      <c r="AH959" s="90">
        <v>-1</v>
      </c>
      <c r="AI959" s="90">
        <v>-1</v>
      </c>
      <c r="AJ959" s="90">
        <v>0</v>
      </c>
      <c r="AM959" s="90" t="s">
        <v>379</v>
      </c>
      <c r="AN959" s="90">
        <v>-1</v>
      </c>
      <c r="AQ959" s="90">
        <v>365</v>
      </c>
      <c r="AR959" s="90" t="s">
        <v>263</v>
      </c>
      <c r="AS959" s="90" t="s">
        <v>394</v>
      </c>
      <c r="AT959" s="90" t="s">
        <v>244</v>
      </c>
      <c r="AU959" s="90">
        <v>1.8981889999999999</v>
      </c>
      <c r="AV959" s="90">
        <v>81.775736455152099</v>
      </c>
      <c r="AW959" s="90">
        <v>414.58120885667398</v>
      </c>
      <c r="AX959" s="90">
        <v>0.30855354039999999</v>
      </c>
    </row>
    <row r="960" spans="1:50" x14ac:dyDescent="0.25">
      <c r="A960" s="102">
        <v>830000</v>
      </c>
      <c r="B960" s="102">
        <v>2400000</v>
      </c>
      <c r="C960" s="102">
        <v>2500000</v>
      </c>
      <c r="D960" s="90" t="s">
        <v>374</v>
      </c>
      <c r="E960" s="90" t="s">
        <v>68</v>
      </c>
      <c r="F960" s="90" t="s">
        <v>375</v>
      </c>
      <c r="G960" s="90" t="s">
        <v>376</v>
      </c>
      <c r="H960" s="90">
        <v>0.59</v>
      </c>
      <c r="I960" s="90">
        <v>0.64</v>
      </c>
      <c r="J960" s="90" t="s">
        <v>244</v>
      </c>
      <c r="K960" s="90">
        <v>8.6735462104520003E-2</v>
      </c>
      <c r="L960" s="90">
        <v>3714.9623503799198</v>
      </c>
      <c r="M960" s="90">
        <v>9.2562827835146404</v>
      </c>
      <c r="N960" s="90">
        <v>1.3612142301236001</v>
      </c>
      <c r="O960" s="90">
        <v>0.80284796459830998</v>
      </c>
      <c r="P960" s="90">
        <v>0.11806554527302</v>
      </c>
      <c r="Q960" s="90">
        <v>322.21897616111801</v>
      </c>
      <c r="R960" s="90">
        <v>1200</v>
      </c>
      <c r="S960" s="90" t="s">
        <v>384</v>
      </c>
      <c r="T960" s="90">
        <v>1200</v>
      </c>
      <c r="U960" s="90" t="s">
        <v>378</v>
      </c>
      <c r="V960" s="90" t="s">
        <v>244</v>
      </c>
      <c r="Z960" s="90">
        <v>0</v>
      </c>
      <c r="AA960" s="90">
        <v>1</v>
      </c>
      <c r="AB960" s="90">
        <v>0.80284796459830998</v>
      </c>
      <c r="AC960" s="90">
        <v>0.11806554527302</v>
      </c>
      <c r="AD960" s="90">
        <v>882.37657751906204</v>
      </c>
      <c r="AF960" s="90">
        <v>-1</v>
      </c>
      <c r="AG960" s="90">
        <v>-1</v>
      </c>
      <c r="AH960" s="90">
        <v>-1</v>
      </c>
      <c r="AI960" s="90">
        <v>-1</v>
      </c>
      <c r="AJ960" s="90">
        <v>0</v>
      </c>
      <c r="AM960" s="90" t="s">
        <v>379</v>
      </c>
      <c r="AN960" s="90">
        <v>-1</v>
      </c>
      <c r="AQ960" s="90">
        <v>365</v>
      </c>
      <c r="AR960" s="90" t="s">
        <v>263</v>
      </c>
      <c r="AS960" s="90" t="s">
        <v>394</v>
      </c>
      <c r="AT960" s="90" t="s">
        <v>244</v>
      </c>
      <c r="AU960" s="90">
        <v>1.8981889999999999</v>
      </c>
      <c r="AV960" s="90">
        <v>150.870823931937</v>
      </c>
      <c r="AW960" s="90">
        <v>351.00596186753302</v>
      </c>
      <c r="AX960" s="90">
        <v>0.71563388279999995</v>
      </c>
    </row>
    <row r="961" spans="1:50" x14ac:dyDescent="0.25">
      <c r="A961" s="102">
        <v>830000</v>
      </c>
      <c r="B961" s="102">
        <v>2400000</v>
      </c>
      <c r="C961" s="102">
        <v>2500000</v>
      </c>
      <c r="D961" s="90" t="s">
        <v>374</v>
      </c>
      <c r="E961" s="90" t="s">
        <v>68</v>
      </c>
      <c r="F961" s="90" t="s">
        <v>375</v>
      </c>
      <c r="G961" s="90" t="s">
        <v>376</v>
      </c>
      <c r="H961" s="90">
        <v>0.59</v>
      </c>
      <c r="I961" s="90">
        <v>0.64</v>
      </c>
      <c r="J961" s="90" t="s">
        <v>244</v>
      </c>
      <c r="K961" s="90">
        <v>0.12799222281006001</v>
      </c>
      <c r="L961" s="90">
        <v>3714.9623503799198</v>
      </c>
      <c r="M961" s="90">
        <v>9.2562827835146404</v>
      </c>
      <c r="N961" s="90">
        <v>1.3612142301236001</v>
      </c>
      <c r="O961" s="90">
        <v>1.1847322084205301</v>
      </c>
      <c r="P961" s="90">
        <v>0.1742248350342</v>
      </c>
      <c r="Q961" s="90">
        <v>475.48628888081402</v>
      </c>
      <c r="R961" s="90">
        <v>1210</v>
      </c>
      <c r="S961" s="90" t="s">
        <v>385</v>
      </c>
      <c r="T961" s="90">
        <v>1210</v>
      </c>
      <c r="U961" s="90" t="s">
        <v>378</v>
      </c>
      <c r="V961" s="90" t="s">
        <v>244</v>
      </c>
      <c r="Z961" s="90">
        <v>0</v>
      </c>
      <c r="AA961" s="90">
        <v>1</v>
      </c>
      <c r="AB961" s="90">
        <v>1.1847322084205301</v>
      </c>
      <c r="AC961" s="90">
        <v>0.1742248350342</v>
      </c>
      <c r="AD961" s="90">
        <v>475.48628888081402</v>
      </c>
      <c r="AF961" s="90">
        <v>-1</v>
      </c>
      <c r="AG961" s="90">
        <v>-1</v>
      </c>
      <c r="AH961" s="90">
        <v>-1</v>
      </c>
      <c r="AI961" s="90">
        <v>-1</v>
      </c>
      <c r="AJ961" s="90">
        <v>0</v>
      </c>
      <c r="AM961" s="90" t="s">
        <v>379</v>
      </c>
      <c r="AN961" s="90">
        <v>-1</v>
      </c>
      <c r="AQ961" s="90">
        <v>365</v>
      </c>
      <c r="AR961" s="90" t="s">
        <v>263</v>
      </c>
      <c r="AS961" s="90" t="s">
        <v>394</v>
      </c>
      <c r="AT961" s="90" t="s">
        <v>244</v>
      </c>
      <c r="AU961" s="90">
        <v>1.8981889999999999</v>
      </c>
      <c r="AV961" s="90">
        <v>91.141162251652602</v>
      </c>
      <c r="AW961" s="90">
        <v>517.966148896145</v>
      </c>
      <c r="AX961" s="90">
        <v>0.3856336487</v>
      </c>
    </row>
    <row r="962" spans="1:50" x14ac:dyDescent="0.25">
      <c r="A962" s="102">
        <v>830000</v>
      </c>
      <c r="B962" s="102">
        <v>2400000</v>
      </c>
      <c r="C962" s="102">
        <v>2500000</v>
      </c>
      <c r="D962" s="90" t="s">
        <v>374</v>
      </c>
      <c r="E962" s="90" t="s">
        <v>68</v>
      </c>
      <c r="F962" s="90" t="s">
        <v>375</v>
      </c>
      <c r="G962" s="90" t="s">
        <v>376</v>
      </c>
      <c r="H962" s="90">
        <v>0.59</v>
      </c>
      <c r="I962" s="90">
        <v>0.64</v>
      </c>
      <c r="J962" s="90" t="s">
        <v>244</v>
      </c>
      <c r="K962" s="90">
        <v>0.11122108015523</v>
      </c>
      <c r="L962" s="90">
        <v>3714.9623503799198</v>
      </c>
      <c r="M962" s="90">
        <v>9.2562827835146404</v>
      </c>
      <c r="N962" s="90">
        <v>1.3612142301236001</v>
      </c>
      <c r="O962" s="90">
        <v>1.0294937694048301</v>
      </c>
      <c r="P962" s="90">
        <v>0.15139571699702001</v>
      </c>
      <c r="Q962" s="90">
        <v>413.18212534529601</v>
      </c>
      <c r="R962" s="90">
        <v>1210</v>
      </c>
      <c r="S962" s="90" t="s">
        <v>385</v>
      </c>
      <c r="T962" s="90">
        <v>1210</v>
      </c>
      <c r="U962" s="90" t="s">
        <v>378</v>
      </c>
      <c r="V962" s="90" t="s">
        <v>244</v>
      </c>
      <c r="Z962" s="90">
        <v>0</v>
      </c>
      <c r="AA962" s="90">
        <v>1</v>
      </c>
      <c r="AB962" s="90">
        <v>1.0294937694048301</v>
      </c>
      <c r="AC962" s="90">
        <v>0.15139571699702001</v>
      </c>
      <c r="AD962" s="90">
        <v>413.18212534529601</v>
      </c>
      <c r="AF962" s="90">
        <v>-1</v>
      </c>
      <c r="AG962" s="90">
        <v>-1</v>
      </c>
      <c r="AH962" s="90">
        <v>-1</v>
      </c>
      <c r="AI962" s="90">
        <v>-1</v>
      </c>
      <c r="AJ962" s="90">
        <v>0</v>
      </c>
      <c r="AM962" s="90" t="s">
        <v>379</v>
      </c>
      <c r="AN962" s="90">
        <v>-1</v>
      </c>
      <c r="AQ962" s="90">
        <v>365</v>
      </c>
      <c r="AR962" s="90" t="s">
        <v>263</v>
      </c>
      <c r="AS962" s="90" t="s">
        <v>394</v>
      </c>
      <c r="AT962" s="90" t="s">
        <v>244</v>
      </c>
      <c r="AU962" s="90">
        <v>1.8981889999999999</v>
      </c>
      <c r="AV962" s="90">
        <v>84.962266004471999</v>
      </c>
      <c r="AW962" s="90">
        <v>450.09574253249002</v>
      </c>
      <c r="AX962" s="90">
        <v>0.33510310250000003</v>
      </c>
    </row>
    <row r="963" spans="1:50" x14ac:dyDescent="0.25">
      <c r="A963" s="102">
        <v>830000</v>
      </c>
      <c r="B963" s="102">
        <v>2500000</v>
      </c>
      <c r="C963" s="102">
        <v>2500000</v>
      </c>
      <c r="D963" s="90" t="s">
        <v>374</v>
      </c>
      <c r="E963" s="90" t="s">
        <v>68</v>
      </c>
      <c r="F963" s="90" t="s">
        <v>375</v>
      </c>
      <c r="G963" s="90" t="s">
        <v>376</v>
      </c>
      <c r="H963" s="90">
        <v>0.59</v>
      </c>
      <c r="I963" s="90">
        <v>0.64</v>
      </c>
      <c r="J963" s="90" t="s">
        <v>244</v>
      </c>
      <c r="K963" s="90">
        <v>7.8078032036930006E-2</v>
      </c>
      <c r="L963" s="90">
        <v>3714.9623503799198</v>
      </c>
      <c r="M963" s="90">
        <v>9.2562827835146404</v>
      </c>
      <c r="N963" s="90">
        <v>1.3612142301236001</v>
      </c>
      <c r="O963" s="90">
        <v>0.72271234371420001</v>
      </c>
      <c r="P963" s="90">
        <v>0.10628092826872</v>
      </c>
      <c r="Q963" s="90">
        <v>290.05694940897803</v>
      </c>
      <c r="R963" s="90">
        <v>1200</v>
      </c>
      <c r="S963" s="90" t="s">
        <v>384</v>
      </c>
      <c r="T963" s="90">
        <v>1200</v>
      </c>
      <c r="U963" s="90" t="s">
        <v>378</v>
      </c>
      <c r="V963" s="90" t="s">
        <v>244</v>
      </c>
      <c r="Z963" s="90">
        <v>0</v>
      </c>
      <c r="AA963" s="90">
        <v>1</v>
      </c>
      <c r="AB963" s="90">
        <v>0.72271234371420001</v>
      </c>
      <c r="AC963" s="90">
        <v>0.10628092826872</v>
      </c>
      <c r="AD963" s="90">
        <v>608.62264103046596</v>
      </c>
      <c r="AF963" s="90">
        <v>-1</v>
      </c>
      <c r="AG963" s="90">
        <v>-1</v>
      </c>
      <c r="AH963" s="90">
        <v>-1</v>
      </c>
      <c r="AI963" s="90">
        <v>-1</v>
      </c>
      <c r="AJ963" s="90">
        <v>0</v>
      </c>
      <c r="AM963" s="90" t="s">
        <v>379</v>
      </c>
      <c r="AN963" s="90">
        <v>-1</v>
      </c>
      <c r="AQ963" s="90">
        <v>365</v>
      </c>
      <c r="AR963" s="90" t="s">
        <v>263</v>
      </c>
      <c r="AS963" s="90" t="s">
        <v>394</v>
      </c>
      <c r="AT963" s="90" t="s">
        <v>244</v>
      </c>
      <c r="AU963" s="90">
        <v>1.8981889999999999</v>
      </c>
      <c r="AV963" s="90">
        <v>101.755983624286</v>
      </c>
      <c r="AW963" s="90">
        <v>315.97058539703102</v>
      </c>
      <c r="AX963" s="90">
        <v>0.49361122549999997</v>
      </c>
    </row>
    <row r="964" spans="1:50" x14ac:dyDescent="0.25">
      <c r="A964" s="102">
        <v>830000</v>
      </c>
      <c r="B964" s="102">
        <v>2500000</v>
      </c>
      <c r="C964" s="102">
        <v>2500000</v>
      </c>
      <c r="D964" s="90" t="s">
        <v>374</v>
      </c>
      <c r="E964" s="90" t="s">
        <v>68</v>
      </c>
      <c r="F964" s="90" t="s">
        <v>375</v>
      </c>
      <c r="G964" s="90" t="s">
        <v>376</v>
      </c>
      <c r="H964" s="90">
        <v>0.59</v>
      </c>
      <c r="I964" s="90">
        <v>0.64</v>
      </c>
      <c r="J964" s="90" t="s">
        <v>244</v>
      </c>
      <c r="K964" s="90">
        <v>1.098053105672E-2</v>
      </c>
      <c r="L964" s="90">
        <v>3714.9623503799198</v>
      </c>
      <c r="M964" s="90">
        <v>9.2562827835146404</v>
      </c>
      <c r="N964" s="90">
        <v>1.3612142301236001</v>
      </c>
      <c r="O964" s="90">
        <v>0.10163890057423</v>
      </c>
      <c r="P964" s="90">
        <v>1.4946855128730001E-2</v>
      </c>
      <c r="Q964" s="90">
        <v>40.792259462918203</v>
      </c>
      <c r="R964" s="90">
        <v>1200</v>
      </c>
      <c r="S964" s="90" t="s">
        <v>384</v>
      </c>
      <c r="T964" s="90">
        <v>1200</v>
      </c>
      <c r="U964" s="90" t="s">
        <v>378</v>
      </c>
      <c r="V964" s="90" t="s">
        <v>244</v>
      </c>
      <c r="Z964" s="90">
        <v>0</v>
      </c>
      <c r="AA964" s="90">
        <v>1</v>
      </c>
      <c r="AB964" s="90">
        <v>0.10163890057423</v>
      </c>
      <c r="AC964" s="90">
        <v>1.4946855128730001E-2</v>
      </c>
      <c r="AD964" s="90">
        <v>91.092744460207598</v>
      </c>
      <c r="AF964" s="90">
        <v>-1</v>
      </c>
      <c r="AG964" s="90">
        <v>-1</v>
      </c>
      <c r="AH964" s="90">
        <v>-1</v>
      </c>
      <c r="AI964" s="90">
        <v>-1</v>
      </c>
      <c r="AJ964" s="90">
        <v>0</v>
      </c>
      <c r="AM964" s="90" t="s">
        <v>379</v>
      </c>
      <c r="AN964" s="90">
        <v>-1</v>
      </c>
      <c r="AQ964" s="90">
        <v>365</v>
      </c>
      <c r="AR964" s="90" t="s">
        <v>263</v>
      </c>
      <c r="AS964" s="90" t="s">
        <v>394</v>
      </c>
      <c r="AT964" s="90" t="s">
        <v>244</v>
      </c>
      <c r="AU964" s="90">
        <v>1.8981889999999999</v>
      </c>
      <c r="AV964" s="90">
        <v>26.737928717792801</v>
      </c>
      <c r="AW964" s="90">
        <v>44.436632628278097</v>
      </c>
      <c r="AX964" s="90">
        <v>7.3878949299999996E-2</v>
      </c>
    </row>
    <row r="965" spans="1:50" x14ac:dyDescent="0.25">
      <c r="A965" s="102">
        <v>830000</v>
      </c>
      <c r="B965" s="102">
        <v>2500000</v>
      </c>
      <c r="C965" s="102">
        <v>2500000</v>
      </c>
      <c r="D965" s="90" t="s">
        <v>374</v>
      </c>
      <c r="E965" s="90" t="s">
        <v>68</v>
      </c>
      <c r="F965" s="90" t="s">
        <v>375</v>
      </c>
      <c r="G965" s="90" t="s">
        <v>376</v>
      </c>
      <c r="H965" s="90">
        <v>0.59</v>
      </c>
      <c r="I965" s="90">
        <v>0.64</v>
      </c>
      <c r="J965" s="90" t="s">
        <v>244</v>
      </c>
      <c r="K965" s="90">
        <v>2.5958530435400001E-2</v>
      </c>
      <c r="L965" s="90">
        <v>3714.9623503799198</v>
      </c>
      <c r="M965" s="90">
        <v>9.2562827835146404</v>
      </c>
      <c r="N965" s="90">
        <v>1.3612142301236001</v>
      </c>
      <c r="O965" s="90">
        <v>0.24027949835456</v>
      </c>
      <c r="P965" s="90">
        <v>3.5335121021760001E-2</v>
      </c>
      <c r="Q965" s="90">
        <v>96.434963238713394</v>
      </c>
      <c r="R965" s="90">
        <v>1210</v>
      </c>
      <c r="S965" s="90" t="s">
        <v>385</v>
      </c>
      <c r="T965" s="90">
        <v>1210</v>
      </c>
      <c r="U965" s="90" t="s">
        <v>378</v>
      </c>
      <c r="V965" s="90" t="s">
        <v>244</v>
      </c>
      <c r="Z965" s="90">
        <v>0</v>
      </c>
      <c r="AA965" s="90">
        <v>1</v>
      </c>
      <c r="AB965" s="90">
        <v>0.24027949835456</v>
      </c>
      <c r="AC965" s="90">
        <v>3.5335121021760001E-2</v>
      </c>
      <c r="AD965" s="90">
        <v>96.434963238715198</v>
      </c>
      <c r="AF965" s="90">
        <v>-1</v>
      </c>
      <c r="AG965" s="90">
        <v>-1</v>
      </c>
      <c r="AH965" s="90">
        <v>-1</v>
      </c>
      <c r="AI965" s="90">
        <v>-1</v>
      </c>
      <c r="AJ965" s="90">
        <v>0</v>
      </c>
      <c r="AM965" s="90" t="s">
        <v>379</v>
      </c>
      <c r="AN965" s="90">
        <v>-1</v>
      </c>
      <c r="AQ965" s="90">
        <v>365</v>
      </c>
      <c r="AR965" s="90" t="s">
        <v>263</v>
      </c>
      <c r="AS965" s="90" t="s">
        <v>394</v>
      </c>
      <c r="AT965" s="90" t="s">
        <v>244</v>
      </c>
      <c r="AU965" s="90">
        <v>1.8981889999999999</v>
      </c>
      <c r="AV965" s="90">
        <v>53.609837002456302</v>
      </c>
      <c r="AW965" s="90">
        <v>105.050445608578</v>
      </c>
      <c r="AX965" s="90">
        <v>7.8211648999999994E-2</v>
      </c>
    </row>
    <row r="966" spans="1:50" x14ac:dyDescent="0.25">
      <c r="A966" s="102">
        <v>830000</v>
      </c>
      <c r="B966" s="102">
        <v>2500000</v>
      </c>
      <c r="C966" s="102">
        <v>2500000</v>
      </c>
      <c r="D966" s="90" t="s">
        <v>374</v>
      </c>
      <c r="E966" s="90" t="s">
        <v>68</v>
      </c>
      <c r="F966" s="90" t="s">
        <v>375</v>
      </c>
      <c r="G966" s="90" t="s">
        <v>376</v>
      </c>
      <c r="H966" s="90">
        <v>0.59</v>
      </c>
      <c r="I966" s="90">
        <v>0.64</v>
      </c>
      <c r="J966" s="90" t="s">
        <v>244</v>
      </c>
      <c r="K966" s="90">
        <v>3.4602917302960001E-2</v>
      </c>
      <c r="L966" s="90">
        <v>3714.9623503799198</v>
      </c>
      <c r="M966" s="90">
        <v>9.2562827835146404</v>
      </c>
      <c r="N966" s="90">
        <v>1.3612142301236001</v>
      </c>
      <c r="O966" s="90">
        <v>0.32029438769082003</v>
      </c>
      <c r="P966" s="90">
        <v>4.7101983436580001E-2</v>
      </c>
      <c r="Q966" s="90">
        <v>128.54853499382801</v>
      </c>
      <c r="R966" s="90">
        <v>1210</v>
      </c>
      <c r="S966" s="90" t="s">
        <v>385</v>
      </c>
      <c r="T966" s="90">
        <v>1210</v>
      </c>
      <c r="U966" s="90" t="s">
        <v>378</v>
      </c>
      <c r="V966" s="90" t="s">
        <v>244</v>
      </c>
      <c r="Z966" s="90">
        <v>0</v>
      </c>
      <c r="AA966" s="90">
        <v>1</v>
      </c>
      <c r="AB966" s="90">
        <v>0.32029438769082003</v>
      </c>
      <c r="AC966" s="90">
        <v>4.7101983436580001E-2</v>
      </c>
      <c r="AD966" s="90">
        <v>128.54853499382699</v>
      </c>
      <c r="AF966" s="90">
        <v>-1</v>
      </c>
      <c r="AG966" s="90">
        <v>-1</v>
      </c>
      <c r="AH966" s="90">
        <v>-1</v>
      </c>
      <c r="AI966" s="90">
        <v>-1</v>
      </c>
      <c r="AJ966" s="90">
        <v>0</v>
      </c>
      <c r="AM966" s="90" t="s">
        <v>379</v>
      </c>
      <c r="AN966" s="90">
        <v>-1</v>
      </c>
      <c r="AQ966" s="90">
        <v>365</v>
      </c>
      <c r="AR966" s="90" t="s">
        <v>263</v>
      </c>
      <c r="AS966" s="90" t="s">
        <v>394</v>
      </c>
      <c r="AT966" s="90" t="s">
        <v>244</v>
      </c>
      <c r="AU966" s="90">
        <v>1.8981889999999999</v>
      </c>
      <c r="AV966" s="90">
        <v>57.155966442088904</v>
      </c>
      <c r="AW966" s="90">
        <v>140.033038121282</v>
      </c>
      <c r="AX966" s="90">
        <v>0.1042567194</v>
      </c>
    </row>
    <row r="967" spans="1:50" x14ac:dyDescent="0.25">
      <c r="A967" s="102">
        <v>830000</v>
      </c>
      <c r="B967" s="102">
        <v>2500000</v>
      </c>
      <c r="C967" s="102">
        <v>2500000</v>
      </c>
      <c r="D967" s="90" t="s">
        <v>374</v>
      </c>
      <c r="E967" s="90" t="s">
        <v>68</v>
      </c>
      <c r="F967" s="90" t="s">
        <v>375</v>
      </c>
      <c r="G967" s="90" t="s">
        <v>376</v>
      </c>
      <c r="H967" s="90">
        <v>0.59</v>
      </c>
      <c r="I967" s="90">
        <v>0.64</v>
      </c>
      <c r="J967" s="90" t="s">
        <v>244</v>
      </c>
      <c r="K967" s="90">
        <v>4.6444989348599997E-3</v>
      </c>
      <c r="L967" s="90">
        <v>3714.9623503799198</v>
      </c>
      <c r="M967" s="90">
        <v>9.2562827835146404</v>
      </c>
      <c r="N967" s="90">
        <v>1.3612142301236001</v>
      </c>
      <c r="O967" s="90">
        <v>4.2990795528860003E-2</v>
      </c>
      <c r="P967" s="90">
        <v>6.3221580419299999E-3</v>
      </c>
      <c r="Q967" s="90">
        <v>17.254138679410499</v>
      </c>
      <c r="R967" s="90">
        <v>1210</v>
      </c>
      <c r="S967" s="90" t="s">
        <v>385</v>
      </c>
      <c r="T967" s="90">
        <v>1210</v>
      </c>
      <c r="U967" s="90" t="s">
        <v>378</v>
      </c>
      <c r="V967" s="90" t="s">
        <v>244</v>
      </c>
      <c r="Z967" s="90">
        <v>0</v>
      </c>
      <c r="AA967" s="90">
        <v>1</v>
      </c>
      <c r="AB967" s="90">
        <v>4.2990795528860003E-2</v>
      </c>
      <c r="AC967" s="90">
        <v>6.3221580419299999E-3</v>
      </c>
      <c r="AD967" s="90">
        <v>17.254138679410602</v>
      </c>
      <c r="AF967" s="90">
        <v>-1</v>
      </c>
      <c r="AG967" s="90">
        <v>-1</v>
      </c>
      <c r="AH967" s="90">
        <v>-1</v>
      </c>
      <c r="AI967" s="90">
        <v>-1</v>
      </c>
      <c r="AJ967" s="90">
        <v>0</v>
      </c>
      <c r="AM967" s="90" t="s">
        <v>379</v>
      </c>
      <c r="AN967" s="90">
        <v>-1</v>
      </c>
      <c r="AQ967" s="90">
        <v>365</v>
      </c>
      <c r="AR967" s="90" t="s">
        <v>263</v>
      </c>
      <c r="AS967" s="90" t="s">
        <v>394</v>
      </c>
      <c r="AT967" s="90" t="s">
        <v>244</v>
      </c>
      <c r="AU967" s="90">
        <v>1.8981889999999999</v>
      </c>
      <c r="AV967" s="90">
        <v>19.551285144684901</v>
      </c>
      <c r="AW967" s="90">
        <v>18.7956203433965</v>
      </c>
      <c r="AX967" s="90">
        <v>1.3993624200000001E-2</v>
      </c>
    </row>
    <row r="968" spans="1:50" x14ac:dyDescent="0.25">
      <c r="A968" s="102">
        <v>830000</v>
      </c>
      <c r="B968" s="102">
        <v>2500000</v>
      </c>
      <c r="C968" s="102">
        <v>2500000</v>
      </c>
      <c r="D968" s="90" t="s">
        <v>374</v>
      </c>
      <c r="E968" s="90" t="s">
        <v>68</v>
      </c>
      <c r="F968" s="90" t="s">
        <v>375</v>
      </c>
      <c r="G968" s="90" t="s">
        <v>376</v>
      </c>
      <c r="H968" s="90">
        <v>0.59</v>
      </c>
      <c r="I968" s="90">
        <v>0.64</v>
      </c>
      <c r="J968" s="90" t="s">
        <v>244</v>
      </c>
      <c r="K968" s="90">
        <v>1.358415454537E-2</v>
      </c>
      <c r="L968" s="90">
        <v>3714.9623505183099</v>
      </c>
      <c r="M968" s="90">
        <v>9.2562827838594703</v>
      </c>
      <c r="N968" s="90">
        <v>1.36121423017431</v>
      </c>
      <c r="O968" s="90">
        <v>0.12573877585161</v>
      </c>
      <c r="P968" s="90">
        <v>1.849094447204E-2</v>
      </c>
      <c r="Q968" s="90">
        <v>50.464622699679197</v>
      </c>
      <c r="R968" s="90">
        <v>1200</v>
      </c>
      <c r="S968" s="90" t="s">
        <v>384</v>
      </c>
      <c r="T968" s="90">
        <v>1200</v>
      </c>
      <c r="U968" s="90" t="s">
        <v>378</v>
      </c>
      <c r="V968" s="90" t="s">
        <v>244</v>
      </c>
      <c r="Z968" s="90">
        <v>0</v>
      </c>
      <c r="AA968" s="90">
        <v>1</v>
      </c>
      <c r="AB968" s="90">
        <v>0.12573877585161</v>
      </c>
      <c r="AC968" s="90">
        <v>1.849094447204E-2</v>
      </c>
      <c r="AD968" s="90">
        <v>124.655877977098</v>
      </c>
      <c r="AF968" s="90">
        <v>-1</v>
      </c>
      <c r="AG968" s="90">
        <v>-1</v>
      </c>
      <c r="AH968" s="90">
        <v>-1</v>
      </c>
      <c r="AI968" s="90">
        <v>-1</v>
      </c>
      <c r="AJ968" s="90">
        <v>0</v>
      </c>
      <c r="AM968" s="90" t="s">
        <v>379</v>
      </c>
      <c r="AN968" s="90">
        <v>-1</v>
      </c>
      <c r="AQ968" s="90">
        <v>365</v>
      </c>
      <c r="AR968" s="90" t="s">
        <v>263</v>
      </c>
      <c r="AS968" s="90" t="s">
        <v>394</v>
      </c>
      <c r="AT968" s="90" t="s">
        <v>244</v>
      </c>
      <c r="AU968" s="90">
        <v>1.8981889999999999</v>
      </c>
      <c r="AV968" s="90">
        <v>101.577815975212</v>
      </c>
      <c r="AW968" s="90">
        <v>54.973123064811901</v>
      </c>
      <c r="AX968" s="90">
        <v>0.1010996577</v>
      </c>
    </row>
    <row r="969" spans="1:50" x14ac:dyDescent="0.25">
      <c r="A969" s="102">
        <v>830000</v>
      </c>
      <c r="B969" s="102">
        <v>2500000</v>
      </c>
      <c r="C969" s="102">
        <v>2500000</v>
      </c>
      <c r="D969" s="90" t="s">
        <v>374</v>
      </c>
      <c r="E969" s="90" t="s">
        <v>68</v>
      </c>
      <c r="F969" s="90" t="s">
        <v>375</v>
      </c>
      <c r="G969" s="90" t="s">
        <v>376</v>
      </c>
      <c r="H969" s="90">
        <v>0.59</v>
      </c>
      <c r="I969" s="90">
        <v>0.64</v>
      </c>
      <c r="J969" s="90" t="s">
        <v>244</v>
      </c>
      <c r="K969" s="90">
        <v>9.6866365708959998E-2</v>
      </c>
      <c r="L969" s="90">
        <v>3714.9623505183099</v>
      </c>
      <c r="M969" s="90">
        <v>9.2562827838594703</v>
      </c>
      <c r="N969" s="90">
        <v>1.36121423017431</v>
      </c>
      <c r="O969" s="90">
        <v>0.89662247324689004</v>
      </c>
      <c r="P969" s="90">
        <v>0.13185587542829999</v>
      </c>
      <c r="Q969" s="90">
        <v>359.85490164032802</v>
      </c>
      <c r="R969" s="90">
        <v>1210</v>
      </c>
      <c r="S969" s="90" t="s">
        <v>385</v>
      </c>
      <c r="T969" s="90">
        <v>1210</v>
      </c>
      <c r="U969" s="90" t="s">
        <v>378</v>
      </c>
      <c r="V969" s="90" t="s">
        <v>244</v>
      </c>
      <c r="Z969" s="90">
        <v>0</v>
      </c>
      <c r="AA969" s="90">
        <v>1</v>
      </c>
      <c r="AB969" s="90">
        <v>0.89662247324689004</v>
      </c>
      <c r="AC969" s="90">
        <v>0.13185587542829999</v>
      </c>
      <c r="AD969" s="90">
        <v>359.85490164032802</v>
      </c>
      <c r="AF969" s="90">
        <v>-1</v>
      </c>
      <c r="AG969" s="90">
        <v>-1</v>
      </c>
      <c r="AH969" s="90">
        <v>-1</v>
      </c>
      <c r="AI969" s="90">
        <v>-1</v>
      </c>
      <c r="AJ969" s="90">
        <v>0</v>
      </c>
      <c r="AM969" s="90" t="s">
        <v>379</v>
      </c>
      <c r="AN969" s="90">
        <v>-1</v>
      </c>
      <c r="AQ969" s="90">
        <v>365</v>
      </c>
      <c r="AR969" s="90" t="s">
        <v>263</v>
      </c>
      <c r="AS969" s="90" t="s">
        <v>394</v>
      </c>
      <c r="AT969" s="90" t="s">
        <v>244</v>
      </c>
      <c r="AU969" s="90">
        <v>1.8981889999999999</v>
      </c>
      <c r="AV969" s="90">
        <v>80.521089977732302</v>
      </c>
      <c r="AW969" s="90">
        <v>392.00427418385601</v>
      </c>
      <c r="AX969" s="90">
        <v>0.2918531238</v>
      </c>
    </row>
    <row r="970" spans="1:50" x14ac:dyDescent="0.25">
      <c r="A970" s="102">
        <v>830000</v>
      </c>
      <c r="B970" s="102">
        <v>2500000</v>
      </c>
      <c r="C970" s="102">
        <v>2500000</v>
      </c>
      <c r="D970" s="90" t="s">
        <v>374</v>
      </c>
      <c r="E970" s="90" t="s">
        <v>68</v>
      </c>
      <c r="F970" s="90" t="s">
        <v>375</v>
      </c>
      <c r="G970" s="90" t="s">
        <v>376</v>
      </c>
      <c r="H970" s="90">
        <v>0.59</v>
      </c>
      <c r="I970" s="90">
        <v>0.64</v>
      </c>
      <c r="J970" s="90" t="s">
        <v>244</v>
      </c>
      <c r="K970" s="90">
        <v>0.10046758376054001</v>
      </c>
      <c r="L970" s="90">
        <v>3714.9623505183099</v>
      </c>
      <c r="M970" s="90">
        <v>9.2562827838594703</v>
      </c>
      <c r="N970" s="90">
        <v>1.36121423017431</v>
      </c>
      <c r="O970" s="90">
        <v>0.92995636589869002</v>
      </c>
      <c r="P970" s="90">
        <v>0.13675790468608001</v>
      </c>
      <c r="Q970" s="90">
        <v>373.23329111796897</v>
      </c>
      <c r="R970" s="90">
        <v>1210</v>
      </c>
      <c r="S970" s="90" t="s">
        <v>385</v>
      </c>
      <c r="T970" s="90">
        <v>1210</v>
      </c>
      <c r="U970" s="90" t="s">
        <v>378</v>
      </c>
      <c r="V970" s="90" t="s">
        <v>244</v>
      </c>
      <c r="Z970" s="90">
        <v>0</v>
      </c>
      <c r="AA970" s="90">
        <v>1</v>
      </c>
      <c r="AB970" s="90">
        <v>0.92995636589869002</v>
      </c>
      <c r="AC970" s="90">
        <v>0.13675790468608001</v>
      </c>
      <c r="AD970" s="90">
        <v>373.23329111796897</v>
      </c>
      <c r="AF970" s="90">
        <v>-1</v>
      </c>
      <c r="AG970" s="90">
        <v>-1</v>
      </c>
      <c r="AH970" s="90">
        <v>-1</v>
      </c>
      <c r="AI970" s="90">
        <v>-1</v>
      </c>
      <c r="AJ970" s="90">
        <v>0</v>
      </c>
      <c r="AM970" s="90" t="s">
        <v>379</v>
      </c>
      <c r="AN970" s="90">
        <v>-1</v>
      </c>
      <c r="AQ970" s="90">
        <v>365</v>
      </c>
      <c r="AR970" s="90" t="s">
        <v>263</v>
      </c>
      <c r="AS970" s="90" t="s">
        <v>394</v>
      </c>
      <c r="AT970" s="90" t="s">
        <v>244</v>
      </c>
      <c r="AU970" s="90">
        <v>1.8981889999999999</v>
      </c>
      <c r="AV970" s="90">
        <v>81.017624284677098</v>
      </c>
      <c r="AW970" s="90">
        <v>406.57788658437198</v>
      </c>
      <c r="AX970" s="90">
        <v>0.30270339909999999</v>
      </c>
    </row>
    <row r="971" spans="1:50" x14ac:dyDescent="0.25">
      <c r="A971" s="102">
        <v>830000</v>
      </c>
      <c r="B971" s="102">
        <v>2500000</v>
      </c>
      <c r="C971" s="102">
        <v>2500000</v>
      </c>
      <c r="D971" s="90" t="s">
        <v>374</v>
      </c>
      <c r="E971" s="90" t="s">
        <v>68</v>
      </c>
      <c r="F971" s="90" t="s">
        <v>375</v>
      </c>
      <c r="G971" s="90" t="s">
        <v>376</v>
      </c>
      <c r="H971" s="90">
        <v>0.59</v>
      </c>
      <c r="I971" s="90">
        <v>0.64</v>
      </c>
      <c r="J971" s="90" t="s">
        <v>244</v>
      </c>
      <c r="K971" s="90">
        <v>3.1074551952999999E-4</v>
      </c>
      <c r="L971" s="90">
        <v>3714.9623505183099</v>
      </c>
      <c r="M971" s="90">
        <v>9.2562827838594703</v>
      </c>
      <c r="N971" s="90">
        <v>1.36121423017431</v>
      </c>
      <c r="O971" s="90">
        <v>2.8763484026599999E-3</v>
      </c>
      <c r="P971" s="90">
        <v>4.2299122315E-4</v>
      </c>
      <c r="Q971" s="90">
        <v>1.15440790567592</v>
      </c>
      <c r="R971" s="90">
        <v>1210</v>
      </c>
      <c r="S971" s="90" t="s">
        <v>385</v>
      </c>
      <c r="T971" s="90">
        <v>1210</v>
      </c>
      <c r="U971" s="90" t="s">
        <v>378</v>
      </c>
      <c r="V971" s="90" t="s">
        <v>244</v>
      </c>
      <c r="Z971" s="90">
        <v>0</v>
      </c>
      <c r="AA971" s="90">
        <v>1</v>
      </c>
      <c r="AB971" s="90">
        <v>2.8763484026599999E-3</v>
      </c>
      <c r="AC971" s="90">
        <v>4.2299122315E-4</v>
      </c>
      <c r="AD971" s="90">
        <v>1.15440790567424</v>
      </c>
      <c r="AF971" s="90">
        <v>-1</v>
      </c>
      <c r="AG971" s="90">
        <v>-1</v>
      </c>
      <c r="AH971" s="90">
        <v>-1</v>
      </c>
      <c r="AI971" s="90">
        <v>-1</v>
      </c>
      <c r="AJ971" s="90">
        <v>0</v>
      </c>
      <c r="AM971" s="90" t="s">
        <v>379</v>
      </c>
      <c r="AN971" s="90">
        <v>-1</v>
      </c>
      <c r="AQ971" s="90">
        <v>365</v>
      </c>
      <c r="AR971" s="90" t="s">
        <v>263</v>
      </c>
      <c r="AS971" s="90" t="s">
        <v>394</v>
      </c>
      <c r="AT971" s="90" t="s">
        <v>244</v>
      </c>
      <c r="AU971" s="90">
        <v>1.8981889999999999</v>
      </c>
      <c r="AV971" s="90">
        <v>12.934934539485599</v>
      </c>
      <c r="AW971" s="90">
        <v>1.2575425014725401</v>
      </c>
      <c r="AX971" s="90">
        <v>9.362595E-4</v>
      </c>
    </row>
    <row r="972" spans="1:50" x14ac:dyDescent="0.25">
      <c r="A972" s="102">
        <v>830000</v>
      </c>
      <c r="B972" s="102">
        <v>2500000</v>
      </c>
      <c r="C972" s="102">
        <v>2500000</v>
      </c>
      <c r="D972" s="90" t="s">
        <v>374</v>
      </c>
      <c r="E972" s="90" t="s">
        <v>68</v>
      </c>
      <c r="F972" s="90" t="s">
        <v>375</v>
      </c>
      <c r="G972" s="90" t="s">
        <v>376</v>
      </c>
      <c r="H972" s="90">
        <v>0.59</v>
      </c>
      <c r="I972" s="90">
        <v>0.64</v>
      </c>
      <c r="J972" s="90" t="s">
        <v>244</v>
      </c>
      <c r="K972" s="90">
        <v>0.19591492354963999</v>
      </c>
      <c r="L972" s="90">
        <v>3714.9623505183099</v>
      </c>
      <c r="M972" s="90">
        <v>9.2562827838594703</v>
      </c>
      <c r="N972" s="90">
        <v>1.36121423017431</v>
      </c>
      <c r="O972" s="90">
        <v>1.8134439339536901</v>
      </c>
      <c r="P972" s="90">
        <v>0.26668218183928</v>
      </c>
      <c r="Q972" s="90">
        <v>727.81656489159298</v>
      </c>
      <c r="R972" s="90">
        <v>1210</v>
      </c>
      <c r="S972" s="90" t="s">
        <v>385</v>
      </c>
      <c r="T972" s="90">
        <v>1210</v>
      </c>
      <c r="U972" s="90" t="s">
        <v>378</v>
      </c>
      <c r="V972" s="90" t="s">
        <v>244</v>
      </c>
      <c r="Z972" s="90">
        <v>0</v>
      </c>
      <c r="AA972" s="90">
        <v>1</v>
      </c>
      <c r="AB972" s="90">
        <v>1.8134439339536901</v>
      </c>
      <c r="AC972" s="90">
        <v>0.26668218183928</v>
      </c>
      <c r="AD972" s="90">
        <v>727.81656489159298</v>
      </c>
      <c r="AF972" s="90">
        <v>-1</v>
      </c>
      <c r="AG972" s="90">
        <v>-1</v>
      </c>
      <c r="AH972" s="90">
        <v>-1</v>
      </c>
      <c r="AI972" s="90">
        <v>-1</v>
      </c>
      <c r="AJ972" s="90">
        <v>0</v>
      </c>
      <c r="AM972" s="90" t="s">
        <v>379</v>
      </c>
      <c r="AN972" s="90">
        <v>-1</v>
      </c>
      <c r="AQ972" s="90">
        <v>365</v>
      </c>
      <c r="AR972" s="90" t="s">
        <v>263</v>
      </c>
      <c r="AS972" s="90" t="s">
        <v>394</v>
      </c>
      <c r="AT972" s="90" t="s">
        <v>244</v>
      </c>
      <c r="AU972" s="90">
        <v>1.8981889999999999</v>
      </c>
      <c r="AV972" s="90">
        <v>113.973512724797</v>
      </c>
      <c r="AW972" s="90">
        <v>792.83956661087404</v>
      </c>
      <c r="AX972" s="90">
        <v>0.5902810745</v>
      </c>
    </row>
    <row r="973" spans="1:50" x14ac:dyDescent="0.25">
      <c r="A973" s="102">
        <v>830000</v>
      </c>
      <c r="B973" s="102">
        <v>2500000</v>
      </c>
      <c r="C973" s="102">
        <v>2500000</v>
      </c>
      <c r="D973" s="90" t="s">
        <v>374</v>
      </c>
      <c r="E973" s="90" t="s">
        <v>68</v>
      </c>
      <c r="F973" s="90" t="s">
        <v>375</v>
      </c>
      <c r="G973" s="90" t="s">
        <v>376</v>
      </c>
      <c r="H973" s="90">
        <v>0.59</v>
      </c>
      <c r="I973" s="90">
        <v>0.64</v>
      </c>
      <c r="J973" s="90" t="s">
        <v>244</v>
      </c>
      <c r="K973" s="90">
        <v>0.17974132615760999</v>
      </c>
      <c r="L973" s="90">
        <v>3714.9623505183099</v>
      </c>
      <c r="M973" s="90">
        <v>9.2562827838594703</v>
      </c>
      <c r="N973" s="90">
        <v>1.36121423017431</v>
      </c>
      <c r="O973" s="90">
        <v>1.66373654286076</v>
      </c>
      <c r="P973" s="90">
        <v>0.24466645091614</v>
      </c>
      <c r="Q973" s="90">
        <v>667.73225950775702</v>
      </c>
      <c r="R973" s="90">
        <v>1210</v>
      </c>
      <c r="S973" s="90" t="s">
        <v>385</v>
      </c>
      <c r="T973" s="90">
        <v>1210</v>
      </c>
      <c r="U973" s="90" t="s">
        <v>378</v>
      </c>
      <c r="V973" s="90" t="s">
        <v>244</v>
      </c>
      <c r="Z973" s="90">
        <v>0</v>
      </c>
      <c r="AA973" s="90">
        <v>1</v>
      </c>
      <c r="AB973" s="90">
        <v>1.66373654286076</v>
      </c>
      <c r="AC973" s="90">
        <v>0.24466645091614</v>
      </c>
      <c r="AD973" s="90">
        <v>667.73225950775702</v>
      </c>
      <c r="AF973" s="90">
        <v>-1</v>
      </c>
      <c r="AG973" s="90">
        <v>-1</v>
      </c>
      <c r="AH973" s="90">
        <v>-1</v>
      </c>
      <c r="AI973" s="90">
        <v>-1</v>
      </c>
      <c r="AJ973" s="90">
        <v>0</v>
      </c>
      <c r="AM973" s="90" t="s">
        <v>379</v>
      </c>
      <c r="AN973" s="90">
        <v>-1</v>
      </c>
      <c r="AQ973" s="90">
        <v>365</v>
      </c>
      <c r="AR973" s="90" t="s">
        <v>263</v>
      </c>
      <c r="AS973" s="90" t="s">
        <v>394</v>
      </c>
      <c r="AT973" s="90" t="s">
        <v>244</v>
      </c>
      <c r="AU973" s="90">
        <v>1.8981889999999999</v>
      </c>
      <c r="AV973" s="90">
        <v>109.628129265662</v>
      </c>
      <c r="AW973" s="90">
        <v>727.38734013162104</v>
      </c>
      <c r="AX973" s="90">
        <v>0.54155089980000004</v>
      </c>
    </row>
    <row r="974" spans="1:50" x14ac:dyDescent="0.25">
      <c r="A974" s="102">
        <v>830000</v>
      </c>
      <c r="B974" s="102">
        <v>2500000</v>
      </c>
      <c r="C974" s="102">
        <v>2500000</v>
      </c>
      <c r="D974" s="90" t="s">
        <v>374</v>
      </c>
      <c r="E974" s="90" t="s">
        <v>68</v>
      </c>
      <c r="F974" s="90" t="s">
        <v>375</v>
      </c>
      <c r="G974" s="90" t="s">
        <v>376</v>
      </c>
      <c r="H974" s="90">
        <v>0.59</v>
      </c>
      <c r="I974" s="90">
        <v>0.64</v>
      </c>
      <c r="J974" s="90" t="s">
        <v>244</v>
      </c>
      <c r="K974" s="90">
        <v>1.090742382796E-2</v>
      </c>
      <c r="L974" s="90">
        <v>3714.9623505183099</v>
      </c>
      <c r="M974" s="90">
        <v>9.2562827838594703</v>
      </c>
      <c r="N974" s="90">
        <v>1.36121423017431</v>
      </c>
      <c r="O974" s="90">
        <v>0.10096219939506</v>
      </c>
      <c r="P974" s="90">
        <v>1.484734052917E-2</v>
      </c>
      <c r="Q974" s="90">
        <v>40.520668862039997</v>
      </c>
      <c r="R974" s="90">
        <v>1210</v>
      </c>
      <c r="S974" s="90" t="s">
        <v>385</v>
      </c>
      <c r="T974" s="90">
        <v>1210</v>
      </c>
      <c r="U974" s="90" t="s">
        <v>378</v>
      </c>
      <c r="V974" s="90" t="s">
        <v>244</v>
      </c>
      <c r="Z974" s="90">
        <v>0</v>
      </c>
      <c r="AA974" s="90">
        <v>1</v>
      </c>
      <c r="AB974" s="90">
        <v>0.10096219939506</v>
      </c>
      <c r="AC974" s="90">
        <v>1.484734052917E-2</v>
      </c>
      <c r="AD974" s="90">
        <v>40.520668862039201</v>
      </c>
      <c r="AF974" s="90">
        <v>-1</v>
      </c>
      <c r="AG974" s="90">
        <v>-1</v>
      </c>
      <c r="AH974" s="90">
        <v>-1</v>
      </c>
      <c r="AI974" s="90">
        <v>-1</v>
      </c>
      <c r="AJ974" s="90">
        <v>0</v>
      </c>
      <c r="AM974" s="90" t="s">
        <v>379</v>
      </c>
      <c r="AN974" s="90">
        <v>-1</v>
      </c>
      <c r="AQ974" s="90">
        <v>365</v>
      </c>
      <c r="AR974" s="90" t="s">
        <v>263</v>
      </c>
      <c r="AS974" s="90" t="s">
        <v>394</v>
      </c>
      <c r="AT974" s="90" t="s">
        <v>244</v>
      </c>
      <c r="AU974" s="90">
        <v>1.8981889999999999</v>
      </c>
      <c r="AV974" s="90">
        <v>65.711368173081894</v>
      </c>
      <c r="AW974" s="90">
        <v>44.140778170042097</v>
      </c>
      <c r="AX974" s="90">
        <v>3.28634784E-2</v>
      </c>
    </row>
    <row r="975" spans="1:50" x14ac:dyDescent="0.25">
      <c r="A975" s="102">
        <v>830000</v>
      </c>
      <c r="B975" s="102">
        <v>2500000</v>
      </c>
      <c r="C975" s="102">
        <v>2500000</v>
      </c>
      <c r="D975" s="90" t="s">
        <v>374</v>
      </c>
      <c r="E975" s="90" t="s">
        <v>68</v>
      </c>
      <c r="F975" s="90" t="s">
        <v>375</v>
      </c>
      <c r="G975" s="90" t="s">
        <v>376</v>
      </c>
      <c r="H975" s="90">
        <v>0.59</v>
      </c>
      <c r="I975" s="90">
        <v>0.64</v>
      </c>
      <c r="J975" s="90" t="s">
        <v>244</v>
      </c>
      <c r="K975" s="90">
        <v>0.17113230151945999</v>
      </c>
      <c r="L975" s="90">
        <v>3713.6570372881902</v>
      </c>
      <c r="M975" s="90">
        <v>9.2531954732780406</v>
      </c>
      <c r="N975" s="90">
        <v>1.3607658252111801</v>
      </c>
      <c r="O975" s="90">
        <v>1.5835206377515401</v>
      </c>
      <c r="P975" s="90">
        <v>0.23287098749742</v>
      </c>
      <c r="Q975" s="90">
        <v>635.52667584507799</v>
      </c>
      <c r="R975" s="90">
        <v>1200</v>
      </c>
      <c r="S975" s="90" t="s">
        <v>384</v>
      </c>
      <c r="T975" s="90">
        <v>1200</v>
      </c>
      <c r="U975" s="90" t="s">
        <v>378</v>
      </c>
      <c r="V975" s="90" t="s">
        <v>244</v>
      </c>
      <c r="Z975" s="90">
        <v>0</v>
      </c>
      <c r="AA975" s="90">
        <v>1</v>
      </c>
      <c r="AB975" s="90">
        <v>1.5835206377515401</v>
      </c>
      <c r="AC975" s="90">
        <v>0.23287098749742</v>
      </c>
      <c r="AD975" s="90">
        <v>703.375383188819</v>
      </c>
      <c r="AF975" s="90">
        <v>-1</v>
      </c>
      <c r="AG975" s="90">
        <v>-1</v>
      </c>
      <c r="AH975" s="90">
        <v>-1</v>
      </c>
      <c r="AI975" s="90">
        <v>-1</v>
      </c>
      <c r="AJ975" s="90">
        <v>0</v>
      </c>
      <c r="AM975" s="90" t="s">
        <v>379</v>
      </c>
      <c r="AN975" s="90">
        <v>-1</v>
      </c>
      <c r="AQ975" s="90">
        <v>365</v>
      </c>
      <c r="AR975" s="90" t="s">
        <v>263</v>
      </c>
      <c r="AS975" s="90" t="s">
        <v>394</v>
      </c>
      <c r="AT975" s="90" t="s">
        <v>244</v>
      </c>
      <c r="AU975" s="90">
        <v>1.8981889999999999</v>
      </c>
      <c r="AV975" s="90">
        <v>127.79325874154</v>
      </c>
      <c r="AW975" s="90">
        <v>692.54785348412997</v>
      </c>
      <c r="AX975" s="90">
        <v>0.57045854269999996</v>
      </c>
    </row>
    <row r="976" spans="1:50" x14ac:dyDescent="0.25">
      <c r="A976" s="102">
        <v>830000</v>
      </c>
      <c r="B976" s="102">
        <v>2500000</v>
      </c>
      <c r="C976" s="102">
        <v>2500000</v>
      </c>
      <c r="D976" s="90" t="s">
        <v>374</v>
      </c>
      <c r="E976" s="90" t="s">
        <v>68</v>
      </c>
      <c r="F976" s="90" t="s">
        <v>375</v>
      </c>
      <c r="G976" s="90" t="s">
        <v>376</v>
      </c>
      <c r="H976" s="90">
        <v>0.59</v>
      </c>
      <c r="I976" s="90">
        <v>0.64</v>
      </c>
      <c r="J976" s="90" t="s">
        <v>244</v>
      </c>
      <c r="K976" s="90">
        <v>1.2038303E-3</v>
      </c>
      <c r="L976" s="90">
        <v>3713.6570372881902</v>
      </c>
      <c r="M976" s="90">
        <v>9.2531954732780406</v>
      </c>
      <c r="N976" s="90">
        <v>1.3607658252111801</v>
      </c>
      <c r="O976" s="90">
        <v>1.113927708258E-2</v>
      </c>
      <c r="P976" s="90">
        <v>1.6381311315900001E-3</v>
      </c>
      <c r="Q976" s="90">
        <v>4.4706128653068902</v>
      </c>
      <c r="R976" s="90">
        <v>1210</v>
      </c>
      <c r="S976" s="90" t="s">
        <v>385</v>
      </c>
      <c r="T976" s="90">
        <v>1210</v>
      </c>
      <c r="U976" s="90" t="s">
        <v>378</v>
      </c>
      <c r="V976" s="90" t="s">
        <v>244</v>
      </c>
      <c r="Z976" s="90">
        <v>0</v>
      </c>
      <c r="AA976" s="90">
        <v>1</v>
      </c>
      <c r="AB976" s="90">
        <v>1.113927708258E-2</v>
      </c>
      <c r="AC976" s="90">
        <v>1.6381311315900001E-3</v>
      </c>
      <c r="AD976" s="90">
        <v>4.4706128653056298</v>
      </c>
      <c r="AF976" s="90">
        <v>-1</v>
      </c>
      <c r="AG976" s="90">
        <v>-1</v>
      </c>
      <c r="AH976" s="90">
        <v>-1</v>
      </c>
      <c r="AI976" s="90">
        <v>-1</v>
      </c>
      <c r="AJ976" s="90">
        <v>0</v>
      </c>
      <c r="AM976" s="90" t="s">
        <v>379</v>
      </c>
      <c r="AN976" s="90">
        <v>-1</v>
      </c>
      <c r="AQ976" s="90">
        <v>365</v>
      </c>
      <c r="AR976" s="90" t="s">
        <v>263</v>
      </c>
      <c r="AS976" s="90" t="s">
        <v>394</v>
      </c>
      <c r="AT976" s="90" t="s">
        <v>244</v>
      </c>
      <c r="AU976" s="90">
        <v>1.8981889999999999</v>
      </c>
      <c r="AV976" s="90">
        <v>25.458747584589599</v>
      </c>
      <c r="AW976" s="90">
        <v>4.8717283810454903</v>
      </c>
      <c r="AX976" s="90">
        <v>3.6258012000000002E-3</v>
      </c>
    </row>
    <row r="977" spans="1:50" x14ac:dyDescent="0.25">
      <c r="A977" s="102">
        <v>830000</v>
      </c>
      <c r="B977" s="102">
        <v>2500000</v>
      </c>
      <c r="C977" s="102">
        <v>2500000</v>
      </c>
      <c r="D977" s="90" t="s">
        <v>374</v>
      </c>
      <c r="E977" s="90" t="s">
        <v>68</v>
      </c>
      <c r="F977" s="90" t="s">
        <v>375</v>
      </c>
      <c r="G977" s="90" t="s">
        <v>376</v>
      </c>
      <c r="H977" s="90">
        <v>0.59</v>
      </c>
      <c r="I977" s="90">
        <v>0.64</v>
      </c>
      <c r="J977" s="90" t="s">
        <v>244</v>
      </c>
      <c r="K977" s="90">
        <v>0.10849967614832</v>
      </c>
      <c r="L977" s="90">
        <v>3713.6570372881902</v>
      </c>
      <c r="M977" s="90">
        <v>9.2531954732780406</v>
      </c>
      <c r="N977" s="90">
        <v>1.3607658252111801</v>
      </c>
      <c r="O977" s="90">
        <v>1.00396871218785</v>
      </c>
      <c r="P977" s="90">
        <v>0.14764265134912</v>
      </c>
      <c r="Q977" s="90">
        <v>402.93058587173101</v>
      </c>
      <c r="R977" s="90">
        <v>1210</v>
      </c>
      <c r="S977" s="90" t="s">
        <v>385</v>
      </c>
      <c r="T977" s="90">
        <v>1210</v>
      </c>
      <c r="U977" s="90" t="s">
        <v>378</v>
      </c>
      <c r="V977" s="90" t="s">
        <v>244</v>
      </c>
      <c r="Z977" s="90">
        <v>0</v>
      </c>
      <c r="AA977" s="90">
        <v>1</v>
      </c>
      <c r="AB977" s="90">
        <v>1.00396871218785</v>
      </c>
      <c r="AC977" s="90">
        <v>0.14764265134912</v>
      </c>
      <c r="AD977" s="90">
        <v>402.93058587173101</v>
      </c>
      <c r="AF977" s="90">
        <v>-1</v>
      </c>
      <c r="AG977" s="90">
        <v>-1</v>
      </c>
      <c r="AH977" s="90">
        <v>-1</v>
      </c>
      <c r="AI977" s="90">
        <v>-1</v>
      </c>
      <c r="AJ977" s="90">
        <v>0</v>
      </c>
      <c r="AM977" s="90" t="s">
        <v>379</v>
      </c>
      <c r="AN977" s="90">
        <v>-1</v>
      </c>
      <c r="AQ977" s="90">
        <v>365</v>
      </c>
      <c r="AR977" s="90" t="s">
        <v>263</v>
      </c>
      <c r="AS977" s="90" t="s">
        <v>394</v>
      </c>
      <c r="AT977" s="90" t="s">
        <v>244</v>
      </c>
      <c r="AU977" s="90">
        <v>1.8981889999999999</v>
      </c>
      <c r="AV977" s="90">
        <v>83.826605138766496</v>
      </c>
      <c r="AW977" s="90">
        <v>439.08261124918403</v>
      </c>
      <c r="AX977" s="90">
        <v>0.32678879630000002</v>
      </c>
    </row>
    <row r="978" spans="1:50" x14ac:dyDescent="0.25">
      <c r="A978" s="102">
        <v>830000</v>
      </c>
      <c r="B978" s="102">
        <v>2500000</v>
      </c>
      <c r="C978" s="102">
        <v>2500000</v>
      </c>
      <c r="D978" s="90" t="s">
        <v>374</v>
      </c>
      <c r="E978" s="90" t="s">
        <v>68</v>
      </c>
      <c r="F978" s="90" t="s">
        <v>375</v>
      </c>
      <c r="G978" s="90" t="s">
        <v>376</v>
      </c>
      <c r="H978" s="90">
        <v>0.59</v>
      </c>
      <c r="I978" s="90">
        <v>0.64</v>
      </c>
      <c r="J978" s="90" t="s">
        <v>244</v>
      </c>
      <c r="K978" s="90">
        <v>0.16447059177755999</v>
      </c>
      <c r="L978" s="90">
        <v>3713.6570372881902</v>
      </c>
      <c r="M978" s="90">
        <v>9.2531954732780406</v>
      </c>
      <c r="N978" s="90">
        <v>1.3607658252111801</v>
      </c>
      <c r="O978" s="90">
        <v>1.5218785353235</v>
      </c>
      <c r="P978" s="90">
        <v>0.22380596054315999</v>
      </c>
      <c r="Q978" s="90">
        <v>610.78737058169997</v>
      </c>
      <c r="R978" s="90">
        <v>1210</v>
      </c>
      <c r="S978" s="90" t="s">
        <v>385</v>
      </c>
      <c r="T978" s="90">
        <v>1210</v>
      </c>
      <c r="U978" s="90" t="s">
        <v>378</v>
      </c>
      <c r="V978" s="90" t="s">
        <v>244</v>
      </c>
      <c r="Z978" s="90">
        <v>0</v>
      </c>
      <c r="AA978" s="90">
        <v>1</v>
      </c>
      <c r="AB978" s="90">
        <v>1.5218785353235</v>
      </c>
      <c r="AC978" s="90">
        <v>0.22380596054315999</v>
      </c>
      <c r="AD978" s="90">
        <v>610.78737058169997</v>
      </c>
      <c r="AF978" s="90">
        <v>-1</v>
      </c>
      <c r="AG978" s="90">
        <v>-1</v>
      </c>
      <c r="AH978" s="90">
        <v>-1</v>
      </c>
      <c r="AI978" s="90">
        <v>-1</v>
      </c>
      <c r="AJ978" s="90">
        <v>0</v>
      </c>
      <c r="AM978" s="90" t="s">
        <v>379</v>
      </c>
      <c r="AN978" s="90">
        <v>-1</v>
      </c>
      <c r="AQ978" s="90">
        <v>365</v>
      </c>
      <c r="AR978" s="90" t="s">
        <v>263</v>
      </c>
      <c r="AS978" s="90" t="s">
        <v>394</v>
      </c>
      <c r="AT978" s="90" t="s">
        <v>244</v>
      </c>
      <c r="AU978" s="90">
        <v>1.8981889999999999</v>
      </c>
      <c r="AV978" s="90">
        <v>104.720725319153</v>
      </c>
      <c r="AW978" s="90">
        <v>665.58887063095995</v>
      </c>
      <c r="AX978" s="90">
        <v>0.49536688610000001</v>
      </c>
    </row>
    <row r="979" spans="1:50" x14ac:dyDescent="0.25">
      <c r="A979" s="102">
        <v>830000</v>
      </c>
      <c r="B979" s="102">
        <v>2500000</v>
      </c>
      <c r="C979" s="102">
        <v>2500000</v>
      </c>
      <c r="D979" s="90" t="s">
        <v>374</v>
      </c>
      <c r="E979" s="90" t="s">
        <v>68</v>
      </c>
      <c r="F979" s="90" t="s">
        <v>375</v>
      </c>
      <c r="G979" s="90" t="s">
        <v>376</v>
      </c>
      <c r="H979" s="90">
        <v>0.59</v>
      </c>
      <c r="I979" s="90">
        <v>0.64</v>
      </c>
      <c r="J979" s="90" t="s">
        <v>244</v>
      </c>
      <c r="K979" s="90">
        <v>8.200930898771E-2</v>
      </c>
      <c r="L979" s="90">
        <v>3713.6570371498401</v>
      </c>
      <c r="M979" s="90">
        <v>9.2531954729333297</v>
      </c>
      <c r="N979" s="90">
        <v>1.3607658251604899</v>
      </c>
      <c r="O979" s="90">
        <v>0.75884816666346999</v>
      </c>
      <c r="P979" s="90">
        <v>0.11159546501549999</v>
      </c>
      <c r="Q979" s="90">
        <v>304.55444743400898</v>
      </c>
      <c r="R979" s="90">
        <v>1200</v>
      </c>
      <c r="S979" s="90" t="s">
        <v>384</v>
      </c>
      <c r="T979" s="90">
        <v>1200</v>
      </c>
      <c r="U979" s="90" t="s">
        <v>378</v>
      </c>
      <c r="V979" s="90" t="s">
        <v>244</v>
      </c>
      <c r="Z979" s="90">
        <v>0</v>
      </c>
      <c r="AA979" s="90">
        <v>1</v>
      </c>
      <c r="AB979" s="90">
        <v>0.75884816666346999</v>
      </c>
      <c r="AC979" s="90">
        <v>0.11159546501549999</v>
      </c>
      <c r="AD979" s="90">
        <v>943.81008583159996</v>
      </c>
      <c r="AF979" s="90">
        <v>-1</v>
      </c>
      <c r="AG979" s="90">
        <v>-1</v>
      </c>
      <c r="AH979" s="90">
        <v>-1</v>
      </c>
      <c r="AI979" s="90">
        <v>-1</v>
      </c>
      <c r="AJ979" s="90">
        <v>0</v>
      </c>
      <c r="AM979" s="90" t="s">
        <v>379</v>
      </c>
      <c r="AN979" s="90">
        <v>-1</v>
      </c>
      <c r="AQ979" s="90">
        <v>365</v>
      </c>
      <c r="AR979" s="90" t="s">
        <v>263</v>
      </c>
      <c r="AS979" s="90" t="s">
        <v>394</v>
      </c>
      <c r="AT979" s="90" t="s">
        <v>244</v>
      </c>
      <c r="AU979" s="90">
        <v>1.8981889999999999</v>
      </c>
      <c r="AV979" s="90">
        <v>99.837977485730704</v>
      </c>
      <c r="AW979" s="90">
        <v>331.87989877350299</v>
      </c>
      <c r="AX979" s="90">
        <v>0.76545830159999995</v>
      </c>
    </row>
    <row r="980" spans="1:50" x14ac:dyDescent="0.25">
      <c r="A980" s="102">
        <v>830000</v>
      </c>
      <c r="B980" s="102">
        <v>2500000</v>
      </c>
      <c r="C980" s="102">
        <v>2500000</v>
      </c>
      <c r="D980" s="90" t="s">
        <v>374</v>
      </c>
      <c r="E980" s="90" t="s">
        <v>68</v>
      </c>
      <c r="F980" s="90" t="s">
        <v>375</v>
      </c>
      <c r="G980" s="90" t="s">
        <v>376</v>
      </c>
      <c r="H980" s="90">
        <v>0.59</v>
      </c>
      <c r="I980" s="90">
        <v>0.64</v>
      </c>
      <c r="J980" s="90" t="s">
        <v>244</v>
      </c>
      <c r="K980" s="90">
        <v>4.2517335730270001E-2</v>
      </c>
      <c r="L980" s="90">
        <v>3713.6570371498401</v>
      </c>
      <c r="M980" s="90">
        <v>9.2531954729333297</v>
      </c>
      <c r="N980" s="90">
        <v>1.3607658251604899</v>
      </c>
      <c r="O980" s="90">
        <v>0.39342121850056</v>
      </c>
      <c r="P980" s="90">
        <v>5.7856137438630002E-2</v>
      </c>
      <c r="Q980" s="90">
        <v>157.89480303559799</v>
      </c>
      <c r="R980" s="90">
        <v>1210</v>
      </c>
      <c r="S980" s="90" t="s">
        <v>385</v>
      </c>
      <c r="T980" s="90">
        <v>1210</v>
      </c>
      <c r="U980" s="90" t="s">
        <v>378</v>
      </c>
      <c r="V980" s="90" t="s">
        <v>244</v>
      </c>
      <c r="Z980" s="90">
        <v>0</v>
      </c>
      <c r="AA980" s="90">
        <v>1</v>
      </c>
      <c r="AB980" s="90">
        <v>0.39342121850056</v>
      </c>
      <c r="AC980" s="90">
        <v>5.7856137438630002E-2</v>
      </c>
      <c r="AD980" s="90">
        <v>157.89480303559901</v>
      </c>
      <c r="AF980" s="90">
        <v>-1</v>
      </c>
      <c r="AG980" s="90">
        <v>-1</v>
      </c>
      <c r="AH980" s="90">
        <v>-1</v>
      </c>
      <c r="AI980" s="90">
        <v>-1</v>
      </c>
      <c r="AJ980" s="90">
        <v>0</v>
      </c>
      <c r="AM980" s="90" t="s">
        <v>379</v>
      </c>
      <c r="AN980" s="90">
        <v>-1</v>
      </c>
      <c r="AQ980" s="90">
        <v>365</v>
      </c>
      <c r="AR980" s="90" t="s">
        <v>263</v>
      </c>
      <c r="AS980" s="90" t="s">
        <v>394</v>
      </c>
      <c r="AT980" s="90" t="s">
        <v>244</v>
      </c>
      <c r="AU980" s="90">
        <v>1.8981889999999999</v>
      </c>
      <c r="AV980" s="90">
        <v>58.4700435565086</v>
      </c>
      <c r="AW980" s="90">
        <v>172.06155316340099</v>
      </c>
      <c r="AX980" s="90">
        <v>0.12805742340000001</v>
      </c>
    </row>
    <row r="981" spans="1:50" x14ac:dyDescent="0.25">
      <c r="A981" s="102">
        <v>830000</v>
      </c>
      <c r="B981" s="102">
        <v>2400000</v>
      </c>
      <c r="C981" s="102">
        <v>2400000</v>
      </c>
      <c r="D981" s="90" t="s">
        <v>374</v>
      </c>
      <c r="E981" s="90" t="s">
        <v>68</v>
      </c>
      <c r="F981" s="90" t="s">
        <v>375</v>
      </c>
      <c r="G981" s="90" t="s">
        <v>376</v>
      </c>
      <c r="H981" s="90">
        <v>0.59</v>
      </c>
      <c r="I981" s="90">
        <v>0.64</v>
      </c>
      <c r="J981" s="90" t="s">
        <v>244</v>
      </c>
      <c r="K981" s="90">
        <v>7.0104661750520006E-2</v>
      </c>
      <c r="L981" s="90">
        <v>3668.9997107157601</v>
      </c>
      <c r="M981" s="90">
        <v>9.1499915969963599</v>
      </c>
      <c r="N981" s="90">
        <v>1.3458629876549599</v>
      </c>
      <c r="O981" s="90">
        <v>0.64145706592758001</v>
      </c>
      <c r="P981" s="90">
        <v>9.4351269512100003E-2</v>
      </c>
      <c r="Q981" s="90">
        <v>257.21398368250601</v>
      </c>
      <c r="R981" s="90">
        <v>1200</v>
      </c>
      <c r="S981" s="90" t="s">
        <v>384</v>
      </c>
      <c r="T981" s="90">
        <v>1200</v>
      </c>
      <c r="U981" s="90" t="s">
        <v>378</v>
      </c>
      <c r="V981" s="90" t="s">
        <v>244</v>
      </c>
      <c r="Z981" s="90">
        <v>0</v>
      </c>
      <c r="AA981" s="90">
        <v>1</v>
      </c>
      <c r="AB981" s="90">
        <v>0.64145706592758001</v>
      </c>
      <c r="AC981" s="90">
        <v>9.4351269512100003E-2</v>
      </c>
      <c r="AD981" s="90">
        <v>755.59091485592796</v>
      </c>
      <c r="AF981" s="90">
        <v>-1</v>
      </c>
      <c r="AG981" s="90">
        <v>-1</v>
      </c>
      <c r="AH981" s="90">
        <v>-1</v>
      </c>
      <c r="AI981" s="90">
        <v>-1</v>
      </c>
      <c r="AJ981" s="90">
        <v>0</v>
      </c>
      <c r="AM981" s="90" t="s">
        <v>379</v>
      </c>
      <c r="AN981" s="90">
        <v>-1</v>
      </c>
      <c r="AQ981" s="90">
        <v>366</v>
      </c>
      <c r="AR981" s="90" t="s">
        <v>265</v>
      </c>
      <c r="AS981" s="90" t="s">
        <v>395</v>
      </c>
      <c r="AT981" s="90" t="s">
        <v>244</v>
      </c>
      <c r="AU981" s="90">
        <v>2.028842</v>
      </c>
      <c r="AV981" s="90">
        <v>85.044239960565307</v>
      </c>
      <c r="AW981" s="90">
        <v>283.70350064529703</v>
      </c>
      <c r="AX981" s="90">
        <v>0.61280690579999997</v>
      </c>
    </row>
    <row r="982" spans="1:50" x14ac:dyDescent="0.25">
      <c r="A982" s="102">
        <v>830000</v>
      </c>
      <c r="B982" s="102">
        <v>2400000</v>
      </c>
      <c r="C982" s="102">
        <v>2400000</v>
      </c>
      <c r="D982" s="90" t="s">
        <v>374</v>
      </c>
      <c r="E982" s="90" t="s">
        <v>68</v>
      </c>
      <c r="F982" s="90" t="s">
        <v>375</v>
      </c>
      <c r="G982" s="90" t="s">
        <v>376</v>
      </c>
      <c r="H982" s="90">
        <v>0.59</v>
      </c>
      <c r="I982" s="90">
        <v>0.64</v>
      </c>
      <c r="J982" s="90" t="s">
        <v>244</v>
      </c>
      <c r="K982" s="90">
        <v>5.4443964558700004E-3</v>
      </c>
      <c r="L982" s="90">
        <v>3668.9997107157601</v>
      </c>
      <c r="M982" s="90">
        <v>9.1499915969963599</v>
      </c>
      <c r="N982" s="90">
        <v>1.3458629876549599</v>
      </c>
      <c r="O982" s="90">
        <v>4.9816181821989998E-2</v>
      </c>
      <c r="P982" s="90">
        <v>7.3274116800799999E-3</v>
      </c>
      <c r="Q982" s="90">
        <v>19.975489021634601</v>
      </c>
      <c r="R982" s="90">
        <v>1210</v>
      </c>
      <c r="S982" s="90" t="s">
        <v>385</v>
      </c>
      <c r="T982" s="90">
        <v>1210</v>
      </c>
      <c r="U982" s="90" t="s">
        <v>378</v>
      </c>
      <c r="V982" s="90" t="s">
        <v>244</v>
      </c>
      <c r="Z982" s="90">
        <v>0</v>
      </c>
      <c r="AA982" s="90">
        <v>1</v>
      </c>
      <c r="AB982" s="90">
        <v>4.9816181821989998E-2</v>
      </c>
      <c r="AC982" s="90">
        <v>7.3274116800799999E-3</v>
      </c>
      <c r="AD982" s="90">
        <v>451.84842766129799</v>
      </c>
      <c r="AF982" s="90">
        <v>-1</v>
      </c>
      <c r="AG982" s="90">
        <v>-1</v>
      </c>
      <c r="AH982" s="90">
        <v>-1</v>
      </c>
      <c r="AI982" s="90">
        <v>-1</v>
      </c>
      <c r="AJ982" s="90">
        <v>0</v>
      </c>
      <c r="AM982" s="90" t="s">
        <v>379</v>
      </c>
      <c r="AN982" s="90">
        <v>-1</v>
      </c>
      <c r="AQ982" s="90">
        <v>366</v>
      </c>
      <c r="AR982" s="90" t="s">
        <v>265</v>
      </c>
      <c r="AS982" s="90" t="s">
        <v>395</v>
      </c>
      <c r="AT982" s="90" t="s">
        <v>244</v>
      </c>
      <c r="AU982" s="90">
        <v>2.028842</v>
      </c>
      <c r="AV982" s="90">
        <v>56.479177652302901</v>
      </c>
      <c r="AW982" s="90">
        <v>22.032690763558499</v>
      </c>
      <c r="AX982" s="90">
        <v>0.36646263400000001</v>
      </c>
    </row>
    <row r="983" spans="1:50" x14ac:dyDescent="0.25">
      <c r="A983" s="102">
        <v>830000</v>
      </c>
      <c r="B983" s="102">
        <v>2400000</v>
      </c>
      <c r="C983" s="102">
        <v>2400000</v>
      </c>
      <c r="D983" s="90" t="s">
        <v>374</v>
      </c>
      <c r="E983" s="90" t="s">
        <v>68</v>
      </c>
      <c r="F983" s="90" t="s">
        <v>375</v>
      </c>
      <c r="G983" s="90" t="s">
        <v>376</v>
      </c>
      <c r="H983" s="90">
        <v>0.59</v>
      </c>
      <c r="I983" s="90">
        <v>0.64</v>
      </c>
      <c r="J983" s="90" t="s">
        <v>244</v>
      </c>
      <c r="K983" s="90">
        <v>0.17291570698816</v>
      </c>
      <c r="L983" s="90">
        <v>3668.9997107157601</v>
      </c>
      <c r="M983" s="90">
        <v>9.1499915969963599</v>
      </c>
      <c r="N983" s="90">
        <v>1.3458629876549599</v>
      </c>
      <c r="O983" s="90">
        <v>1.5821772659303499</v>
      </c>
      <c r="P983" s="90">
        <v>0.23272085001955001</v>
      </c>
      <c r="Q983" s="90">
        <v>634.42767891777396</v>
      </c>
      <c r="R983" s="90">
        <v>1210</v>
      </c>
      <c r="S983" s="90" t="s">
        <v>385</v>
      </c>
      <c r="T983" s="90">
        <v>1210</v>
      </c>
      <c r="U983" s="90" t="s">
        <v>378</v>
      </c>
      <c r="V983" s="90" t="s">
        <v>244</v>
      </c>
      <c r="Z983" s="90">
        <v>0</v>
      </c>
      <c r="AA983" s="90">
        <v>1</v>
      </c>
      <c r="AB983" s="90">
        <v>1.5821772659303499</v>
      </c>
      <c r="AC983" s="90">
        <v>0.23272085001955001</v>
      </c>
      <c r="AD983" s="90">
        <v>634.42767891777396</v>
      </c>
      <c r="AF983" s="90">
        <v>-1</v>
      </c>
      <c r="AG983" s="90">
        <v>-1</v>
      </c>
      <c r="AH983" s="90">
        <v>-1</v>
      </c>
      <c r="AI983" s="90">
        <v>-1</v>
      </c>
      <c r="AJ983" s="90">
        <v>0</v>
      </c>
      <c r="AM983" s="90" t="s">
        <v>379</v>
      </c>
      <c r="AN983" s="90">
        <v>-1</v>
      </c>
      <c r="AQ983" s="90">
        <v>366</v>
      </c>
      <c r="AR983" s="90" t="s">
        <v>265</v>
      </c>
      <c r="AS983" s="90" t="s">
        <v>395</v>
      </c>
      <c r="AT983" s="90" t="s">
        <v>244</v>
      </c>
      <c r="AU983" s="90">
        <v>2.028842</v>
      </c>
      <c r="AV983" s="90">
        <v>106.357117947847</v>
      </c>
      <c r="AW983" s="90">
        <v>699.76503935887501</v>
      </c>
      <c r="AX983" s="90">
        <v>0.51453988559999997</v>
      </c>
    </row>
    <row r="984" spans="1:50" x14ac:dyDescent="0.25">
      <c r="A984" s="102">
        <v>830000</v>
      </c>
      <c r="B984" s="102">
        <v>2400000</v>
      </c>
      <c r="C984" s="102">
        <v>2400000</v>
      </c>
      <c r="D984" s="90" t="s">
        <v>374</v>
      </c>
      <c r="E984" s="90" t="s">
        <v>68</v>
      </c>
      <c r="F984" s="90" t="s">
        <v>375</v>
      </c>
      <c r="G984" s="90" t="s">
        <v>376</v>
      </c>
      <c r="H984" s="90">
        <v>0.59</v>
      </c>
      <c r="I984" s="90">
        <v>0.64</v>
      </c>
      <c r="J984" s="90" t="s">
        <v>244</v>
      </c>
      <c r="K984" s="90">
        <v>4.9635081552890002E-2</v>
      </c>
      <c r="L984" s="90">
        <v>3668.9997107157601</v>
      </c>
      <c r="M984" s="90">
        <v>9.1499915969963599</v>
      </c>
      <c r="N984" s="90">
        <v>1.3458629876549599</v>
      </c>
      <c r="O984" s="90">
        <v>0.45416057912524999</v>
      </c>
      <c r="P984" s="90">
        <v>6.6802019151280007E-2</v>
      </c>
      <c r="Q984" s="90">
        <v>182.11109985893901</v>
      </c>
      <c r="R984" s="90">
        <v>1210</v>
      </c>
      <c r="S984" s="90" t="s">
        <v>385</v>
      </c>
      <c r="T984" s="90">
        <v>1210</v>
      </c>
      <c r="U984" s="90" t="s">
        <v>378</v>
      </c>
      <c r="V984" s="90" t="s">
        <v>244</v>
      </c>
      <c r="Z984" s="90">
        <v>0</v>
      </c>
      <c r="AA984" s="90">
        <v>1</v>
      </c>
      <c r="AB984" s="90">
        <v>0.45416057912524999</v>
      </c>
      <c r="AC984" s="90">
        <v>6.6802019151280007E-2</v>
      </c>
      <c r="AD984" s="90">
        <v>182.111099858941</v>
      </c>
      <c r="AF984" s="90">
        <v>-1</v>
      </c>
      <c r="AG984" s="90">
        <v>-1</v>
      </c>
      <c r="AH984" s="90">
        <v>-1</v>
      </c>
      <c r="AI984" s="90">
        <v>-1</v>
      </c>
      <c r="AJ984" s="90">
        <v>0</v>
      </c>
      <c r="AM984" s="90" t="s">
        <v>379</v>
      </c>
      <c r="AN984" s="90">
        <v>-1</v>
      </c>
      <c r="AQ984" s="90">
        <v>366</v>
      </c>
      <c r="AR984" s="90" t="s">
        <v>265</v>
      </c>
      <c r="AS984" s="90" t="s">
        <v>395</v>
      </c>
      <c r="AT984" s="90" t="s">
        <v>244</v>
      </c>
      <c r="AU984" s="90">
        <v>2.028842</v>
      </c>
      <c r="AV984" s="90">
        <v>74.488734730066895</v>
      </c>
      <c r="AW984" s="90">
        <v>200.866048558698</v>
      </c>
      <c r="AX984" s="90">
        <v>0.14769756680000001</v>
      </c>
    </row>
    <row r="985" spans="1:50" x14ac:dyDescent="0.25">
      <c r="A985" s="102">
        <v>830000</v>
      </c>
      <c r="B985" s="102">
        <v>2400000</v>
      </c>
      <c r="C985" s="102">
        <v>2400000</v>
      </c>
      <c r="D985" s="90" t="s">
        <v>374</v>
      </c>
      <c r="E985" s="90" t="s">
        <v>68</v>
      </c>
      <c r="F985" s="90" t="s">
        <v>375</v>
      </c>
      <c r="G985" s="90" t="s">
        <v>376</v>
      </c>
      <c r="H985" s="90">
        <v>0.59</v>
      </c>
      <c r="I985" s="90">
        <v>0.64</v>
      </c>
      <c r="J985" s="90" t="s">
        <v>244</v>
      </c>
      <c r="K985" s="90">
        <v>0.11972623029007</v>
      </c>
      <c r="L985" s="90">
        <v>3678.3786735506801</v>
      </c>
      <c r="M985" s="90">
        <v>9.1722206760714506</v>
      </c>
      <c r="N985" s="90">
        <v>1.34909321757684</v>
      </c>
      <c r="O985" s="90">
        <v>1.0981554049347499</v>
      </c>
      <c r="P985" s="90">
        <v>0.16152184525037999</v>
      </c>
      <c r="Q985" s="90">
        <v>440.39841216364402</v>
      </c>
      <c r="R985" s="90">
        <v>1200</v>
      </c>
      <c r="S985" s="90" t="s">
        <v>384</v>
      </c>
      <c r="T985" s="90">
        <v>1200</v>
      </c>
      <c r="U985" s="90" t="s">
        <v>378</v>
      </c>
      <c r="V985" s="90" t="s">
        <v>244</v>
      </c>
      <c r="Z985" s="90">
        <v>0</v>
      </c>
      <c r="AA985" s="90">
        <v>1</v>
      </c>
      <c r="AB985" s="90">
        <v>1.0981554049347499</v>
      </c>
      <c r="AC985" s="90">
        <v>0.16152184525037999</v>
      </c>
      <c r="AD985" s="90">
        <v>1351.47684724125</v>
      </c>
      <c r="AF985" s="90">
        <v>-1</v>
      </c>
      <c r="AG985" s="90">
        <v>-1</v>
      </c>
      <c r="AH985" s="90">
        <v>-1</v>
      </c>
      <c r="AI985" s="90">
        <v>-1</v>
      </c>
      <c r="AJ985" s="90">
        <v>0</v>
      </c>
      <c r="AM985" s="90" t="s">
        <v>379</v>
      </c>
      <c r="AN985" s="90">
        <v>-1</v>
      </c>
      <c r="AQ985" s="90">
        <v>366</v>
      </c>
      <c r="AR985" s="90" t="s">
        <v>265</v>
      </c>
      <c r="AS985" s="90" t="s">
        <v>395</v>
      </c>
      <c r="AT985" s="90" t="s">
        <v>244</v>
      </c>
      <c r="AU985" s="90">
        <v>2.028842</v>
      </c>
      <c r="AV985" s="90">
        <v>125.370264197992</v>
      </c>
      <c r="AW985" s="90">
        <v>484.51486397914903</v>
      </c>
      <c r="AX985" s="90">
        <v>1.0960882783999999</v>
      </c>
    </row>
    <row r="986" spans="1:50" x14ac:dyDescent="0.25">
      <c r="A986" s="102">
        <v>830000</v>
      </c>
      <c r="B986" s="102">
        <v>2400000</v>
      </c>
      <c r="C986" s="102">
        <v>2400000</v>
      </c>
      <c r="D986" s="90" t="s">
        <v>374</v>
      </c>
      <c r="E986" s="90" t="s">
        <v>68</v>
      </c>
      <c r="F986" s="90" t="s">
        <v>375</v>
      </c>
      <c r="G986" s="90" t="s">
        <v>376</v>
      </c>
      <c r="H986" s="90">
        <v>0.59</v>
      </c>
      <c r="I986" s="90">
        <v>0.64</v>
      </c>
      <c r="J986" s="90" t="s">
        <v>244</v>
      </c>
      <c r="K986" s="90">
        <v>0.13257373754254001</v>
      </c>
      <c r="L986" s="90">
        <v>3678.3786735506801</v>
      </c>
      <c r="M986" s="90">
        <v>9.1722206760714506</v>
      </c>
      <c r="N986" s="90">
        <v>1.34909321757684</v>
      </c>
      <c r="O986" s="90">
        <v>1.21599557659182</v>
      </c>
      <c r="P986" s="90">
        <v>0.17885433014745999</v>
      </c>
      <c r="Q986" s="90">
        <v>487.65640884941098</v>
      </c>
      <c r="R986" s="90">
        <v>1210</v>
      </c>
      <c r="S986" s="90" t="s">
        <v>385</v>
      </c>
      <c r="T986" s="90">
        <v>1210</v>
      </c>
      <c r="U986" s="90" t="s">
        <v>378</v>
      </c>
      <c r="V986" s="90" t="s">
        <v>244</v>
      </c>
      <c r="Z986" s="90">
        <v>0</v>
      </c>
      <c r="AA986" s="90">
        <v>1</v>
      </c>
      <c r="AB986" s="90">
        <v>1.21599557659182</v>
      </c>
      <c r="AC986" s="90">
        <v>0.17885433014745999</v>
      </c>
      <c r="AD986" s="90">
        <v>487.65640884941098</v>
      </c>
      <c r="AF986" s="90">
        <v>-1</v>
      </c>
      <c r="AG986" s="90">
        <v>-1</v>
      </c>
      <c r="AH986" s="90">
        <v>-1</v>
      </c>
      <c r="AI986" s="90">
        <v>-1</v>
      </c>
      <c r="AJ986" s="90">
        <v>0</v>
      </c>
      <c r="AM986" s="90" t="s">
        <v>379</v>
      </c>
      <c r="AN986" s="90">
        <v>-1</v>
      </c>
      <c r="AQ986" s="90">
        <v>366</v>
      </c>
      <c r="AR986" s="90" t="s">
        <v>265</v>
      </c>
      <c r="AS986" s="90" t="s">
        <v>395</v>
      </c>
      <c r="AT986" s="90" t="s">
        <v>244</v>
      </c>
      <c r="AU986" s="90">
        <v>2.028842</v>
      </c>
      <c r="AV986" s="90">
        <v>89.723358310437405</v>
      </c>
      <c r="AW986" s="90">
        <v>536.50688121562803</v>
      </c>
      <c r="AX986" s="90">
        <v>0.39550398120000002</v>
      </c>
    </row>
    <row r="987" spans="1:50" x14ac:dyDescent="0.25">
      <c r="A987" s="102">
        <v>830000</v>
      </c>
      <c r="B987" s="102">
        <v>2400000</v>
      </c>
      <c r="C987" s="102">
        <v>2400000</v>
      </c>
      <c r="D987" s="90" t="s">
        <v>374</v>
      </c>
      <c r="E987" s="90" t="s">
        <v>68</v>
      </c>
      <c r="F987" s="90" t="s">
        <v>375</v>
      </c>
      <c r="G987" s="90" t="s">
        <v>376</v>
      </c>
      <c r="H987" s="90">
        <v>0.59</v>
      </c>
      <c r="I987" s="90">
        <v>0.64</v>
      </c>
      <c r="J987" s="90" t="s">
        <v>244</v>
      </c>
      <c r="K987" s="90">
        <v>0.10316920352922999</v>
      </c>
      <c r="L987" s="90">
        <v>3668.9997109891201</v>
      </c>
      <c r="M987" s="90">
        <v>9.1499915976780901</v>
      </c>
      <c r="N987" s="90">
        <v>1.3458629877552399</v>
      </c>
      <c r="O987" s="90">
        <v>0.94399734543163005</v>
      </c>
      <c r="P987" s="90">
        <v>0.13885161250618</v>
      </c>
      <c r="Q987" s="90">
        <v>378.52777793173698</v>
      </c>
      <c r="R987" s="90">
        <v>1200</v>
      </c>
      <c r="S987" s="90" t="s">
        <v>384</v>
      </c>
      <c r="T987" s="90">
        <v>1200</v>
      </c>
      <c r="U987" s="90" t="s">
        <v>378</v>
      </c>
      <c r="V987" s="90" t="s">
        <v>244</v>
      </c>
      <c r="Z987" s="90">
        <v>0</v>
      </c>
      <c r="AA987" s="90">
        <v>1</v>
      </c>
      <c r="AB987" s="90">
        <v>0.94399734543163005</v>
      </c>
      <c r="AC987" s="90">
        <v>0.13885161250618</v>
      </c>
      <c r="AD987" s="90">
        <v>804.81109458923504</v>
      </c>
      <c r="AF987" s="90">
        <v>-1</v>
      </c>
      <c r="AG987" s="90">
        <v>-1</v>
      </c>
      <c r="AH987" s="90">
        <v>-1</v>
      </c>
      <c r="AI987" s="90">
        <v>-1</v>
      </c>
      <c r="AJ987" s="90">
        <v>0</v>
      </c>
      <c r="AM987" s="90" t="s">
        <v>379</v>
      </c>
      <c r="AN987" s="90">
        <v>-1</v>
      </c>
      <c r="AQ987" s="90">
        <v>366</v>
      </c>
      <c r="AR987" s="90" t="s">
        <v>265</v>
      </c>
      <c r="AS987" s="90" t="s">
        <v>395</v>
      </c>
      <c r="AT987" s="90" t="s">
        <v>244</v>
      </c>
      <c r="AU987" s="90">
        <v>2.028842</v>
      </c>
      <c r="AV987" s="90">
        <v>131.170677082396</v>
      </c>
      <c r="AW987" s="90">
        <v>417.510953896172</v>
      </c>
      <c r="AX987" s="90">
        <v>0.65272594859999999</v>
      </c>
    </row>
    <row r="988" spans="1:50" x14ac:dyDescent="0.25">
      <c r="A988" s="102">
        <v>830000</v>
      </c>
      <c r="B988" s="102">
        <v>2400000</v>
      </c>
      <c r="C988" s="102">
        <v>2400000</v>
      </c>
      <c r="D988" s="90" t="s">
        <v>374</v>
      </c>
      <c r="E988" s="90" t="s">
        <v>68</v>
      </c>
      <c r="F988" s="90" t="s">
        <v>375</v>
      </c>
      <c r="G988" s="90" t="s">
        <v>376</v>
      </c>
      <c r="H988" s="90">
        <v>0.59</v>
      </c>
      <c r="I988" s="90">
        <v>0.64</v>
      </c>
      <c r="J988" s="90" t="s">
        <v>244</v>
      </c>
      <c r="K988" s="90">
        <v>6.1809632206399996E-3</v>
      </c>
      <c r="L988" s="90">
        <v>3668.9997109891201</v>
      </c>
      <c r="M988" s="90">
        <v>9.1499915976780901</v>
      </c>
      <c r="N988" s="90">
        <v>1.3458629877552399</v>
      </c>
      <c r="O988" s="90">
        <v>5.6555761534440002E-2</v>
      </c>
      <c r="P988" s="90">
        <v>8.3187296273399998E-3</v>
      </c>
      <c r="Q988" s="90">
        <v>22.677952270173499</v>
      </c>
      <c r="R988" s="90">
        <v>1210</v>
      </c>
      <c r="S988" s="90" t="s">
        <v>385</v>
      </c>
      <c r="T988" s="90">
        <v>1210</v>
      </c>
      <c r="U988" s="90" t="s">
        <v>378</v>
      </c>
      <c r="V988" s="90" t="s">
        <v>244</v>
      </c>
      <c r="Z988" s="90">
        <v>0</v>
      </c>
      <c r="AA988" s="90">
        <v>1</v>
      </c>
      <c r="AB988" s="90">
        <v>5.6555761534440002E-2</v>
      </c>
      <c r="AC988" s="90">
        <v>8.3187296273399998E-3</v>
      </c>
      <c r="AD988" s="90">
        <v>22.677952270173598</v>
      </c>
      <c r="AF988" s="90">
        <v>-1</v>
      </c>
      <c r="AG988" s="90">
        <v>-1</v>
      </c>
      <c r="AH988" s="90">
        <v>-1</v>
      </c>
      <c r="AI988" s="90">
        <v>-1</v>
      </c>
      <c r="AJ988" s="90">
        <v>0</v>
      </c>
      <c r="AM988" s="90" t="s">
        <v>379</v>
      </c>
      <c r="AN988" s="90">
        <v>-1</v>
      </c>
      <c r="AQ988" s="90">
        <v>366</v>
      </c>
      <c r="AR988" s="90" t="s">
        <v>265</v>
      </c>
      <c r="AS988" s="90" t="s">
        <v>395</v>
      </c>
      <c r="AT988" s="90" t="s">
        <v>244</v>
      </c>
      <c r="AU988" s="90">
        <v>2.028842</v>
      </c>
      <c r="AV988" s="90">
        <v>42.947727395646197</v>
      </c>
      <c r="AW988" s="90">
        <v>25.0134707060773</v>
      </c>
      <c r="AX988" s="90">
        <v>1.83924998E-2</v>
      </c>
    </row>
    <row r="989" spans="1:50" x14ac:dyDescent="0.25">
      <c r="A989" s="102">
        <v>830000</v>
      </c>
      <c r="B989" s="102">
        <v>2400000</v>
      </c>
      <c r="C989" s="102">
        <v>2400000</v>
      </c>
      <c r="D989" s="90" t="s">
        <v>374</v>
      </c>
      <c r="E989" s="90" t="s">
        <v>68</v>
      </c>
      <c r="F989" s="90" t="s">
        <v>375</v>
      </c>
      <c r="G989" s="90" t="s">
        <v>376</v>
      </c>
      <c r="H989" s="90">
        <v>0.59</v>
      </c>
      <c r="I989" s="90">
        <v>0.64</v>
      </c>
      <c r="J989" s="90" t="s">
        <v>244</v>
      </c>
      <c r="K989" s="90">
        <v>9.9618465056499992E-3</v>
      </c>
      <c r="L989" s="90">
        <v>3668.9997109891201</v>
      </c>
      <c r="M989" s="90">
        <v>9.1499915976780901</v>
      </c>
      <c r="N989" s="90">
        <v>1.3458629877552399</v>
      </c>
      <c r="O989" s="90">
        <v>9.1150811824129999E-2</v>
      </c>
      <c r="P989" s="90">
        <v>1.3407280501660001E-2</v>
      </c>
      <c r="Q989" s="90">
        <v>36.550011950177201</v>
      </c>
      <c r="R989" s="90">
        <v>1210</v>
      </c>
      <c r="S989" s="90" t="s">
        <v>385</v>
      </c>
      <c r="T989" s="90">
        <v>1210</v>
      </c>
      <c r="U989" s="90" t="s">
        <v>378</v>
      </c>
      <c r="V989" s="90" t="s">
        <v>244</v>
      </c>
      <c r="Z989" s="90">
        <v>0</v>
      </c>
      <c r="AA989" s="90">
        <v>1</v>
      </c>
      <c r="AB989" s="90">
        <v>9.1150811824129999E-2</v>
      </c>
      <c r="AC989" s="90">
        <v>1.3407280501660001E-2</v>
      </c>
      <c r="AD989" s="90">
        <v>36.550011950176803</v>
      </c>
      <c r="AF989" s="90">
        <v>-1</v>
      </c>
      <c r="AG989" s="90">
        <v>-1</v>
      </c>
      <c r="AH989" s="90">
        <v>-1</v>
      </c>
      <c r="AI989" s="90">
        <v>-1</v>
      </c>
      <c r="AJ989" s="90">
        <v>0</v>
      </c>
      <c r="AM989" s="90" t="s">
        <v>379</v>
      </c>
      <c r="AN989" s="90">
        <v>-1</v>
      </c>
      <c r="AQ989" s="90">
        <v>366</v>
      </c>
      <c r="AR989" s="90" t="s">
        <v>265</v>
      </c>
      <c r="AS989" s="90" t="s">
        <v>395</v>
      </c>
      <c r="AT989" s="90" t="s">
        <v>244</v>
      </c>
      <c r="AU989" s="90">
        <v>2.028842</v>
      </c>
      <c r="AV989" s="90">
        <v>31.440980820769202</v>
      </c>
      <c r="AW989" s="90">
        <v>40.314162510384598</v>
      </c>
      <c r="AX989" s="90">
        <v>2.96431565E-2</v>
      </c>
    </row>
    <row r="990" spans="1:50" x14ac:dyDescent="0.25">
      <c r="A990" s="102">
        <v>830000</v>
      </c>
      <c r="B990" s="102">
        <v>2400000</v>
      </c>
      <c r="C990" s="102">
        <v>2400000</v>
      </c>
      <c r="D990" s="90" t="s">
        <v>374</v>
      </c>
      <c r="E990" s="90" t="s">
        <v>68</v>
      </c>
      <c r="F990" s="90" t="s">
        <v>375</v>
      </c>
      <c r="G990" s="90" t="s">
        <v>376</v>
      </c>
      <c r="H990" s="90">
        <v>0.59</v>
      </c>
      <c r="I990" s="90">
        <v>0.64</v>
      </c>
      <c r="J990" s="90" t="s">
        <v>244</v>
      </c>
      <c r="K990" s="90">
        <v>0.14133098409295999</v>
      </c>
      <c r="L990" s="90">
        <v>3668.9997109891201</v>
      </c>
      <c r="M990" s="90">
        <v>9.1499915976780901</v>
      </c>
      <c r="N990" s="90">
        <v>1.3458629877552399</v>
      </c>
      <c r="O990" s="90">
        <v>1.2931773169421601</v>
      </c>
      <c r="P990" s="90">
        <v>0.19021214051374</v>
      </c>
      <c r="Q990" s="90">
        <v>518.54333979088199</v>
      </c>
      <c r="R990" s="90">
        <v>1210</v>
      </c>
      <c r="S990" s="90" t="s">
        <v>385</v>
      </c>
      <c r="T990" s="90">
        <v>1210</v>
      </c>
      <c r="U990" s="90" t="s">
        <v>378</v>
      </c>
      <c r="V990" s="90" t="s">
        <v>244</v>
      </c>
      <c r="Z990" s="90">
        <v>0</v>
      </c>
      <c r="AA990" s="90">
        <v>1</v>
      </c>
      <c r="AB990" s="90">
        <v>1.2931773169421601</v>
      </c>
      <c r="AC990" s="90">
        <v>0.19021214051374</v>
      </c>
      <c r="AD990" s="90">
        <v>518.54333979088199</v>
      </c>
      <c r="AF990" s="90">
        <v>-1</v>
      </c>
      <c r="AG990" s="90">
        <v>-1</v>
      </c>
      <c r="AH990" s="90">
        <v>-1</v>
      </c>
      <c r="AI990" s="90">
        <v>-1</v>
      </c>
      <c r="AJ990" s="90">
        <v>0</v>
      </c>
      <c r="AM990" s="90" t="s">
        <v>379</v>
      </c>
      <c r="AN990" s="90">
        <v>-1</v>
      </c>
      <c r="AQ990" s="90">
        <v>366</v>
      </c>
      <c r="AR990" s="90" t="s">
        <v>265</v>
      </c>
      <c r="AS990" s="90" t="s">
        <v>395</v>
      </c>
      <c r="AT990" s="90" t="s">
        <v>244</v>
      </c>
      <c r="AU990" s="90">
        <v>2.028842</v>
      </c>
      <c r="AV990" s="90">
        <v>99.749787789473501</v>
      </c>
      <c r="AW990" s="90">
        <v>571.94620066071104</v>
      </c>
      <c r="AX990" s="90">
        <v>0.42055420910000002</v>
      </c>
    </row>
    <row r="991" spans="1:50" x14ac:dyDescent="0.25">
      <c r="A991" s="102">
        <v>830000</v>
      </c>
      <c r="B991" s="102">
        <v>2400000</v>
      </c>
      <c r="C991" s="102">
        <v>2400000</v>
      </c>
      <c r="D991" s="90" t="s">
        <v>374</v>
      </c>
      <c r="E991" s="90" t="s">
        <v>68</v>
      </c>
      <c r="F991" s="90" t="s">
        <v>375</v>
      </c>
      <c r="G991" s="90" t="s">
        <v>376</v>
      </c>
      <c r="H991" s="90">
        <v>0.59</v>
      </c>
      <c r="I991" s="90">
        <v>0.64</v>
      </c>
      <c r="J991" s="90" t="s">
        <v>244</v>
      </c>
      <c r="K991" s="90">
        <v>0.22645020994247</v>
      </c>
      <c r="L991" s="90">
        <v>3668.9997109891201</v>
      </c>
      <c r="M991" s="90">
        <v>9.1499915976780901</v>
      </c>
      <c r="N991" s="90">
        <v>1.3458629877552399</v>
      </c>
      <c r="O991" s="90">
        <v>2.0720175182660601</v>
      </c>
      <c r="P991" s="90">
        <v>0.30477095613096999</v>
      </c>
      <c r="Q991" s="90">
        <v>830.84575483235994</v>
      </c>
      <c r="R991" s="90">
        <v>1210</v>
      </c>
      <c r="S991" s="90" t="s">
        <v>385</v>
      </c>
      <c r="T991" s="90">
        <v>1210</v>
      </c>
      <c r="U991" s="90" t="s">
        <v>378</v>
      </c>
      <c r="V991" s="90" t="s">
        <v>244</v>
      </c>
      <c r="Z991" s="90">
        <v>0</v>
      </c>
      <c r="AA991" s="90">
        <v>1</v>
      </c>
      <c r="AB991" s="90">
        <v>2.0720175182660601</v>
      </c>
      <c r="AC991" s="90">
        <v>0.30477095613096999</v>
      </c>
      <c r="AD991" s="90">
        <v>830.84575483235994</v>
      </c>
      <c r="AF991" s="90">
        <v>-1</v>
      </c>
      <c r="AG991" s="90">
        <v>-1</v>
      </c>
      <c r="AH991" s="90">
        <v>-1</v>
      </c>
      <c r="AI991" s="90">
        <v>-1</v>
      </c>
      <c r="AJ991" s="90">
        <v>0</v>
      </c>
      <c r="AM991" s="90" t="s">
        <v>379</v>
      </c>
      <c r="AN991" s="90">
        <v>-1</v>
      </c>
      <c r="AQ991" s="90">
        <v>366</v>
      </c>
      <c r="AR991" s="90" t="s">
        <v>265</v>
      </c>
      <c r="AS991" s="90" t="s">
        <v>395</v>
      </c>
      <c r="AT991" s="90" t="s">
        <v>244</v>
      </c>
      <c r="AU991" s="90">
        <v>2.028842</v>
      </c>
      <c r="AV991" s="90">
        <v>118.438523801732</v>
      </c>
      <c r="AW991" s="90">
        <v>916.41148645952501</v>
      </c>
      <c r="AX991" s="90">
        <v>0.67384083930000005</v>
      </c>
    </row>
    <row r="992" spans="1:50" x14ac:dyDescent="0.25">
      <c r="A992" s="102">
        <v>830000</v>
      </c>
      <c r="B992" s="102">
        <v>2400000</v>
      </c>
      <c r="C992" s="102">
        <v>2400000</v>
      </c>
      <c r="D992" s="90" t="s">
        <v>374</v>
      </c>
      <c r="E992" s="90" t="s">
        <v>68</v>
      </c>
      <c r="F992" s="90" t="s">
        <v>375</v>
      </c>
      <c r="G992" s="90" t="s">
        <v>376</v>
      </c>
      <c r="H992" s="90">
        <v>0.59</v>
      </c>
      <c r="I992" s="90">
        <v>0.64</v>
      </c>
      <c r="J992" s="90" t="s">
        <v>244</v>
      </c>
      <c r="K992" s="90">
        <v>7.3178479075670003E-2</v>
      </c>
      <c r="L992" s="90">
        <v>3670.6435150920302</v>
      </c>
      <c r="M992" s="90">
        <v>9.1539115680253094</v>
      </c>
      <c r="N992" s="90">
        <v>1.3464334775447799</v>
      </c>
      <c r="O992" s="90">
        <v>0.66986932614130001</v>
      </c>
      <c r="P992" s="90">
        <v>9.8529954063290001E-2</v>
      </c>
      <c r="Q992" s="90">
        <v>268.61210966341702</v>
      </c>
      <c r="R992" s="90">
        <v>1200</v>
      </c>
      <c r="S992" s="90" t="s">
        <v>384</v>
      </c>
      <c r="T992" s="90">
        <v>1200</v>
      </c>
      <c r="U992" s="90" t="s">
        <v>378</v>
      </c>
      <c r="V992" s="90" t="s">
        <v>244</v>
      </c>
      <c r="Z992" s="90">
        <v>0</v>
      </c>
      <c r="AA992" s="90">
        <v>1</v>
      </c>
      <c r="AB992" s="90">
        <v>0.66986932614130001</v>
      </c>
      <c r="AC992" s="90">
        <v>9.8529954063290001E-2</v>
      </c>
      <c r="AD992" s="90">
        <v>521.74870596150595</v>
      </c>
      <c r="AF992" s="90">
        <v>-1</v>
      </c>
      <c r="AG992" s="90">
        <v>-1</v>
      </c>
      <c r="AH992" s="90">
        <v>-1</v>
      </c>
      <c r="AI992" s="90">
        <v>-1</v>
      </c>
      <c r="AJ992" s="90">
        <v>0</v>
      </c>
      <c r="AM992" s="90" t="s">
        <v>379</v>
      </c>
      <c r="AN992" s="90">
        <v>-1</v>
      </c>
      <c r="AQ992" s="90">
        <v>366</v>
      </c>
      <c r="AR992" s="90" t="s">
        <v>265</v>
      </c>
      <c r="AS992" s="90" t="s">
        <v>395</v>
      </c>
      <c r="AT992" s="90" t="s">
        <v>244</v>
      </c>
      <c r="AU992" s="90">
        <v>2.028842</v>
      </c>
      <c r="AV992" s="90">
        <v>85.7812211733591</v>
      </c>
      <c r="AW992" s="90">
        <v>296.14279802885</v>
      </c>
      <c r="AX992" s="90">
        <v>0.42315385719999998</v>
      </c>
    </row>
    <row r="993" spans="1:50" x14ac:dyDescent="0.25">
      <c r="A993" s="102">
        <v>830000</v>
      </c>
      <c r="B993" s="102">
        <v>2400000</v>
      </c>
      <c r="C993" s="102">
        <v>2400000</v>
      </c>
      <c r="D993" s="90" t="s">
        <v>374</v>
      </c>
      <c r="E993" s="90" t="s">
        <v>68</v>
      </c>
      <c r="F993" s="90" t="s">
        <v>375</v>
      </c>
      <c r="G993" s="90" t="s">
        <v>376</v>
      </c>
      <c r="H993" s="90">
        <v>0.59</v>
      </c>
      <c r="I993" s="90">
        <v>0.64</v>
      </c>
      <c r="J993" s="90" t="s">
        <v>244</v>
      </c>
      <c r="K993" s="90">
        <v>2.867618501699E-2</v>
      </c>
      <c r="L993" s="90">
        <v>3670.6435150920302</v>
      </c>
      <c r="M993" s="90">
        <v>9.1539115680253094</v>
      </c>
      <c r="N993" s="90">
        <v>1.3464334775447799</v>
      </c>
      <c r="O993" s="90">
        <v>0.26249926175388999</v>
      </c>
      <c r="P993" s="90">
        <v>3.8610575515140001E-2</v>
      </c>
      <c r="Q993" s="90">
        <v>105.260052570208</v>
      </c>
      <c r="R993" s="90">
        <v>1210</v>
      </c>
      <c r="S993" s="90" t="s">
        <v>385</v>
      </c>
      <c r="T993" s="90">
        <v>1210</v>
      </c>
      <c r="U993" s="90" t="s">
        <v>378</v>
      </c>
      <c r="V993" s="90" t="s">
        <v>244</v>
      </c>
      <c r="Z993" s="90">
        <v>0</v>
      </c>
      <c r="AA993" s="90">
        <v>1</v>
      </c>
      <c r="AB993" s="90">
        <v>0.26249926175388999</v>
      </c>
      <c r="AC993" s="90">
        <v>3.8610575515140001E-2</v>
      </c>
      <c r="AD993" s="90">
        <v>510.61198654250802</v>
      </c>
      <c r="AF993" s="90">
        <v>-1</v>
      </c>
      <c r="AG993" s="90">
        <v>-1</v>
      </c>
      <c r="AH993" s="90">
        <v>-1</v>
      </c>
      <c r="AI993" s="90">
        <v>-1</v>
      </c>
      <c r="AJ993" s="90">
        <v>0</v>
      </c>
      <c r="AM993" s="90" t="s">
        <v>379</v>
      </c>
      <c r="AN993" s="90">
        <v>-1</v>
      </c>
      <c r="AQ993" s="90">
        <v>366</v>
      </c>
      <c r="AR993" s="90" t="s">
        <v>265</v>
      </c>
      <c r="AS993" s="90" t="s">
        <v>395</v>
      </c>
      <c r="AT993" s="90" t="s">
        <v>244</v>
      </c>
      <c r="AU993" s="90">
        <v>2.028842</v>
      </c>
      <c r="AV993" s="90">
        <v>63.145373120888998</v>
      </c>
      <c r="AW993" s="90">
        <v>116.048403505951</v>
      </c>
      <c r="AX993" s="90">
        <v>0.41412164359999998</v>
      </c>
    </row>
    <row r="994" spans="1:50" x14ac:dyDescent="0.25">
      <c r="A994" s="102">
        <v>830000</v>
      </c>
      <c r="B994" s="102">
        <v>2400000</v>
      </c>
      <c r="C994" s="102">
        <v>2400000</v>
      </c>
      <c r="D994" s="90" t="s">
        <v>374</v>
      </c>
      <c r="E994" s="90" t="s">
        <v>68</v>
      </c>
      <c r="F994" s="90" t="s">
        <v>375</v>
      </c>
      <c r="G994" s="90" t="s">
        <v>376</v>
      </c>
      <c r="H994" s="90">
        <v>0.59</v>
      </c>
      <c r="I994" s="90">
        <v>0.64</v>
      </c>
      <c r="J994" s="90" t="s">
        <v>244</v>
      </c>
      <c r="K994" s="90">
        <v>0.19556762838986999</v>
      </c>
      <c r="L994" s="90">
        <v>3670.6435150920302</v>
      </c>
      <c r="M994" s="90">
        <v>9.1539115680253094</v>
      </c>
      <c r="N994" s="90">
        <v>1.3464334775447799</v>
      </c>
      <c r="O994" s="90">
        <v>1.7902087758493701</v>
      </c>
      <c r="P994" s="90">
        <v>0.26331880198815999</v>
      </c>
      <c r="Q994" s="90">
        <v>717.85904691123096</v>
      </c>
      <c r="R994" s="90">
        <v>1210</v>
      </c>
      <c r="S994" s="90" t="s">
        <v>385</v>
      </c>
      <c r="T994" s="90">
        <v>1210</v>
      </c>
      <c r="U994" s="90" t="s">
        <v>378</v>
      </c>
      <c r="V994" s="90" t="s">
        <v>244</v>
      </c>
      <c r="Z994" s="90">
        <v>0</v>
      </c>
      <c r="AA994" s="90">
        <v>1</v>
      </c>
      <c r="AB994" s="90">
        <v>1.7902087758493701</v>
      </c>
      <c r="AC994" s="90">
        <v>0.26331880198815999</v>
      </c>
      <c r="AD994" s="90">
        <v>728.119426596175</v>
      </c>
      <c r="AF994" s="90">
        <v>-1</v>
      </c>
      <c r="AG994" s="90">
        <v>-1</v>
      </c>
      <c r="AH994" s="90">
        <v>-1</v>
      </c>
      <c r="AI994" s="90">
        <v>-1</v>
      </c>
      <c r="AJ994" s="90">
        <v>0</v>
      </c>
      <c r="AM994" s="90" t="s">
        <v>379</v>
      </c>
      <c r="AN994" s="90">
        <v>-1</v>
      </c>
      <c r="AQ994" s="90">
        <v>366</v>
      </c>
      <c r="AR994" s="90" t="s">
        <v>265</v>
      </c>
      <c r="AS994" s="90" t="s">
        <v>395</v>
      </c>
      <c r="AT994" s="90" t="s">
        <v>244</v>
      </c>
      <c r="AU994" s="90">
        <v>2.028842</v>
      </c>
      <c r="AV994" s="90">
        <v>111.881779106373</v>
      </c>
      <c r="AW994" s="90">
        <v>791.43411296311206</v>
      </c>
      <c r="AX994" s="90">
        <v>0.5905267045</v>
      </c>
    </row>
    <row r="995" spans="1:50" x14ac:dyDescent="0.25">
      <c r="A995" s="102">
        <v>830000</v>
      </c>
      <c r="B995" s="102">
        <v>2400000</v>
      </c>
      <c r="C995" s="102">
        <v>2400000</v>
      </c>
      <c r="D995" s="90" t="s">
        <v>374</v>
      </c>
      <c r="E995" s="90" t="s">
        <v>68</v>
      </c>
      <c r="F995" s="90" t="s">
        <v>375</v>
      </c>
      <c r="G995" s="90" t="s">
        <v>376</v>
      </c>
      <c r="H995" s="90">
        <v>0.59</v>
      </c>
      <c r="I995" s="90">
        <v>0.64</v>
      </c>
      <c r="J995" s="90" t="s">
        <v>244</v>
      </c>
      <c r="K995" s="90">
        <v>7.3193114427479999E-2</v>
      </c>
      <c r="L995" s="90">
        <v>3670.6435150920302</v>
      </c>
      <c r="M995" s="90">
        <v>9.1539115680253094</v>
      </c>
      <c r="N995" s="90">
        <v>1.3464334775447799</v>
      </c>
      <c r="O995" s="90">
        <v>0.67000329685754001</v>
      </c>
      <c r="P995" s="90">
        <v>9.8549659590929997E-2</v>
      </c>
      <c r="Q995" s="90">
        <v>268.66583082263298</v>
      </c>
      <c r="R995" s="90">
        <v>1210</v>
      </c>
      <c r="S995" s="90" t="s">
        <v>385</v>
      </c>
      <c r="T995" s="90">
        <v>1210</v>
      </c>
      <c r="U995" s="90" t="s">
        <v>378</v>
      </c>
      <c r="V995" s="90" t="s">
        <v>244</v>
      </c>
      <c r="Z995" s="90">
        <v>0</v>
      </c>
      <c r="AA995" s="90">
        <v>1</v>
      </c>
      <c r="AB995" s="90">
        <v>0.67000329685754001</v>
      </c>
      <c r="AC995" s="90">
        <v>9.8549659590929997E-2</v>
      </c>
      <c r="AD995" s="90">
        <v>268.66583082263202</v>
      </c>
      <c r="AF995" s="90">
        <v>-1</v>
      </c>
      <c r="AG995" s="90">
        <v>-1</v>
      </c>
      <c r="AH995" s="90">
        <v>-1</v>
      </c>
      <c r="AI995" s="90">
        <v>-1</v>
      </c>
      <c r="AJ995" s="90">
        <v>0</v>
      </c>
      <c r="AM995" s="90" t="s">
        <v>379</v>
      </c>
      <c r="AN995" s="90">
        <v>-1</v>
      </c>
      <c r="AQ995" s="90">
        <v>366</v>
      </c>
      <c r="AR995" s="90" t="s">
        <v>265</v>
      </c>
      <c r="AS995" s="90" t="s">
        <v>395</v>
      </c>
      <c r="AT995" s="90" t="s">
        <v>244</v>
      </c>
      <c r="AU995" s="90">
        <v>2.028842</v>
      </c>
      <c r="AV995" s="90">
        <v>84.182990577570393</v>
      </c>
      <c r="AW995" s="90">
        <v>296.20202519631999</v>
      </c>
      <c r="AX995" s="90">
        <v>0.21789605100000001</v>
      </c>
    </row>
    <row r="996" spans="1:50" x14ac:dyDescent="0.25">
      <c r="A996" s="102">
        <v>830000</v>
      </c>
      <c r="B996" s="102">
        <v>2400000</v>
      </c>
      <c r="C996" s="102">
        <v>2400000</v>
      </c>
      <c r="D996" s="90" t="s">
        <v>374</v>
      </c>
      <c r="E996" s="90" t="s">
        <v>68</v>
      </c>
      <c r="F996" s="90" t="s">
        <v>375</v>
      </c>
      <c r="G996" s="90" t="s">
        <v>376</v>
      </c>
      <c r="H996" s="90">
        <v>0.59</v>
      </c>
      <c r="I996" s="90">
        <v>0.64</v>
      </c>
      <c r="J996" s="90" t="s">
        <v>244</v>
      </c>
      <c r="K996" s="90">
        <v>1.3631116152299999E-3</v>
      </c>
      <c r="L996" s="90">
        <v>3670.6435150920302</v>
      </c>
      <c r="M996" s="90">
        <v>9.1539115680253094</v>
      </c>
      <c r="N996" s="90">
        <v>1.3464334775447799</v>
      </c>
      <c r="O996" s="90">
        <v>1.2477803183220001E-2</v>
      </c>
      <c r="P996" s="90">
        <v>1.8353391123799999E-3</v>
      </c>
      <c r="Q996" s="90">
        <v>5.00349681081632</v>
      </c>
      <c r="R996" s="90">
        <v>1210</v>
      </c>
      <c r="S996" s="90" t="s">
        <v>385</v>
      </c>
      <c r="T996" s="90">
        <v>1210</v>
      </c>
      <c r="U996" s="90" t="s">
        <v>378</v>
      </c>
      <c r="V996" s="90" t="s">
        <v>244</v>
      </c>
      <c r="Z996" s="90">
        <v>0</v>
      </c>
      <c r="AA996" s="90">
        <v>1</v>
      </c>
      <c r="AB996" s="90">
        <v>1.2477803183220001E-2</v>
      </c>
      <c r="AC996" s="90">
        <v>1.8353391123799999E-3</v>
      </c>
      <c r="AD996" s="90">
        <v>134.92160415977301</v>
      </c>
      <c r="AF996" s="90">
        <v>-1</v>
      </c>
      <c r="AG996" s="90">
        <v>-1</v>
      </c>
      <c r="AH996" s="90">
        <v>-1</v>
      </c>
      <c r="AI996" s="90">
        <v>-1</v>
      </c>
      <c r="AJ996" s="90">
        <v>0</v>
      </c>
      <c r="AM996" s="90" t="s">
        <v>379</v>
      </c>
      <c r="AN996" s="90">
        <v>-1</v>
      </c>
      <c r="AQ996" s="90">
        <v>366</v>
      </c>
      <c r="AR996" s="90" t="s">
        <v>265</v>
      </c>
      <c r="AS996" s="90" t="s">
        <v>395</v>
      </c>
      <c r="AT996" s="90" t="s">
        <v>244</v>
      </c>
      <c r="AU996" s="90">
        <v>2.028842</v>
      </c>
      <c r="AV996" s="90">
        <v>13.7781908627639</v>
      </c>
      <c r="AW996" s="90">
        <v>5.5163169945691202</v>
      </c>
      <c r="AX996" s="90">
        <v>0.1094254697</v>
      </c>
    </row>
    <row r="997" spans="1:50" x14ac:dyDescent="0.25">
      <c r="A997" s="102">
        <v>830000</v>
      </c>
      <c r="B997" s="102">
        <v>2400000</v>
      </c>
      <c r="C997" s="102">
        <v>2400000</v>
      </c>
      <c r="D997" s="90" t="s">
        <v>374</v>
      </c>
      <c r="E997" s="90" t="s">
        <v>68</v>
      </c>
      <c r="F997" s="90" t="s">
        <v>375</v>
      </c>
      <c r="G997" s="90" t="s">
        <v>376</v>
      </c>
      <c r="H997" s="90">
        <v>0.59</v>
      </c>
      <c r="I997" s="90">
        <v>0.64</v>
      </c>
      <c r="J997" s="90" t="s">
        <v>244</v>
      </c>
      <c r="K997" s="90">
        <v>2.5448308392430001E-2</v>
      </c>
      <c r="L997" s="90">
        <v>3670.6435150920302</v>
      </c>
      <c r="M997" s="90">
        <v>9.1539115680253094</v>
      </c>
      <c r="N997" s="90">
        <v>1.3464334775447799</v>
      </c>
      <c r="O997" s="90">
        <v>0.23295156458022001</v>
      </c>
      <c r="P997" s="90">
        <v>3.4264454366460001E-2</v>
      </c>
      <c r="Q997" s="90">
        <v>93.411668170768394</v>
      </c>
      <c r="R997" s="90">
        <v>1210</v>
      </c>
      <c r="S997" s="90" t="s">
        <v>385</v>
      </c>
      <c r="T997" s="90">
        <v>1210</v>
      </c>
      <c r="U997" s="90" t="s">
        <v>378</v>
      </c>
      <c r="V997" s="90" t="s">
        <v>244</v>
      </c>
      <c r="Z997" s="90">
        <v>0</v>
      </c>
      <c r="AA997" s="90">
        <v>1</v>
      </c>
      <c r="AB997" s="90">
        <v>0.23295156458022001</v>
      </c>
      <c r="AC997" s="90">
        <v>3.4264454366460001E-2</v>
      </c>
      <c r="AD997" s="90">
        <v>93.411668170769104</v>
      </c>
      <c r="AF997" s="90">
        <v>-1</v>
      </c>
      <c r="AG997" s="90">
        <v>-1</v>
      </c>
      <c r="AH997" s="90">
        <v>-1</v>
      </c>
      <c r="AI997" s="90">
        <v>-1</v>
      </c>
      <c r="AJ997" s="90">
        <v>0</v>
      </c>
      <c r="AM997" s="90" t="s">
        <v>379</v>
      </c>
      <c r="AN997" s="90">
        <v>-1</v>
      </c>
      <c r="AQ997" s="90">
        <v>366</v>
      </c>
      <c r="AR997" s="90" t="s">
        <v>265</v>
      </c>
      <c r="AS997" s="90" t="s">
        <v>395</v>
      </c>
      <c r="AT997" s="90" t="s">
        <v>244</v>
      </c>
      <c r="AU997" s="90">
        <v>2.028842</v>
      </c>
      <c r="AV997" s="90">
        <v>57.312772214300402</v>
      </c>
      <c r="AW997" s="90">
        <v>102.985650257158</v>
      </c>
      <c r="AX997" s="90">
        <v>7.5759666000000003E-2</v>
      </c>
    </row>
    <row r="998" spans="1:50" x14ac:dyDescent="0.25">
      <c r="A998" s="102">
        <v>830000</v>
      </c>
      <c r="B998" s="102">
        <v>2400000</v>
      </c>
      <c r="C998" s="102">
        <v>2400000</v>
      </c>
      <c r="D998" s="90" t="s">
        <v>374</v>
      </c>
      <c r="E998" s="90" t="s">
        <v>68</v>
      </c>
      <c r="F998" s="90" t="s">
        <v>375</v>
      </c>
      <c r="G998" s="90" t="s">
        <v>376</v>
      </c>
      <c r="H998" s="90">
        <v>0.59</v>
      </c>
      <c r="I998" s="90">
        <v>0.64</v>
      </c>
      <c r="J998" s="90" t="s">
        <v>244</v>
      </c>
      <c r="K998" s="90">
        <v>2.7543380866099998E-3</v>
      </c>
      <c r="L998" s="90">
        <v>3670.6435150920302</v>
      </c>
      <c r="M998" s="90">
        <v>9.1539115680253094</v>
      </c>
      <c r="N998" s="90">
        <v>1.3464334775447799</v>
      </c>
      <c r="O998" s="90">
        <v>2.5212967273290001E-2</v>
      </c>
      <c r="P998" s="90">
        <v>3.7085330082900002E-3</v>
      </c>
      <c r="Q998" s="90">
        <v>10.1101932359933</v>
      </c>
      <c r="R998" s="90">
        <v>1210</v>
      </c>
      <c r="S998" s="90" t="s">
        <v>385</v>
      </c>
      <c r="T998" s="90">
        <v>1210</v>
      </c>
      <c r="U998" s="90" t="s">
        <v>378</v>
      </c>
      <c r="V998" s="90" t="s">
        <v>244</v>
      </c>
      <c r="Z998" s="90">
        <v>0</v>
      </c>
      <c r="AA998" s="90">
        <v>1</v>
      </c>
      <c r="AB998" s="90">
        <v>2.5212967273290001E-2</v>
      </c>
      <c r="AC998" s="90">
        <v>3.7085330082900002E-3</v>
      </c>
      <c r="AD998" s="90">
        <v>10.1101932359924</v>
      </c>
      <c r="AF998" s="90">
        <v>-1</v>
      </c>
      <c r="AG998" s="90">
        <v>-1</v>
      </c>
      <c r="AH998" s="90">
        <v>-1</v>
      </c>
      <c r="AI998" s="90">
        <v>-1</v>
      </c>
      <c r="AJ998" s="90">
        <v>0</v>
      </c>
      <c r="AM998" s="90" t="s">
        <v>379</v>
      </c>
      <c r="AN998" s="90">
        <v>-1</v>
      </c>
      <c r="AQ998" s="90">
        <v>366</v>
      </c>
      <c r="AR998" s="90" t="s">
        <v>265</v>
      </c>
      <c r="AS998" s="90" t="s">
        <v>395</v>
      </c>
      <c r="AT998" s="90" t="s">
        <v>244</v>
      </c>
      <c r="AU998" s="90">
        <v>2.028842</v>
      </c>
      <c r="AV998" s="90">
        <v>14.048327302112</v>
      </c>
      <c r="AW998" s="90">
        <v>11.1464107752657</v>
      </c>
      <c r="AX998" s="90">
        <v>8.1996701000000005E-3</v>
      </c>
    </row>
    <row r="999" spans="1:50" x14ac:dyDescent="0.25">
      <c r="A999" s="102">
        <v>830000</v>
      </c>
      <c r="B999" s="102">
        <v>2400000</v>
      </c>
      <c r="C999" s="102">
        <v>2400000</v>
      </c>
      <c r="D999" s="90" t="s">
        <v>374</v>
      </c>
      <c r="E999" s="90" t="s">
        <v>68</v>
      </c>
      <c r="F999" s="90" t="s">
        <v>375</v>
      </c>
      <c r="G999" s="90" t="s">
        <v>376</v>
      </c>
      <c r="H999" s="90">
        <v>0.59</v>
      </c>
      <c r="I999" s="90">
        <v>0.64</v>
      </c>
      <c r="J999" s="90" t="s">
        <v>244</v>
      </c>
      <c r="K999" s="90">
        <v>5.9098213329789998E-2</v>
      </c>
      <c r="L999" s="90">
        <v>3544.7045489805901</v>
      </c>
      <c r="M999" s="90">
        <v>8.8627382286491105</v>
      </c>
      <c r="N999" s="90">
        <v>1.3043828660193799</v>
      </c>
      <c r="O999" s="90">
        <v>0.52377199452287004</v>
      </c>
      <c r="P999" s="90">
        <v>7.7086696879739999E-2</v>
      </c>
      <c r="Q999" s="90">
        <v>209.485705626764</v>
      </c>
      <c r="R999" s="90">
        <v>1200</v>
      </c>
      <c r="S999" s="90" t="s">
        <v>384</v>
      </c>
      <c r="T999" s="90">
        <v>1200</v>
      </c>
      <c r="U999" s="90" t="s">
        <v>378</v>
      </c>
      <c r="V999" s="90" t="s">
        <v>244</v>
      </c>
      <c r="Z999" s="90">
        <v>0</v>
      </c>
      <c r="AA999" s="90">
        <v>1</v>
      </c>
      <c r="AB999" s="90">
        <v>0.52377199452287004</v>
      </c>
      <c r="AC999" s="90">
        <v>7.7086696879739999E-2</v>
      </c>
      <c r="AD999" s="90">
        <v>581.54304284920397</v>
      </c>
      <c r="AF999" s="90">
        <v>-1</v>
      </c>
      <c r="AG999" s="90">
        <v>-1</v>
      </c>
      <c r="AH999" s="90">
        <v>-1</v>
      </c>
      <c r="AI999" s="90">
        <v>-1</v>
      </c>
      <c r="AJ999" s="90">
        <v>0</v>
      </c>
      <c r="AM999" s="90" t="s">
        <v>379</v>
      </c>
      <c r="AN999" s="90">
        <v>-1</v>
      </c>
      <c r="AQ999" s="90">
        <v>366</v>
      </c>
      <c r="AR999" s="90" t="s">
        <v>265</v>
      </c>
      <c r="AS999" s="90" t="s">
        <v>395</v>
      </c>
      <c r="AT999" s="90" t="s">
        <v>244</v>
      </c>
      <c r="AU999" s="90">
        <v>2.028842</v>
      </c>
      <c r="AV999" s="90">
        <v>84.211214671446498</v>
      </c>
      <c r="AW999" s="90">
        <v>239.161984166064</v>
      </c>
      <c r="AX999" s="90">
        <v>0.47164885880000001</v>
      </c>
    </row>
    <row r="1000" spans="1:50" x14ac:dyDescent="0.25">
      <c r="A1000" s="102">
        <v>830000</v>
      </c>
      <c r="B1000" s="102">
        <v>2400000</v>
      </c>
      <c r="C1000" s="102">
        <v>2400000</v>
      </c>
      <c r="D1000" s="90" t="s">
        <v>374</v>
      </c>
      <c r="E1000" s="90" t="s">
        <v>68</v>
      </c>
      <c r="F1000" s="90" t="s">
        <v>375</v>
      </c>
      <c r="G1000" s="90" t="s">
        <v>376</v>
      </c>
      <c r="H1000" s="90">
        <v>0.59</v>
      </c>
      <c r="I1000" s="90">
        <v>0.64</v>
      </c>
      <c r="J1000" s="90" t="s">
        <v>244</v>
      </c>
      <c r="K1000" s="90">
        <v>1.5359601070049999E-2</v>
      </c>
      <c r="L1000" s="90">
        <v>3544.7045489805901</v>
      </c>
      <c r="M1000" s="90">
        <v>8.8627382286491105</v>
      </c>
      <c r="N1000" s="90">
        <v>1.3043828660193799</v>
      </c>
      <c r="O1000" s="90">
        <v>0.13612812358036</v>
      </c>
      <c r="P1000" s="90">
        <v>2.0034800464669999E-2</v>
      </c>
      <c r="Q1000" s="90">
        <v>54.4452477835476</v>
      </c>
      <c r="R1000" s="90">
        <v>1210</v>
      </c>
      <c r="S1000" s="90" t="s">
        <v>385</v>
      </c>
      <c r="T1000" s="90">
        <v>1210</v>
      </c>
      <c r="U1000" s="90" t="s">
        <v>378</v>
      </c>
      <c r="V1000" s="90" t="s">
        <v>244</v>
      </c>
      <c r="Z1000" s="90">
        <v>0</v>
      </c>
      <c r="AA1000" s="90">
        <v>1</v>
      </c>
      <c r="AB1000" s="90">
        <v>0.13612812358036</v>
      </c>
      <c r="AC1000" s="90">
        <v>2.0034800464669999E-2</v>
      </c>
      <c r="AD1000" s="90">
        <v>54.445247783549</v>
      </c>
      <c r="AF1000" s="90">
        <v>-1</v>
      </c>
      <c r="AG1000" s="90">
        <v>-1</v>
      </c>
      <c r="AH1000" s="90">
        <v>-1</v>
      </c>
      <c r="AI1000" s="90">
        <v>-1</v>
      </c>
      <c r="AJ1000" s="90">
        <v>0</v>
      </c>
      <c r="AM1000" s="90" t="s">
        <v>379</v>
      </c>
      <c r="AN1000" s="90">
        <v>-1</v>
      </c>
      <c r="AQ1000" s="90">
        <v>366</v>
      </c>
      <c r="AR1000" s="90" t="s">
        <v>265</v>
      </c>
      <c r="AS1000" s="90" t="s">
        <v>395</v>
      </c>
      <c r="AT1000" s="90" t="s">
        <v>244</v>
      </c>
      <c r="AU1000" s="90">
        <v>2.028842</v>
      </c>
      <c r="AV1000" s="90">
        <v>37.090050795655699</v>
      </c>
      <c r="AW1000" s="90">
        <v>62.158100235851599</v>
      </c>
      <c r="AX1000" s="90">
        <v>4.4156729800000002E-2</v>
      </c>
    </row>
    <row r="1001" spans="1:50" x14ac:dyDescent="0.25">
      <c r="A1001" s="102">
        <v>830000</v>
      </c>
      <c r="B1001" s="102">
        <v>2400000</v>
      </c>
      <c r="C1001" s="102">
        <v>2400000</v>
      </c>
      <c r="D1001" s="90" t="s">
        <v>374</v>
      </c>
      <c r="E1001" s="90" t="s">
        <v>68</v>
      </c>
      <c r="F1001" s="90" t="s">
        <v>375</v>
      </c>
      <c r="G1001" s="90" t="s">
        <v>376</v>
      </c>
      <c r="H1001" s="90">
        <v>0.59</v>
      </c>
      <c r="I1001" s="90">
        <v>0.64</v>
      </c>
      <c r="J1001" s="90" t="s">
        <v>244</v>
      </c>
      <c r="K1001" s="90">
        <v>1.8436307442749999E-2</v>
      </c>
      <c r="L1001" s="90">
        <v>3544.7045489805901</v>
      </c>
      <c r="M1001" s="90">
        <v>8.8627382286491105</v>
      </c>
      <c r="N1001" s="90">
        <v>1.3043828660193799</v>
      </c>
      <c r="O1001" s="90">
        <v>0.16339616676798999</v>
      </c>
      <c r="P1001" s="90">
        <v>2.4048003540990001E-2</v>
      </c>
      <c r="Q1001" s="90">
        <v>65.351262858724297</v>
      </c>
      <c r="R1001" s="90">
        <v>1210</v>
      </c>
      <c r="S1001" s="90" t="s">
        <v>385</v>
      </c>
      <c r="T1001" s="90">
        <v>1210</v>
      </c>
      <c r="U1001" s="90" t="s">
        <v>378</v>
      </c>
      <c r="V1001" s="90" t="s">
        <v>244</v>
      </c>
      <c r="Z1001" s="90">
        <v>0</v>
      </c>
      <c r="AA1001" s="90">
        <v>1</v>
      </c>
      <c r="AB1001" s="90">
        <v>0.16339616676798999</v>
      </c>
      <c r="AC1001" s="90">
        <v>2.4048003540990001E-2</v>
      </c>
      <c r="AD1001" s="90">
        <v>65.351262858725704</v>
      </c>
      <c r="AF1001" s="90">
        <v>-1</v>
      </c>
      <c r="AG1001" s="90">
        <v>-1</v>
      </c>
      <c r="AH1001" s="90">
        <v>-1</v>
      </c>
      <c r="AI1001" s="90">
        <v>-1</v>
      </c>
      <c r="AJ1001" s="90">
        <v>0</v>
      </c>
      <c r="AM1001" s="90" t="s">
        <v>379</v>
      </c>
      <c r="AN1001" s="90">
        <v>-1</v>
      </c>
      <c r="AQ1001" s="90">
        <v>366</v>
      </c>
      <c r="AR1001" s="90" t="s">
        <v>265</v>
      </c>
      <c r="AS1001" s="90" t="s">
        <v>395</v>
      </c>
      <c r="AT1001" s="90" t="s">
        <v>244</v>
      </c>
      <c r="AU1001" s="90">
        <v>2.028842</v>
      </c>
      <c r="AV1001" s="90">
        <v>41.259195404518699</v>
      </c>
      <c r="AW1001" s="90">
        <v>74.609089180039504</v>
      </c>
      <c r="AX1001" s="90">
        <v>5.30018352E-2</v>
      </c>
    </row>
    <row r="1002" spans="1:50" x14ac:dyDescent="0.25">
      <c r="A1002" s="102">
        <v>830000</v>
      </c>
      <c r="B1002" s="102">
        <v>2400000</v>
      </c>
      <c r="C1002" s="102">
        <v>2400000</v>
      </c>
      <c r="D1002" s="90" t="s">
        <v>374</v>
      </c>
      <c r="E1002" s="90" t="s">
        <v>68</v>
      </c>
      <c r="F1002" s="90" t="s">
        <v>375</v>
      </c>
      <c r="G1002" s="90" t="s">
        <v>376</v>
      </c>
      <c r="H1002" s="90">
        <v>0.59</v>
      </c>
      <c r="I1002" s="90">
        <v>0.64</v>
      </c>
      <c r="J1002" s="90" t="s">
        <v>244</v>
      </c>
      <c r="K1002" s="90">
        <v>9.9131995085470007E-2</v>
      </c>
      <c r="L1002" s="90">
        <v>3670.6435153655202</v>
      </c>
      <c r="M1002" s="90">
        <v>9.1539115687073291</v>
      </c>
      <c r="N1002" s="90">
        <v>1.3464334776450999</v>
      </c>
      <c r="O1002" s="90">
        <v>0.90744551664194995</v>
      </c>
      <c r="P1002" s="90">
        <v>0.13347463688882999</v>
      </c>
      <c r="Q1002" s="90">
        <v>363.87821492573801</v>
      </c>
      <c r="R1002" s="90">
        <v>1200</v>
      </c>
      <c r="S1002" s="90" t="s">
        <v>384</v>
      </c>
      <c r="T1002" s="90">
        <v>1200</v>
      </c>
      <c r="U1002" s="90" t="s">
        <v>378</v>
      </c>
      <c r="V1002" s="90" t="s">
        <v>244</v>
      </c>
      <c r="Z1002" s="90">
        <v>0</v>
      </c>
      <c r="AA1002" s="90">
        <v>1</v>
      </c>
      <c r="AB1002" s="90">
        <v>0.90744551664194995</v>
      </c>
      <c r="AC1002" s="90">
        <v>0.13347463688882999</v>
      </c>
      <c r="AD1002" s="90">
        <v>736.33943981979496</v>
      </c>
      <c r="AF1002" s="90">
        <v>-1</v>
      </c>
      <c r="AG1002" s="90">
        <v>-1</v>
      </c>
      <c r="AH1002" s="90">
        <v>-1</v>
      </c>
      <c r="AI1002" s="90">
        <v>-1</v>
      </c>
      <c r="AJ1002" s="90">
        <v>0</v>
      </c>
      <c r="AM1002" s="90" t="s">
        <v>379</v>
      </c>
      <c r="AN1002" s="90">
        <v>-1</v>
      </c>
      <c r="AQ1002" s="90">
        <v>366</v>
      </c>
      <c r="AR1002" s="90" t="s">
        <v>265</v>
      </c>
      <c r="AS1002" s="90" t="s">
        <v>395</v>
      </c>
      <c r="AT1002" s="90" t="s">
        <v>244</v>
      </c>
      <c r="AU1002" s="90">
        <v>2.028842</v>
      </c>
      <c r="AV1002" s="90">
        <v>116.73101613220599</v>
      </c>
      <c r="AW1002" s="90">
        <v>401.17295097697098</v>
      </c>
      <c r="AX1002" s="90">
        <v>0.59719338180000003</v>
      </c>
    </row>
    <row r="1003" spans="1:50" x14ac:dyDescent="0.25">
      <c r="A1003" s="102">
        <v>830000</v>
      </c>
      <c r="B1003" s="102">
        <v>2400000</v>
      </c>
      <c r="C1003" s="102">
        <v>2400000</v>
      </c>
      <c r="D1003" s="90" t="s">
        <v>374</v>
      </c>
      <c r="E1003" s="90" t="s">
        <v>68</v>
      </c>
      <c r="F1003" s="90" t="s">
        <v>375</v>
      </c>
      <c r="G1003" s="90" t="s">
        <v>376</v>
      </c>
      <c r="H1003" s="90">
        <v>0.59</v>
      </c>
      <c r="I1003" s="90">
        <v>0.64</v>
      </c>
      <c r="J1003" s="90" t="s">
        <v>244</v>
      </c>
      <c r="K1003" s="90">
        <v>0.12517008515063999</v>
      </c>
      <c r="L1003" s="90">
        <v>3670.6435153655202</v>
      </c>
      <c r="M1003" s="90">
        <v>9.1539115687073291</v>
      </c>
      <c r="N1003" s="90">
        <v>1.3464334776450999</v>
      </c>
      <c r="O1003" s="90">
        <v>1.1457958905165899</v>
      </c>
      <c r="P1003" s="90">
        <v>0.16853319304652001</v>
      </c>
      <c r="Q1003" s="90">
        <v>459.45476137597598</v>
      </c>
      <c r="R1003" s="90">
        <v>1210</v>
      </c>
      <c r="S1003" s="90" t="s">
        <v>385</v>
      </c>
      <c r="T1003" s="90">
        <v>1210</v>
      </c>
      <c r="U1003" s="90" t="s">
        <v>378</v>
      </c>
      <c r="V1003" s="90" t="s">
        <v>244</v>
      </c>
      <c r="Z1003" s="90">
        <v>0</v>
      </c>
      <c r="AA1003" s="90">
        <v>1</v>
      </c>
      <c r="AB1003" s="90">
        <v>1.1457958905165899</v>
      </c>
      <c r="AC1003" s="90">
        <v>0.16853319304652001</v>
      </c>
      <c r="AD1003" s="90">
        <v>459.45476137597598</v>
      </c>
      <c r="AF1003" s="90">
        <v>-1</v>
      </c>
      <c r="AG1003" s="90">
        <v>-1</v>
      </c>
      <c r="AH1003" s="90">
        <v>-1</v>
      </c>
      <c r="AI1003" s="90">
        <v>-1</v>
      </c>
      <c r="AJ1003" s="90">
        <v>0</v>
      </c>
      <c r="AM1003" s="90" t="s">
        <v>379</v>
      </c>
      <c r="AN1003" s="90">
        <v>-1</v>
      </c>
      <c r="AQ1003" s="90">
        <v>366</v>
      </c>
      <c r="AR1003" s="90" t="s">
        <v>265</v>
      </c>
      <c r="AS1003" s="90" t="s">
        <v>395</v>
      </c>
      <c r="AT1003" s="90" t="s">
        <v>244</v>
      </c>
      <c r="AU1003" s="90">
        <v>2.028842</v>
      </c>
      <c r="AV1003" s="90">
        <v>96.936741671291202</v>
      </c>
      <c r="AW1003" s="90">
        <v>506.54536298425501</v>
      </c>
      <c r="AX1003" s="90">
        <v>0.37263159880000002</v>
      </c>
    </row>
    <row r="1004" spans="1:50" x14ac:dyDescent="0.25">
      <c r="A1004" s="102">
        <v>830000</v>
      </c>
      <c r="B1004" s="102">
        <v>2400000</v>
      </c>
      <c r="C1004" s="102">
        <v>2400000</v>
      </c>
      <c r="D1004" s="90" t="s">
        <v>374</v>
      </c>
      <c r="E1004" s="90" t="s">
        <v>68</v>
      </c>
      <c r="F1004" s="90" t="s">
        <v>375</v>
      </c>
      <c r="G1004" s="90" t="s">
        <v>376</v>
      </c>
      <c r="H1004" s="90">
        <v>0.59</v>
      </c>
      <c r="I1004" s="90">
        <v>0.64</v>
      </c>
      <c r="J1004" s="90" t="s">
        <v>244</v>
      </c>
      <c r="K1004" s="90">
        <v>0.19219757353690001</v>
      </c>
      <c r="L1004" s="90">
        <v>3670.6435153655202</v>
      </c>
      <c r="M1004" s="90">
        <v>9.1539115687073291</v>
      </c>
      <c r="N1004" s="90">
        <v>1.3464334776450999</v>
      </c>
      <c r="O1004" s="90">
        <v>1.75935959187692</v>
      </c>
      <c r="P1004" s="90">
        <v>0.25878124733224001</v>
      </c>
      <c r="Q1004" s="90">
        <v>705.48877697221701</v>
      </c>
      <c r="R1004" s="90">
        <v>1210</v>
      </c>
      <c r="S1004" s="90" t="s">
        <v>385</v>
      </c>
      <c r="T1004" s="90">
        <v>1210</v>
      </c>
      <c r="U1004" s="90" t="s">
        <v>378</v>
      </c>
      <c r="V1004" s="90" t="s">
        <v>244</v>
      </c>
      <c r="Z1004" s="90">
        <v>0</v>
      </c>
      <c r="AA1004" s="90">
        <v>1</v>
      </c>
      <c r="AB1004" s="90">
        <v>1.75935959187692</v>
      </c>
      <c r="AC1004" s="90">
        <v>0.25878124733224001</v>
      </c>
      <c r="AD1004" s="90">
        <v>705.48877697221701</v>
      </c>
      <c r="AF1004" s="90">
        <v>-1</v>
      </c>
      <c r="AG1004" s="90">
        <v>-1</v>
      </c>
      <c r="AH1004" s="90">
        <v>-1</v>
      </c>
      <c r="AI1004" s="90">
        <v>-1</v>
      </c>
      <c r="AJ1004" s="90">
        <v>0</v>
      </c>
      <c r="AM1004" s="90" t="s">
        <v>379</v>
      </c>
      <c r="AN1004" s="90">
        <v>-1</v>
      </c>
      <c r="AQ1004" s="90">
        <v>366</v>
      </c>
      <c r="AR1004" s="90" t="s">
        <v>265</v>
      </c>
      <c r="AS1004" s="90" t="s">
        <v>395</v>
      </c>
      <c r="AT1004" s="90" t="s">
        <v>244</v>
      </c>
      <c r="AU1004" s="90">
        <v>2.028842</v>
      </c>
      <c r="AV1004" s="90">
        <v>112.310494654256</v>
      </c>
      <c r="AW1004" s="90">
        <v>777.79598483750897</v>
      </c>
      <c r="AX1004" s="90">
        <v>0.57217256849999998</v>
      </c>
    </row>
    <row r="1005" spans="1:50" x14ac:dyDescent="0.25">
      <c r="A1005" s="102">
        <v>830000</v>
      </c>
      <c r="B1005" s="102">
        <v>2400000</v>
      </c>
      <c r="C1005" s="102">
        <v>2400000</v>
      </c>
      <c r="D1005" s="90" t="s">
        <v>374</v>
      </c>
      <c r="E1005" s="90" t="s">
        <v>68</v>
      </c>
      <c r="F1005" s="90" t="s">
        <v>375</v>
      </c>
      <c r="G1005" s="90" t="s">
        <v>376</v>
      </c>
      <c r="H1005" s="90">
        <v>0.59</v>
      </c>
      <c r="I1005" s="90">
        <v>0.64</v>
      </c>
      <c r="J1005" s="90" t="s">
        <v>244</v>
      </c>
      <c r="K1005" s="90">
        <v>7.7130499258520002E-2</v>
      </c>
      <c r="L1005" s="90">
        <v>3670.6435153655202</v>
      </c>
      <c r="M1005" s="90">
        <v>9.1539115687073291</v>
      </c>
      <c r="N1005" s="90">
        <v>1.3464334776450999</v>
      </c>
      <c r="O1005" s="90">
        <v>0.70604576946279995</v>
      </c>
      <c r="P1005" s="90">
        <v>0.10385108634916</v>
      </c>
      <c r="Q1005" s="90">
        <v>283.11856694021702</v>
      </c>
      <c r="R1005" s="90">
        <v>1210</v>
      </c>
      <c r="S1005" s="90" t="s">
        <v>385</v>
      </c>
      <c r="T1005" s="90">
        <v>1210</v>
      </c>
      <c r="U1005" s="90" t="s">
        <v>378</v>
      </c>
      <c r="V1005" s="90" t="s">
        <v>244</v>
      </c>
      <c r="Z1005" s="90">
        <v>0</v>
      </c>
      <c r="AA1005" s="90">
        <v>1</v>
      </c>
      <c r="AB1005" s="90">
        <v>0.70604576946279995</v>
      </c>
      <c r="AC1005" s="90">
        <v>0.10385108634916</v>
      </c>
      <c r="AD1005" s="90">
        <v>283.11856694021901</v>
      </c>
      <c r="AF1005" s="90">
        <v>-1</v>
      </c>
      <c r="AG1005" s="90">
        <v>-1</v>
      </c>
      <c r="AH1005" s="90">
        <v>-1</v>
      </c>
      <c r="AI1005" s="90">
        <v>-1</v>
      </c>
      <c r="AJ1005" s="90">
        <v>0</v>
      </c>
      <c r="AM1005" s="90" t="s">
        <v>379</v>
      </c>
      <c r="AN1005" s="90">
        <v>-1</v>
      </c>
      <c r="AQ1005" s="90">
        <v>366</v>
      </c>
      <c r="AR1005" s="90" t="s">
        <v>265</v>
      </c>
      <c r="AS1005" s="90" t="s">
        <v>395</v>
      </c>
      <c r="AT1005" s="90" t="s">
        <v>244</v>
      </c>
      <c r="AU1005" s="90">
        <v>2.028842</v>
      </c>
      <c r="AV1005" s="90">
        <v>80.708117005188697</v>
      </c>
      <c r="AW1005" s="90">
        <v>312.13605628728999</v>
      </c>
      <c r="AX1005" s="90">
        <v>0.2296176536</v>
      </c>
    </row>
    <row r="1006" spans="1:50" x14ac:dyDescent="0.25">
      <c r="A1006" s="102">
        <v>830000</v>
      </c>
      <c r="B1006" s="102">
        <v>2400000</v>
      </c>
      <c r="C1006" s="102">
        <v>2400000</v>
      </c>
      <c r="D1006" s="90" t="s">
        <v>374</v>
      </c>
      <c r="E1006" s="90" t="s">
        <v>68</v>
      </c>
      <c r="F1006" s="90" t="s">
        <v>375</v>
      </c>
      <c r="G1006" s="90" t="s">
        <v>376</v>
      </c>
      <c r="H1006" s="90">
        <v>0.59</v>
      </c>
      <c r="I1006" s="90">
        <v>0.64</v>
      </c>
      <c r="J1006" s="90" t="s">
        <v>244</v>
      </c>
      <c r="K1006" s="90">
        <v>4.64313695454E-3</v>
      </c>
      <c r="L1006" s="90">
        <v>3670.6435153655202</v>
      </c>
      <c r="M1006" s="90">
        <v>9.1539115687073291</v>
      </c>
      <c r="N1006" s="90">
        <v>1.3464334776450999</v>
      </c>
      <c r="O1006" s="90">
        <v>4.25028650833E-2</v>
      </c>
      <c r="P1006" s="90">
        <v>6.2516750368899997E-3</v>
      </c>
      <c r="Q1006" s="90">
        <v>17.043300553154602</v>
      </c>
      <c r="R1006" s="90">
        <v>1210</v>
      </c>
      <c r="S1006" s="90" t="s">
        <v>385</v>
      </c>
      <c r="T1006" s="90">
        <v>1210</v>
      </c>
      <c r="U1006" s="90" t="s">
        <v>378</v>
      </c>
      <c r="V1006" s="90" t="s">
        <v>244</v>
      </c>
      <c r="Z1006" s="90">
        <v>0</v>
      </c>
      <c r="AA1006" s="90">
        <v>1</v>
      </c>
      <c r="AB1006" s="90">
        <v>4.25028650833E-2</v>
      </c>
      <c r="AC1006" s="90">
        <v>6.2516750368899997E-3</v>
      </c>
      <c r="AD1006" s="90">
        <v>17.043300553154999</v>
      </c>
      <c r="AF1006" s="90">
        <v>-1</v>
      </c>
      <c r="AG1006" s="90">
        <v>-1</v>
      </c>
      <c r="AH1006" s="90">
        <v>-1</v>
      </c>
      <c r="AI1006" s="90">
        <v>-1</v>
      </c>
      <c r="AJ1006" s="90">
        <v>0</v>
      </c>
      <c r="AM1006" s="90" t="s">
        <v>379</v>
      </c>
      <c r="AN1006" s="90">
        <v>-1</v>
      </c>
      <c r="AQ1006" s="90">
        <v>366</v>
      </c>
      <c r="AR1006" s="90" t="s">
        <v>265</v>
      </c>
      <c r="AS1006" s="90" t="s">
        <v>395</v>
      </c>
      <c r="AT1006" s="90" t="s">
        <v>244</v>
      </c>
      <c r="AU1006" s="90">
        <v>2.028842</v>
      </c>
      <c r="AV1006" s="90">
        <v>37.113212979941999</v>
      </c>
      <c r="AW1006" s="90">
        <v>18.7901086045837</v>
      </c>
      <c r="AX1006" s="90">
        <v>1.3822628199999999E-2</v>
      </c>
    </row>
    <row r="1007" spans="1:50" x14ac:dyDescent="0.25">
      <c r="A1007" s="102">
        <v>830000</v>
      </c>
      <c r="B1007" s="102">
        <v>2400000</v>
      </c>
      <c r="C1007" s="102">
        <v>2400000</v>
      </c>
      <c r="D1007" s="90" t="s">
        <v>374</v>
      </c>
      <c r="E1007" s="90" t="s">
        <v>68</v>
      </c>
      <c r="F1007" s="90" t="s">
        <v>375</v>
      </c>
      <c r="G1007" s="90" t="s">
        <v>376</v>
      </c>
      <c r="H1007" s="90">
        <v>0.59</v>
      </c>
      <c r="I1007" s="90">
        <v>0.64</v>
      </c>
      <c r="J1007" s="90" t="s">
        <v>244</v>
      </c>
      <c r="K1007" s="90">
        <v>6.3577010549089999E-2</v>
      </c>
      <c r="L1007" s="90">
        <v>3783.36519923996</v>
      </c>
      <c r="M1007" s="90">
        <v>11.5724286033452</v>
      </c>
      <c r="N1007" s="90">
        <v>1.57258398950117</v>
      </c>
      <c r="O1007" s="90">
        <v>0.73574041539357005</v>
      </c>
      <c r="P1007" s="90">
        <v>9.9980188889860003E-2</v>
      </c>
      <c r="Q1007" s="90">
        <v>240.53504918317299</v>
      </c>
      <c r="R1007" s="90">
        <v>1420</v>
      </c>
      <c r="S1007" s="90" t="s">
        <v>327</v>
      </c>
      <c r="T1007" s="90">
        <v>1420</v>
      </c>
      <c r="U1007" s="90" t="s">
        <v>378</v>
      </c>
      <c r="V1007" s="90" t="s">
        <v>244</v>
      </c>
      <c r="Z1007" s="90">
        <v>0</v>
      </c>
      <c r="AA1007" s="90">
        <v>1</v>
      </c>
      <c r="AB1007" s="90">
        <v>0.73574041539357005</v>
      </c>
      <c r="AC1007" s="90">
        <v>9.9980188889860003E-2</v>
      </c>
      <c r="AD1007" s="90">
        <v>1643.40209792269</v>
      </c>
      <c r="AF1007" s="90">
        <v>-1</v>
      </c>
      <c r="AG1007" s="90">
        <v>-1</v>
      </c>
      <c r="AH1007" s="90">
        <v>-1</v>
      </c>
      <c r="AI1007" s="90">
        <v>-1</v>
      </c>
      <c r="AJ1007" s="90">
        <v>0</v>
      </c>
      <c r="AM1007" s="90" t="s">
        <v>379</v>
      </c>
      <c r="AN1007" s="90">
        <v>-1</v>
      </c>
      <c r="AQ1007" s="90">
        <v>367</v>
      </c>
      <c r="AR1007" s="90" t="s">
        <v>267</v>
      </c>
      <c r="AS1007" s="90" t="s">
        <v>396</v>
      </c>
      <c r="AT1007" s="90" t="s">
        <v>244</v>
      </c>
      <c r="AU1007" s="90">
        <v>1.401357</v>
      </c>
      <c r="AV1007" s="90">
        <v>83.216812028678603</v>
      </c>
      <c r="AW1007" s="90">
        <v>257.28703345761301</v>
      </c>
      <c r="AX1007" s="90">
        <v>1.3328484168000001</v>
      </c>
    </row>
    <row r="1008" spans="1:50" x14ac:dyDescent="0.25">
      <c r="A1008" s="102">
        <v>830000</v>
      </c>
      <c r="B1008" s="102">
        <v>2400000</v>
      </c>
      <c r="C1008" s="102">
        <v>2400000</v>
      </c>
      <c r="D1008" s="90" t="s">
        <v>374</v>
      </c>
      <c r="E1008" s="90" t="s">
        <v>68</v>
      </c>
      <c r="F1008" s="90" t="s">
        <v>375</v>
      </c>
      <c r="G1008" s="90" t="s">
        <v>376</v>
      </c>
      <c r="H1008" s="90">
        <v>0.59</v>
      </c>
      <c r="I1008" s="90">
        <v>0.64</v>
      </c>
      <c r="J1008" s="90" t="s">
        <v>244</v>
      </c>
      <c r="K1008" s="90">
        <v>1.5442104430710001E-2</v>
      </c>
      <c r="L1008" s="90">
        <v>3783.36519923996</v>
      </c>
      <c r="M1008" s="90">
        <v>11.5724286033452</v>
      </c>
      <c r="N1008" s="90">
        <v>1.57258398950117</v>
      </c>
      <c r="O1008" s="90">
        <v>0.17870265100988</v>
      </c>
      <c r="P1008" s="90">
        <v>2.4284006191950001E-2</v>
      </c>
      <c r="Q1008" s="90">
        <v>58.423120506207603</v>
      </c>
      <c r="R1008" s="90">
        <v>1420</v>
      </c>
      <c r="S1008" s="90" t="s">
        <v>327</v>
      </c>
      <c r="T1008" s="90">
        <v>1420</v>
      </c>
      <c r="U1008" s="90" t="s">
        <v>378</v>
      </c>
      <c r="V1008" s="90" t="s">
        <v>244</v>
      </c>
      <c r="Z1008" s="90">
        <v>0</v>
      </c>
      <c r="AA1008" s="90">
        <v>1</v>
      </c>
      <c r="AB1008" s="90">
        <v>0.17870265100988</v>
      </c>
      <c r="AC1008" s="90">
        <v>2.4284006191950001E-2</v>
      </c>
      <c r="AD1008" s="90">
        <v>117.75590579374899</v>
      </c>
      <c r="AF1008" s="90">
        <v>-1</v>
      </c>
      <c r="AG1008" s="90">
        <v>-1</v>
      </c>
      <c r="AH1008" s="90">
        <v>-1</v>
      </c>
      <c r="AI1008" s="90">
        <v>-1</v>
      </c>
      <c r="AJ1008" s="90">
        <v>0</v>
      </c>
      <c r="AM1008" s="90" t="s">
        <v>379</v>
      </c>
      <c r="AN1008" s="90">
        <v>-1</v>
      </c>
      <c r="AQ1008" s="90">
        <v>367</v>
      </c>
      <c r="AR1008" s="90" t="s">
        <v>267</v>
      </c>
      <c r="AS1008" s="90" t="s">
        <v>396</v>
      </c>
      <c r="AT1008" s="90" t="s">
        <v>244</v>
      </c>
      <c r="AU1008" s="90">
        <v>1.401357</v>
      </c>
      <c r="AV1008" s="90">
        <v>42.302641873036201</v>
      </c>
      <c r="AW1008" s="90">
        <v>62.491979490824299</v>
      </c>
      <c r="AX1008" s="90">
        <v>9.5503573199999997E-2</v>
      </c>
    </row>
    <row r="1009" spans="1:50" x14ac:dyDescent="0.25">
      <c r="A1009" s="102">
        <v>830000</v>
      </c>
      <c r="B1009" s="102">
        <v>2400000</v>
      </c>
      <c r="C1009" s="102">
        <v>2400000</v>
      </c>
      <c r="D1009" s="90" t="s">
        <v>374</v>
      </c>
      <c r="E1009" s="90" t="s">
        <v>68</v>
      </c>
      <c r="F1009" s="90" t="s">
        <v>375</v>
      </c>
      <c r="G1009" s="90" t="s">
        <v>376</v>
      </c>
      <c r="H1009" s="90">
        <v>0.59</v>
      </c>
      <c r="I1009" s="90">
        <v>0.64</v>
      </c>
      <c r="J1009" s="90" t="s">
        <v>244</v>
      </c>
      <c r="K1009" s="90">
        <v>5.3099023783000001E-4</v>
      </c>
      <c r="L1009" s="90">
        <v>3780.3077063793198</v>
      </c>
      <c r="M1009" s="90">
        <v>11.388033766841</v>
      </c>
      <c r="N1009" s="90">
        <v>1.70170075410444</v>
      </c>
      <c r="O1009" s="90">
        <v>6.04693475832E-3</v>
      </c>
      <c r="P1009" s="90">
        <v>9.0358648814000005E-4</v>
      </c>
      <c r="Q1009" s="90">
        <v>2.0073064880998399</v>
      </c>
      <c r="R1009" s="90">
        <v>1300</v>
      </c>
      <c r="S1009" s="90" t="s">
        <v>387</v>
      </c>
      <c r="T1009" s="90">
        <v>1300</v>
      </c>
      <c r="U1009" s="90" t="s">
        <v>378</v>
      </c>
      <c r="V1009" s="90" t="s">
        <v>244</v>
      </c>
      <c r="Z1009" s="90">
        <v>0</v>
      </c>
      <c r="AA1009" s="90">
        <v>1</v>
      </c>
      <c r="AB1009" s="90">
        <v>6.04693475832E-3</v>
      </c>
      <c r="AC1009" s="90">
        <v>9.0358648814000005E-4</v>
      </c>
      <c r="AD1009" s="90">
        <v>5.3834722577977097</v>
      </c>
      <c r="AF1009" s="90">
        <v>-1</v>
      </c>
      <c r="AG1009" s="90">
        <v>-1</v>
      </c>
      <c r="AH1009" s="90">
        <v>-1</v>
      </c>
      <c r="AI1009" s="90">
        <v>-1</v>
      </c>
      <c r="AJ1009" s="90">
        <v>0</v>
      </c>
      <c r="AM1009" s="90" t="s">
        <v>379</v>
      </c>
      <c r="AN1009" s="90">
        <v>-1</v>
      </c>
      <c r="AQ1009" s="90">
        <v>367</v>
      </c>
      <c r="AR1009" s="90" t="s">
        <v>267</v>
      </c>
      <c r="AS1009" s="90" t="s">
        <v>396</v>
      </c>
      <c r="AT1009" s="90" t="s">
        <v>244</v>
      </c>
      <c r="AU1009" s="90">
        <v>1.401357</v>
      </c>
      <c r="AV1009" s="90">
        <v>13.522001934712801</v>
      </c>
      <c r="AW1009" s="90">
        <v>2.14884125421404</v>
      </c>
      <c r="AX1009" s="90">
        <v>4.3661574999999996E-3</v>
      </c>
    </row>
    <row r="1010" spans="1:50" x14ac:dyDescent="0.25">
      <c r="A1010" s="102">
        <v>830000</v>
      </c>
      <c r="B1010" s="102">
        <v>2400000</v>
      </c>
      <c r="C1010" s="102">
        <v>2400000</v>
      </c>
      <c r="D1010" s="90" t="s">
        <v>374</v>
      </c>
      <c r="E1010" s="90" t="s">
        <v>68</v>
      </c>
      <c r="F1010" s="90" t="s">
        <v>375</v>
      </c>
      <c r="G1010" s="90" t="s">
        <v>376</v>
      </c>
      <c r="H1010" s="90">
        <v>0.59</v>
      </c>
      <c r="I1010" s="90">
        <v>0.64</v>
      </c>
      <c r="J1010" s="90" t="s">
        <v>244</v>
      </c>
      <c r="K1010" s="90">
        <v>6.6950117837740006E-2</v>
      </c>
      <c r="L1010" s="90">
        <v>3780.3077063793198</v>
      </c>
      <c r="M1010" s="90">
        <v>11.388033766841</v>
      </c>
      <c r="N1010" s="90">
        <v>1.70170075410444</v>
      </c>
      <c r="O1010" s="90">
        <v>0.76243020263022998</v>
      </c>
      <c r="P1010" s="90">
        <v>0.11392906601187</v>
      </c>
      <c r="Q1010" s="90">
        <v>253.09204640503501</v>
      </c>
      <c r="R1010" s="90">
        <v>1400</v>
      </c>
      <c r="S1010" s="90" t="s">
        <v>324</v>
      </c>
      <c r="T1010" s="90">
        <v>1400</v>
      </c>
      <c r="U1010" s="90" t="s">
        <v>378</v>
      </c>
      <c r="V1010" s="90" t="s">
        <v>244</v>
      </c>
      <c r="Z1010" s="90">
        <v>0</v>
      </c>
      <c r="AA1010" s="90">
        <v>1</v>
      </c>
      <c r="AB1010" s="90">
        <v>0.76243020263022998</v>
      </c>
      <c r="AC1010" s="90">
        <v>0.11392906601187</v>
      </c>
      <c r="AD1010" s="90">
        <v>1156.7060408842699</v>
      </c>
      <c r="AF1010" s="90">
        <v>-1</v>
      </c>
      <c r="AG1010" s="90">
        <v>-1</v>
      </c>
      <c r="AH1010" s="90">
        <v>-1</v>
      </c>
      <c r="AI1010" s="90">
        <v>-1</v>
      </c>
      <c r="AJ1010" s="90">
        <v>0</v>
      </c>
      <c r="AM1010" s="90" t="s">
        <v>379</v>
      </c>
      <c r="AN1010" s="90">
        <v>-1</v>
      </c>
      <c r="AQ1010" s="90">
        <v>367</v>
      </c>
      <c r="AR1010" s="90" t="s">
        <v>267</v>
      </c>
      <c r="AS1010" s="90" t="s">
        <v>396</v>
      </c>
      <c r="AT1010" s="90" t="s">
        <v>244</v>
      </c>
      <c r="AU1010" s="90">
        <v>1.401357</v>
      </c>
      <c r="AV1010" s="90">
        <v>103.331270176469</v>
      </c>
      <c r="AW1010" s="90">
        <v>270.937514352118</v>
      </c>
      <c r="AX1010" s="90">
        <v>0.93812330970000002</v>
      </c>
    </row>
    <row r="1011" spans="1:50" x14ac:dyDescent="0.25">
      <c r="A1011" s="102">
        <v>830000</v>
      </c>
      <c r="B1011" s="102">
        <v>2400000</v>
      </c>
      <c r="C1011" s="102">
        <v>2400000</v>
      </c>
      <c r="D1011" s="90" t="s">
        <v>374</v>
      </c>
      <c r="E1011" s="90" t="s">
        <v>68</v>
      </c>
      <c r="F1011" s="90" t="s">
        <v>375</v>
      </c>
      <c r="G1011" s="90" t="s">
        <v>376</v>
      </c>
      <c r="H1011" s="90">
        <v>0.59</v>
      </c>
      <c r="I1011" s="90">
        <v>0.64</v>
      </c>
      <c r="J1011" s="90" t="s">
        <v>244</v>
      </c>
      <c r="K1011" s="90">
        <v>8.6423837453000003E-4</v>
      </c>
      <c r="L1011" s="90">
        <v>3780.3077063793198</v>
      </c>
      <c r="M1011" s="90">
        <v>11.388033766841</v>
      </c>
      <c r="N1011" s="90">
        <v>1.70170075410444</v>
      </c>
      <c r="O1011" s="90">
        <v>9.8419757918499998E-3</v>
      </c>
      <c r="P1011" s="90">
        <v>1.47067509367E-3</v>
      </c>
      <c r="Q1011" s="90">
        <v>3.2670869874185202</v>
      </c>
      <c r="R1011" s="90">
        <v>1330</v>
      </c>
      <c r="S1011" s="90" t="s">
        <v>397</v>
      </c>
      <c r="T1011" s="90">
        <v>1330</v>
      </c>
      <c r="U1011" s="90" t="s">
        <v>378</v>
      </c>
      <c r="V1011" s="90" t="s">
        <v>244</v>
      </c>
      <c r="Z1011" s="90">
        <v>0</v>
      </c>
      <c r="AA1011" s="90">
        <v>1</v>
      </c>
      <c r="AB1011" s="90">
        <v>9.8419757918499998E-3</v>
      </c>
      <c r="AC1011" s="90">
        <v>1.47067509367E-3</v>
      </c>
      <c r="AD1011" s="90">
        <v>3.2670869874192801</v>
      </c>
      <c r="AF1011" s="90">
        <v>-1</v>
      </c>
      <c r="AG1011" s="90">
        <v>-1</v>
      </c>
      <c r="AH1011" s="90">
        <v>-1</v>
      </c>
      <c r="AI1011" s="90">
        <v>-1</v>
      </c>
      <c r="AJ1011" s="90">
        <v>0</v>
      </c>
      <c r="AM1011" s="90" t="s">
        <v>379</v>
      </c>
      <c r="AN1011" s="90">
        <v>-1</v>
      </c>
      <c r="AQ1011" s="90">
        <v>367</v>
      </c>
      <c r="AR1011" s="90" t="s">
        <v>267</v>
      </c>
      <c r="AS1011" s="90" t="s">
        <v>396</v>
      </c>
      <c r="AT1011" s="90" t="s">
        <v>244</v>
      </c>
      <c r="AU1011" s="90">
        <v>1.401357</v>
      </c>
      <c r="AV1011" s="90">
        <v>28.007266879434699</v>
      </c>
      <c r="AW1011" s="90">
        <v>3.4974486164885001</v>
      </c>
      <c r="AX1011" s="90">
        <v>2.6497055999999998E-3</v>
      </c>
    </row>
    <row r="1012" spans="1:50" x14ac:dyDescent="0.25">
      <c r="A1012" s="102">
        <v>830000</v>
      </c>
      <c r="B1012" s="102">
        <v>2400000</v>
      </c>
      <c r="C1012" s="102">
        <v>2400000</v>
      </c>
      <c r="D1012" s="90" t="s">
        <v>374</v>
      </c>
      <c r="E1012" s="90" t="s">
        <v>68</v>
      </c>
      <c r="F1012" s="90" t="s">
        <v>375</v>
      </c>
      <c r="G1012" s="90" t="s">
        <v>376</v>
      </c>
      <c r="H1012" s="90">
        <v>0.59</v>
      </c>
      <c r="I1012" s="90">
        <v>0.64</v>
      </c>
      <c r="J1012" s="90" t="s">
        <v>244</v>
      </c>
      <c r="K1012" s="90">
        <v>2.1566463779790001E-2</v>
      </c>
      <c r="L1012" s="90">
        <v>3780.3077063793198</v>
      </c>
      <c r="M1012" s="90">
        <v>11.388033766841</v>
      </c>
      <c r="N1012" s="90">
        <v>1.70170075410444</v>
      </c>
      <c r="O1012" s="90">
        <v>0.24559961775562</v>
      </c>
      <c r="P1012" s="90">
        <v>3.6699667677429999E-2</v>
      </c>
      <c r="Q1012" s="90">
        <v>81.527869226098304</v>
      </c>
      <c r="R1012" s="90">
        <v>1420</v>
      </c>
      <c r="S1012" s="90" t="s">
        <v>327</v>
      </c>
      <c r="T1012" s="90">
        <v>1420</v>
      </c>
      <c r="U1012" s="90" t="s">
        <v>378</v>
      </c>
      <c r="V1012" s="90" t="s">
        <v>244</v>
      </c>
      <c r="Z1012" s="90">
        <v>0</v>
      </c>
      <c r="AA1012" s="90">
        <v>1</v>
      </c>
      <c r="AB1012" s="90">
        <v>0.24559961775562</v>
      </c>
      <c r="AC1012" s="90">
        <v>3.6699667677429999E-2</v>
      </c>
      <c r="AD1012" s="90">
        <v>472.62770810812498</v>
      </c>
      <c r="AF1012" s="90">
        <v>-1</v>
      </c>
      <c r="AG1012" s="90">
        <v>-1</v>
      </c>
      <c r="AH1012" s="90">
        <v>-1</v>
      </c>
      <c r="AI1012" s="90">
        <v>-1</v>
      </c>
      <c r="AJ1012" s="90">
        <v>0</v>
      </c>
      <c r="AM1012" s="90" t="s">
        <v>379</v>
      </c>
      <c r="AN1012" s="90">
        <v>-1</v>
      </c>
      <c r="AQ1012" s="90">
        <v>367</v>
      </c>
      <c r="AR1012" s="90" t="s">
        <v>267</v>
      </c>
      <c r="AS1012" s="90" t="s">
        <v>396</v>
      </c>
      <c r="AT1012" s="90" t="s">
        <v>244</v>
      </c>
      <c r="AU1012" s="90">
        <v>1.401357</v>
      </c>
      <c r="AV1012" s="90">
        <v>68.321743280346794</v>
      </c>
      <c r="AW1012" s="90">
        <v>87.276382455709907</v>
      </c>
      <c r="AX1012" s="90">
        <v>0.38331525389999999</v>
      </c>
    </row>
    <row r="1013" spans="1:50" x14ac:dyDescent="0.25">
      <c r="A1013" s="102">
        <v>830000</v>
      </c>
      <c r="B1013" s="102">
        <v>2400000</v>
      </c>
      <c r="C1013" s="102">
        <v>2400000</v>
      </c>
      <c r="D1013" s="90" t="s">
        <v>374</v>
      </c>
      <c r="E1013" s="90" t="s">
        <v>68</v>
      </c>
      <c r="F1013" s="90" t="s">
        <v>375</v>
      </c>
      <c r="G1013" s="90" t="s">
        <v>376</v>
      </c>
      <c r="H1013" s="90">
        <v>0.59</v>
      </c>
      <c r="I1013" s="90">
        <v>0.64</v>
      </c>
      <c r="J1013" s="90" t="s">
        <v>244</v>
      </c>
      <c r="K1013" s="90">
        <v>1.0888628770590001E-2</v>
      </c>
      <c r="L1013" s="90">
        <v>3744.7715662652699</v>
      </c>
      <c r="M1013" s="90">
        <v>10.3813278866524</v>
      </c>
      <c r="N1013" s="90">
        <v>1.8828424508758399</v>
      </c>
      <c r="O1013" s="90">
        <v>0.11303842550356</v>
      </c>
      <c r="P1013" s="90">
        <v>2.0501572481099999E-2</v>
      </c>
      <c r="Q1013" s="90">
        <v>40.775427415734598</v>
      </c>
      <c r="R1013" s="90">
        <v>1330</v>
      </c>
      <c r="S1013" s="90" t="s">
        <v>397</v>
      </c>
      <c r="T1013" s="90">
        <v>1330</v>
      </c>
      <c r="U1013" s="90" t="s">
        <v>378</v>
      </c>
      <c r="V1013" s="90" t="s">
        <v>244</v>
      </c>
      <c r="Z1013" s="90">
        <v>0</v>
      </c>
      <c r="AA1013" s="90">
        <v>1</v>
      </c>
      <c r="AB1013" s="90">
        <v>0.11303842550356</v>
      </c>
      <c r="AC1013" s="90">
        <v>2.0501572481099999E-2</v>
      </c>
      <c r="AD1013" s="90">
        <v>496.57605229235497</v>
      </c>
      <c r="AF1013" s="90">
        <v>-1</v>
      </c>
      <c r="AG1013" s="90">
        <v>-1</v>
      </c>
      <c r="AH1013" s="90">
        <v>-1</v>
      </c>
      <c r="AI1013" s="90">
        <v>-1</v>
      </c>
      <c r="AJ1013" s="90">
        <v>0</v>
      </c>
      <c r="AM1013" s="90" t="s">
        <v>379</v>
      </c>
      <c r="AN1013" s="90">
        <v>-1</v>
      </c>
      <c r="AQ1013" s="90">
        <v>367</v>
      </c>
      <c r="AR1013" s="90" t="s">
        <v>267</v>
      </c>
      <c r="AS1013" s="90" t="s">
        <v>396</v>
      </c>
      <c r="AT1013" s="90" t="s">
        <v>244</v>
      </c>
      <c r="AU1013" s="90">
        <v>1.401357</v>
      </c>
      <c r="AV1013" s="90">
        <v>28.716431437050701</v>
      </c>
      <c r="AW1013" s="90">
        <v>44.064717271402799</v>
      </c>
      <c r="AX1013" s="90">
        <v>0.40273807969999997</v>
      </c>
    </row>
    <row r="1014" spans="1:50" x14ac:dyDescent="0.25">
      <c r="A1014" s="102">
        <v>830000</v>
      </c>
      <c r="B1014" s="102">
        <v>2400000</v>
      </c>
      <c r="C1014" s="102">
        <v>2400000</v>
      </c>
      <c r="D1014" s="90" t="s">
        <v>374</v>
      </c>
      <c r="E1014" s="90" t="s">
        <v>68</v>
      </c>
      <c r="F1014" s="90" t="s">
        <v>375</v>
      </c>
      <c r="G1014" s="90" t="s">
        <v>376</v>
      </c>
      <c r="H1014" s="90">
        <v>0.59</v>
      </c>
      <c r="I1014" s="90">
        <v>0.64</v>
      </c>
      <c r="J1014" s="90" t="s">
        <v>244</v>
      </c>
      <c r="K1014" s="90">
        <v>9.2436603250000001E-4</v>
      </c>
      <c r="L1014" s="90">
        <v>3744.7715662652699</v>
      </c>
      <c r="M1014" s="90">
        <v>10.3813278866524</v>
      </c>
      <c r="N1014" s="90">
        <v>1.8828424508758399</v>
      </c>
      <c r="O1014" s="90">
        <v>9.5961468707600004E-3</v>
      </c>
      <c r="P1014" s="90">
        <v>1.74043560615E-3</v>
      </c>
      <c r="Q1014" s="90">
        <v>3.4615396353611398</v>
      </c>
      <c r="R1014" s="90">
        <v>1420</v>
      </c>
      <c r="S1014" s="90" t="s">
        <v>327</v>
      </c>
      <c r="T1014" s="90">
        <v>1420</v>
      </c>
      <c r="U1014" s="90" t="s">
        <v>378</v>
      </c>
      <c r="V1014" s="90" t="s">
        <v>244</v>
      </c>
      <c r="Z1014" s="90">
        <v>0</v>
      </c>
      <c r="AA1014" s="90">
        <v>1</v>
      </c>
      <c r="AB1014" s="90">
        <v>9.5961468707600004E-3</v>
      </c>
      <c r="AC1014" s="90">
        <v>1.74043560615E-3</v>
      </c>
      <c r="AD1014" s="90">
        <v>7.5399250793980901</v>
      </c>
      <c r="AF1014" s="90">
        <v>-1</v>
      </c>
      <c r="AG1014" s="90">
        <v>-1</v>
      </c>
      <c r="AH1014" s="90">
        <v>-1</v>
      </c>
      <c r="AI1014" s="90">
        <v>-1</v>
      </c>
      <c r="AJ1014" s="90">
        <v>0</v>
      </c>
      <c r="AM1014" s="90" t="s">
        <v>379</v>
      </c>
      <c r="AN1014" s="90">
        <v>-1</v>
      </c>
      <c r="AQ1014" s="90">
        <v>367</v>
      </c>
      <c r="AR1014" s="90" t="s">
        <v>267</v>
      </c>
      <c r="AS1014" s="90" t="s">
        <v>396</v>
      </c>
      <c r="AT1014" s="90" t="s">
        <v>244</v>
      </c>
      <c r="AU1014" s="90">
        <v>1.401357</v>
      </c>
      <c r="AV1014" s="90">
        <v>15.0803350207301</v>
      </c>
      <c r="AW1014" s="90">
        <v>3.7407766153067699</v>
      </c>
      <c r="AX1014" s="90">
        <v>6.1151054999999998E-3</v>
      </c>
    </row>
    <row r="1015" spans="1:50" x14ac:dyDescent="0.25">
      <c r="A1015" s="102">
        <v>830000</v>
      </c>
      <c r="B1015" s="102">
        <v>2400000</v>
      </c>
      <c r="C1015" s="102">
        <v>2400000</v>
      </c>
      <c r="D1015" s="90" t="s">
        <v>374</v>
      </c>
      <c r="E1015" s="90" t="s">
        <v>68</v>
      </c>
      <c r="F1015" s="90" t="s">
        <v>375</v>
      </c>
      <c r="G1015" s="90" t="s">
        <v>376</v>
      </c>
      <c r="H1015" s="90">
        <v>0.59</v>
      </c>
      <c r="I1015" s="90">
        <v>0.64</v>
      </c>
      <c r="J1015" s="90" t="s">
        <v>244</v>
      </c>
      <c r="K1015" s="90">
        <v>4.3161092390699998E-2</v>
      </c>
      <c r="L1015" s="90">
        <v>3743.6346793863399</v>
      </c>
      <c r="M1015" s="90">
        <v>10.3764922041841</v>
      </c>
      <c r="N1015" s="90">
        <v>1.87689973049961</v>
      </c>
      <c r="O1015" s="90">
        <v>0.44786073871616999</v>
      </c>
      <c r="P1015" s="90">
        <v>8.1009042676169998E-2</v>
      </c>
      <c r="Q1015" s="90">
        <v>161.579362274022</v>
      </c>
      <c r="R1015" s="90">
        <v>1300</v>
      </c>
      <c r="S1015" s="90" t="s">
        <v>387</v>
      </c>
      <c r="T1015" s="90">
        <v>1300</v>
      </c>
      <c r="U1015" s="90" t="s">
        <v>378</v>
      </c>
      <c r="V1015" s="90" t="s">
        <v>244</v>
      </c>
      <c r="Z1015" s="90">
        <v>0</v>
      </c>
      <c r="AA1015" s="90">
        <v>1</v>
      </c>
      <c r="AB1015" s="90">
        <v>0.44786073871616999</v>
      </c>
      <c r="AC1015" s="90">
        <v>8.1009042676169998E-2</v>
      </c>
      <c r="AD1015" s="90">
        <v>538.47528320493802</v>
      </c>
      <c r="AF1015" s="90">
        <v>-1</v>
      </c>
      <c r="AG1015" s="90">
        <v>-1</v>
      </c>
      <c r="AH1015" s="90">
        <v>-1</v>
      </c>
      <c r="AI1015" s="90">
        <v>-1</v>
      </c>
      <c r="AJ1015" s="90">
        <v>0</v>
      </c>
      <c r="AM1015" s="90" t="s">
        <v>379</v>
      </c>
      <c r="AN1015" s="90">
        <v>-1</v>
      </c>
      <c r="AQ1015" s="90">
        <v>367</v>
      </c>
      <c r="AR1015" s="90" t="s">
        <v>267</v>
      </c>
      <c r="AS1015" s="90" t="s">
        <v>396</v>
      </c>
      <c r="AT1015" s="90" t="s">
        <v>244</v>
      </c>
      <c r="AU1015" s="90">
        <v>1.401357</v>
      </c>
      <c r="AV1015" s="90">
        <v>65.568027804721297</v>
      </c>
      <c r="AW1015" s="90">
        <v>174.666743939106</v>
      </c>
      <c r="AX1015" s="90">
        <v>0.43671961329999998</v>
      </c>
    </row>
    <row r="1016" spans="1:50" x14ac:dyDescent="0.25">
      <c r="A1016" s="102">
        <v>830000</v>
      </c>
      <c r="B1016" s="102">
        <v>2400000</v>
      </c>
      <c r="C1016" s="102">
        <v>2400000</v>
      </c>
      <c r="D1016" s="90" t="s">
        <v>374</v>
      </c>
      <c r="E1016" s="90" t="s">
        <v>68</v>
      </c>
      <c r="F1016" s="90" t="s">
        <v>375</v>
      </c>
      <c r="G1016" s="90" t="s">
        <v>376</v>
      </c>
      <c r="H1016" s="90">
        <v>0.59</v>
      </c>
      <c r="I1016" s="90">
        <v>0.64</v>
      </c>
      <c r="J1016" s="90" t="s">
        <v>244</v>
      </c>
      <c r="K1016" s="90">
        <v>8.3384683296789996E-2</v>
      </c>
      <c r="L1016" s="90">
        <v>3743.6346793863399</v>
      </c>
      <c r="M1016" s="90">
        <v>10.3764922041841</v>
      </c>
      <c r="N1016" s="90">
        <v>1.87689973049961</v>
      </c>
      <c r="O1016" s="90">
        <v>0.86524051617749997</v>
      </c>
      <c r="P1016" s="90">
        <v>0.15650468960753999</v>
      </c>
      <c r="Q1016" s="90">
        <v>312.16179211950998</v>
      </c>
      <c r="R1016" s="90">
        <v>1330</v>
      </c>
      <c r="S1016" s="90" t="s">
        <v>397</v>
      </c>
      <c r="T1016" s="90">
        <v>1330</v>
      </c>
      <c r="U1016" s="90" t="s">
        <v>378</v>
      </c>
      <c r="V1016" s="90" t="s">
        <v>244</v>
      </c>
      <c r="Z1016" s="90">
        <v>0</v>
      </c>
      <c r="AA1016" s="90">
        <v>1</v>
      </c>
      <c r="AB1016" s="90">
        <v>0.86524051617749997</v>
      </c>
      <c r="AC1016" s="90">
        <v>0.15650468960753999</v>
      </c>
      <c r="AD1016" s="90">
        <v>321.28840210092397</v>
      </c>
      <c r="AF1016" s="90">
        <v>-1</v>
      </c>
      <c r="AG1016" s="90">
        <v>-1</v>
      </c>
      <c r="AH1016" s="90">
        <v>-1</v>
      </c>
      <c r="AI1016" s="90">
        <v>-1</v>
      </c>
      <c r="AJ1016" s="90">
        <v>0</v>
      </c>
      <c r="AM1016" s="90" t="s">
        <v>379</v>
      </c>
      <c r="AN1016" s="90">
        <v>-1</v>
      </c>
      <c r="AQ1016" s="90">
        <v>367</v>
      </c>
      <c r="AR1016" s="90" t="s">
        <v>267</v>
      </c>
      <c r="AS1016" s="90" t="s">
        <v>396</v>
      </c>
      <c r="AT1016" s="90" t="s">
        <v>244</v>
      </c>
      <c r="AU1016" s="90">
        <v>1.401357</v>
      </c>
      <c r="AV1016" s="90">
        <v>92.460033678655194</v>
      </c>
      <c r="AW1016" s="90">
        <v>337.44584112940299</v>
      </c>
      <c r="AX1016" s="90">
        <v>0.26057453539999997</v>
      </c>
    </row>
    <row r="1017" spans="1:50" x14ac:dyDescent="0.25">
      <c r="A1017" s="102">
        <v>830000</v>
      </c>
      <c r="B1017" s="102">
        <v>2400000</v>
      </c>
      <c r="C1017" s="102">
        <v>2400000</v>
      </c>
      <c r="D1017" s="90" t="s">
        <v>374</v>
      </c>
      <c r="E1017" s="90" t="s">
        <v>68</v>
      </c>
      <c r="F1017" s="90" t="s">
        <v>375</v>
      </c>
      <c r="G1017" s="90" t="s">
        <v>376</v>
      </c>
      <c r="H1017" s="90">
        <v>0.59</v>
      </c>
      <c r="I1017" s="90">
        <v>0.64</v>
      </c>
      <c r="J1017" s="90" t="s">
        <v>244</v>
      </c>
      <c r="K1017" s="90">
        <v>0.16941488866014001</v>
      </c>
      <c r="L1017" s="90">
        <v>3743.6346793863399</v>
      </c>
      <c r="M1017" s="90">
        <v>10.3764922041841</v>
      </c>
      <c r="N1017" s="90">
        <v>1.87689973049961</v>
      </c>
      <c r="O1017" s="90">
        <v>1.7579322714547101</v>
      </c>
      <c r="P1017" s="90">
        <v>0.31797475886884002</v>
      </c>
      <c r="Q1017" s="90">
        <v>634.22745239249502</v>
      </c>
      <c r="R1017" s="90">
        <v>1330</v>
      </c>
      <c r="S1017" s="90" t="s">
        <v>397</v>
      </c>
      <c r="T1017" s="90">
        <v>1330</v>
      </c>
      <c r="U1017" s="90" t="s">
        <v>378</v>
      </c>
      <c r="V1017" s="90" t="s">
        <v>244</v>
      </c>
      <c r="Z1017" s="90">
        <v>0</v>
      </c>
      <c r="AA1017" s="90">
        <v>1</v>
      </c>
      <c r="AB1017" s="90">
        <v>1.7579322714547101</v>
      </c>
      <c r="AC1017" s="90">
        <v>0.31797475886884002</v>
      </c>
      <c r="AD1017" s="90">
        <v>644.52563881429103</v>
      </c>
      <c r="AF1017" s="90">
        <v>-1</v>
      </c>
      <c r="AG1017" s="90">
        <v>-1</v>
      </c>
      <c r="AH1017" s="90">
        <v>-1</v>
      </c>
      <c r="AI1017" s="90">
        <v>-1</v>
      </c>
      <c r="AJ1017" s="90">
        <v>0</v>
      </c>
      <c r="AM1017" s="90" t="s">
        <v>379</v>
      </c>
      <c r="AN1017" s="90">
        <v>-1</v>
      </c>
      <c r="AQ1017" s="90">
        <v>367</v>
      </c>
      <c r="AR1017" s="90" t="s">
        <v>267</v>
      </c>
      <c r="AS1017" s="90" t="s">
        <v>396</v>
      </c>
      <c r="AT1017" s="90" t="s">
        <v>244</v>
      </c>
      <c r="AU1017" s="90">
        <v>1.401357</v>
      </c>
      <c r="AV1017" s="90">
        <v>111.362167495056</v>
      </c>
      <c r="AW1017" s="90">
        <v>685.59773022448906</v>
      </c>
      <c r="AX1017" s="90">
        <v>0.52272963409999995</v>
      </c>
    </row>
    <row r="1018" spans="1:50" x14ac:dyDescent="0.25">
      <c r="A1018" s="102">
        <v>830000</v>
      </c>
      <c r="B1018" s="102">
        <v>2400000</v>
      </c>
      <c r="C1018" s="102">
        <v>2400000</v>
      </c>
      <c r="D1018" s="90" t="s">
        <v>374</v>
      </c>
      <c r="E1018" s="90" t="s">
        <v>68</v>
      </c>
      <c r="F1018" s="90" t="s">
        <v>375</v>
      </c>
      <c r="G1018" s="90" t="s">
        <v>376</v>
      </c>
      <c r="H1018" s="90">
        <v>0.59</v>
      </c>
      <c r="I1018" s="90">
        <v>0.64</v>
      </c>
      <c r="J1018" s="90" t="s">
        <v>244</v>
      </c>
      <c r="K1018" s="90">
        <v>2.9076805235200001E-3</v>
      </c>
      <c r="L1018" s="90">
        <v>3743.6346793863399</v>
      </c>
      <c r="M1018" s="90">
        <v>10.3764922041841</v>
      </c>
      <c r="N1018" s="90">
        <v>1.87689973049961</v>
      </c>
      <c r="O1018" s="90">
        <v>3.0171524284589999E-2</v>
      </c>
      <c r="P1018" s="90">
        <v>5.4574247909700002E-3</v>
      </c>
      <c r="Q1018" s="90">
        <v>10.885293644436899</v>
      </c>
      <c r="R1018" s="90">
        <v>1420</v>
      </c>
      <c r="S1018" s="90" t="s">
        <v>327</v>
      </c>
      <c r="T1018" s="90">
        <v>1420</v>
      </c>
      <c r="U1018" s="90" t="s">
        <v>378</v>
      </c>
      <c r="V1018" s="90" t="s">
        <v>244</v>
      </c>
      <c r="Z1018" s="90">
        <v>0</v>
      </c>
      <c r="AA1018" s="90">
        <v>1</v>
      </c>
      <c r="AB1018" s="90">
        <v>3.0171524284589999E-2</v>
      </c>
      <c r="AC1018" s="90">
        <v>5.4574247909700002E-3</v>
      </c>
      <c r="AD1018" s="90">
        <v>14.027062531161</v>
      </c>
      <c r="AF1018" s="90">
        <v>-1</v>
      </c>
      <c r="AG1018" s="90">
        <v>-1</v>
      </c>
      <c r="AH1018" s="90">
        <v>-1</v>
      </c>
      <c r="AI1018" s="90">
        <v>-1</v>
      </c>
      <c r="AJ1018" s="90">
        <v>0</v>
      </c>
      <c r="AM1018" s="90" t="s">
        <v>379</v>
      </c>
      <c r="AN1018" s="90">
        <v>-1</v>
      </c>
      <c r="AQ1018" s="90">
        <v>367</v>
      </c>
      <c r="AR1018" s="90" t="s">
        <v>267</v>
      </c>
      <c r="AS1018" s="90" t="s">
        <v>396</v>
      </c>
      <c r="AT1018" s="90" t="s">
        <v>244</v>
      </c>
      <c r="AU1018" s="90">
        <v>1.401357</v>
      </c>
      <c r="AV1018" s="90">
        <v>63.363221068170198</v>
      </c>
      <c r="AW1018" s="90">
        <v>11.7669656009076</v>
      </c>
      <c r="AX1018" s="90">
        <v>1.1376368600000001E-2</v>
      </c>
    </row>
    <row r="1019" spans="1:50" x14ac:dyDescent="0.25">
      <c r="A1019" s="102">
        <v>830000</v>
      </c>
      <c r="B1019" s="102">
        <v>2400000</v>
      </c>
      <c r="C1019" s="102">
        <v>2400000</v>
      </c>
      <c r="D1019" s="90" t="s">
        <v>374</v>
      </c>
      <c r="E1019" s="90" t="s">
        <v>68</v>
      </c>
      <c r="F1019" s="90" t="s">
        <v>375</v>
      </c>
      <c r="G1019" s="90" t="s">
        <v>376</v>
      </c>
      <c r="H1019" s="90">
        <v>0.59</v>
      </c>
      <c r="I1019" s="90">
        <v>0.64</v>
      </c>
      <c r="J1019" s="90" t="s">
        <v>244</v>
      </c>
      <c r="K1019" s="90">
        <v>8.2254349064490001E-2</v>
      </c>
      <c r="L1019" s="90">
        <v>3743.6346793863399</v>
      </c>
      <c r="M1019" s="90">
        <v>10.3764922041841</v>
      </c>
      <c r="N1019" s="90">
        <v>1.87689973049961</v>
      </c>
      <c r="O1019" s="90">
        <v>0.85351161182795998</v>
      </c>
      <c r="P1019" s="90">
        <v>0.15438316559157</v>
      </c>
      <c r="Q1019" s="90">
        <v>307.93023368818899</v>
      </c>
      <c r="R1019" s="90">
        <v>1210</v>
      </c>
      <c r="S1019" s="90" t="s">
        <v>385</v>
      </c>
      <c r="T1019" s="90">
        <v>1210</v>
      </c>
      <c r="U1019" s="90" t="s">
        <v>378</v>
      </c>
      <c r="V1019" s="90" t="s">
        <v>244</v>
      </c>
      <c r="Z1019" s="90">
        <v>0</v>
      </c>
      <c r="AA1019" s="90">
        <v>1</v>
      </c>
      <c r="AB1019" s="90">
        <v>0.85351161182795998</v>
      </c>
      <c r="AC1019" s="90">
        <v>0.15438316559157</v>
      </c>
      <c r="AD1019" s="90">
        <v>644.52386496633301</v>
      </c>
      <c r="AF1019" s="90">
        <v>-1</v>
      </c>
      <c r="AG1019" s="90">
        <v>-1</v>
      </c>
      <c r="AH1019" s="90">
        <v>-1</v>
      </c>
      <c r="AI1019" s="90">
        <v>-1</v>
      </c>
      <c r="AJ1019" s="90">
        <v>0</v>
      </c>
      <c r="AM1019" s="90" t="s">
        <v>379</v>
      </c>
      <c r="AN1019" s="90">
        <v>-1</v>
      </c>
      <c r="AQ1019" s="90">
        <v>367</v>
      </c>
      <c r="AR1019" s="90" t="s">
        <v>267</v>
      </c>
      <c r="AS1019" s="90" t="s">
        <v>396</v>
      </c>
      <c r="AT1019" s="90" t="s">
        <v>244</v>
      </c>
      <c r="AU1019" s="90">
        <v>1.401357</v>
      </c>
      <c r="AV1019" s="90">
        <v>81.131863365727597</v>
      </c>
      <c r="AW1019" s="90">
        <v>332.87154078198</v>
      </c>
      <c r="AX1019" s="90">
        <v>0.52272819540000004</v>
      </c>
    </row>
    <row r="1020" spans="1:50" x14ac:dyDescent="0.25">
      <c r="A1020" s="102">
        <v>830000</v>
      </c>
      <c r="B1020" s="102">
        <v>2400000</v>
      </c>
      <c r="C1020" s="102">
        <v>2400000</v>
      </c>
      <c r="D1020" s="90" t="s">
        <v>374</v>
      </c>
      <c r="E1020" s="90" t="s">
        <v>68</v>
      </c>
      <c r="F1020" s="90" t="s">
        <v>375</v>
      </c>
      <c r="G1020" s="90" t="s">
        <v>376</v>
      </c>
      <c r="H1020" s="90">
        <v>0.59</v>
      </c>
      <c r="I1020" s="90">
        <v>0.64</v>
      </c>
      <c r="J1020" s="90" t="s">
        <v>244</v>
      </c>
      <c r="K1020" s="90">
        <v>1.019146820149E-2</v>
      </c>
      <c r="L1020" s="90">
        <v>3743.6346793863399</v>
      </c>
      <c r="M1020" s="90">
        <v>10.3764922041841</v>
      </c>
      <c r="N1020" s="90">
        <v>1.87689973049961</v>
      </c>
      <c r="O1020" s="90">
        <v>0.10575169034203</v>
      </c>
      <c r="P1020" s="90">
        <v>1.912836392078E-2</v>
      </c>
      <c r="Q1020" s="90">
        <v>38.153133792991099</v>
      </c>
      <c r="R1020" s="90">
        <v>1330</v>
      </c>
      <c r="S1020" s="90" t="s">
        <v>397</v>
      </c>
      <c r="T1020" s="90">
        <v>1330</v>
      </c>
      <c r="U1020" s="90" t="s">
        <v>378</v>
      </c>
      <c r="V1020" s="90" t="s">
        <v>244</v>
      </c>
      <c r="Z1020" s="90">
        <v>0</v>
      </c>
      <c r="AA1020" s="90">
        <v>1</v>
      </c>
      <c r="AB1020" s="90">
        <v>0.10575169034203</v>
      </c>
      <c r="AC1020" s="90">
        <v>1.912836392078E-2</v>
      </c>
      <c r="AD1020" s="90">
        <v>148.098548223704</v>
      </c>
      <c r="AF1020" s="90">
        <v>-1</v>
      </c>
      <c r="AG1020" s="90">
        <v>-1</v>
      </c>
      <c r="AH1020" s="90">
        <v>-1</v>
      </c>
      <c r="AI1020" s="90">
        <v>-1</v>
      </c>
      <c r="AJ1020" s="90">
        <v>0</v>
      </c>
      <c r="AM1020" s="90" t="s">
        <v>379</v>
      </c>
      <c r="AN1020" s="90">
        <v>-1</v>
      </c>
      <c r="AQ1020" s="90">
        <v>367</v>
      </c>
      <c r="AR1020" s="90" t="s">
        <v>267</v>
      </c>
      <c r="AS1020" s="90" t="s">
        <v>396</v>
      </c>
      <c r="AT1020" s="90" t="s">
        <v>244</v>
      </c>
      <c r="AU1020" s="90">
        <v>1.401357</v>
      </c>
      <c r="AV1020" s="90">
        <v>29.658404903247099</v>
      </c>
      <c r="AW1020" s="90">
        <v>41.243408544916399</v>
      </c>
      <c r="AX1020" s="90">
        <v>0.12011236679999999</v>
      </c>
    </row>
    <row r="1021" spans="1:50" x14ac:dyDescent="0.25">
      <c r="A1021" s="102">
        <v>830000</v>
      </c>
      <c r="B1021" s="102">
        <v>2400000</v>
      </c>
      <c r="C1021" s="102">
        <v>2400000</v>
      </c>
      <c r="D1021" s="90" t="s">
        <v>374</v>
      </c>
      <c r="E1021" s="90" t="s">
        <v>68</v>
      </c>
      <c r="F1021" s="90" t="s">
        <v>375</v>
      </c>
      <c r="G1021" s="90" t="s">
        <v>376</v>
      </c>
      <c r="H1021" s="90">
        <v>0.59</v>
      </c>
      <c r="I1021" s="90">
        <v>0.64</v>
      </c>
      <c r="J1021" s="90" t="s">
        <v>244</v>
      </c>
      <c r="K1021" s="90">
        <v>4.6529326946000003E-4</v>
      </c>
      <c r="L1021" s="90">
        <v>3743.6346793863399</v>
      </c>
      <c r="M1021" s="90">
        <v>10.3764922041841</v>
      </c>
      <c r="N1021" s="90">
        <v>1.87689973049961</v>
      </c>
      <c r="O1021" s="90">
        <v>4.8281119832099999E-3</v>
      </c>
      <c r="P1021" s="90">
        <v>8.7330881204999999E-4</v>
      </c>
      <c r="Q1021" s="90">
        <v>1.74188801963551</v>
      </c>
      <c r="R1021" s="90">
        <v>1420</v>
      </c>
      <c r="S1021" s="90" t="s">
        <v>327</v>
      </c>
      <c r="T1021" s="90">
        <v>1420</v>
      </c>
      <c r="U1021" s="90" t="s">
        <v>378</v>
      </c>
      <c r="V1021" s="90" t="s">
        <v>244</v>
      </c>
      <c r="Z1021" s="90">
        <v>0</v>
      </c>
      <c r="AA1021" s="90">
        <v>1</v>
      </c>
      <c r="AB1021" s="90">
        <v>4.8281119832099999E-3</v>
      </c>
      <c r="AC1021" s="90">
        <v>8.7330881204999999E-4</v>
      </c>
      <c r="AD1021" s="90">
        <v>1.7418880196339399</v>
      </c>
      <c r="AF1021" s="90">
        <v>-1</v>
      </c>
      <c r="AG1021" s="90">
        <v>-1</v>
      </c>
      <c r="AH1021" s="90">
        <v>-1</v>
      </c>
      <c r="AI1021" s="90">
        <v>-1</v>
      </c>
      <c r="AJ1021" s="90">
        <v>0</v>
      </c>
      <c r="AM1021" s="90" t="s">
        <v>379</v>
      </c>
      <c r="AN1021" s="90">
        <v>-1</v>
      </c>
      <c r="AQ1021" s="90">
        <v>367</v>
      </c>
      <c r="AR1021" s="90" t="s">
        <v>267</v>
      </c>
      <c r="AS1021" s="90" t="s">
        <v>396</v>
      </c>
      <c r="AT1021" s="90" t="s">
        <v>244</v>
      </c>
      <c r="AU1021" s="90">
        <v>1.401357</v>
      </c>
      <c r="AV1021" s="90">
        <v>8.5591233693241104</v>
      </c>
      <c r="AW1021" s="90">
        <v>1.88297505581199</v>
      </c>
      <c r="AX1021" s="90">
        <v>1.4127235E-3</v>
      </c>
    </row>
    <row r="1022" spans="1:50" x14ac:dyDescent="0.25">
      <c r="A1022" s="102">
        <v>830000</v>
      </c>
      <c r="B1022" s="102">
        <v>2400000</v>
      </c>
      <c r="C1022" s="102">
        <v>2400000</v>
      </c>
      <c r="D1022" s="90" t="s">
        <v>374</v>
      </c>
      <c r="E1022" s="90" t="s">
        <v>68</v>
      </c>
      <c r="F1022" s="90" t="s">
        <v>375</v>
      </c>
      <c r="G1022" s="90" t="s">
        <v>376</v>
      </c>
      <c r="H1022" s="90">
        <v>0.59</v>
      </c>
      <c r="I1022" s="90">
        <v>0.64</v>
      </c>
      <c r="J1022" s="90" t="s">
        <v>244</v>
      </c>
      <c r="K1022" s="90">
        <v>0.10338910276111</v>
      </c>
      <c r="L1022" s="90">
        <v>3758.7978174879399</v>
      </c>
      <c r="M1022" s="90">
        <v>10.8116511543748</v>
      </c>
      <c r="N1022" s="90">
        <v>2.08286498315463</v>
      </c>
      <c r="O1022" s="90">
        <v>1.11780691221702</v>
      </c>
      <c r="P1022" s="90">
        <v>0.21534554178091</v>
      </c>
      <c r="Q1022" s="90">
        <v>388.61873381053101</v>
      </c>
      <c r="R1022" s="90">
        <v>1300</v>
      </c>
      <c r="S1022" s="90" t="s">
        <v>387</v>
      </c>
      <c r="T1022" s="90">
        <v>1300</v>
      </c>
      <c r="U1022" s="90" t="s">
        <v>378</v>
      </c>
      <c r="V1022" s="90" t="s">
        <v>244</v>
      </c>
      <c r="Z1022" s="90">
        <v>0</v>
      </c>
      <c r="AA1022" s="90">
        <v>1</v>
      </c>
      <c r="AB1022" s="90">
        <v>1.11780691221702</v>
      </c>
      <c r="AC1022" s="90">
        <v>0.21534554178091</v>
      </c>
      <c r="AD1022" s="90">
        <v>1122.1382727518401</v>
      </c>
      <c r="AF1022" s="90">
        <v>-1</v>
      </c>
      <c r="AG1022" s="90">
        <v>-1</v>
      </c>
      <c r="AH1022" s="90">
        <v>-1</v>
      </c>
      <c r="AI1022" s="90">
        <v>-1</v>
      </c>
      <c r="AJ1022" s="90">
        <v>0</v>
      </c>
      <c r="AM1022" s="90" t="s">
        <v>379</v>
      </c>
      <c r="AN1022" s="90">
        <v>-1</v>
      </c>
      <c r="AQ1022" s="90">
        <v>367</v>
      </c>
      <c r="AR1022" s="90" t="s">
        <v>267</v>
      </c>
      <c r="AS1022" s="90" t="s">
        <v>396</v>
      </c>
      <c r="AT1022" s="90" t="s">
        <v>244</v>
      </c>
      <c r="AU1022" s="90">
        <v>1.401357</v>
      </c>
      <c r="AV1022" s="90">
        <v>133.928359428607</v>
      </c>
      <c r="AW1022" s="90">
        <v>418.40085451501</v>
      </c>
      <c r="AX1022" s="90">
        <v>0.91008781250000004</v>
      </c>
    </row>
    <row r="1023" spans="1:50" x14ac:dyDescent="0.25">
      <c r="A1023" s="102">
        <v>830000</v>
      </c>
      <c r="B1023" s="102">
        <v>2400000</v>
      </c>
      <c r="C1023" s="102">
        <v>2400000</v>
      </c>
      <c r="D1023" s="90" t="s">
        <v>374</v>
      </c>
      <c r="E1023" s="90" t="s">
        <v>68</v>
      </c>
      <c r="F1023" s="90" t="s">
        <v>375</v>
      </c>
      <c r="G1023" s="90" t="s">
        <v>376</v>
      </c>
      <c r="H1023" s="90">
        <v>0.59</v>
      </c>
      <c r="I1023" s="90">
        <v>0.64</v>
      </c>
      <c r="J1023" s="90" t="s">
        <v>244</v>
      </c>
      <c r="K1023" s="90">
        <v>0.13239527820290001</v>
      </c>
      <c r="L1023" s="90">
        <v>3758.7978174879399</v>
      </c>
      <c r="M1023" s="90">
        <v>10.8116511543748</v>
      </c>
      <c r="N1023" s="90">
        <v>2.08286498315463</v>
      </c>
      <c r="O1023" s="90">
        <v>1.43141156241622</v>
      </c>
      <c r="P1023" s="90">
        <v>0.27576148890384</v>
      </c>
      <c r="Q1023" s="90">
        <v>497.647082754792</v>
      </c>
      <c r="R1023" s="90">
        <v>1330</v>
      </c>
      <c r="S1023" s="90" t="s">
        <v>397</v>
      </c>
      <c r="T1023" s="90">
        <v>1330</v>
      </c>
      <c r="U1023" s="90" t="s">
        <v>378</v>
      </c>
      <c r="V1023" s="90" t="s">
        <v>244</v>
      </c>
      <c r="Z1023" s="90">
        <v>0</v>
      </c>
      <c r="AA1023" s="90">
        <v>1</v>
      </c>
      <c r="AB1023" s="90">
        <v>1.43141156241622</v>
      </c>
      <c r="AC1023" s="90">
        <v>0.27576148890384</v>
      </c>
      <c r="AD1023" s="90">
        <v>497.647082754792</v>
      </c>
      <c r="AF1023" s="90">
        <v>-1</v>
      </c>
      <c r="AG1023" s="90">
        <v>-1</v>
      </c>
      <c r="AH1023" s="90">
        <v>-1</v>
      </c>
      <c r="AI1023" s="90">
        <v>-1</v>
      </c>
      <c r="AJ1023" s="90">
        <v>0</v>
      </c>
      <c r="AM1023" s="90" t="s">
        <v>379</v>
      </c>
      <c r="AN1023" s="90">
        <v>-1</v>
      </c>
      <c r="AQ1023" s="90">
        <v>367</v>
      </c>
      <c r="AR1023" s="90" t="s">
        <v>267</v>
      </c>
      <c r="AS1023" s="90" t="s">
        <v>396</v>
      </c>
      <c r="AT1023" s="90" t="s">
        <v>244</v>
      </c>
      <c r="AU1023" s="90">
        <v>1.401357</v>
      </c>
      <c r="AV1023" s="90">
        <v>103.95660893588401</v>
      </c>
      <c r="AW1023" s="90">
        <v>535.78468189086504</v>
      </c>
      <c r="AX1023" s="90">
        <v>0.4036067176</v>
      </c>
    </row>
    <row r="1024" spans="1:50" x14ac:dyDescent="0.25">
      <c r="A1024" s="102">
        <v>830000</v>
      </c>
      <c r="B1024" s="102">
        <v>2400000</v>
      </c>
      <c r="C1024" s="102">
        <v>2400000</v>
      </c>
      <c r="D1024" s="90" t="s">
        <v>374</v>
      </c>
      <c r="E1024" s="90" t="s">
        <v>68</v>
      </c>
      <c r="F1024" s="90" t="s">
        <v>375</v>
      </c>
      <c r="G1024" s="90" t="s">
        <v>376</v>
      </c>
      <c r="H1024" s="90">
        <v>0.59</v>
      </c>
      <c r="I1024" s="90">
        <v>0.64</v>
      </c>
      <c r="J1024" s="90" t="s">
        <v>244</v>
      </c>
      <c r="K1024" s="90">
        <v>2.9002873080000001E-4</v>
      </c>
      <c r="L1024" s="90">
        <v>3784.4654566990198</v>
      </c>
      <c r="M1024" s="90">
        <v>11.6261749784241</v>
      </c>
      <c r="N1024" s="90">
        <v>1.53551533700762</v>
      </c>
      <c r="O1024" s="90">
        <v>3.3719247731499999E-3</v>
      </c>
      <c r="P1024" s="90">
        <v>4.4534356433E-4</v>
      </c>
      <c r="Q1024" s="90">
        <v>1.0976037131969201</v>
      </c>
      <c r="R1024" s="90">
        <v>1330</v>
      </c>
      <c r="S1024" s="90" t="s">
        <v>397</v>
      </c>
      <c r="T1024" s="90">
        <v>1330</v>
      </c>
      <c r="U1024" s="90" t="s">
        <v>378</v>
      </c>
      <c r="V1024" s="90" t="s">
        <v>244</v>
      </c>
      <c r="Z1024" s="90">
        <v>0</v>
      </c>
      <c r="AA1024" s="90">
        <v>1</v>
      </c>
      <c r="AB1024" s="90">
        <v>3.3719247731499999E-3</v>
      </c>
      <c r="AC1024" s="90">
        <v>4.4534356433E-4</v>
      </c>
      <c r="AD1024" s="90">
        <v>1.97724359796225</v>
      </c>
      <c r="AF1024" s="90">
        <v>-1</v>
      </c>
      <c r="AG1024" s="90">
        <v>-1</v>
      </c>
      <c r="AH1024" s="90">
        <v>-1</v>
      </c>
      <c r="AI1024" s="90">
        <v>-1</v>
      </c>
      <c r="AJ1024" s="90">
        <v>0</v>
      </c>
      <c r="AM1024" s="90" t="s">
        <v>379</v>
      </c>
      <c r="AN1024" s="90">
        <v>-1</v>
      </c>
      <c r="AQ1024" s="90">
        <v>367</v>
      </c>
      <c r="AR1024" s="90" t="s">
        <v>267</v>
      </c>
      <c r="AS1024" s="90" t="s">
        <v>396</v>
      </c>
      <c r="AT1024" s="90" t="s">
        <v>244</v>
      </c>
      <c r="AU1024" s="90">
        <v>1.401357</v>
      </c>
      <c r="AV1024" s="90">
        <v>18.706955168943999</v>
      </c>
      <c r="AW1024" s="90">
        <v>1.1737046319564599</v>
      </c>
      <c r="AX1024" s="90">
        <v>1.6036039E-3</v>
      </c>
    </row>
    <row r="1025" spans="1:50" x14ac:dyDescent="0.25">
      <c r="A1025" s="102">
        <v>830000</v>
      </c>
      <c r="B1025" s="102">
        <v>2400000</v>
      </c>
      <c r="C1025" s="102">
        <v>2400000</v>
      </c>
      <c r="D1025" s="90" t="s">
        <v>374</v>
      </c>
      <c r="E1025" s="90" t="s">
        <v>68</v>
      </c>
      <c r="F1025" s="90" t="s">
        <v>375</v>
      </c>
      <c r="G1025" s="90" t="s">
        <v>376</v>
      </c>
      <c r="H1025" s="90">
        <v>0.59</v>
      </c>
      <c r="I1025" s="90">
        <v>0.64</v>
      </c>
      <c r="J1025" s="90" t="s">
        <v>244</v>
      </c>
      <c r="K1025" s="90">
        <v>2.3169267963999999E-4</v>
      </c>
      <c r="L1025" s="90">
        <v>3784.4654566990198</v>
      </c>
      <c r="M1025" s="90">
        <v>11.6261749784241</v>
      </c>
      <c r="N1025" s="90">
        <v>1.53551533700762</v>
      </c>
      <c r="O1025" s="90">
        <v>2.69369963479E-3</v>
      </c>
      <c r="P1025" s="90">
        <v>3.5576766307E-4</v>
      </c>
      <c r="Q1025" s="90">
        <v>0.87683294269409995</v>
      </c>
      <c r="R1025" s="90">
        <v>1420</v>
      </c>
      <c r="S1025" s="90" t="s">
        <v>327</v>
      </c>
      <c r="T1025" s="90">
        <v>1420</v>
      </c>
      <c r="U1025" s="90" t="s">
        <v>378</v>
      </c>
      <c r="V1025" s="90" t="s">
        <v>244</v>
      </c>
      <c r="Z1025" s="90">
        <v>0</v>
      </c>
      <c r="AA1025" s="90">
        <v>1</v>
      </c>
      <c r="AB1025" s="90">
        <v>2.69369963479E-3</v>
      </c>
      <c r="AC1025" s="90">
        <v>3.5576766307E-4</v>
      </c>
      <c r="AD1025" s="90">
        <v>1775.58071648999</v>
      </c>
      <c r="AF1025" s="90">
        <v>-1</v>
      </c>
      <c r="AG1025" s="90">
        <v>-1</v>
      </c>
      <c r="AH1025" s="90">
        <v>-1</v>
      </c>
      <c r="AI1025" s="90">
        <v>-1</v>
      </c>
      <c r="AJ1025" s="90">
        <v>0</v>
      </c>
      <c r="AM1025" s="90" t="s">
        <v>379</v>
      </c>
      <c r="AN1025" s="90">
        <v>-1</v>
      </c>
      <c r="AQ1025" s="90">
        <v>367</v>
      </c>
      <c r="AR1025" s="90" t="s">
        <v>267</v>
      </c>
      <c r="AS1025" s="90" t="s">
        <v>396</v>
      </c>
      <c r="AT1025" s="90" t="s">
        <v>244</v>
      </c>
      <c r="AU1025" s="90">
        <v>1.401357</v>
      </c>
      <c r="AV1025" s="90">
        <v>13.8483921268357</v>
      </c>
      <c r="AW1025" s="90">
        <v>0.93762700865172999</v>
      </c>
      <c r="AX1025" s="90">
        <v>1.4400492429</v>
      </c>
    </row>
    <row r="1026" spans="1:50" x14ac:dyDescent="0.25">
      <c r="A1026" s="102">
        <v>830000</v>
      </c>
      <c r="B1026" s="102">
        <v>2400000</v>
      </c>
      <c r="C1026" s="102">
        <v>2400000</v>
      </c>
      <c r="D1026" s="90" t="s">
        <v>374</v>
      </c>
      <c r="E1026" s="90" t="s">
        <v>68</v>
      </c>
      <c r="F1026" s="90" t="s">
        <v>375</v>
      </c>
      <c r="G1026" s="90" t="s">
        <v>376</v>
      </c>
      <c r="H1026" s="90">
        <v>0.59</v>
      </c>
      <c r="I1026" s="90">
        <v>0.64</v>
      </c>
      <c r="J1026" s="90" t="s">
        <v>244</v>
      </c>
      <c r="K1026" s="90">
        <v>9.0490569441339999E-2</v>
      </c>
      <c r="L1026" s="90">
        <v>3757.7984406204</v>
      </c>
      <c r="M1026" s="90">
        <v>10.809663473736499</v>
      </c>
      <c r="N1026" s="90">
        <v>2.08190319762081</v>
      </c>
      <c r="O1026" s="90">
        <v>0.97817260320766997</v>
      </c>
      <c r="P1026" s="90">
        <v>0.18839260587445</v>
      </c>
      <c r="Q1026" s="90">
        <v>340.04532073752</v>
      </c>
      <c r="R1026" s="90">
        <v>1300</v>
      </c>
      <c r="S1026" s="90" t="s">
        <v>387</v>
      </c>
      <c r="T1026" s="90">
        <v>1300</v>
      </c>
      <c r="U1026" s="90" t="s">
        <v>378</v>
      </c>
      <c r="V1026" s="90" t="s">
        <v>244</v>
      </c>
      <c r="Z1026" s="90">
        <v>0</v>
      </c>
      <c r="AA1026" s="90">
        <v>1</v>
      </c>
      <c r="AB1026" s="90">
        <v>0.97817260320766997</v>
      </c>
      <c r="AC1026" s="90">
        <v>0.18839260587445</v>
      </c>
      <c r="AD1026" s="90">
        <v>556.26727127028198</v>
      </c>
      <c r="AF1026" s="90">
        <v>-1</v>
      </c>
      <c r="AG1026" s="90">
        <v>-1</v>
      </c>
      <c r="AH1026" s="90">
        <v>-1</v>
      </c>
      <c r="AI1026" s="90">
        <v>-1</v>
      </c>
      <c r="AJ1026" s="90">
        <v>0</v>
      </c>
      <c r="AM1026" s="90" t="s">
        <v>379</v>
      </c>
      <c r="AN1026" s="90">
        <v>-1</v>
      </c>
      <c r="AQ1026" s="90">
        <v>367</v>
      </c>
      <c r="AR1026" s="90" t="s">
        <v>267</v>
      </c>
      <c r="AS1026" s="90" t="s">
        <v>396</v>
      </c>
      <c r="AT1026" s="90" t="s">
        <v>244</v>
      </c>
      <c r="AU1026" s="90">
        <v>1.401357</v>
      </c>
      <c r="AV1026" s="90">
        <v>114.65170876590599</v>
      </c>
      <c r="AW1026" s="90">
        <v>366.20234211031902</v>
      </c>
      <c r="AX1026" s="90">
        <v>0.45114944950000002</v>
      </c>
    </row>
    <row r="1027" spans="1:50" x14ac:dyDescent="0.25">
      <c r="A1027" s="102">
        <v>830000</v>
      </c>
      <c r="B1027" s="102">
        <v>2400000</v>
      </c>
      <c r="C1027" s="102">
        <v>2400000</v>
      </c>
      <c r="D1027" s="90" t="s">
        <v>374</v>
      </c>
      <c r="E1027" s="90" t="s">
        <v>68</v>
      </c>
      <c r="F1027" s="90" t="s">
        <v>375</v>
      </c>
      <c r="G1027" s="90" t="s">
        <v>376</v>
      </c>
      <c r="H1027" s="90">
        <v>0.59</v>
      </c>
      <c r="I1027" s="90">
        <v>0.64</v>
      </c>
      <c r="J1027" s="90" t="s">
        <v>244</v>
      </c>
      <c r="K1027" s="90">
        <v>0.21034929502898</v>
      </c>
      <c r="L1027" s="90">
        <v>3757.7984406204</v>
      </c>
      <c r="M1027" s="90">
        <v>10.809663473736499</v>
      </c>
      <c r="N1027" s="90">
        <v>2.08190319762081</v>
      </c>
      <c r="O1027" s="90">
        <v>2.2738050912010102</v>
      </c>
      <c r="P1027" s="90">
        <v>0.43792686993812002</v>
      </c>
      <c r="Q1027" s="90">
        <v>790.45025284551002</v>
      </c>
      <c r="R1027" s="90">
        <v>1330</v>
      </c>
      <c r="S1027" s="90" t="s">
        <v>397</v>
      </c>
      <c r="T1027" s="90">
        <v>1330</v>
      </c>
      <c r="U1027" s="90" t="s">
        <v>378</v>
      </c>
      <c r="V1027" s="90" t="s">
        <v>244</v>
      </c>
      <c r="Z1027" s="90">
        <v>0</v>
      </c>
      <c r="AA1027" s="90">
        <v>1</v>
      </c>
      <c r="AB1027" s="90">
        <v>2.2738050912010102</v>
      </c>
      <c r="AC1027" s="90">
        <v>0.43792686993812002</v>
      </c>
      <c r="AD1027" s="90">
        <v>791.74695590343401</v>
      </c>
      <c r="AF1027" s="90">
        <v>-1</v>
      </c>
      <c r="AG1027" s="90">
        <v>-1</v>
      </c>
      <c r="AH1027" s="90">
        <v>-1</v>
      </c>
      <c r="AI1027" s="90">
        <v>-1</v>
      </c>
      <c r="AJ1027" s="90">
        <v>0</v>
      </c>
      <c r="AM1027" s="90" t="s">
        <v>379</v>
      </c>
      <c r="AN1027" s="90">
        <v>-1</v>
      </c>
      <c r="AQ1027" s="90">
        <v>367</v>
      </c>
      <c r="AR1027" s="90" t="s">
        <v>267</v>
      </c>
      <c r="AS1027" s="90" t="s">
        <v>396</v>
      </c>
      <c r="AT1027" s="90" t="s">
        <v>244</v>
      </c>
      <c r="AU1027" s="90">
        <v>1.401357</v>
      </c>
      <c r="AV1027" s="90">
        <v>120.75080289456</v>
      </c>
      <c r="AW1027" s="90">
        <v>851.25339553534604</v>
      </c>
      <c r="AX1027" s="90">
        <v>0.64213054010000004</v>
      </c>
    </row>
    <row r="1028" spans="1:50" x14ac:dyDescent="0.25">
      <c r="A1028" s="102">
        <v>830000</v>
      </c>
      <c r="B1028" s="102">
        <v>2400000</v>
      </c>
      <c r="C1028" s="102">
        <v>2400000</v>
      </c>
      <c r="D1028" s="90" t="s">
        <v>374</v>
      </c>
      <c r="E1028" s="90" t="s">
        <v>68</v>
      </c>
      <c r="F1028" s="90" t="s">
        <v>375</v>
      </c>
      <c r="G1028" s="90" t="s">
        <v>376</v>
      </c>
      <c r="H1028" s="90">
        <v>0.59</v>
      </c>
      <c r="I1028" s="90">
        <v>0.64</v>
      </c>
      <c r="J1028" s="90" t="s">
        <v>244</v>
      </c>
      <c r="K1028" s="90">
        <v>0.25602390510584</v>
      </c>
      <c r="L1028" s="90">
        <v>3757.7984406204</v>
      </c>
      <c r="M1028" s="90">
        <v>10.809663473736499</v>
      </c>
      <c r="N1028" s="90">
        <v>2.08190319762081</v>
      </c>
      <c r="O1028" s="90">
        <v>2.767532255426</v>
      </c>
      <c r="P1028" s="90">
        <v>0.53301698670721998</v>
      </c>
      <c r="Q1028" s="90">
        <v>962.08623136827998</v>
      </c>
      <c r="R1028" s="90">
        <v>1330</v>
      </c>
      <c r="S1028" s="90" t="s">
        <v>397</v>
      </c>
      <c r="T1028" s="90">
        <v>1330</v>
      </c>
      <c r="U1028" s="90" t="s">
        <v>378</v>
      </c>
      <c r="V1028" s="90" t="s">
        <v>244</v>
      </c>
      <c r="Z1028" s="90">
        <v>0</v>
      </c>
      <c r="AA1028" s="90">
        <v>1</v>
      </c>
      <c r="AB1028" s="90">
        <v>2.767532255426</v>
      </c>
      <c r="AC1028" s="90">
        <v>0.53301698670721998</v>
      </c>
      <c r="AD1028" s="90">
        <v>971.41588778201901</v>
      </c>
      <c r="AF1028" s="90">
        <v>-1</v>
      </c>
      <c r="AG1028" s="90">
        <v>-1</v>
      </c>
      <c r="AH1028" s="90">
        <v>-1</v>
      </c>
      <c r="AI1028" s="90">
        <v>-1</v>
      </c>
      <c r="AJ1028" s="90">
        <v>0</v>
      </c>
      <c r="AM1028" s="90" t="s">
        <v>379</v>
      </c>
      <c r="AN1028" s="90">
        <v>-1</v>
      </c>
      <c r="AQ1028" s="90">
        <v>367</v>
      </c>
      <c r="AR1028" s="90" t="s">
        <v>267</v>
      </c>
      <c r="AS1028" s="90" t="s">
        <v>396</v>
      </c>
      <c r="AT1028" s="90" t="s">
        <v>244</v>
      </c>
      <c r="AU1028" s="90">
        <v>1.401357</v>
      </c>
      <c r="AV1028" s="90">
        <v>129.93448985417999</v>
      </c>
      <c r="AW1028" s="90">
        <v>1036.0919846654999</v>
      </c>
      <c r="AX1028" s="90">
        <v>0.78784743530000001</v>
      </c>
    </row>
    <row r="1029" spans="1:50" x14ac:dyDescent="0.25">
      <c r="A1029" s="102">
        <v>830000</v>
      </c>
      <c r="B1029" s="102">
        <v>2400000</v>
      </c>
      <c r="C1029" s="102">
        <v>2400000</v>
      </c>
      <c r="D1029" s="90" t="s">
        <v>374</v>
      </c>
      <c r="E1029" s="90" t="s">
        <v>68</v>
      </c>
      <c r="F1029" s="90" t="s">
        <v>375</v>
      </c>
      <c r="G1029" s="90" t="s">
        <v>376</v>
      </c>
      <c r="H1029" s="90">
        <v>0.59</v>
      </c>
      <c r="I1029" s="90">
        <v>0.64</v>
      </c>
      <c r="J1029" s="90" t="s">
        <v>244</v>
      </c>
      <c r="K1029" s="90">
        <v>1.142354153E-5</v>
      </c>
      <c r="L1029" s="90">
        <v>3757.7984406204</v>
      </c>
      <c r="M1029" s="90">
        <v>10.809663473736499</v>
      </c>
      <c r="N1029" s="90">
        <v>2.08190319762081</v>
      </c>
      <c r="O1029" s="90">
        <v>1.2348463962999999E-4</v>
      </c>
      <c r="P1029" s="90">
        <v>2.378270764E-5</v>
      </c>
      <c r="Q1029" s="90">
        <v>4.2927366555310001E-2</v>
      </c>
      <c r="R1029" s="90">
        <v>1420</v>
      </c>
      <c r="S1029" s="90" t="s">
        <v>327</v>
      </c>
      <c r="T1029" s="90">
        <v>1420</v>
      </c>
      <c r="U1029" s="90" t="s">
        <v>378</v>
      </c>
      <c r="V1029" s="90" t="s">
        <v>244</v>
      </c>
      <c r="Z1029" s="90">
        <v>0</v>
      </c>
      <c r="AA1029" s="90">
        <v>1</v>
      </c>
      <c r="AB1029" s="90">
        <v>1.2348463962999999E-4</v>
      </c>
      <c r="AC1029" s="90">
        <v>2.378270764E-5</v>
      </c>
      <c r="AD1029" s="90">
        <v>2.0004276503874201</v>
      </c>
      <c r="AF1029" s="90">
        <v>-1</v>
      </c>
      <c r="AG1029" s="90">
        <v>-1</v>
      </c>
      <c r="AH1029" s="90">
        <v>-1</v>
      </c>
      <c r="AI1029" s="90">
        <v>-1</v>
      </c>
      <c r="AJ1029" s="90">
        <v>0</v>
      </c>
      <c r="AM1029" s="90" t="s">
        <v>379</v>
      </c>
      <c r="AN1029" s="90">
        <v>-1</v>
      </c>
      <c r="AQ1029" s="90">
        <v>367</v>
      </c>
      <c r="AR1029" s="90" t="s">
        <v>267</v>
      </c>
      <c r="AS1029" s="90" t="s">
        <v>396</v>
      </c>
      <c r="AT1029" s="90" t="s">
        <v>244</v>
      </c>
      <c r="AU1029" s="90">
        <v>1.401357</v>
      </c>
      <c r="AV1029" s="90">
        <v>5.7592894264929004</v>
      </c>
      <c r="AW1029" s="90">
        <v>4.622943241435E-2</v>
      </c>
      <c r="AX1029" s="90">
        <v>1.6224068999999999E-3</v>
      </c>
    </row>
    <row r="1030" spans="1:50" x14ac:dyDescent="0.25">
      <c r="A1030" s="102">
        <v>830000</v>
      </c>
      <c r="B1030" s="102">
        <v>2400000</v>
      </c>
      <c r="C1030" s="102">
        <v>2400000</v>
      </c>
      <c r="D1030" s="90" t="s">
        <v>374</v>
      </c>
      <c r="E1030" s="90" t="s">
        <v>68</v>
      </c>
      <c r="F1030" s="90" t="s">
        <v>375</v>
      </c>
      <c r="G1030" s="90" t="s">
        <v>376</v>
      </c>
      <c r="H1030" s="90">
        <v>0.59</v>
      </c>
      <c r="I1030" s="90">
        <v>0.64</v>
      </c>
      <c r="J1030" s="90" t="s">
        <v>244</v>
      </c>
      <c r="K1030" s="90">
        <v>3.5652389706369997E-2</v>
      </c>
      <c r="L1030" s="90">
        <v>3810.21840853092</v>
      </c>
      <c r="M1030" s="90">
        <v>10.4953372742829</v>
      </c>
      <c r="N1030" s="90">
        <v>1.6621914091080801</v>
      </c>
      <c r="O1030" s="90">
        <v>0.37418385460255998</v>
      </c>
      <c r="P1030" s="90">
        <v>5.9261095884100001E-2</v>
      </c>
      <c r="Q1030" s="90">
        <v>135.84339156734401</v>
      </c>
      <c r="R1030" s="90">
        <v>1420</v>
      </c>
      <c r="S1030" s="90" t="s">
        <v>327</v>
      </c>
      <c r="T1030" s="90">
        <v>1420</v>
      </c>
      <c r="U1030" s="90" t="s">
        <v>378</v>
      </c>
      <c r="V1030" s="90" t="s">
        <v>244</v>
      </c>
      <c r="Z1030" s="90">
        <v>0</v>
      </c>
      <c r="AA1030" s="90">
        <v>1</v>
      </c>
      <c r="AB1030" s="90">
        <v>0.37418385460255998</v>
      </c>
      <c r="AC1030" s="90">
        <v>5.9261095884100001E-2</v>
      </c>
      <c r="AD1030" s="90">
        <v>527.94494227259997</v>
      </c>
      <c r="AF1030" s="90">
        <v>-1</v>
      </c>
      <c r="AG1030" s="90">
        <v>-1</v>
      </c>
      <c r="AH1030" s="90">
        <v>-1</v>
      </c>
      <c r="AI1030" s="90">
        <v>-1</v>
      </c>
      <c r="AJ1030" s="90">
        <v>0</v>
      </c>
      <c r="AM1030" s="90" t="s">
        <v>379</v>
      </c>
      <c r="AN1030" s="90">
        <v>-1</v>
      </c>
      <c r="AQ1030" s="90">
        <v>367</v>
      </c>
      <c r="AR1030" s="90" t="s">
        <v>267</v>
      </c>
      <c r="AS1030" s="90" t="s">
        <v>396</v>
      </c>
      <c r="AT1030" s="90" t="s">
        <v>244</v>
      </c>
      <c r="AU1030" s="90">
        <v>1.401357</v>
      </c>
      <c r="AV1030" s="90">
        <v>57.937758900986204</v>
      </c>
      <c r="AW1030" s="90">
        <v>144.28010225714701</v>
      </c>
      <c r="AX1030" s="90">
        <v>0.4281791908</v>
      </c>
    </row>
    <row r="1031" spans="1:50" x14ac:dyDescent="0.25">
      <c r="A1031" s="102">
        <v>840000</v>
      </c>
      <c r="B1031" s="102">
        <v>2400000</v>
      </c>
      <c r="C1031" s="102">
        <v>2400000</v>
      </c>
      <c r="D1031" s="90" t="s">
        <v>374</v>
      </c>
      <c r="E1031" s="90" t="s">
        <v>68</v>
      </c>
      <c r="F1031" s="90" t="s">
        <v>375</v>
      </c>
      <c r="G1031" s="90" t="s">
        <v>376</v>
      </c>
      <c r="H1031" s="90">
        <v>0.59</v>
      </c>
      <c r="I1031" s="90">
        <v>0.64</v>
      </c>
      <c r="J1031" s="90" t="s">
        <v>244</v>
      </c>
      <c r="K1031" s="90">
        <v>7.59218242267E-3</v>
      </c>
      <c r="L1031" s="90">
        <v>3738.3085289572</v>
      </c>
      <c r="M1031" s="90">
        <v>11.492024991659701</v>
      </c>
      <c r="N1031" s="90">
        <v>1.51717715032534</v>
      </c>
      <c r="O1031" s="90">
        <v>8.7249550142649998E-2</v>
      </c>
      <c r="P1031" s="90">
        <v>1.1518685692780001E-2</v>
      </c>
      <c r="Q1031" s="90">
        <v>28.381920304096099</v>
      </c>
      <c r="R1031" s="90">
        <v>1400</v>
      </c>
      <c r="S1031" s="90" t="s">
        <v>324</v>
      </c>
      <c r="T1031" s="90">
        <v>1400</v>
      </c>
      <c r="U1031" s="90" t="s">
        <v>378</v>
      </c>
      <c r="V1031" s="90" t="s">
        <v>244</v>
      </c>
      <c r="Z1031" s="90">
        <v>0</v>
      </c>
      <c r="AA1031" s="90">
        <v>1</v>
      </c>
      <c r="AB1031" s="90">
        <v>8.7249550142649998E-2</v>
      </c>
      <c r="AC1031" s="90">
        <v>1.1518685692780001E-2</v>
      </c>
      <c r="AD1031" s="90">
        <v>560.75566525094098</v>
      </c>
      <c r="AF1031" s="90">
        <v>-1</v>
      </c>
      <c r="AG1031" s="90">
        <v>-1</v>
      </c>
      <c r="AH1031" s="90">
        <v>-1</v>
      </c>
      <c r="AI1031" s="90">
        <v>-1</v>
      </c>
      <c r="AJ1031" s="90">
        <v>0</v>
      </c>
      <c r="AM1031" s="90" t="s">
        <v>379</v>
      </c>
      <c r="AN1031" s="90">
        <v>-1</v>
      </c>
      <c r="AQ1031" s="90">
        <v>368</v>
      </c>
      <c r="AR1031" s="90" t="s">
        <v>269</v>
      </c>
      <c r="AS1031" s="90" t="s">
        <v>398</v>
      </c>
      <c r="AT1031" s="90" t="s">
        <v>244</v>
      </c>
      <c r="AU1031" s="90">
        <v>1.935303</v>
      </c>
      <c r="AV1031" s="90">
        <v>70.685718570298306</v>
      </c>
      <c r="AW1031" s="90">
        <v>30.7244721972476</v>
      </c>
      <c r="AX1031" s="90">
        <v>0.45478967170000001</v>
      </c>
    </row>
    <row r="1032" spans="1:50" x14ac:dyDescent="0.25">
      <c r="A1032" s="102">
        <v>830000</v>
      </c>
      <c r="B1032" s="102">
        <v>2400000</v>
      </c>
      <c r="C1032" s="102">
        <v>2400000</v>
      </c>
      <c r="D1032" s="90" t="s">
        <v>374</v>
      </c>
      <c r="E1032" s="90" t="s">
        <v>68</v>
      </c>
      <c r="F1032" s="90" t="s">
        <v>375</v>
      </c>
      <c r="G1032" s="90" t="s">
        <v>376</v>
      </c>
      <c r="H1032" s="90">
        <v>0.59</v>
      </c>
      <c r="I1032" s="90">
        <v>0.64</v>
      </c>
      <c r="J1032" s="90" t="s">
        <v>244</v>
      </c>
      <c r="K1032" s="90">
        <v>5.8811397573309998E-2</v>
      </c>
      <c r="L1032" s="90">
        <v>3664.1173322510799</v>
      </c>
      <c r="M1032" s="90">
        <v>9.1385963506011301</v>
      </c>
      <c r="N1032" s="90">
        <v>1.3442133881684499</v>
      </c>
      <c r="O1032" s="90">
        <v>0.53745362323724</v>
      </c>
      <c r="P1032" s="90">
        <v>7.9055067994939998E-2</v>
      </c>
      <c r="Q1032" s="90">
        <v>215.49186118229201</v>
      </c>
      <c r="R1032" s="90">
        <v>1200</v>
      </c>
      <c r="S1032" s="90" t="s">
        <v>384</v>
      </c>
      <c r="T1032" s="90">
        <v>1200</v>
      </c>
      <c r="U1032" s="90" t="s">
        <v>378</v>
      </c>
      <c r="V1032" s="90" t="s">
        <v>244</v>
      </c>
      <c r="Z1032" s="90">
        <v>0</v>
      </c>
      <c r="AA1032" s="90">
        <v>1</v>
      </c>
      <c r="AB1032" s="90">
        <v>0.53745362323724</v>
      </c>
      <c r="AC1032" s="90">
        <v>7.9055067994939998E-2</v>
      </c>
      <c r="AD1032" s="90">
        <v>690.93287636235902</v>
      </c>
      <c r="AF1032" s="90">
        <v>-1</v>
      </c>
      <c r="AG1032" s="90">
        <v>-1</v>
      </c>
      <c r="AH1032" s="90">
        <v>-1</v>
      </c>
      <c r="AI1032" s="90">
        <v>-1</v>
      </c>
      <c r="AJ1032" s="90">
        <v>0</v>
      </c>
      <c r="AM1032" s="90" t="s">
        <v>379</v>
      </c>
      <c r="AN1032" s="90">
        <v>-1</v>
      </c>
      <c r="AQ1032" s="90">
        <v>369</v>
      </c>
      <c r="AR1032" s="90" t="s">
        <v>271</v>
      </c>
      <c r="AS1032" s="90" t="s">
        <v>272</v>
      </c>
      <c r="AT1032" s="90" t="s">
        <v>244</v>
      </c>
      <c r="AU1032" s="90">
        <v>1.1638539999999999</v>
      </c>
      <c r="AV1032" s="90">
        <v>74.703424353825795</v>
      </c>
      <c r="AW1032" s="90">
        <v>238.00128197988801</v>
      </c>
      <c r="AX1032" s="90">
        <v>0.56036729630000004</v>
      </c>
    </row>
    <row r="1033" spans="1:50" x14ac:dyDescent="0.25">
      <c r="A1033" s="102">
        <v>830000</v>
      </c>
      <c r="B1033" s="102">
        <v>2400000</v>
      </c>
      <c r="C1033" s="102">
        <v>2400000</v>
      </c>
      <c r="D1033" s="90" t="s">
        <v>374</v>
      </c>
      <c r="E1033" s="90" t="s">
        <v>68</v>
      </c>
      <c r="F1033" s="90" t="s">
        <v>375</v>
      </c>
      <c r="G1033" s="90" t="s">
        <v>376</v>
      </c>
      <c r="H1033" s="90">
        <v>0.59</v>
      </c>
      <c r="I1033" s="90">
        <v>0.64</v>
      </c>
      <c r="J1033" s="90" t="s">
        <v>244</v>
      </c>
      <c r="K1033" s="90">
        <v>8.2336020806200005E-2</v>
      </c>
      <c r="L1033" s="90">
        <v>3664.1173322510799</v>
      </c>
      <c r="M1033" s="90">
        <v>9.1385963506011301</v>
      </c>
      <c r="N1033" s="90">
        <v>1.3442133881684499</v>
      </c>
      <c r="O1033" s="90">
        <v>0.75243565926254996</v>
      </c>
      <c r="P1033" s="90">
        <v>0.11067718149621</v>
      </c>
      <c r="Q1033" s="90">
        <v>301.688840904583</v>
      </c>
      <c r="R1033" s="90">
        <v>1210</v>
      </c>
      <c r="S1033" s="90" t="s">
        <v>385</v>
      </c>
      <c r="T1033" s="90">
        <v>1210</v>
      </c>
      <c r="U1033" s="90" t="s">
        <v>378</v>
      </c>
      <c r="V1033" s="90" t="s">
        <v>244</v>
      </c>
      <c r="Z1033" s="90">
        <v>0</v>
      </c>
      <c r="AA1033" s="90">
        <v>1</v>
      </c>
      <c r="AB1033" s="90">
        <v>0.75243565926254996</v>
      </c>
      <c r="AC1033" s="90">
        <v>0.11067718149621</v>
      </c>
      <c r="AD1033" s="90">
        <v>594.13248343482701</v>
      </c>
      <c r="AF1033" s="90">
        <v>-1</v>
      </c>
      <c r="AG1033" s="90">
        <v>-1</v>
      </c>
      <c r="AH1033" s="90">
        <v>-1</v>
      </c>
      <c r="AI1033" s="90">
        <v>-1</v>
      </c>
      <c r="AJ1033" s="90">
        <v>0</v>
      </c>
      <c r="AM1033" s="90" t="s">
        <v>379</v>
      </c>
      <c r="AN1033" s="90">
        <v>-1</v>
      </c>
      <c r="AQ1033" s="90">
        <v>369</v>
      </c>
      <c r="AR1033" s="90" t="s">
        <v>271</v>
      </c>
      <c r="AS1033" s="90" t="s">
        <v>272</v>
      </c>
      <c r="AT1033" s="90" t="s">
        <v>244</v>
      </c>
      <c r="AU1033" s="90">
        <v>1.1638539999999999</v>
      </c>
      <c r="AV1033" s="90">
        <v>74.519605555859698</v>
      </c>
      <c r="AW1033" s="90">
        <v>333.20205459443002</v>
      </c>
      <c r="AX1033" s="90">
        <v>0.48185927290000002</v>
      </c>
    </row>
    <row r="1034" spans="1:50" x14ac:dyDescent="0.25">
      <c r="A1034" s="102">
        <v>830000</v>
      </c>
      <c r="B1034" s="102">
        <v>2400000</v>
      </c>
      <c r="C1034" s="102">
        <v>2400000</v>
      </c>
      <c r="D1034" s="90" t="s">
        <v>374</v>
      </c>
      <c r="E1034" s="90" t="s">
        <v>68</v>
      </c>
      <c r="F1034" s="90" t="s">
        <v>375</v>
      </c>
      <c r="G1034" s="90" t="s">
        <v>376</v>
      </c>
      <c r="H1034" s="90">
        <v>0.59</v>
      </c>
      <c r="I1034" s="90">
        <v>0.64</v>
      </c>
      <c r="J1034" s="90" t="s">
        <v>244</v>
      </c>
      <c r="K1034" s="90">
        <v>1.311010034071E-2</v>
      </c>
      <c r="L1034" s="90">
        <v>3664.1173322510799</v>
      </c>
      <c r="M1034" s="90">
        <v>9.1385963506011301</v>
      </c>
      <c r="N1034" s="90">
        <v>1.3442133881684499</v>
      </c>
      <c r="O1034" s="90">
        <v>0.11980791512966001</v>
      </c>
      <c r="P1034" s="90">
        <v>1.762277239822E-2</v>
      </c>
      <c r="Q1034" s="90">
        <v>48.036945885961003</v>
      </c>
      <c r="R1034" s="90">
        <v>1210</v>
      </c>
      <c r="S1034" s="90" t="s">
        <v>385</v>
      </c>
      <c r="T1034" s="90">
        <v>1210</v>
      </c>
      <c r="U1034" s="90" t="s">
        <v>378</v>
      </c>
      <c r="V1034" s="90" t="s">
        <v>244</v>
      </c>
      <c r="Z1034" s="90">
        <v>0</v>
      </c>
      <c r="AA1034" s="90">
        <v>1</v>
      </c>
      <c r="AB1034" s="90">
        <v>0.11980791512966001</v>
      </c>
      <c r="AC1034" s="90">
        <v>1.762277239822E-2</v>
      </c>
      <c r="AD1034" s="90">
        <v>665.88291559321704</v>
      </c>
      <c r="AF1034" s="90">
        <v>-1</v>
      </c>
      <c r="AG1034" s="90">
        <v>-1</v>
      </c>
      <c r="AH1034" s="90">
        <v>-1</v>
      </c>
      <c r="AI1034" s="90">
        <v>-1</v>
      </c>
      <c r="AJ1034" s="90">
        <v>0</v>
      </c>
      <c r="AM1034" s="90" t="s">
        <v>379</v>
      </c>
      <c r="AN1034" s="90">
        <v>-1</v>
      </c>
      <c r="AQ1034" s="90">
        <v>369</v>
      </c>
      <c r="AR1034" s="90" t="s">
        <v>271</v>
      </c>
      <c r="AS1034" s="90" t="s">
        <v>272</v>
      </c>
      <c r="AT1034" s="90" t="s">
        <v>244</v>
      </c>
      <c r="AU1034" s="90">
        <v>1.1638539999999999</v>
      </c>
      <c r="AV1034" s="90">
        <v>37.971732045031501</v>
      </c>
      <c r="AW1034" s="90">
        <v>53.054693762127002</v>
      </c>
      <c r="AX1034" s="90">
        <v>0.54005102640000002</v>
      </c>
    </row>
    <row r="1035" spans="1:50" x14ac:dyDescent="0.25">
      <c r="A1035" s="102">
        <v>830000</v>
      </c>
      <c r="B1035" s="102">
        <v>2400000</v>
      </c>
      <c r="C1035" s="102">
        <v>2400000</v>
      </c>
      <c r="D1035" s="90" t="s">
        <v>374</v>
      </c>
      <c r="E1035" s="90" t="s">
        <v>68</v>
      </c>
      <c r="F1035" s="90" t="s">
        <v>375</v>
      </c>
      <c r="G1035" s="90" t="s">
        <v>376</v>
      </c>
      <c r="H1035" s="90">
        <v>0.59</v>
      </c>
      <c r="I1035" s="90">
        <v>0.64</v>
      </c>
      <c r="J1035" s="90" t="s">
        <v>244</v>
      </c>
      <c r="K1035" s="90">
        <v>1.6845075596409999E-2</v>
      </c>
      <c r="L1035" s="90">
        <v>3664.1173325240802</v>
      </c>
      <c r="M1035" s="90">
        <v>9.1385963512820094</v>
      </c>
      <c r="N1035" s="90">
        <v>1.3442133882686</v>
      </c>
      <c r="O1035" s="90">
        <v>0.15394034638250001</v>
      </c>
      <c r="P1035" s="90">
        <v>2.26433761431E-2</v>
      </c>
      <c r="Q1035" s="90">
        <v>61.722333460517298</v>
      </c>
      <c r="R1035" s="90">
        <v>1200</v>
      </c>
      <c r="S1035" s="90" t="s">
        <v>384</v>
      </c>
      <c r="T1035" s="90">
        <v>1200</v>
      </c>
      <c r="U1035" s="90" t="s">
        <v>378</v>
      </c>
      <c r="V1035" s="90" t="s">
        <v>244</v>
      </c>
      <c r="Z1035" s="90">
        <v>0</v>
      </c>
      <c r="AA1035" s="90">
        <v>1</v>
      </c>
      <c r="AB1035" s="90">
        <v>0.15394034638250001</v>
      </c>
      <c r="AC1035" s="90">
        <v>2.26433761431E-2</v>
      </c>
      <c r="AD1035" s="90">
        <v>643.08392571164495</v>
      </c>
      <c r="AF1035" s="90">
        <v>-1</v>
      </c>
      <c r="AG1035" s="90">
        <v>-1</v>
      </c>
      <c r="AH1035" s="90">
        <v>-1</v>
      </c>
      <c r="AI1035" s="90">
        <v>-1</v>
      </c>
      <c r="AJ1035" s="90">
        <v>0</v>
      </c>
      <c r="AM1035" s="90" t="s">
        <v>379</v>
      </c>
      <c r="AN1035" s="90">
        <v>-1</v>
      </c>
      <c r="AQ1035" s="90">
        <v>369</v>
      </c>
      <c r="AR1035" s="90" t="s">
        <v>271</v>
      </c>
      <c r="AS1035" s="90" t="s">
        <v>272</v>
      </c>
      <c r="AT1035" s="90" t="s">
        <v>244</v>
      </c>
      <c r="AU1035" s="90">
        <v>1.1638539999999999</v>
      </c>
      <c r="AV1035" s="90">
        <v>33.090313281258901</v>
      </c>
      <c r="AW1035" s="90">
        <v>68.169602363181596</v>
      </c>
      <c r="AX1035" s="90">
        <v>0.52156036149999996</v>
      </c>
    </row>
    <row r="1036" spans="1:50" x14ac:dyDescent="0.25">
      <c r="A1036" s="102">
        <v>830000</v>
      </c>
      <c r="B1036" s="102">
        <v>2400000</v>
      </c>
      <c r="C1036" s="102">
        <v>2400000</v>
      </c>
      <c r="D1036" s="90" t="s">
        <v>374</v>
      </c>
      <c r="E1036" s="90" t="s">
        <v>68</v>
      </c>
      <c r="F1036" s="90" t="s">
        <v>375</v>
      </c>
      <c r="G1036" s="90" t="s">
        <v>376</v>
      </c>
      <c r="H1036" s="90">
        <v>0.59</v>
      </c>
      <c r="I1036" s="90">
        <v>0.64</v>
      </c>
      <c r="J1036" s="90" t="s">
        <v>244</v>
      </c>
      <c r="K1036" s="90">
        <v>1.9933976181459999E-2</v>
      </c>
      <c r="L1036" s="90">
        <v>3664.1173325240802</v>
      </c>
      <c r="M1036" s="90">
        <v>9.1385963512820094</v>
      </c>
      <c r="N1036" s="90">
        <v>1.3442133882686</v>
      </c>
      <c r="O1036" s="90">
        <v>0.18216856199848</v>
      </c>
      <c r="P1036" s="90">
        <v>2.679551766455E-2</v>
      </c>
      <c r="Q1036" s="90">
        <v>73.040427632631804</v>
      </c>
      <c r="R1036" s="90">
        <v>1210</v>
      </c>
      <c r="S1036" s="90" t="s">
        <v>385</v>
      </c>
      <c r="T1036" s="90">
        <v>1210</v>
      </c>
      <c r="U1036" s="90" t="s">
        <v>378</v>
      </c>
      <c r="V1036" s="90" t="s">
        <v>244</v>
      </c>
      <c r="Z1036" s="90">
        <v>0</v>
      </c>
      <c r="AA1036" s="90">
        <v>1</v>
      </c>
      <c r="AB1036" s="90">
        <v>0.18216856199848</v>
      </c>
      <c r="AC1036" s="90">
        <v>2.679551766455E-2</v>
      </c>
      <c r="AD1036" s="90">
        <v>807.26936508725203</v>
      </c>
      <c r="AF1036" s="90">
        <v>-1</v>
      </c>
      <c r="AG1036" s="90">
        <v>-1</v>
      </c>
      <c r="AH1036" s="90">
        <v>-1</v>
      </c>
      <c r="AI1036" s="90">
        <v>-1</v>
      </c>
      <c r="AJ1036" s="90">
        <v>0</v>
      </c>
      <c r="AM1036" s="90" t="s">
        <v>379</v>
      </c>
      <c r="AN1036" s="90">
        <v>-1</v>
      </c>
      <c r="AQ1036" s="90">
        <v>369</v>
      </c>
      <c r="AR1036" s="90" t="s">
        <v>271</v>
      </c>
      <c r="AS1036" s="90" t="s">
        <v>272</v>
      </c>
      <c r="AT1036" s="90" t="s">
        <v>244</v>
      </c>
      <c r="AU1036" s="90">
        <v>1.1638539999999999</v>
      </c>
      <c r="AV1036" s="90">
        <v>40.024483229200598</v>
      </c>
      <c r="AW1036" s="90">
        <v>80.669939533933004</v>
      </c>
      <c r="AX1036" s="90">
        <v>0.6547196797</v>
      </c>
    </row>
    <row r="1037" spans="1:50" x14ac:dyDescent="0.25">
      <c r="A1037" s="102">
        <v>830000</v>
      </c>
      <c r="B1037" s="102">
        <v>2400000</v>
      </c>
      <c r="C1037" s="102">
        <v>2400000</v>
      </c>
      <c r="D1037" s="90" t="s">
        <v>374</v>
      </c>
      <c r="E1037" s="90" t="s">
        <v>68</v>
      </c>
      <c r="F1037" s="90" t="s">
        <v>375</v>
      </c>
      <c r="G1037" s="90" t="s">
        <v>376</v>
      </c>
      <c r="H1037" s="90">
        <v>0.59</v>
      </c>
      <c r="I1037" s="90">
        <v>0.64</v>
      </c>
      <c r="J1037" s="90" t="s">
        <v>244</v>
      </c>
      <c r="K1037" s="90">
        <v>1.3495844001870001E-2</v>
      </c>
      <c r="L1037" s="90">
        <v>3664.1173325240802</v>
      </c>
      <c r="M1037" s="90">
        <v>9.1385963512820094</v>
      </c>
      <c r="N1037" s="90">
        <v>1.3442133882686</v>
      </c>
      <c r="O1037" s="90">
        <v>0.12333307075296999</v>
      </c>
      <c r="P1037" s="90">
        <v>1.81412941933E-2</v>
      </c>
      <c r="Q1037" s="90">
        <v>49.450355924296701</v>
      </c>
      <c r="R1037" s="90">
        <v>1210</v>
      </c>
      <c r="S1037" s="90" t="s">
        <v>385</v>
      </c>
      <c r="T1037" s="90">
        <v>1210</v>
      </c>
      <c r="U1037" s="90" t="s">
        <v>378</v>
      </c>
      <c r="V1037" s="90" t="s">
        <v>244</v>
      </c>
      <c r="Z1037" s="90">
        <v>0</v>
      </c>
      <c r="AA1037" s="90">
        <v>1</v>
      </c>
      <c r="AB1037" s="90">
        <v>0.12333307075296999</v>
      </c>
      <c r="AC1037" s="90">
        <v>1.81412941933E-2</v>
      </c>
      <c r="AD1037" s="90">
        <v>142.44422725739301</v>
      </c>
      <c r="AF1037" s="90">
        <v>-1</v>
      </c>
      <c r="AG1037" s="90">
        <v>-1</v>
      </c>
      <c r="AH1037" s="90">
        <v>-1</v>
      </c>
      <c r="AI1037" s="90">
        <v>-1</v>
      </c>
      <c r="AJ1037" s="90">
        <v>0</v>
      </c>
      <c r="AM1037" s="90" t="s">
        <v>379</v>
      </c>
      <c r="AN1037" s="90">
        <v>-1</v>
      </c>
      <c r="AQ1037" s="90">
        <v>369</v>
      </c>
      <c r="AR1037" s="90" t="s">
        <v>271</v>
      </c>
      <c r="AS1037" s="90" t="s">
        <v>272</v>
      </c>
      <c r="AT1037" s="90" t="s">
        <v>244</v>
      </c>
      <c r="AU1037" s="90">
        <v>1.1638539999999999</v>
      </c>
      <c r="AV1037" s="90">
        <v>36.599895081385597</v>
      </c>
      <c r="AW1037" s="90">
        <v>54.615742974678703</v>
      </c>
      <c r="AX1037" s="90">
        <v>0.11552654280000001</v>
      </c>
    </row>
    <row r="1038" spans="1:50" x14ac:dyDescent="0.25">
      <c r="A1038" s="102">
        <v>840000</v>
      </c>
      <c r="B1038" s="102">
        <v>2400000</v>
      </c>
      <c r="C1038" s="102">
        <v>2400000</v>
      </c>
      <c r="D1038" s="90" t="s">
        <v>374</v>
      </c>
      <c r="E1038" s="90" t="s">
        <v>68</v>
      </c>
      <c r="F1038" s="90" t="s">
        <v>375</v>
      </c>
      <c r="G1038" s="90" t="s">
        <v>376</v>
      </c>
      <c r="H1038" s="90">
        <v>0.59</v>
      </c>
      <c r="I1038" s="90">
        <v>0.64</v>
      </c>
      <c r="J1038" s="90" t="s">
        <v>244</v>
      </c>
      <c r="K1038" s="90">
        <v>3.4539459187599999E-3</v>
      </c>
      <c r="L1038" s="90">
        <v>3666.8022040303799</v>
      </c>
      <c r="M1038" s="90">
        <v>9.1449516373431603</v>
      </c>
      <c r="N1038" s="90">
        <v>1.3451366194457399</v>
      </c>
      <c r="O1038" s="90">
        <v>3.1586168385120003E-2</v>
      </c>
      <c r="P1038" s="90">
        <v>4.6460291369100001E-3</v>
      </c>
      <c r="Q1038" s="90">
        <v>12.664936507536501</v>
      </c>
      <c r="R1038" s="90">
        <v>1200</v>
      </c>
      <c r="S1038" s="90" t="s">
        <v>384</v>
      </c>
      <c r="T1038" s="90">
        <v>1200</v>
      </c>
      <c r="U1038" s="90" t="s">
        <v>378</v>
      </c>
      <c r="V1038" s="90" t="s">
        <v>244</v>
      </c>
      <c r="Z1038" s="90">
        <v>0</v>
      </c>
      <c r="AA1038" s="90">
        <v>1</v>
      </c>
      <c r="AB1038" s="90">
        <v>3.1586168385120003E-2</v>
      </c>
      <c r="AC1038" s="90">
        <v>4.6460291369100001E-3</v>
      </c>
      <c r="AD1038" s="90">
        <v>295.01343158544898</v>
      </c>
      <c r="AF1038" s="90">
        <v>-1</v>
      </c>
      <c r="AG1038" s="90">
        <v>-1</v>
      </c>
      <c r="AH1038" s="90">
        <v>-1</v>
      </c>
      <c r="AI1038" s="90">
        <v>-1</v>
      </c>
      <c r="AJ1038" s="90">
        <v>0</v>
      </c>
      <c r="AM1038" s="90" t="s">
        <v>379</v>
      </c>
      <c r="AN1038" s="90">
        <v>-1</v>
      </c>
      <c r="AQ1038" s="90">
        <v>369</v>
      </c>
      <c r="AR1038" s="90" t="s">
        <v>271</v>
      </c>
      <c r="AS1038" s="90" t="s">
        <v>272</v>
      </c>
      <c r="AT1038" s="90" t="s">
        <v>244</v>
      </c>
      <c r="AU1038" s="90">
        <v>1.1638539999999999</v>
      </c>
      <c r="AV1038" s="90">
        <v>33.462285940222998</v>
      </c>
      <c r="AW1038" s="90">
        <v>13.9776232239852</v>
      </c>
      <c r="AX1038" s="90">
        <v>0.23926474580000001</v>
      </c>
    </row>
    <row r="1039" spans="1:50" x14ac:dyDescent="0.25">
      <c r="A1039" s="102">
        <v>840000</v>
      </c>
      <c r="B1039" s="102">
        <v>2400000</v>
      </c>
      <c r="C1039" s="102">
        <v>2400000</v>
      </c>
      <c r="D1039" s="90" t="s">
        <v>374</v>
      </c>
      <c r="E1039" s="90" t="s">
        <v>68</v>
      </c>
      <c r="F1039" s="90" t="s">
        <v>375</v>
      </c>
      <c r="G1039" s="90" t="s">
        <v>376</v>
      </c>
      <c r="H1039" s="90">
        <v>0.59</v>
      </c>
      <c r="I1039" s="90">
        <v>0.64</v>
      </c>
      <c r="J1039" s="90" t="s">
        <v>244</v>
      </c>
      <c r="K1039" s="90">
        <v>9.2888995204869998E-2</v>
      </c>
      <c r="L1039" s="90">
        <v>3664.1173325240802</v>
      </c>
      <c r="M1039" s="90">
        <v>9.1385963512820201</v>
      </c>
      <c r="N1039" s="90">
        <v>1.3442133882686</v>
      </c>
      <c r="O1039" s="90">
        <v>0.84887503265356001</v>
      </c>
      <c r="P1039" s="90">
        <v>0.12486263097721</v>
      </c>
      <c r="Q1039" s="90">
        <v>340.35617733094301</v>
      </c>
      <c r="R1039" s="90">
        <v>1200</v>
      </c>
      <c r="S1039" s="90" t="s">
        <v>384</v>
      </c>
      <c r="T1039" s="90">
        <v>1200</v>
      </c>
      <c r="U1039" s="90" t="s">
        <v>378</v>
      </c>
      <c r="V1039" s="90" t="s">
        <v>244</v>
      </c>
      <c r="Z1039" s="90">
        <v>0</v>
      </c>
      <c r="AA1039" s="90">
        <v>1</v>
      </c>
      <c r="AB1039" s="90">
        <v>0.84887503265356001</v>
      </c>
      <c r="AC1039" s="90">
        <v>0.12486263097721</v>
      </c>
      <c r="AD1039" s="90">
        <v>399.68584847866401</v>
      </c>
      <c r="AF1039" s="90">
        <v>-1</v>
      </c>
      <c r="AG1039" s="90">
        <v>-1</v>
      </c>
      <c r="AH1039" s="90">
        <v>-1</v>
      </c>
      <c r="AI1039" s="90">
        <v>-1</v>
      </c>
      <c r="AJ1039" s="90">
        <v>0</v>
      </c>
      <c r="AM1039" s="90" t="s">
        <v>379</v>
      </c>
      <c r="AN1039" s="90">
        <v>-1</v>
      </c>
      <c r="AQ1039" s="90">
        <v>369</v>
      </c>
      <c r="AR1039" s="90" t="s">
        <v>271</v>
      </c>
      <c r="AS1039" s="90" t="s">
        <v>272</v>
      </c>
      <c r="AT1039" s="90" t="s">
        <v>244</v>
      </c>
      <c r="AU1039" s="90">
        <v>1.1638539999999999</v>
      </c>
      <c r="AV1039" s="90">
        <v>114.37960549552299</v>
      </c>
      <c r="AW1039" s="90">
        <v>375.908426815148</v>
      </c>
      <c r="AX1039" s="90">
        <v>0.32415721689999999</v>
      </c>
    </row>
    <row r="1040" spans="1:50" x14ac:dyDescent="0.25">
      <c r="A1040" s="102">
        <v>840000</v>
      </c>
      <c r="B1040" s="102">
        <v>2400000</v>
      </c>
      <c r="C1040" s="102">
        <v>2400000</v>
      </c>
      <c r="D1040" s="90" t="s">
        <v>374</v>
      </c>
      <c r="E1040" s="90" t="s">
        <v>68</v>
      </c>
      <c r="F1040" s="90" t="s">
        <v>375</v>
      </c>
      <c r="G1040" s="90" t="s">
        <v>376</v>
      </c>
      <c r="H1040" s="90">
        <v>0.59</v>
      </c>
      <c r="I1040" s="90">
        <v>0.64</v>
      </c>
      <c r="J1040" s="90" t="s">
        <v>244</v>
      </c>
      <c r="K1040" s="90">
        <v>6.0490922584600003E-2</v>
      </c>
      <c r="L1040" s="90">
        <v>3664.1173325240802</v>
      </c>
      <c r="M1040" s="90">
        <v>9.1385963512820201</v>
      </c>
      <c r="N1040" s="90">
        <v>1.3442133882686</v>
      </c>
      <c r="O1040" s="90">
        <v>0.55280212441734</v>
      </c>
      <c r="P1040" s="90">
        <v>8.1312708006940002E-2</v>
      </c>
      <c r="Q1040" s="90">
        <v>221.64583790262</v>
      </c>
      <c r="R1040" s="90">
        <v>1210</v>
      </c>
      <c r="S1040" s="90" t="s">
        <v>385</v>
      </c>
      <c r="T1040" s="90">
        <v>1210</v>
      </c>
      <c r="U1040" s="90" t="s">
        <v>378</v>
      </c>
      <c r="V1040" s="90" t="s">
        <v>244</v>
      </c>
      <c r="Z1040" s="90">
        <v>0</v>
      </c>
      <c r="AA1040" s="90">
        <v>1</v>
      </c>
      <c r="AB1040" s="90">
        <v>0.55280212441734</v>
      </c>
      <c r="AC1040" s="90">
        <v>8.1312708006940002E-2</v>
      </c>
      <c r="AD1040" s="90">
        <v>598.77546409358399</v>
      </c>
      <c r="AF1040" s="90">
        <v>-1</v>
      </c>
      <c r="AG1040" s="90">
        <v>-1</v>
      </c>
      <c r="AH1040" s="90">
        <v>-1</v>
      </c>
      <c r="AI1040" s="90">
        <v>-1</v>
      </c>
      <c r="AJ1040" s="90">
        <v>0</v>
      </c>
      <c r="AM1040" s="90" t="s">
        <v>379</v>
      </c>
      <c r="AN1040" s="90">
        <v>-1</v>
      </c>
      <c r="AQ1040" s="90">
        <v>369</v>
      </c>
      <c r="AR1040" s="90" t="s">
        <v>271</v>
      </c>
      <c r="AS1040" s="90" t="s">
        <v>272</v>
      </c>
      <c r="AT1040" s="90" t="s">
        <v>244</v>
      </c>
      <c r="AU1040" s="90">
        <v>1.1638539999999999</v>
      </c>
      <c r="AV1040" s="90">
        <v>63.315458347108901</v>
      </c>
      <c r="AW1040" s="90">
        <v>244.79807855840599</v>
      </c>
      <c r="AX1040" s="90">
        <v>0.4856248695</v>
      </c>
    </row>
    <row r="1041" spans="1:50" x14ac:dyDescent="0.25">
      <c r="A1041" s="102">
        <v>840000</v>
      </c>
      <c r="B1041" s="102">
        <v>2400000</v>
      </c>
      <c r="C1041" s="102">
        <v>2400000</v>
      </c>
      <c r="D1041" s="90" t="s">
        <v>374</v>
      </c>
      <c r="E1041" s="90" t="s">
        <v>68</v>
      </c>
      <c r="F1041" s="90" t="s">
        <v>375</v>
      </c>
      <c r="G1041" s="90" t="s">
        <v>376</v>
      </c>
      <c r="H1041" s="90">
        <v>0.59</v>
      </c>
      <c r="I1041" s="90">
        <v>0.64</v>
      </c>
      <c r="J1041" s="90" t="s">
        <v>244</v>
      </c>
      <c r="K1041" s="90">
        <v>9.2691749198390003E-2</v>
      </c>
      <c r="L1041" s="90">
        <v>3664.1173325240802</v>
      </c>
      <c r="M1041" s="90">
        <v>9.1385963512820201</v>
      </c>
      <c r="N1041" s="90">
        <v>1.3442133882686</v>
      </c>
      <c r="O1041" s="90">
        <v>0.84707248101840005</v>
      </c>
      <c r="P1041" s="90">
        <v>0.12459749025451</v>
      </c>
      <c r="Q1041" s="90">
        <v>339.63344481981397</v>
      </c>
      <c r="R1041" s="90">
        <v>1210</v>
      </c>
      <c r="S1041" s="90" t="s">
        <v>385</v>
      </c>
      <c r="T1041" s="90">
        <v>1210</v>
      </c>
      <c r="U1041" s="90" t="s">
        <v>378</v>
      </c>
      <c r="V1041" s="90" t="s">
        <v>244</v>
      </c>
      <c r="Z1041" s="90">
        <v>0</v>
      </c>
      <c r="AA1041" s="90">
        <v>1</v>
      </c>
      <c r="AB1041" s="90">
        <v>0.84707248101840005</v>
      </c>
      <c r="AC1041" s="90">
        <v>0.12459749025451</v>
      </c>
      <c r="AD1041" s="90">
        <v>858.05478562260305</v>
      </c>
      <c r="AF1041" s="90">
        <v>-1</v>
      </c>
      <c r="AG1041" s="90">
        <v>-1</v>
      </c>
      <c r="AH1041" s="90">
        <v>-1</v>
      </c>
      <c r="AI1041" s="90">
        <v>-1</v>
      </c>
      <c r="AJ1041" s="90">
        <v>0</v>
      </c>
      <c r="AM1041" s="90" t="s">
        <v>379</v>
      </c>
      <c r="AN1041" s="90">
        <v>-1</v>
      </c>
      <c r="AQ1041" s="90">
        <v>369</v>
      </c>
      <c r="AR1041" s="90" t="s">
        <v>271</v>
      </c>
      <c r="AS1041" s="90" t="s">
        <v>272</v>
      </c>
      <c r="AT1041" s="90" t="s">
        <v>244</v>
      </c>
      <c r="AU1041" s="90">
        <v>1.1638539999999999</v>
      </c>
      <c r="AV1041" s="90">
        <v>80.7331828076682</v>
      </c>
      <c r="AW1041" s="90">
        <v>375.11020054701299</v>
      </c>
      <c r="AX1041" s="90">
        <v>0.69590817969999996</v>
      </c>
    </row>
    <row r="1042" spans="1:50" x14ac:dyDescent="0.25">
      <c r="A1042" s="102">
        <v>840000</v>
      </c>
      <c r="B1042" s="102">
        <v>2400000</v>
      </c>
      <c r="C1042" s="102">
        <v>2400000</v>
      </c>
      <c r="D1042" s="90" t="s">
        <v>374</v>
      </c>
      <c r="E1042" s="90" t="s">
        <v>68</v>
      </c>
      <c r="F1042" s="90" t="s">
        <v>375</v>
      </c>
      <c r="G1042" s="90" t="s">
        <v>376</v>
      </c>
      <c r="H1042" s="90">
        <v>0.59</v>
      </c>
      <c r="I1042" s="90">
        <v>0.64</v>
      </c>
      <c r="J1042" s="90" t="s">
        <v>244</v>
      </c>
      <c r="K1042" s="90">
        <v>1.8886991878719998E-2</v>
      </c>
      <c r="L1042" s="90">
        <v>3664.1173325240802</v>
      </c>
      <c r="M1042" s="90">
        <v>9.1385963512820201</v>
      </c>
      <c r="N1042" s="90">
        <v>1.3442133882686</v>
      </c>
      <c r="O1042" s="90">
        <v>0.17260059506962999</v>
      </c>
      <c r="P1042" s="90">
        <v>2.5388147347500001E-2</v>
      </c>
      <c r="Q1042" s="90">
        <v>69.204154302088796</v>
      </c>
      <c r="R1042" s="90">
        <v>1210</v>
      </c>
      <c r="S1042" s="90" t="s">
        <v>385</v>
      </c>
      <c r="T1042" s="90">
        <v>1210</v>
      </c>
      <c r="U1042" s="90" t="s">
        <v>378</v>
      </c>
      <c r="V1042" s="90" t="s">
        <v>244</v>
      </c>
      <c r="Z1042" s="90">
        <v>0</v>
      </c>
      <c r="AA1042" s="90">
        <v>1</v>
      </c>
      <c r="AB1042" s="90">
        <v>0.17260059506962999</v>
      </c>
      <c r="AC1042" s="90">
        <v>2.5388147347500001E-2</v>
      </c>
      <c r="AD1042" s="90">
        <v>213.66307521665499</v>
      </c>
      <c r="AF1042" s="90">
        <v>-1</v>
      </c>
      <c r="AG1042" s="90">
        <v>-1</v>
      </c>
      <c r="AH1042" s="90">
        <v>-1</v>
      </c>
      <c r="AI1042" s="90">
        <v>-1</v>
      </c>
      <c r="AJ1042" s="90">
        <v>0</v>
      </c>
      <c r="AM1042" s="90" t="s">
        <v>379</v>
      </c>
      <c r="AN1042" s="90">
        <v>-1</v>
      </c>
      <c r="AQ1042" s="90">
        <v>369</v>
      </c>
      <c r="AR1042" s="90" t="s">
        <v>271</v>
      </c>
      <c r="AS1042" s="90" t="s">
        <v>272</v>
      </c>
      <c r="AT1042" s="90" t="s">
        <v>244</v>
      </c>
      <c r="AU1042" s="90">
        <v>1.1638539999999999</v>
      </c>
      <c r="AV1042" s="90">
        <v>39.965570937179599</v>
      </c>
      <c r="AW1042" s="90">
        <v>76.432944384245701</v>
      </c>
      <c r="AX1042" s="90">
        <v>0.17328716559999999</v>
      </c>
    </row>
    <row r="1043" spans="1:50" x14ac:dyDescent="0.25">
      <c r="A1043" s="102">
        <v>840000</v>
      </c>
      <c r="B1043" s="102">
        <v>2400000</v>
      </c>
      <c r="C1043" s="102">
        <v>2400000</v>
      </c>
      <c r="D1043" s="90" t="s">
        <v>374</v>
      </c>
      <c r="E1043" s="90" t="s">
        <v>68</v>
      </c>
      <c r="F1043" s="90" t="s">
        <v>375</v>
      </c>
      <c r="G1043" s="90" t="s">
        <v>376</v>
      </c>
      <c r="H1043" s="90">
        <v>0.59</v>
      </c>
      <c r="I1043" s="90">
        <v>0.64</v>
      </c>
      <c r="J1043" s="90" t="s">
        <v>244</v>
      </c>
      <c r="K1043" s="90">
        <v>1.2941057864050001E-2</v>
      </c>
      <c r="L1043" s="90">
        <v>3689.62023253801</v>
      </c>
      <c r="M1043" s="90">
        <v>9.7954920720454393</v>
      </c>
      <c r="N1043" s="90">
        <v>1.6436795223587599</v>
      </c>
      <c r="O1043" s="90">
        <v>0.12676402971121001</v>
      </c>
      <c r="P1043" s="90">
        <v>2.1270951808799999E-2</v>
      </c>
      <c r="Q1043" s="90">
        <v>47.747588925655101</v>
      </c>
      <c r="R1043" s="90">
        <v>1200</v>
      </c>
      <c r="S1043" s="90" t="s">
        <v>384</v>
      </c>
      <c r="T1043" s="90">
        <v>1200</v>
      </c>
      <c r="U1043" s="90" t="s">
        <v>378</v>
      </c>
      <c r="V1043" s="90" t="s">
        <v>244</v>
      </c>
      <c r="Z1043" s="90">
        <v>0</v>
      </c>
      <c r="AA1043" s="90">
        <v>1</v>
      </c>
      <c r="AB1043" s="90">
        <v>0.12676402971121001</v>
      </c>
      <c r="AC1043" s="90">
        <v>2.1270951808799999E-2</v>
      </c>
      <c r="AD1043" s="90">
        <v>496.02607179839498</v>
      </c>
      <c r="AF1043" s="90">
        <v>-1</v>
      </c>
      <c r="AG1043" s="90">
        <v>-1</v>
      </c>
      <c r="AH1043" s="90">
        <v>-1</v>
      </c>
      <c r="AI1043" s="90">
        <v>-1</v>
      </c>
      <c r="AJ1043" s="90">
        <v>0</v>
      </c>
      <c r="AM1043" s="90" t="s">
        <v>379</v>
      </c>
      <c r="AN1043" s="90">
        <v>-1</v>
      </c>
      <c r="AQ1043" s="90">
        <v>369</v>
      </c>
      <c r="AR1043" s="90" t="s">
        <v>271</v>
      </c>
      <c r="AS1043" s="90" t="s">
        <v>272</v>
      </c>
      <c r="AT1043" s="90" t="s">
        <v>244</v>
      </c>
      <c r="AU1043" s="90">
        <v>1.1638539999999999</v>
      </c>
      <c r="AV1043" s="90">
        <v>42.157056977649702</v>
      </c>
      <c r="AW1043" s="90">
        <v>52.370603129794297</v>
      </c>
      <c r="AX1043" s="90">
        <v>0.402292029</v>
      </c>
    </row>
    <row r="1044" spans="1:50" x14ac:dyDescent="0.25">
      <c r="A1044" s="102">
        <v>840000</v>
      </c>
      <c r="B1044" s="102">
        <v>2400000</v>
      </c>
      <c r="C1044" s="102">
        <v>2400000</v>
      </c>
      <c r="D1044" s="90" t="s">
        <v>374</v>
      </c>
      <c r="E1044" s="90" t="s">
        <v>68</v>
      </c>
      <c r="F1044" s="90" t="s">
        <v>375</v>
      </c>
      <c r="G1044" s="90" t="s">
        <v>376</v>
      </c>
      <c r="H1044" s="90">
        <v>0.59</v>
      </c>
      <c r="I1044" s="90">
        <v>0.64</v>
      </c>
      <c r="J1044" s="90" t="s">
        <v>244</v>
      </c>
      <c r="K1044" s="90">
        <v>2.125098814247E-2</v>
      </c>
      <c r="L1044" s="90">
        <v>3689.62023253801</v>
      </c>
      <c r="M1044" s="90">
        <v>9.7954920720454393</v>
      </c>
      <c r="N1044" s="90">
        <v>1.6436795223587599</v>
      </c>
      <c r="O1044" s="90">
        <v>0.20816388587272999</v>
      </c>
      <c r="P1044" s="90">
        <v>3.492981403967E-2</v>
      </c>
      <c r="Q1044" s="90">
        <v>78.408075811897405</v>
      </c>
      <c r="R1044" s="90">
        <v>1300</v>
      </c>
      <c r="S1044" s="90" t="s">
        <v>387</v>
      </c>
      <c r="T1044" s="90">
        <v>1300</v>
      </c>
      <c r="U1044" s="90" t="s">
        <v>378</v>
      </c>
      <c r="V1044" s="90" t="s">
        <v>244</v>
      </c>
      <c r="Z1044" s="90">
        <v>0</v>
      </c>
      <c r="AA1044" s="90">
        <v>1</v>
      </c>
      <c r="AB1044" s="90">
        <v>0.20816388587272999</v>
      </c>
      <c r="AC1044" s="90">
        <v>3.492981403967E-2</v>
      </c>
      <c r="AD1044" s="90">
        <v>390.38516934199401</v>
      </c>
      <c r="AF1044" s="90">
        <v>-1</v>
      </c>
      <c r="AG1044" s="90">
        <v>-1</v>
      </c>
      <c r="AH1044" s="90">
        <v>-1</v>
      </c>
      <c r="AI1044" s="90">
        <v>-1</v>
      </c>
      <c r="AJ1044" s="90">
        <v>0</v>
      </c>
      <c r="AM1044" s="90" t="s">
        <v>379</v>
      </c>
      <c r="AN1044" s="90">
        <v>-1</v>
      </c>
      <c r="AQ1044" s="90">
        <v>369</v>
      </c>
      <c r="AR1044" s="90" t="s">
        <v>271</v>
      </c>
      <c r="AS1044" s="90" t="s">
        <v>272</v>
      </c>
      <c r="AT1044" s="90" t="s">
        <v>244</v>
      </c>
      <c r="AU1044" s="90">
        <v>1.1638539999999999</v>
      </c>
      <c r="AV1044" s="90">
        <v>37.293472733276303</v>
      </c>
      <c r="AW1044" s="90">
        <v>85.999697846715307</v>
      </c>
      <c r="AX1044" s="90">
        <v>0.3166140871</v>
      </c>
    </row>
    <row r="1045" spans="1:50" x14ac:dyDescent="0.25">
      <c r="A1045" s="102">
        <v>840000</v>
      </c>
      <c r="B1045" s="102">
        <v>2400000</v>
      </c>
      <c r="C1045" s="102">
        <v>2400000</v>
      </c>
      <c r="D1045" s="90" t="s">
        <v>374</v>
      </c>
      <c r="E1045" s="90" t="s">
        <v>68</v>
      </c>
      <c r="F1045" s="90" t="s">
        <v>375</v>
      </c>
      <c r="G1045" s="90" t="s">
        <v>376</v>
      </c>
      <c r="H1045" s="90">
        <v>0.59</v>
      </c>
      <c r="I1045" s="90">
        <v>0.64</v>
      </c>
      <c r="J1045" s="90" t="s">
        <v>244</v>
      </c>
      <c r="K1045" s="90">
        <v>2.312607436081E-2</v>
      </c>
      <c r="L1045" s="90">
        <v>3682.0525930429599</v>
      </c>
      <c r="M1045" s="90">
        <v>9.6478322220914201</v>
      </c>
      <c r="N1045" s="90">
        <v>1.57785830965503</v>
      </c>
      <c r="O1045" s="90">
        <v>0.22311648538876</v>
      </c>
      <c r="P1045" s="90">
        <v>3.648966859991E-2</v>
      </c>
      <c r="Q1045" s="90">
        <v>85.151422067146896</v>
      </c>
      <c r="R1045" s="90">
        <v>1200</v>
      </c>
      <c r="S1045" s="90" t="s">
        <v>384</v>
      </c>
      <c r="T1045" s="90">
        <v>1200</v>
      </c>
      <c r="U1045" s="90" t="s">
        <v>378</v>
      </c>
      <c r="V1045" s="90" t="s">
        <v>244</v>
      </c>
      <c r="Z1045" s="90">
        <v>0</v>
      </c>
      <c r="AA1045" s="90">
        <v>1</v>
      </c>
      <c r="AB1045" s="90">
        <v>0.22311648538876</v>
      </c>
      <c r="AC1045" s="90">
        <v>3.648966859991E-2</v>
      </c>
      <c r="AD1045" s="90">
        <v>480.983612954497</v>
      </c>
      <c r="AF1045" s="90">
        <v>-1</v>
      </c>
      <c r="AG1045" s="90">
        <v>-1</v>
      </c>
      <c r="AH1045" s="90">
        <v>-1</v>
      </c>
      <c r="AI1045" s="90">
        <v>-1</v>
      </c>
      <c r="AJ1045" s="90">
        <v>0</v>
      </c>
      <c r="AM1045" s="90" t="s">
        <v>379</v>
      </c>
      <c r="AN1045" s="90">
        <v>-1</v>
      </c>
      <c r="AQ1045" s="90">
        <v>369</v>
      </c>
      <c r="AR1045" s="90" t="s">
        <v>271</v>
      </c>
      <c r="AS1045" s="90" t="s">
        <v>272</v>
      </c>
      <c r="AT1045" s="90" t="s">
        <v>244</v>
      </c>
      <c r="AU1045" s="90">
        <v>1.1638539999999999</v>
      </c>
      <c r="AV1045" s="90">
        <v>44.850180848407597</v>
      </c>
      <c r="AW1045" s="90">
        <v>93.587902551969094</v>
      </c>
      <c r="AX1045" s="90">
        <v>0.39009214349999999</v>
      </c>
    </row>
    <row r="1046" spans="1:50" x14ac:dyDescent="0.25">
      <c r="A1046" s="102">
        <v>840000</v>
      </c>
      <c r="B1046" s="102">
        <v>2400000</v>
      </c>
      <c r="C1046" s="102">
        <v>2400000</v>
      </c>
      <c r="D1046" s="90" t="s">
        <v>374</v>
      </c>
      <c r="E1046" s="90" t="s">
        <v>68</v>
      </c>
      <c r="F1046" s="90" t="s">
        <v>375</v>
      </c>
      <c r="G1046" s="90" t="s">
        <v>376</v>
      </c>
      <c r="H1046" s="90">
        <v>0.59</v>
      </c>
      <c r="I1046" s="90">
        <v>0.64</v>
      </c>
      <c r="J1046" s="90" t="s">
        <v>244</v>
      </c>
      <c r="K1046" s="90">
        <v>1.35218264049E-2</v>
      </c>
      <c r="L1046" s="90">
        <v>3682.0525930429599</v>
      </c>
      <c r="M1046" s="90">
        <v>9.6478322220914201</v>
      </c>
      <c r="N1046" s="90">
        <v>1.57785830965503</v>
      </c>
      <c r="O1046" s="90">
        <v>0.13045631249072001</v>
      </c>
      <c r="P1046" s="90">
        <v>2.1335526154679998E-2</v>
      </c>
      <c r="Q1046" s="90">
        <v>49.788075976838797</v>
      </c>
      <c r="R1046" s="90">
        <v>1300</v>
      </c>
      <c r="S1046" s="90" t="s">
        <v>387</v>
      </c>
      <c r="T1046" s="90">
        <v>1300</v>
      </c>
      <c r="U1046" s="90" t="s">
        <v>378</v>
      </c>
      <c r="V1046" s="90" t="s">
        <v>244</v>
      </c>
      <c r="Z1046" s="90">
        <v>0</v>
      </c>
      <c r="AA1046" s="90">
        <v>1</v>
      </c>
      <c r="AB1046" s="90">
        <v>0.13045631249072001</v>
      </c>
      <c r="AC1046" s="90">
        <v>2.1335526154679998E-2</v>
      </c>
      <c r="AD1046" s="90">
        <v>392.01453304568702</v>
      </c>
      <c r="AF1046" s="90">
        <v>-1</v>
      </c>
      <c r="AG1046" s="90">
        <v>-1</v>
      </c>
      <c r="AH1046" s="90">
        <v>-1</v>
      </c>
      <c r="AI1046" s="90">
        <v>-1</v>
      </c>
      <c r="AJ1046" s="90">
        <v>0</v>
      </c>
      <c r="AM1046" s="90" t="s">
        <v>379</v>
      </c>
      <c r="AN1046" s="90">
        <v>-1</v>
      </c>
      <c r="AQ1046" s="90">
        <v>369</v>
      </c>
      <c r="AR1046" s="90" t="s">
        <v>271</v>
      </c>
      <c r="AS1046" s="90" t="s">
        <v>272</v>
      </c>
      <c r="AT1046" s="90" t="s">
        <v>244</v>
      </c>
      <c r="AU1046" s="90">
        <v>1.1638539999999999</v>
      </c>
      <c r="AV1046" s="90">
        <v>29.845498949515498</v>
      </c>
      <c r="AW1046" s="90">
        <v>54.720890029245901</v>
      </c>
      <c r="AX1046" s="90">
        <v>0.3179355499</v>
      </c>
    </row>
    <row r="1047" spans="1:50" x14ac:dyDescent="0.25">
      <c r="A1047" s="102">
        <v>840000</v>
      </c>
      <c r="B1047" s="102">
        <v>2400000</v>
      </c>
      <c r="C1047" s="102">
        <v>2400000</v>
      </c>
      <c r="D1047" s="90" t="s">
        <v>374</v>
      </c>
      <c r="E1047" s="90" t="s">
        <v>68</v>
      </c>
      <c r="F1047" s="90" t="s">
        <v>375</v>
      </c>
      <c r="G1047" s="90" t="s">
        <v>376</v>
      </c>
      <c r="H1047" s="90">
        <v>0.59</v>
      </c>
      <c r="I1047" s="90">
        <v>0.64</v>
      </c>
      <c r="J1047" s="90" t="s">
        <v>244</v>
      </c>
      <c r="K1047" s="90">
        <v>6.2589723337399998E-3</v>
      </c>
      <c r="L1047" s="90">
        <v>3682.0525930429599</v>
      </c>
      <c r="M1047" s="90">
        <v>9.6478322220914201</v>
      </c>
      <c r="N1047" s="90">
        <v>1.57785830965503</v>
      </c>
      <c r="O1047" s="90">
        <v>6.0385514958630003E-2</v>
      </c>
      <c r="P1047" s="90">
        <v>9.8757715066899992E-3</v>
      </c>
      <c r="Q1047" s="90">
        <v>23.045865311231498</v>
      </c>
      <c r="R1047" s="90">
        <v>1210</v>
      </c>
      <c r="S1047" s="90" t="s">
        <v>385</v>
      </c>
      <c r="T1047" s="90">
        <v>1210</v>
      </c>
      <c r="U1047" s="90" t="s">
        <v>378</v>
      </c>
      <c r="V1047" s="90" t="s">
        <v>244</v>
      </c>
      <c r="Z1047" s="90">
        <v>0</v>
      </c>
      <c r="AA1047" s="90">
        <v>1</v>
      </c>
      <c r="AB1047" s="90">
        <v>6.0385514958630003E-2</v>
      </c>
      <c r="AC1047" s="90">
        <v>9.8757715066899992E-3</v>
      </c>
      <c r="AD1047" s="90">
        <v>260.54676970620301</v>
      </c>
      <c r="AF1047" s="90">
        <v>-1</v>
      </c>
      <c r="AG1047" s="90">
        <v>-1</v>
      </c>
      <c r="AH1047" s="90">
        <v>-1</v>
      </c>
      <c r="AI1047" s="90">
        <v>-1</v>
      </c>
      <c r="AJ1047" s="90">
        <v>0</v>
      </c>
      <c r="AM1047" s="90" t="s">
        <v>379</v>
      </c>
      <c r="AN1047" s="90">
        <v>-1</v>
      </c>
      <c r="AQ1047" s="90">
        <v>369</v>
      </c>
      <c r="AR1047" s="90" t="s">
        <v>271</v>
      </c>
      <c r="AS1047" s="90" t="s">
        <v>272</v>
      </c>
      <c r="AT1047" s="90" t="s">
        <v>244</v>
      </c>
      <c r="AU1047" s="90">
        <v>1.1638539999999999</v>
      </c>
      <c r="AV1047" s="90">
        <v>22.740521306544199</v>
      </c>
      <c r="AW1047" s="90">
        <v>25.329162386420101</v>
      </c>
      <c r="AX1047" s="90">
        <v>0.21131124870000001</v>
      </c>
    </row>
    <row r="1048" spans="1:50" x14ac:dyDescent="0.25">
      <c r="A1048" s="102">
        <v>840000</v>
      </c>
      <c r="B1048" s="102">
        <v>2400000</v>
      </c>
      <c r="C1048" s="102">
        <v>2400000</v>
      </c>
      <c r="D1048" s="90" t="s">
        <v>374</v>
      </c>
      <c r="E1048" s="90" t="s">
        <v>68</v>
      </c>
      <c r="F1048" s="90" t="s">
        <v>375</v>
      </c>
      <c r="G1048" s="90" t="s">
        <v>376</v>
      </c>
      <c r="H1048" s="90">
        <v>0.59</v>
      </c>
      <c r="I1048" s="90">
        <v>0.64</v>
      </c>
      <c r="J1048" s="90" t="s">
        <v>244</v>
      </c>
      <c r="K1048" s="90">
        <v>8.2443682049959999E-2</v>
      </c>
      <c r="L1048" s="90">
        <v>3664.1173325240802</v>
      </c>
      <c r="M1048" s="90">
        <v>9.1385963512820094</v>
      </c>
      <c r="N1048" s="90">
        <v>1.3442133882686</v>
      </c>
      <c r="O1048" s="90">
        <v>0.75341953196806999</v>
      </c>
      <c r="P1048" s="90">
        <v>0.11082190118972</v>
      </c>
      <c r="Q1048" s="90">
        <v>302.08332435638499</v>
      </c>
      <c r="R1048" s="90">
        <v>1200</v>
      </c>
      <c r="S1048" s="90" t="s">
        <v>384</v>
      </c>
      <c r="T1048" s="90">
        <v>1200</v>
      </c>
      <c r="U1048" s="90" t="s">
        <v>378</v>
      </c>
      <c r="V1048" s="90" t="s">
        <v>244</v>
      </c>
      <c r="Z1048" s="90">
        <v>0</v>
      </c>
      <c r="AA1048" s="90">
        <v>1</v>
      </c>
      <c r="AB1048" s="90">
        <v>0.75341953196806999</v>
      </c>
      <c r="AC1048" s="90">
        <v>0.11082190118972</v>
      </c>
      <c r="AD1048" s="90">
        <v>643.08392571164495</v>
      </c>
      <c r="AF1048" s="90">
        <v>-1</v>
      </c>
      <c r="AG1048" s="90">
        <v>-1</v>
      </c>
      <c r="AH1048" s="90">
        <v>-1</v>
      </c>
      <c r="AI1048" s="90">
        <v>-1</v>
      </c>
      <c r="AJ1048" s="90">
        <v>0</v>
      </c>
      <c r="AM1048" s="90" t="s">
        <v>379</v>
      </c>
      <c r="AN1048" s="90">
        <v>-1</v>
      </c>
      <c r="AQ1048" s="90">
        <v>369</v>
      </c>
      <c r="AR1048" s="90" t="s">
        <v>271</v>
      </c>
      <c r="AS1048" s="90" t="s">
        <v>272</v>
      </c>
      <c r="AT1048" s="90" t="s">
        <v>244</v>
      </c>
      <c r="AU1048" s="90">
        <v>1.1638539999999999</v>
      </c>
      <c r="AV1048" s="90">
        <v>99.767578842082997</v>
      </c>
      <c r="AW1048" s="90">
        <v>333.637744190207</v>
      </c>
      <c r="AX1048" s="90">
        <v>0.52156036149999996</v>
      </c>
    </row>
    <row r="1049" spans="1:50" x14ac:dyDescent="0.25">
      <c r="A1049" s="102">
        <v>840000</v>
      </c>
      <c r="B1049" s="102">
        <v>2400000</v>
      </c>
      <c r="C1049" s="102">
        <v>2400000</v>
      </c>
      <c r="D1049" s="90" t="s">
        <v>374</v>
      </c>
      <c r="E1049" s="90" t="s">
        <v>68</v>
      </c>
      <c r="F1049" s="90" t="s">
        <v>375</v>
      </c>
      <c r="G1049" s="90" t="s">
        <v>376</v>
      </c>
      <c r="H1049" s="90">
        <v>0.59</v>
      </c>
      <c r="I1049" s="90">
        <v>0.64</v>
      </c>
      <c r="J1049" s="90" t="s">
        <v>244</v>
      </c>
      <c r="K1049" s="90">
        <v>7.5394695790259994E-2</v>
      </c>
      <c r="L1049" s="90">
        <v>3664.1173325240802</v>
      </c>
      <c r="M1049" s="90">
        <v>9.1385963512820094</v>
      </c>
      <c r="N1049" s="90">
        <v>1.3442133882686</v>
      </c>
      <c r="O1049" s="90">
        <v>0.68900169185496996</v>
      </c>
      <c r="P1049" s="90">
        <v>0.10134655948571</v>
      </c>
      <c r="Q1049" s="90">
        <v>276.25501162550501</v>
      </c>
      <c r="R1049" s="90">
        <v>1210</v>
      </c>
      <c r="S1049" s="90" t="s">
        <v>385</v>
      </c>
      <c r="T1049" s="90">
        <v>1210</v>
      </c>
      <c r="U1049" s="90" t="s">
        <v>378</v>
      </c>
      <c r="V1049" s="90" t="s">
        <v>244</v>
      </c>
      <c r="Z1049" s="90">
        <v>0</v>
      </c>
      <c r="AA1049" s="90">
        <v>1</v>
      </c>
      <c r="AB1049" s="90">
        <v>0.68900169185496996</v>
      </c>
      <c r="AC1049" s="90">
        <v>0.10134655948571</v>
      </c>
      <c r="AD1049" s="90">
        <v>642.70301012968798</v>
      </c>
      <c r="AF1049" s="90">
        <v>-1</v>
      </c>
      <c r="AG1049" s="90">
        <v>-1</v>
      </c>
      <c r="AH1049" s="90">
        <v>-1</v>
      </c>
      <c r="AI1049" s="90">
        <v>-1</v>
      </c>
      <c r="AJ1049" s="90">
        <v>0</v>
      </c>
      <c r="AM1049" s="90" t="s">
        <v>379</v>
      </c>
      <c r="AN1049" s="90">
        <v>-1</v>
      </c>
      <c r="AQ1049" s="90">
        <v>369</v>
      </c>
      <c r="AR1049" s="90" t="s">
        <v>271</v>
      </c>
      <c r="AS1049" s="90" t="s">
        <v>272</v>
      </c>
      <c r="AT1049" s="90" t="s">
        <v>244</v>
      </c>
      <c r="AU1049" s="90">
        <v>1.1638539999999999</v>
      </c>
      <c r="AV1049" s="90">
        <v>70.968079190187495</v>
      </c>
      <c r="AW1049" s="90">
        <v>305.11150887374299</v>
      </c>
      <c r="AX1049" s="90">
        <v>0.52125142749999998</v>
      </c>
    </row>
    <row r="1050" spans="1:50" x14ac:dyDescent="0.25">
      <c r="A1050" s="102">
        <v>840000</v>
      </c>
      <c r="B1050" s="102">
        <v>2400000</v>
      </c>
      <c r="C1050" s="102">
        <v>2400000</v>
      </c>
      <c r="D1050" s="90" t="s">
        <v>374</v>
      </c>
      <c r="E1050" s="90" t="s">
        <v>68</v>
      </c>
      <c r="F1050" s="90" t="s">
        <v>375</v>
      </c>
      <c r="G1050" s="90" t="s">
        <v>376</v>
      </c>
      <c r="H1050" s="90">
        <v>0.59</v>
      </c>
      <c r="I1050" s="90">
        <v>0.64</v>
      </c>
      <c r="J1050" s="90" t="s">
        <v>244</v>
      </c>
      <c r="K1050" s="90">
        <v>7.2806224279639994E-2</v>
      </c>
      <c r="L1050" s="90">
        <v>3664.1173325240802</v>
      </c>
      <c r="M1050" s="90">
        <v>9.1385963512820094</v>
      </c>
      <c r="N1050" s="90">
        <v>1.3442133882686</v>
      </c>
      <c r="O1050" s="90">
        <v>0.66534669555259995</v>
      </c>
      <c r="P1050" s="90">
        <v>9.7867101425979999E-2</v>
      </c>
      <c r="Q1050" s="90">
        <v>266.77054829869002</v>
      </c>
      <c r="R1050" s="90">
        <v>1210</v>
      </c>
      <c r="S1050" s="90" t="s">
        <v>385</v>
      </c>
      <c r="T1050" s="90">
        <v>1210</v>
      </c>
      <c r="U1050" s="90" t="s">
        <v>378</v>
      </c>
      <c r="V1050" s="90" t="s">
        <v>244</v>
      </c>
      <c r="Z1050" s="90">
        <v>0</v>
      </c>
      <c r="AA1050" s="90">
        <v>1</v>
      </c>
      <c r="AB1050" s="90">
        <v>0.66534669555259995</v>
      </c>
      <c r="AC1050" s="90">
        <v>9.7867101425979999E-2</v>
      </c>
      <c r="AD1050" s="90">
        <v>807.26936508725203</v>
      </c>
      <c r="AF1050" s="90">
        <v>-1</v>
      </c>
      <c r="AG1050" s="90">
        <v>-1</v>
      </c>
      <c r="AH1050" s="90">
        <v>-1</v>
      </c>
      <c r="AI1050" s="90">
        <v>-1</v>
      </c>
      <c r="AJ1050" s="90">
        <v>0</v>
      </c>
      <c r="AM1050" s="90" t="s">
        <v>379</v>
      </c>
      <c r="AN1050" s="90">
        <v>-1</v>
      </c>
      <c r="AQ1050" s="90">
        <v>369</v>
      </c>
      <c r="AR1050" s="90" t="s">
        <v>271</v>
      </c>
      <c r="AS1050" s="90" t="s">
        <v>272</v>
      </c>
      <c r="AT1050" s="90" t="s">
        <v>244</v>
      </c>
      <c r="AU1050" s="90">
        <v>1.1638539999999999</v>
      </c>
      <c r="AV1050" s="90">
        <v>69.640715018243995</v>
      </c>
      <c r="AW1050" s="90">
        <v>294.63633631678601</v>
      </c>
      <c r="AX1050" s="90">
        <v>0.6547196797</v>
      </c>
    </row>
    <row r="1051" spans="1:50" x14ac:dyDescent="0.25">
      <c r="A1051" s="102">
        <v>830000</v>
      </c>
      <c r="B1051" s="102">
        <v>2400000</v>
      </c>
      <c r="C1051" s="102">
        <v>2400000</v>
      </c>
      <c r="D1051" s="90" t="s">
        <v>374</v>
      </c>
      <c r="E1051" s="90" t="s">
        <v>68</v>
      </c>
      <c r="F1051" s="90" t="s">
        <v>375</v>
      </c>
      <c r="G1051" s="90" t="s">
        <v>376</v>
      </c>
      <c r="H1051" s="90">
        <v>0.59</v>
      </c>
      <c r="I1051" s="90">
        <v>0.64</v>
      </c>
      <c r="J1051" s="90" t="s">
        <v>244</v>
      </c>
      <c r="K1051" s="102">
        <v>8.7846202779999998E-6</v>
      </c>
      <c r="L1051" s="90">
        <v>3745.9434823829201</v>
      </c>
      <c r="M1051" s="90">
        <v>10.777530530554801</v>
      </c>
      <c r="N1051" s="90">
        <v>2.0766235887589701</v>
      </c>
      <c r="O1051" s="90">
        <v>9.4676513240000005E-5</v>
      </c>
      <c r="P1051" s="90">
        <v>1.8242349679999999E-5</v>
      </c>
      <c r="Q1051" s="90">
        <v>3.2906691075580002E-2</v>
      </c>
      <c r="R1051" s="90">
        <v>1300</v>
      </c>
      <c r="S1051" s="90" t="s">
        <v>387</v>
      </c>
      <c r="T1051" s="90">
        <v>1300</v>
      </c>
      <c r="U1051" s="90" t="s">
        <v>378</v>
      </c>
      <c r="V1051" s="90" t="s">
        <v>244</v>
      </c>
      <c r="Z1051" s="90">
        <v>0</v>
      </c>
      <c r="AA1051" s="90">
        <v>1</v>
      </c>
      <c r="AB1051" s="90">
        <v>9.4676513240000005E-5</v>
      </c>
      <c r="AC1051" s="90">
        <v>1.8242349679999999E-5</v>
      </c>
      <c r="AD1051" s="90">
        <v>219.46023591702101</v>
      </c>
      <c r="AF1051" s="90">
        <v>-1</v>
      </c>
      <c r="AG1051" s="90">
        <v>-1</v>
      </c>
      <c r="AH1051" s="90">
        <v>-1</v>
      </c>
      <c r="AI1051" s="90">
        <v>-1</v>
      </c>
      <c r="AJ1051" s="90">
        <v>0</v>
      </c>
      <c r="AM1051" s="90" t="s">
        <v>379</v>
      </c>
      <c r="AN1051" s="90">
        <v>-1</v>
      </c>
      <c r="AQ1051" s="90">
        <v>370</v>
      </c>
      <c r="AR1051" s="90" t="s">
        <v>273</v>
      </c>
      <c r="AS1051" s="90" t="s">
        <v>399</v>
      </c>
      <c r="AT1051" s="90" t="s">
        <v>244</v>
      </c>
      <c r="AU1051" s="90">
        <v>0.344219</v>
      </c>
      <c r="AV1051" s="90">
        <v>10.957481319289901</v>
      </c>
      <c r="AW1051" s="90">
        <v>3.5550096989909998E-2</v>
      </c>
      <c r="AX1051" s="90">
        <v>0.1779888369</v>
      </c>
    </row>
    <row r="1052" spans="1:50" x14ac:dyDescent="0.25">
      <c r="A1052" s="102">
        <v>840000</v>
      </c>
      <c r="B1052" s="102">
        <v>2400000</v>
      </c>
      <c r="C1052" s="102">
        <v>2400000</v>
      </c>
      <c r="D1052" s="90" t="s">
        <v>374</v>
      </c>
      <c r="E1052" s="90" t="s">
        <v>68</v>
      </c>
      <c r="F1052" s="90" t="s">
        <v>375</v>
      </c>
      <c r="G1052" s="90" t="s">
        <v>376</v>
      </c>
      <c r="H1052" s="90">
        <v>0.59</v>
      </c>
      <c r="I1052" s="90">
        <v>0.64</v>
      </c>
      <c r="J1052" s="90" t="s">
        <v>244</v>
      </c>
      <c r="K1052" s="90">
        <v>1.8426739464570002E-2</v>
      </c>
      <c r="L1052" s="90">
        <v>3745.9434823829201</v>
      </c>
      <c r="M1052" s="90">
        <v>10.777530530554801</v>
      </c>
      <c r="N1052" s="90">
        <v>2.0766235887589701</v>
      </c>
      <c r="O1052" s="90">
        <v>0.19859474715798001</v>
      </c>
      <c r="P1052" s="90">
        <v>3.8265401836039999E-2</v>
      </c>
      <c r="Q1052" s="90">
        <v>69.0255245988741</v>
      </c>
      <c r="R1052" s="90">
        <v>1300</v>
      </c>
      <c r="S1052" s="90" t="s">
        <v>387</v>
      </c>
      <c r="T1052" s="90">
        <v>1300</v>
      </c>
      <c r="U1052" s="90" t="s">
        <v>378</v>
      </c>
      <c r="V1052" s="90" t="s">
        <v>244</v>
      </c>
      <c r="Z1052" s="90">
        <v>0</v>
      </c>
      <c r="AA1052" s="90">
        <v>1</v>
      </c>
      <c r="AB1052" s="90">
        <v>0.19859474715798001</v>
      </c>
      <c r="AC1052" s="90">
        <v>3.8265401836039999E-2</v>
      </c>
      <c r="AD1052" s="90">
        <v>219.46023591702101</v>
      </c>
      <c r="AF1052" s="90">
        <v>-1</v>
      </c>
      <c r="AG1052" s="90">
        <v>-1</v>
      </c>
      <c r="AH1052" s="90">
        <v>-1</v>
      </c>
      <c r="AI1052" s="90">
        <v>-1</v>
      </c>
      <c r="AJ1052" s="90">
        <v>0</v>
      </c>
      <c r="AM1052" s="90" t="s">
        <v>379</v>
      </c>
      <c r="AN1052" s="90">
        <v>-1</v>
      </c>
      <c r="AQ1052" s="90">
        <v>370</v>
      </c>
      <c r="AR1052" s="90" t="s">
        <v>273</v>
      </c>
      <c r="AS1052" s="90" t="s">
        <v>399</v>
      </c>
      <c r="AT1052" s="90" t="s">
        <v>244</v>
      </c>
      <c r="AU1052" s="90">
        <v>0.344219</v>
      </c>
      <c r="AV1052" s="90">
        <v>55.176256759449501</v>
      </c>
      <c r="AW1052" s="90">
        <v>74.570368946087299</v>
      </c>
      <c r="AX1052" s="90">
        <v>0.1779888369</v>
      </c>
    </row>
    <row r="1053" spans="1:50" x14ac:dyDescent="0.25">
      <c r="A1053" s="102">
        <v>840000</v>
      </c>
      <c r="B1053" s="102">
        <v>2400000</v>
      </c>
      <c r="C1053" s="102">
        <v>2400000</v>
      </c>
      <c r="D1053" s="90" t="s">
        <v>374</v>
      </c>
      <c r="E1053" s="90" t="s">
        <v>68</v>
      </c>
      <c r="F1053" s="90" t="s">
        <v>375</v>
      </c>
      <c r="G1053" s="90" t="s">
        <v>376</v>
      </c>
      <c r="H1053" s="90">
        <v>0.59</v>
      </c>
      <c r="I1053" s="90">
        <v>0.64</v>
      </c>
      <c r="J1053" s="90" t="s">
        <v>244</v>
      </c>
      <c r="K1053" s="90">
        <v>3.0752429091260001E-2</v>
      </c>
      <c r="L1053" s="90">
        <v>3758.2429968760698</v>
      </c>
      <c r="M1053" s="90">
        <v>11.0465500871888</v>
      </c>
      <c r="N1053" s="90">
        <v>1.9024307402999601</v>
      </c>
      <c r="O1053" s="90">
        <v>0.33970824825939999</v>
      </c>
      <c r="P1053" s="90">
        <v>5.8504366442120002E-2</v>
      </c>
      <c r="Q1053" s="90">
        <v>115.575101269182</v>
      </c>
      <c r="R1053" s="90">
        <v>1300</v>
      </c>
      <c r="S1053" s="90" t="s">
        <v>387</v>
      </c>
      <c r="T1053" s="90">
        <v>1300</v>
      </c>
      <c r="U1053" s="90" t="s">
        <v>378</v>
      </c>
      <c r="V1053" s="90" t="s">
        <v>244</v>
      </c>
      <c r="Z1053" s="90">
        <v>0</v>
      </c>
      <c r="AA1053" s="90">
        <v>1</v>
      </c>
      <c r="AB1053" s="90">
        <v>0.33970824825939999</v>
      </c>
      <c r="AC1053" s="90">
        <v>5.8504366442120002E-2</v>
      </c>
      <c r="AD1053" s="90">
        <v>307.84057609007999</v>
      </c>
      <c r="AF1053" s="90">
        <v>-1</v>
      </c>
      <c r="AG1053" s="90">
        <v>-1</v>
      </c>
      <c r="AH1053" s="90">
        <v>-1</v>
      </c>
      <c r="AI1053" s="90">
        <v>-1</v>
      </c>
      <c r="AJ1053" s="90">
        <v>0</v>
      </c>
      <c r="AM1053" s="90" t="s">
        <v>379</v>
      </c>
      <c r="AN1053" s="90">
        <v>-1</v>
      </c>
      <c r="AQ1053" s="90">
        <v>370</v>
      </c>
      <c r="AR1053" s="90" t="s">
        <v>273</v>
      </c>
      <c r="AS1053" s="90" t="s">
        <v>399</v>
      </c>
      <c r="AT1053" s="90" t="s">
        <v>244</v>
      </c>
      <c r="AU1053" s="90">
        <v>0.344219</v>
      </c>
      <c r="AV1053" s="90">
        <v>75.415044552947293</v>
      </c>
      <c r="AW1053" s="90">
        <v>124.450665172393</v>
      </c>
      <c r="AX1053" s="90">
        <v>0.24966794489999999</v>
      </c>
    </row>
    <row r="1054" spans="1:50" x14ac:dyDescent="0.25">
      <c r="A1054" s="102">
        <v>840000</v>
      </c>
      <c r="B1054" s="102">
        <v>2400000</v>
      </c>
      <c r="C1054" s="102">
        <v>2400000</v>
      </c>
      <c r="D1054" s="90" t="s">
        <v>374</v>
      </c>
      <c r="E1054" s="90" t="s">
        <v>68</v>
      </c>
      <c r="F1054" s="90" t="s">
        <v>375</v>
      </c>
      <c r="G1054" s="90" t="s">
        <v>376</v>
      </c>
      <c r="H1054" s="90">
        <v>0.59</v>
      </c>
      <c r="I1054" s="90">
        <v>0.64</v>
      </c>
      <c r="J1054" s="90" t="s">
        <v>381</v>
      </c>
      <c r="K1054" s="90">
        <v>7.0875876168299996E-3</v>
      </c>
      <c r="L1054" s="90">
        <v>3758.2429968760698</v>
      </c>
      <c r="M1054" s="90">
        <v>11.0465500871888</v>
      </c>
      <c r="N1054" s="90">
        <v>1.9024307402999601</v>
      </c>
      <c r="O1054" s="90">
        <v>7.8293391606649998E-2</v>
      </c>
      <c r="P1054" s="90">
        <v>1.3483644556819999E-2</v>
      </c>
      <c r="Q1054" s="90">
        <v>26.636876525696898</v>
      </c>
      <c r="R1054" s="90">
        <v>1300</v>
      </c>
      <c r="S1054" s="90" t="s">
        <v>387</v>
      </c>
      <c r="T1054" s="90">
        <v>1300</v>
      </c>
      <c r="U1054" s="90" t="s">
        <v>382</v>
      </c>
      <c r="V1054" s="90" t="s">
        <v>381</v>
      </c>
      <c r="Z1054" s="90">
        <v>0</v>
      </c>
      <c r="AA1054" s="90">
        <v>1</v>
      </c>
      <c r="AB1054" s="90">
        <v>7.8293391606649998E-2</v>
      </c>
      <c r="AC1054" s="90">
        <v>1.3483644556819999E-2</v>
      </c>
      <c r="AD1054" s="90">
        <v>388.37265188056801</v>
      </c>
      <c r="AF1054" s="90">
        <v>-1</v>
      </c>
      <c r="AG1054" s="90">
        <v>-1</v>
      </c>
      <c r="AH1054" s="90">
        <v>-1</v>
      </c>
      <c r="AI1054" s="90">
        <v>-1</v>
      </c>
      <c r="AJ1054" s="90">
        <v>0</v>
      </c>
      <c r="AM1054" s="90" t="s">
        <v>379</v>
      </c>
      <c r="AN1054" s="90">
        <v>-1</v>
      </c>
      <c r="AQ1054" s="90">
        <v>370</v>
      </c>
      <c r="AR1054" s="90" t="s">
        <v>273</v>
      </c>
      <c r="AS1054" s="90" t="s">
        <v>399</v>
      </c>
      <c r="AT1054" s="90" t="s">
        <v>244</v>
      </c>
      <c r="AU1054" s="90">
        <v>0.344219</v>
      </c>
      <c r="AV1054" s="90">
        <v>22.764993355944501</v>
      </c>
      <c r="AW1054" s="90">
        <v>28.682449466493001</v>
      </c>
      <c r="AX1054" s="90">
        <v>0.31498187500000002</v>
      </c>
    </row>
    <row r="1055" spans="1:50" x14ac:dyDescent="0.25">
      <c r="A1055" s="102">
        <v>840000</v>
      </c>
      <c r="B1055" s="102">
        <v>2400000</v>
      </c>
      <c r="C1055" s="102">
        <v>2400000</v>
      </c>
      <c r="D1055" s="90" t="s">
        <v>374</v>
      </c>
      <c r="E1055" s="90" t="s">
        <v>68</v>
      </c>
      <c r="F1055" s="90" t="s">
        <v>375</v>
      </c>
      <c r="G1055" s="90" t="s">
        <v>376</v>
      </c>
      <c r="H1055" s="90">
        <v>0.59</v>
      </c>
      <c r="I1055" s="90">
        <v>0.64</v>
      </c>
      <c r="J1055" s="90" t="s">
        <v>381</v>
      </c>
      <c r="K1055" s="90">
        <v>9.7912597458100006E-3</v>
      </c>
      <c r="L1055" s="90">
        <v>3758.2429968760698</v>
      </c>
      <c r="M1055" s="90">
        <v>11.0465500871888</v>
      </c>
      <c r="N1055" s="90">
        <v>1.9024307402999601</v>
      </c>
      <c r="O1055" s="90">
        <v>0.10815964119880001</v>
      </c>
      <c r="P1055" s="90">
        <v>1.8627193526690001E-2</v>
      </c>
      <c r="Q1055" s="90">
        <v>36.797933370296299</v>
      </c>
      <c r="R1055" s="90">
        <v>1400</v>
      </c>
      <c r="S1055" s="90" t="s">
        <v>324</v>
      </c>
      <c r="T1055" s="90">
        <v>1400</v>
      </c>
      <c r="U1055" s="90" t="s">
        <v>382</v>
      </c>
      <c r="V1055" s="90" t="s">
        <v>381</v>
      </c>
      <c r="Z1055" s="90">
        <v>0</v>
      </c>
      <c r="AA1055" s="90">
        <v>1</v>
      </c>
      <c r="AB1055" s="90">
        <v>0.10815964119880001</v>
      </c>
      <c r="AC1055" s="90">
        <v>1.8627193526690001E-2</v>
      </c>
      <c r="AD1055" s="90">
        <v>744.92422800204201</v>
      </c>
      <c r="AF1055" s="90">
        <v>-1</v>
      </c>
      <c r="AG1055" s="90">
        <v>-1</v>
      </c>
      <c r="AH1055" s="90">
        <v>-1</v>
      </c>
      <c r="AI1055" s="90">
        <v>-1</v>
      </c>
      <c r="AJ1055" s="90">
        <v>0</v>
      </c>
      <c r="AM1055" s="90" t="s">
        <v>379</v>
      </c>
      <c r="AN1055" s="90">
        <v>-1</v>
      </c>
      <c r="AQ1055" s="90">
        <v>370</v>
      </c>
      <c r="AR1055" s="90" t="s">
        <v>273</v>
      </c>
      <c r="AS1055" s="90" t="s">
        <v>399</v>
      </c>
      <c r="AT1055" s="90" t="s">
        <v>244</v>
      </c>
      <c r="AU1055" s="90">
        <v>0.344219</v>
      </c>
      <c r="AV1055" s="90">
        <v>27.255431086845899</v>
      </c>
      <c r="AW1055" s="90">
        <v>39.623822385728197</v>
      </c>
      <c r="AX1055" s="90">
        <v>0.60415590269999997</v>
      </c>
    </row>
    <row r="1056" spans="1:50" x14ac:dyDescent="0.25">
      <c r="A1056" s="102">
        <v>840000</v>
      </c>
      <c r="B1056" s="102">
        <v>2400000</v>
      </c>
      <c r="C1056" s="102">
        <v>2400000</v>
      </c>
      <c r="D1056" s="90" t="s">
        <v>374</v>
      </c>
      <c r="E1056" s="90" t="s">
        <v>68</v>
      </c>
      <c r="F1056" s="90" t="s">
        <v>375</v>
      </c>
      <c r="G1056" s="90" t="s">
        <v>376</v>
      </c>
      <c r="H1056" s="90">
        <v>0.59</v>
      </c>
      <c r="I1056" s="90">
        <v>0.64</v>
      </c>
      <c r="J1056" s="90" t="s">
        <v>244</v>
      </c>
      <c r="K1056" s="90">
        <v>2.2898192477729999E-2</v>
      </c>
      <c r="L1056" s="90">
        <v>3746.0260549578902</v>
      </c>
      <c r="M1056" s="90">
        <v>10.779169181903001</v>
      </c>
      <c r="N1056" s="90">
        <v>2.0755727976781202</v>
      </c>
      <c r="O1056" s="90">
        <v>0.24682349067726</v>
      </c>
      <c r="P1056" s="90">
        <v>4.752686542278E-2</v>
      </c>
      <c r="Q1056" s="90">
        <v>85.777225633028493</v>
      </c>
      <c r="R1056" s="90">
        <v>1300</v>
      </c>
      <c r="S1056" s="90" t="s">
        <v>387</v>
      </c>
      <c r="T1056" s="90">
        <v>1300</v>
      </c>
      <c r="U1056" s="90" t="s">
        <v>378</v>
      </c>
      <c r="V1056" s="90" t="s">
        <v>244</v>
      </c>
      <c r="Z1056" s="90">
        <v>0</v>
      </c>
      <c r="AA1056" s="90">
        <v>1</v>
      </c>
      <c r="AB1056" s="90">
        <v>0.24682349067726</v>
      </c>
      <c r="AC1056" s="90">
        <v>4.752686542278E-2</v>
      </c>
      <c r="AD1056" s="90">
        <v>85.777225633028195</v>
      </c>
      <c r="AF1056" s="90">
        <v>-1</v>
      </c>
      <c r="AG1056" s="90">
        <v>-1</v>
      </c>
      <c r="AH1056" s="90">
        <v>-1</v>
      </c>
      <c r="AI1056" s="90">
        <v>-1</v>
      </c>
      <c r="AJ1056" s="90">
        <v>0</v>
      </c>
      <c r="AM1056" s="90" t="s">
        <v>379</v>
      </c>
      <c r="AN1056" s="90">
        <v>-1</v>
      </c>
      <c r="AQ1056" s="90">
        <v>370</v>
      </c>
      <c r="AR1056" s="90" t="s">
        <v>273</v>
      </c>
      <c r="AS1056" s="90" t="s">
        <v>399</v>
      </c>
      <c r="AT1056" s="90" t="s">
        <v>244</v>
      </c>
      <c r="AU1056" s="90">
        <v>0.344219</v>
      </c>
      <c r="AV1056" s="90">
        <v>56.948652464065603</v>
      </c>
      <c r="AW1056" s="90">
        <v>92.665697289864696</v>
      </c>
      <c r="AX1056" s="90">
        <v>6.9567904E-2</v>
      </c>
    </row>
    <row r="1057" spans="1:50" x14ac:dyDescent="0.25">
      <c r="A1057" s="102">
        <v>840000</v>
      </c>
      <c r="B1057" s="102">
        <v>2400000</v>
      </c>
      <c r="C1057" s="102">
        <v>2400000</v>
      </c>
      <c r="D1057" s="90" t="s">
        <v>374</v>
      </c>
      <c r="E1057" s="90" t="s">
        <v>68</v>
      </c>
      <c r="F1057" s="90" t="s">
        <v>375</v>
      </c>
      <c r="G1057" s="90" t="s">
        <v>376</v>
      </c>
      <c r="H1057" s="90">
        <v>0.59</v>
      </c>
      <c r="I1057" s="90">
        <v>0.64</v>
      </c>
      <c r="J1057" s="90" t="s">
        <v>244</v>
      </c>
      <c r="K1057" s="90">
        <v>5.8625365769000002E-4</v>
      </c>
      <c r="L1057" s="90">
        <v>3746.0260549578902</v>
      </c>
      <c r="M1057" s="90">
        <v>10.779169181903001</v>
      </c>
      <c r="N1057" s="90">
        <v>2.0755727976781202</v>
      </c>
      <c r="O1057" s="90">
        <v>6.3193273598199998E-3</v>
      </c>
      <c r="P1057" s="90">
        <v>1.21681214445E-3</v>
      </c>
      <c r="Q1057" s="90">
        <v>2.19612147654732</v>
      </c>
      <c r="R1057" s="90">
        <v>1400</v>
      </c>
      <c r="S1057" s="90" t="s">
        <v>324</v>
      </c>
      <c r="T1057" s="90">
        <v>1400</v>
      </c>
      <c r="U1057" s="90" t="s">
        <v>378</v>
      </c>
      <c r="V1057" s="90" t="s">
        <v>244</v>
      </c>
      <c r="Z1057" s="90">
        <v>0</v>
      </c>
      <c r="AA1057" s="90">
        <v>1</v>
      </c>
      <c r="AB1057" s="90">
        <v>6.3193273598199998E-3</v>
      </c>
      <c r="AC1057" s="90">
        <v>1.21681214445E-3</v>
      </c>
      <c r="AD1057" s="90">
        <v>2.1961214765478898</v>
      </c>
      <c r="AF1057" s="90">
        <v>-1</v>
      </c>
      <c r="AG1057" s="90">
        <v>-1</v>
      </c>
      <c r="AH1057" s="90">
        <v>-1</v>
      </c>
      <c r="AI1057" s="90">
        <v>-1</v>
      </c>
      <c r="AJ1057" s="90">
        <v>0</v>
      </c>
      <c r="AM1057" s="90" t="s">
        <v>379</v>
      </c>
      <c r="AN1057" s="90">
        <v>-1</v>
      </c>
      <c r="AQ1057" s="90">
        <v>370</v>
      </c>
      <c r="AR1057" s="90" t="s">
        <v>273</v>
      </c>
      <c r="AS1057" s="90" t="s">
        <v>399</v>
      </c>
      <c r="AT1057" s="90" t="s">
        <v>244</v>
      </c>
      <c r="AU1057" s="90">
        <v>0.344219</v>
      </c>
      <c r="AV1057" s="90">
        <v>13.452817855024</v>
      </c>
      <c r="AW1057" s="90">
        <v>2.3724843798072102</v>
      </c>
      <c r="AX1057" s="90">
        <v>1.7811204000000001E-3</v>
      </c>
    </row>
    <row r="1058" spans="1:50" x14ac:dyDescent="0.25">
      <c r="A1058" s="102">
        <v>840000</v>
      </c>
      <c r="B1058" s="102">
        <v>2400000</v>
      </c>
      <c r="C1058" s="102">
        <v>2400000</v>
      </c>
      <c r="D1058" s="90" t="s">
        <v>374</v>
      </c>
      <c r="E1058" s="90" t="s">
        <v>68</v>
      </c>
      <c r="F1058" s="90" t="s">
        <v>375</v>
      </c>
      <c r="G1058" s="90" t="s">
        <v>376</v>
      </c>
      <c r="H1058" s="90">
        <v>0.59</v>
      </c>
      <c r="I1058" s="90">
        <v>0.64</v>
      </c>
      <c r="J1058" s="90" t="s">
        <v>244</v>
      </c>
      <c r="K1058" s="90">
        <v>2.6299379133839999E-2</v>
      </c>
      <c r="L1058" s="90">
        <v>3746.0260549578902</v>
      </c>
      <c r="M1058" s="90">
        <v>10.779169181903001</v>
      </c>
      <c r="N1058" s="90">
        <v>2.0755727976781202</v>
      </c>
      <c r="O1058" s="90">
        <v>0.28348545706269002</v>
      </c>
      <c r="P1058" s="90">
        <v>5.458627592602E-2</v>
      </c>
      <c r="Q1058" s="90">
        <v>98.518159464587995</v>
      </c>
      <c r="R1058" s="90">
        <v>1300</v>
      </c>
      <c r="S1058" s="90" t="s">
        <v>387</v>
      </c>
      <c r="T1058" s="90">
        <v>1300</v>
      </c>
      <c r="U1058" s="90" t="s">
        <v>378</v>
      </c>
      <c r="V1058" s="90" t="s">
        <v>244</v>
      </c>
      <c r="Z1058" s="90">
        <v>0</v>
      </c>
      <c r="AA1058" s="90">
        <v>1</v>
      </c>
      <c r="AB1058" s="90">
        <v>0.28348545706269002</v>
      </c>
      <c r="AC1058" s="90">
        <v>5.458627592602E-2</v>
      </c>
      <c r="AD1058" s="90">
        <v>1045.13186191933</v>
      </c>
      <c r="AF1058" s="90">
        <v>-1</v>
      </c>
      <c r="AG1058" s="90">
        <v>-1</v>
      </c>
      <c r="AH1058" s="90">
        <v>-1</v>
      </c>
      <c r="AI1058" s="90">
        <v>-1</v>
      </c>
      <c r="AJ1058" s="90">
        <v>0</v>
      </c>
      <c r="AM1058" s="90" t="s">
        <v>379</v>
      </c>
      <c r="AN1058" s="90">
        <v>-1</v>
      </c>
      <c r="AQ1058" s="90">
        <v>370</v>
      </c>
      <c r="AR1058" s="90" t="s">
        <v>273</v>
      </c>
      <c r="AS1058" s="90" t="s">
        <v>399</v>
      </c>
      <c r="AT1058" s="90" t="s">
        <v>244</v>
      </c>
      <c r="AU1058" s="90">
        <v>0.344219</v>
      </c>
      <c r="AV1058" s="90">
        <v>56.1163775465089</v>
      </c>
      <c r="AW1058" s="90">
        <v>106.42981135292</v>
      </c>
      <c r="AX1058" s="90">
        <v>0.84763330240000001</v>
      </c>
    </row>
    <row r="1059" spans="1:50" x14ac:dyDescent="0.25">
      <c r="A1059" s="102">
        <v>840000</v>
      </c>
      <c r="B1059" s="102">
        <v>2400000</v>
      </c>
      <c r="C1059" s="102">
        <v>2400000</v>
      </c>
      <c r="D1059" s="90" t="s">
        <v>374</v>
      </c>
      <c r="E1059" s="90" t="s">
        <v>68</v>
      </c>
      <c r="F1059" s="90" t="s">
        <v>375</v>
      </c>
      <c r="G1059" s="90" t="s">
        <v>376</v>
      </c>
      <c r="H1059" s="90">
        <v>0.59</v>
      </c>
      <c r="I1059" s="90">
        <v>0.64</v>
      </c>
      <c r="J1059" s="90" t="s">
        <v>381</v>
      </c>
      <c r="K1059" s="90">
        <v>2.23426548641E-3</v>
      </c>
      <c r="L1059" s="90">
        <v>3773.5392049614502</v>
      </c>
      <c r="M1059" s="90">
        <v>11.594993325188099</v>
      </c>
      <c r="N1059" s="90">
        <v>1.53082384235918</v>
      </c>
      <c r="O1059" s="90">
        <v>2.5906293401639999E-2</v>
      </c>
      <c r="P1059" s="90">
        <v>3.42026687676E-3</v>
      </c>
      <c r="Q1059" s="90">
        <v>8.4310884072679606</v>
      </c>
      <c r="R1059" s="90">
        <v>1400</v>
      </c>
      <c r="S1059" s="90" t="s">
        <v>324</v>
      </c>
      <c r="T1059" s="90">
        <v>1400</v>
      </c>
      <c r="U1059" s="90" t="s">
        <v>382</v>
      </c>
      <c r="V1059" s="90" t="s">
        <v>381</v>
      </c>
      <c r="Z1059" s="90">
        <v>0</v>
      </c>
      <c r="AA1059" s="90">
        <v>1</v>
      </c>
      <c r="AB1059" s="90">
        <v>2.5906293401639999E-2</v>
      </c>
      <c r="AC1059" s="90">
        <v>3.42026687676E-3</v>
      </c>
      <c r="AD1059" s="90">
        <v>603.78540914011</v>
      </c>
      <c r="AF1059" s="90">
        <v>-1</v>
      </c>
      <c r="AG1059" s="90">
        <v>-1</v>
      </c>
      <c r="AH1059" s="90">
        <v>-1</v>
      </c>
      <c r="AI1059" s="90">
        <v>-1</v>
      </c>
      <c r="AJ1059" s="90">
        <v>0</v>
      </c>
      <c r="AM1059" s="90" t="s">
        <v>379</v>
      </c>
      <c r="AN1059" s="90">
        <v>-1</v>
      </c>
      <c r="AQ1059" s="90">
        <v>370</v>
      </c>
      <c r="AR1059" s="90" t="s">
        <v>273</v>
      </c>
      <c r="AS1059" s="90" t="s">
        <v>399</v>
      </c>
      <c r="AT1059" s="90" t="s">
        <v>244</v>
      </c>
      <c r="AU1059" s="90">
        <v>0.344219</v>
      </c>
      <c r="AV1059" s="90">
        <v>12.929726042172099</v>
      </c>
      <c r="AW1059" s="90">
        <v>9.0417516330328596</v>
      </c>
      <c r="AX1059" s="90">
        <v>0.48968808530000002</v>
      </c>
    </row>
    <row r="1060" spans="1:50" x14ac:dyDescent="0.25">
      <c r="A1060" s="102">
        <v>840000</v>
      </c>
      <c r="B1060" s="102">
        <v>2400000</v>
      </c>
      <c r="C1060" s="102">
        <v>2500000</v>
      </c>
      <c r="D1060" s="90" t="s">
        <v>374</v>
      </c>
      <c r="E1060" s="90" t="s">
        <v>68</v>
      </c>
      <c r="F1060" s="90" t="s">
        <v>375</v>
      </c>
      <c r="G1060" s="90" t="s">
        <v>376</v>
      </c>
      <c r="H1060" s="90">
        <v>0.59</v>
      </c>
      <c r="I1060" s="90">
        <v>0.64</v>
      </c>
      <c r="J1060" s="90" t="s">
        <v>381</v>
      </c>
      <c r="K1060" s="90">
        <v>1.61167246928E-3</v>
      </c>
      <c r="L1060" s="90">
        <v>3773.5392045397298</v>
      </c>
      <c r="M1060" s="90">
        <v>11.5949933238923</v>
      </c>
      <c r="N1060" s="90">
        <v>1.5308238421881</v>
      </c>
      <c r="O1060" s="90">
        <v>1.868733152167E-2</v>
      </c>
      <c r="P1060" s="90">
        <v>2.4671866417799999E-3</v>
      </c>
      <c r="Q1060" s="90">
        <v>6.0817092477280701</v>
      </c>
      <c r="R1060" s="90">
        <v>1400</v>
      </c>
      <c r="S1060" s="90" t="s">
        <v>324</v>
      </c>
      <c r="T1060" s="90">
        <v>1400</v>
      </c>
      <c r="U1060" s="90" t="s">
        <v>382</v>
      </c>
      <c r="V1060" s="90" t="s">
        <v>381</v>
      </c>
      <c r="Z1060" s="90">
        <v>0</v>
      </c>
      <c r="AA1060" s="90">
        <v>1</v>
      </c>
      <c r="AB1060" s="90">
        <v>1.868733152167E-2</v>
      </c>
      <c r="AC1060" s="90">
        <v>2.4671866417799999E-3</v>
      </c>
      <c r="AD1060" s="90">
        <v>1382.99573863351</v>
      </c>
      <c r="AF1060" s="90">
        <v>-1</v>
      </c>
      <c r="AG1060" s="90">
        <v>-1</v>
      </c>
      <c r="AH1060" s="90">
        <v>-1</v>
      </c>
      <c r="AI1060" s="90">
        <v>-1</v>
      </c>
      <c r="AJ1060" s="90">
        <v>0</v>
      </c>
      <c r="AM1060" s="90" t="s">
        <v>379</v>
      </c>
      <c r="AN1060" s="90">
        <v>-1</v>
      </c>
      <c r="AQ1060" s="90">
        <v>370</v>
      </c>
      <c r="AR1060" s="90" t="s">
        <v>273</v>
      </c>
      <c r="AS1060" s="90" t="s">
        <v>399</v>
      </c>
      <c r="AT1060" s="90" t="s">
        <v>244</v>
      </c>
      <c r="AU1060" s="90">
        <v>0.344219</v>
      </c>
      <c r="AV1060" s="90">
        <v>11.470666294288799</v>
      </c>
      <c r="AW1060" s="90">
        <v>6.5222070831372498</v>
      </c>
      <c r="AX1060" s="90">
        <v>1.1216510450999999</v>
      </c>
    </row>
    <row r="1061" spans="1:50" x14ac:dyDescent="0.25">
      <c r="A1061" s="102">
        <v>840000</v>
      </c>
      <c r="B1061" s="102">
        <v>2400000</v>
      </c>
      <c r="C1061" s="102">
        <v>2500000</v>
      </c>
      <c r="D1061" s="90" t="s">
        <v>374</v>
      </c>
      <c r="E1061" s="90" t="s">
        <v>68</v>
      </c>
      <c r="F1061" s="90" t="s">
        <v>375</v>
      </c>
      <c r="G1061" s="90" t="s">
        <v>376</v>
      </c>
      <c r="H1061" s="90">
        <v>0.59</v>
      </c>
      <c r="I1061" s="90">
        <v>0.64</v>
      </c>
      <c r="J1061" s="90" t="s">
        <v>244</v>
      </c>
      <c r="K1061" s="90">
        <v>2.2727705124400002E-2</v>
      </c>
      <c r="L1061" s="90">
        <v>3772.23717431368</v>
      </c>
      <c r="M1061" s="90">
        <v>11.535326158682301</v>
      </c>
      <c r="N1061" s="90">
        <v>1.57186229106693</v>
      </c>
      <c r="O1061" s="90">
        <v>0.26217149144840002</v>
      </c>
      <c r="P1061" s="90">
        <v>3.5724822647539997E-2</v>
      </c>
      <c r="Q1061" s="90">
        <v>85.734294157131302</v>
      </c>
      <c r="R1061" s="90">
        <v>1300</v>
      </c>
      <c r="S1061" s="90" t="s">
        <v>387</v>
      </c>
      <c r="T1061" s="90">
        <v>1300</v>
      </c>
      <c r="U1061" s="90" t="s">
        <v>378</v>
      </c>
      <c r="V1061" s="90" t="s">
        <v>244</v>
      </c>
      <c r="Z1061" s="90">
        <v>0</v>
      </c>
      <c r="AA1061" s="90">
        <v>1</v>
      </c>
      <c r="AB1061" s="90">
        <v>0.26217149144840002</v>
      </c>
      <c r="AC1061" s="90">
        <v>3.5724822647539997E-2</v>
      </c>
      <c r="AD1061" s="90">
        <v>85.734294157133206</v>
      </c>
      <c r="AF1061" s="90">
        <v>-1</v>
      </c>
      <c r="AG1061" s="90">
        <v>-1</v>
      </c>
      <c r="AH1061" s="90">
        <v>-1</v>
      </c>
      <c r="AI1061" s="90">
        <v>-1</v>
      </c>
      <c r="AJ1061" s="90">
        <v>0</v>
      </c>
      <c r="AM1061" s="90" t="s">
        <v>379</v>
      </c>
      <c r="AN1061" s="90">
        <v>-1</v>
      </c>
      <c r="AQ1061" s="90">
        <v>370</v>
      </c>
      <c r="AR1061" s="90" t="s">
        <v>273</v>
      </c>
      <c r="AS1061" s="90" t="s">
        <v>399</v>
      </c>
      <c r="AT1061" s="90" t="s">
        <v>244</v>
      </c>
      <c r="AU1061" s="90">
        <v>0.344219</v>
      </c>
      <c r="AV1061" s="90">
        <v>75.890561544973295</v>
      </c>
      <c r="AW1061" s="90">
        <v>91.975759449125704</v>
      </c>
      <c r="AX1061" s="90">
        <v>6.9533085300000005E-2</v>
      </c>
    </row>
    <row r="1062" spans="1:50" x14ac:dyDescent="0.25">
      <c r="A1062" s="102">
        <v>840000</v>
      </c>
      <c r="B1062" s="102">
        <v>2400000</v>
      </c>
      <c r="C1062" s="102">
        <v>2500000</v>
      </c>
      <c r="D1062" s="90" t="s">
        <v>374</v>
      </c>
      <c r="E1062" s="90" t="s">
        <v>68</v>
      </c>
      <c r="F1062" s="90" t="s">
        <v>375</v>
      </c>
      <c r="G1062" s="90" t="s">
        <v>376</v>
      </c>
      <c r="H1062" s="90">
        <v>0.59</v>
      </c>
      <c r="I1062" s="90">
        <v>0.64</v>
      </c>
      <c r="J1062" s="90" t="s">
        <v>381</v>
      </c>
      <c r="K1062" s="90">
        <v>3.4371567940200002E-3</v>
      </c>
      <c r="L1062" s="90">
        <v>3772.23717431368</v>
      </c>
      <c r="M1062" s="90">
        <v>11.535326158682301</v>
      </c>
      <c r="N1062" s="90">
        <v>1.57186229106693</v>
      </c>
      <c r="O1062" s="90">
        <v>3.9648724677570003E-2</v>
      </c>
      <c r="P1062" s="90">
        <v>5.4027371530000002E-3</v>
      </c>
      <c r="Q1062" s="90">
        <v>12.9657706323546</v>
      </c>
      <c r="R1062" s="90">
        <v>1300</v>
      </c>
      <c r="S1062" s="90" t="s">
        <v>387</v>
      </c>
      <c r="T1062" s="90">
        <v>1300</v>
      </c>
      <c r="U1062" s="90" t="s">
        <v>382</v>
      </c>
      <c r="V1062" s="90" t="s">
        <v>381</v>
      </c>
      <c r="Z1062" s="90">
        <v>0</v>
      </c>
      <c r="AA1062" s="90">
        <v>1</v>
      </c>
      <c r="AB1062" s="90">
        <v>3.9648724677570003E-2</v>
      </c>
      <c r="AC1062" s="90">
        <v>5.4027371530000002E-3</v>
      </c>
      <c r="AD1062" s="90">
        <v>12.965770632353999</v>
      </c>
      <c r="AF1062" s="90">
        <v>-1</v>
      </c>
      <c r="AG1062" s="90">
        <v>-1</v>
      </c>
      <c r="AH1062" s="90">
        <v>-1</v>
      </c>
      <c r="AI1062" s="90">
        <v>-1</v>
      </c>
      <c r="AJ1062" s="90">
        <v>0</v>
      </c>
      <c r="AM1062" s="90" t="s">
        <v>379</v>
      </c>
      <c r="AN1062" s="90">
        <v>-1</v>
      </c>
      <c r="AQ1062" s="90">
        <v>370</v>
      </c>
      <c r="AR1062" s="90" t="s">
        <v>273</v>
      </c>
      <c r="AS1062" s="90" t="s">
        <v>399</v>
      </c>
      <c r="AT1062" s="90" t="s">
        <v>244</v>
      </c>
      <c r="AU1062" s="90">
        <v>0.344219</v>
      </c>
      <c r="AV1062" s="90">
        <v>17.768443834327599</v>
      </c>
      <c r="AW1062" s="90">
        <v>13.9096800466831</v>
      </c>
      <c r="AX1062" s="90">
        <v>1.05156291E-2</v>
      </c>
    </row>
    <row r="1063" spans="1:50" x14ac:dyDescent="0.25">
      <c r="A1063" s="102">
        <v>840000</v>
      </c>
      <c r="B1063" s="102">
        <v>2400000</v>
      </c>
      <c r="C1063" s="102">
        <v>2500000</v>
      </c>
      <c r="D1063" s="90" t="s">
        <v>374</v>
      </c>
      <c r="E1063" s="90" t="s">
        <v>68</v>
      </c>
      <c r="F1063" s="90" t="s">
        <v>375</v>
      </c>
      <c r="G1063" s="90" t="s">
        <v>376</v>
      </c>
      <c r="H1063" s="90">
        <v>0.59</v>
      </c>
      <c r="I1063" s="90">
        <v>0.64</v>
      </c>
      <c r="J1063" s="90" t="s">
        <v>244</v>
      </c>
      <c r="K1063" s="90">
        <v>5.0218117390859997E-2</v>
      </c>
      <c r="L1063" s="90">
        <v>3772.23717431368</v>
      </c>
      <c r="M1063" s="90">
        <v>11.535326158682301</v>
      </c>
      <c r="N1063" s="90">
        <v>1.57186229106693</v>
      </c>
      <c r="O1063" s="90">
        <v>0.57928236317859005</v>
      </c>
      <c r="P1063" s="90">
        <v>7.8935965055059995E-2</v>
      </c>
      <c r="Q1063" s="90">
        <v>189.434649245857</v>
      </c>
      <c r="R1063" s="90">
        <v>1400</v>
      </c>
      <c r="S1063" s="90" t="s">
        <v>324</v>
      </c>
      <c r="T1063" s="90">
        <v>1400</v>
      </c>
      <c r="U1063" s="90" t="s">
        <v>378</v>
      </c>
      <c r="V1063" s="90" t="s">
        <v>244</v>
      </c>
      <c r="Z1063" s="90">
        <v>0</v>
      </c>
      <c r="AA1063" s="90">
        <v>1</v>
      </c>
      <c r="AB1063" s="90">
        <v>0.57928236317859005</v>
      </c>
      <c r="AC1063" s="90">
        <v>7.8935965055059995E-2</v>
      </c>
      <c r="AD1063" s="90">
        <v>1763.70129821047</v>
      </c>
      <c r="AF1063" s="90">
        <v>-1</v>
      </c>
      <c r="AG1063" s="90">
        <v>-1</v>
      </c>
      <c r="AH1063" s="90">
        <v>-1</v>
      </c>
      <c r="AI1063" s="90">
        <v>-1</v>
      </c>
      <c r="AJ1063" s="90">
        <v>0</v>
      </c>
      <c r="AM1063" s="90" t="s">
        <v>379</v>
      </c>
      <c r="AN1063" s="90">
        <v>-1</v>
      </c>
      <c r="AQ1063" s="90">
        <v>370</v>
      </c>
      <c r="AR1063" s="90" t="s">
        <v>273</v>
      </c>
      <c r="AS1063" s="90" t="s">
        <v>399</v>
      </c>
      <c r="AT1063" s="90" t="s">
        <v>244</v>
      </c>
      <c r="AU1063" s="90">
        <v>0.344219</v>
      </c>
      <c r="AV1063" s="90">
        <v>83.938930909556305</v>
      </c>
      <c r="AW1063" s="90">
        <v>203.225510884047</v>
      </c>
      <c r="AX1063" s="90">
        <v>1.4304146782</v>
      </c>
    </row>
    <row r="1064" spans="1:50" x14ac:dyDescent="0.25">
      <c r="A1064" s="102">
        <v>840000</v>
      </c>
      <c r="B1064" s="102">
        <v>2400000</v>
      </c>
      <c r="C1064" s="102">
        <v>2500000</v>
      </c>
      <c r="D1064" s="90" t="s">
        <v>374</v>
      </c>
      <c r="E1064" s="90" t="s">
        <v>68</v>
      </c>
      <c r="F1064" s="90" t="s">
        <v>375</v>
      </c>
      <c r="G1064" s="90" t="s">
        <v>376</v>
      </c>
      <c r="H1064" s="90">
        <v>0.59</v>
      </c>
      <c r="I1064" s="90">
        <v>0.64</v>
      </c>
      <c r="J1064" s="90" t="s">
        <v>381</v>
      </c>
      <c r="K1064" s="90">
        <v>1.555852652279E-2</v>
      </c>
      <c r="L1064" s="90">
        <v>3772.23717431368</v>
      </c>
      <c r="M1064" s="90">
        <v>11.535326158682301</v>
      </c>
      <c r="N1064" s="90">
        <v>1.57186229106693</v>
      </c>
      <c r="O1064" s="90">
        <v>0.17947267798891001</v>
      </c>
      <c r="P1064" s="90">
        <v>2.4455861145739999E-2</v>
      </c>
      <c r="Q1064" s="90">
        <v>58.690452126821299</v>
      </c>
      <c r="R1064" s="90">
        <v>1400</v>
      </c>
      <c r="S1064" s="90" t="s">
        <v>324</v>
      </c>
      <c r="T1064" s="90">
        <v>1400</v>
      </c>
      <c r="U1064" s="90" t="s">
        <v>382</v>
      </c>
      <c r="V1064" s="90" t="s">
        <v>381</v>
      </c>
      <c r="Z1064" s="90">
        <v>0</v>
      </c>
      <c r="AA1064" s="90">
        <v>1</v>
      </c>
      <c r="AB1064" s="90">
        <v>0.17947267798891001</v>
      </c>
      <c r="AC1064" s="90">
        <v>2.4455861145739999E-2</v>
      </c>
      <c r="AD1064" s="90">
        <v>270.308179827164</v>
      </c>
      <c r="AF1064" s="90">
        <v>-1</v>
      </c>
      <c r="AG1064" s="90">
        <v>-1</v>
      </c>
      <c r="AH1064" s="90">
        <v>-1</v>
      </c>
      <c r="AI1064" s="90">
        <v>-1</v>
      </c>
      <c r="AJ1064" s="90">
        <v>0</v>
      </c>
      <c r="AM1064" s="90" t="s">
        <v>379</v>
      </c>
      <c r="AN1064" s="90">
        <v>-1</v>
      </c>
      <c r="AQ1064" s="90">
        <v>370</v>
      </c>
      <c r="AR1064" s="90" t="s">
        <v>273</v>
      </c>
      <c r="AS1064" s="90" t="s">
        <v>399</v>
      </c>
      <c r="AT1064" s="90" t="s">
        <v>244</v>
      </c>
      <c r="AU1064" s="90">
        <v>0.344219</v>
      </c>
      <c r="AV1064" s="90">
        <v>38.718837337598401</v>
      </c>
      <c r="AW1064" s="90">
        <v>62.963122981839902</v>
      </c>
      <c r="AX1064" s="90">
        <v>0.21922804530000001</v>
      </c>
    </row>
    <row r="1065" spans="1:50" x14ac:dyDescent="0.25">
      <c r="A1065" s="102">
        <v>840000</v>
      </c>
      <c r="B1065" s="102">
        <v>2400000</v>
      </c>
      <c r="C1065" s="102">
        <v>2500000</v>
      </c>
      <c r="D1065" s="90" t="s">
        <v>374</v>
      </c>
      <c r="E1065" s="90" t="s">
        <v>68</v>
      </c>
      <c r="F1065" s="90" t="s">
        <v>375</v>
      </c>
      <c r="G1065" s="90" t="s">
        <v>376</v>
      </c>
      <c r="H1065" s="90">
        <v>0.59</v>
      </c>
      <c r="I1065" s="90">
        <v>0.64</v>
      </c>
      <c r="J1065" s="90" t="s">
        <v>244</v>
      </c>
      <c r="K1065" s="90">
        <v>2.6446817695600002E-3</v>
      </c>
      <c r="L1065" s="90">
        <v>3772.23717431368</v>
      </c>
      <c r="M1065" s="90">
        <v>11.535326158682301</v>
      </c>
      <c r="N1065" s="90">
        <v>1.57186229106693</v>
      </c>
      <c r="O1065" s="90">
        <v>3.0507266797830002E-2</v>
      </c>
      <c r="P1065" s="90">
        <v>4.1570755454400001E-3</v>
      </c>
      <c r="Q1065" s="90">
        <v>9.9763668853752296</v>
      </c>
      <c r="R1065" s="90">
        <v>1300</v>
      </c>
      <c r="S1065" s="90" t="s">
        <v>387</v>
      </c>
      <c r="T1065" s="90">
        <v>1300</v>
      </c>
      <c r="U1065" s="90" t="s">
        <v>378</v>
      </c>
      <c r="V1065" s="90" t="s">
        <v>244</v>
      </c>
      <c r="Z1065" s="90">
        <v>0</v>
      </c>
      <c r="AA1065" s="90">
        <v>1</v>
      </c>
      <c r="AB1065" s="90">
        <v>3.0507266797830002E-2</v>
      </c>
      <c r="AC1065" s="90">
        <v>4.1570755454400001E-3</v>
      </c>
      <c r="AD1065" s="90">
        <v>75.638176399470396</v>
      </c>
      <c r="AF1065" s="90">
        <v>-1</v>
      </c>
      <c r="AG1065" s="90">
        <v>-1</v>
      </c>
      <c r="AH1065" s="90">
        <v>-1</v>
      </c>
      <c r="AI1065" s="90">
        <v>-1</v>
      </c>
      <c r="AJ1065" s="90">
        <v>0</v>
      </c>
      <c r="AM1065" s="90" t="s">
        <v>379</v>
      </c>
      <c r="AN1065" s="90">
        <v>-1</v>
      </c>
      <c r="AQ1065" s="90">
        <v>370</v>
      </c>
      <c r="AR1065" s="90" t="s">
        <v>273</v>
      </c>
      <c r="AS1065" s="90" t="s">
        <v>399</v>
      </c>
      <c r="AT1065" s="90" t="s">
        <v>244</v>
      </c>
      <c r="AU1065" s="90">
        <v>0.344219</v>
      </c>
      <c r="AV1065" s="90">
        <v>14.822544292559501</v>
      </c>
      <c r="AW1065" s="90">
        <v>10.702647404358901</v>
      </c>
      <c r="AX1065" s="90">
        <v>6.13448308E-2</v>
      </c>
    </row>
    <row r="1066" spans="1:50" x14ac:dyDescent="0.25">
      <c r="A1066" s="102">
        <v>830000</v>
      </c>
      <c r="B1066" s="102">
        <v>2400000</v>
      </c>
      <c r="C1066" s="102">
        <v>2400000</v>
      </c>
      <c r="D1066" s="90" t="s">
        <v>374</v>
      </c>
      <c r="E1066" s="90" t="s">
        <v>68</v>
      </c>
      <c r="F1066" s="90" t="s">
        <v>375</v>
      </c>
      <c r="G1066" s="90" t="s">
        <v>376</v>
      </c>
      <c r="H1066" s="90">
        <v>0.59</v>
      </c>
      <c r="I1066" s="90">
        <v>0.64</v>
      </c>
      <c r="J1066" s="90" t="s">
        <v>244</v>
      </c>
      <c r="K1066" s="90">
        <v>4.0043495000859998E-2</v>
      </c>
      <c r="L1066" s="90">
        <v>3745.9434823829201</v>
      </c>
      <c r="M1066" s="90">
        <v>10.777530530554801</v>
      </c>
      <c r="N1066" s="90">
        <v>2.0766235887589701</v>
      </c>
      <c r="O1066" s="90">
        <v>0.43156998992196</v>
      </c>
      <c r="P1066" s="90">
        <v>8.3155266295149993E-2</v>
      </c>
      <c r="Q1066" s="90">
        <v>150.00066911032999</v>
      </c>
      <c r="R1066" s="90">
        <v>1300</v>
      </c>
      <c r="S1066" s="90" t="s">
        <v>387</v>
      </c>
      <c r="T1066" s="90">
        <v>1300</v>
      </c>
      <c r="U1066" s="90" t="s">
        <v>378</v>
      </c>
      <c r="V1066" s="90" t="s">
        <v>244</v>
      </c>
      <c r="Z1066" s="90">
        <v>0</v>
      </c>
      <c r="AA1066" s="90">
        <v>1</v>
      </c>
      <c r="AB1066" s="90">
        <v>0.43156998992196</v>
      </c>
      <c r="AC1066" s="90">
        <v>8.3155266295149993E-2</v>
      </c>
      <c r="AD1066" s="90">
        <v>219.46023591702101</v>
      </c>
      <c r="AF1066" s="90">
        <v>-1</v>
      </c>
      <c r="AG1066" s="90">
        <v>-1</v>
      </c>
      <c r="AH1066" s="90">
        <v>-1</v>
      </c>
      <c r="AI1066" s="90">
        <v>-1</v>
      </c>
      <c r="AJ1066" s="90">
        <v>0</v>
      </c>
      <c r="AM1066" s="90" t="s">
        <v>379</v>
      </c>
      <c r="AN1066" s="90">
        <v>-1</v>
      </c>
      <c r="AQ1066" s="90">
        <v>371</v>
      </c>
      <c r="AR1066" s="90" t="s">
        <v>275</v>
      </c>
      <c r="AS1066" s="90" t="s">
        <v>400</v>
      </c>
      <c r="AT1066" s="90" t="s">
        <v>244</v>
      </c>
      <c r="AU1066" s="90">
        <v>1.342676</v>
      </c>
      <c r="AV1066" s="90">
        <v>62.466132692472897</v>
      </c>
      <c r="AW1066" s="90">
        <v>162.05027491960101</v>
      </c>
      <c r="AX1066" s="90">
        <v>0.1779888369</v>
      </c>
    </row>
    <row r="1067" spans="1:50" x14ac:dyDescent="0.25">
      <c r="A1067" s="102">
        <v>830000</v>
      </c>
      <c r="B1067" s="102">
        <v>2400000</v>
      </c>
      <c r="C1067" s="102">
        <v>2400000</v>
      </c>
      <c r="D1067" s="90" t="s">
        <v>374</v>
      </c>
      <c r="E1067" s="90" t="s">
        <v>68</v>
      </c>
      <c r="F1067" s="90" t="s">
        <v>375</v>
      </c>
      <c r="G1067" s="90" t="s">
        <v>376</v>
      </c>
      <c r="H1067" s="90">
        <v>0.59</v>
      </c>
      <c r="I1067" s="90">
        <v>0.64</v>
      </c>
      <c r="J1067" s="90" t="s">
        <v>244</v>
      </c>
      <c r="K1067" s="90">
        <v>4.0470088459899998E-3</v>
      </c>
      <c r="L1067" s="90">
        <v>3745.9434823829201</v>
      </c>
      <c r="M1067" s="90">
        <v>10.777530530554801</v>
      </c>
      <c r="N1067" s="90">
        <v>2.0766235887589701</v>
      </c>
      <c r="O1067" s="90">
        <v>4.3616761395159999E-2</v>
      </c>
      <c r="P1067" s="90">
        <v>8.4041140335099993E-3</v>
      </c>
      <c r="Q1067" s="90">
        <v>15.159866409812199</v>
      </c>
      <c r="R1067" s="90">
        <v>1300</v>
      </c>
      <c r="S1067" s="90" t="s">
        <v>387</v>
      </c>
      <c r="T1067" s="90">
        <v>1300</v>
      </c>
      <c r="U1067" s="90" t="s">
        <v>378</v>
      </c>
      <c r="V1067" s="90" t="s">
        <v>244</v>
      </c>
      <c r="Z1067" s="90">
        <v>0</v>
      </c>
      <c r="AA1067" s="90">
        <v>1</v>
      </c>
      <c r="AB1067" s="90">
        <v>4.3616761395159999E-2</v>
      </c>
      <c r="AC1067" s="90">
        <v>8.4041140335099993E-3</v>
      </c>
      <c r="AD1067" s="90">
        <v>961.30433677949702</v>
      </c>
      <c r="AF1067" s="90">
        <v>-1</v>
      </c>
      <c r="AG1067" s="90">
        <v>-1</v>
      </c>
      <c r="AH1067" s="90">
        <v>-1</v>
      </c>
      <c r="AI1067" s="90">
        <v>-1</v>
      </c>
      <c r="AJ1067" s="90">
        <v>0</v>
      </c>
      <c r="AM1067" s="90" t="s">
        <v>379</v>
      </c>
      <c r="AN1067" s="90">
        <v>-1</v>
      </c>
      <c r="AQ1067" s="90">
        <v>371</v>
      </c>
      <c r="AR1067" s="90" t="s">
        <v>275</v>
      </c>
      <c r="AS1067" s="90" t="s">
        <v>400</v>
      </c>
      <c r="AT1067" s="90" t="s">
        <v>244</v>
      </c>
      <c r="AU1067" s="90">
        <v>1.342676</v>
      </c>
      <c r="AV1067" s="90">
        <v>50.854900341210801</v>
      </c>
      <c r="AW1067" s="90">
        <v>16.3776637399348</v>
      </c>
      <c r="AX1067" s="90">
        <v>0.77964666410000005</v>
      </c>
    </row>
    <row r="1068" spans="1:50" x14ac:dyDescent="0.25">
      <c r="A1068" s="102">
        <v>830000</v>
      </c>
      <c r="B1068" s="102">
        <v>2400000</v>
      </c>
      <c r="C1068" s="102">
        <v>2400000</v>
      </c>
      <c r="D1068" s="90" t="s">
        <v>374</v>
      </c>
      <c r="E1068" s="90" t="s">
        <v>68</v>
      </c>
      <c r="F1068" s="90" t="s">
        <v>375</v>
      </c>
      <c r="G1068" s="90" t="s">
        <v>376</v>
      </c>
      <c r="H1068" s="90">
        <v>0.59</v>
      </c>
      <c r="I1068" s="90">
        <v>0.64</v>
      </c>
      <c r="J1068" s="90" t="s">
        <v>244</v>
      </c>
      <c r="K1068" s="90">
        <v>5.0472721034959998E-2</v>
      </c>
      <c r="L1068" s="90">
        <v>3758.2429968760698</v>
      </c>
      <c r="M1068" s="90">
        <v>11.0465500871888</v>
      </c>
      <c r="N1068" s="90">
        <v>1.9024307402999601</v>
      </c>
      <c r="O1068" s="90">
        <v>0.55754944094944003</v>
      </c>
      <c r="P1068" s="90">
        <v>9.6020856043499997E-2</v>
      </c>
      <c r="Q1068" s="90">
        <v>189.68875036293301</v>
      </c>
      <c r="R1068" s="90">
        <v>1300</v>
      </c>
      <c r="S1068" s="90" t="s">
        <v>387</v>
      </c>
      <c r="T1068" s="90">
        <v>1300</v>
      </c>
      <c r="U1068" s="90" t="s">
        <v>378</v>
      </c>
      <c r="V1068" s="90" t="s">
        <v>244</v>
      </c>
      <c r="Z1068" s="90">
        <v>0</v>
      </c>
      <c r="AA1068" s="90">
        <v>1</v>
      </c>
      <c r="AB1068" s="90">
        <v>0.55754944094944003</v>
      </c>
      <c r="AC1068" s="90">
        <v>9.6020856043499997E-2</v>
      </c>
      <c r="AD1068" s="90">
        <v>307.84057609007999</v>
      </c>
      <c r="AF1068" s="90">
        <v>-1</v>
      </c>
      <c r="AG1068" s="90">
        <v>-1</v>
      </c>
      <c r="AH1068" s="90">
        <v>-1</v>
      </c>
      <c r="AI1068" s="90">
        <v>-1</v>
      </c>
      <c r="AJ1068" s="90">
        <v>0</v>
      </c>
      <c r="AM1068" s="90" t="s">
        <v>379</v>
      </c>
      <c r="AN1068" s="90">
        <v>-1</v>
      </c>
      <c r="AQ1068" s="90">
        <v>371</v>
      </c>
      <c r="AR1068" s="90" t="s">
        <v>275</v>
      </c>
      <c r="AS1068" s="90" t="s">
        <v>400</v>
      </c>
      <c r="AT1068" s="90" t="s">
        <v>244</v>
      </c>
      <c r="AU1068" s="90">
        <v>1.342676</v>
      </c>
      <c r="AV1068" s="90">
        <v>76.399108613579301</v>
      </c>
      <c r="AW1068" s="90">
        <v>204.25585527634701</v>
      </c>
      <c r="AX1068" s="90">
        <v>0.24966794489999999</v>
      </c>
    </row>
    <row r="1069" spans="1:50" x14ac:dyDescent="0.25">
      <c r="A1069" s="102">
        <v>830000</v>
      </c>
      <c r="B1069" s="102">
        <v>2400000</v>
      </c>
      <c r="C1069" s="102">
        <v>2400000</v>
      </c>
      <c r="D1069" s="90" t="s">
        <v>374</v>
      </c>
      <c r="E1069" s="90" t="s">
        <v>68</v>
      </c>
      <c r="F1069" s="90" t="s">
        <v>375</v>
      </c>
      <c r="G1069" s="90" t="s">
        <v>376</v>
      </c>
      <c r="H1069" s="90">
        <v>0.59</v>
      </c>
      <c r="I1069" s="90">
        <v>0.64</v>
      </c>
      <c r="J1069" s="90" t="s">
        <v>381</v>
      </c>
      <c r="K1069" s="90">
        <v>1.2410819234629999E-2</v>
      </c>
      <c r="L1069" s="90">
        <v>3758.2429968760698</v>
      </c>
      <c r="M1069" s="90">
        <v>11.0465500871888</v>
      </c>
      <c r="N1069" s="90">
        <v>1.9024307402999601</v>
      </c>
      <c r="O1069" s="90">
        <v>0.1370967362984</v>
      </c>
      <c r="P1069" s="90">
        <v>2.3610724024269999E-2</v>
      </c>
      <c r="Q1069" s="90">
        <v>46.6428744740506</v>
      </c>
      <c r="R1069" s="90">
        <v>1300</v>
      </c>
      <c r="S1069" s="90" t="s">
        <v>387</v>
      </c>
      <c r="T1069" s="90">
        <v>1300</v>
      </c>
      <c r="U1069" s="90" t="s">
        <v>382</v>
      </c>
      <c r="V1069" s="90" t="s">
        <v>381</v>
      </c>
      <c r="Z1069" s="90">
        <v>0</v>
      </c>
      <c r="AA1069" s="90">
        <v>1</v>
      </c>
      <c r="AB1069" s="90">
        <v>0.1370967362984</v>
      </c>
      <c r="AC1069" s="90">
        <v>2.3610724024269999E-2</v>
      </c>
      <c r="AD1069" s="90">
        <v>388.37265188056801</v>
      </c>
      <c r="AF1069" s="90">
        <v>-1</v>
      </c>
      <c r="AG1069" s="90">
        <v>-1</v>
      </c>
      <c r="AH1069" s="90">
        <v>-1</v>
      </c>
      <c r="AI1069" s="90">
        <v>-1</v>
      </c>
      <c r="AJ1069" s="90">
        <v>0</v>
      </c>
      <c r="AM1069" s="90" t="s">
        <v>379</v>
      </c>
      <c r="AN1069" s="90">
        <v>-1</v>
      </c>
      <c r="AQ1069" s="90">
        <v>371</v>
      </c>
      <c r="AR1069" s="90" t="s">
        <v>275</v>
      </c>
      <c r="AS1069" s="90" t="s">
        <v>400</v>
      </c>
      <c r="AT1069" s="90" t="s">
        <v>244</v>
      </c>
      <c r="AU1069" s="90">
        <v>1.342676</v>
      </c>
      <c r="AV1069" s="90">
        <v>29.155530101889699</v>
      </c>
      <c r="AW1069" s="90">
        <v>50.2248035269158</v>
      </c>
      <c r="AX1069" s="90">
        <v>0.31498187500000002</v>
      </c>
    </row>
    <row r="1070" spans="1:50" x14ac:dyDescent="0.25">
      <c r="A1070" s="102">
        <v>830000</v>
      </c>
      <c r="B1070" s="102">
        <v>2400000</v>
      </c>
      <c r="C1070" s="102">
        <v>2400000</v>
      </c>
      <c r="D1070" s="90" t="s">
        <v>374</v>
      </c>
      <c r="E1070" s="90" t="s">
        <v>68</v>
      </c>
      <c r="F1070" s="90" t="s">
        <v>375</v>
      </c>
      <c r="G1070" s="90" t="s">
        <v>376</v>
      </c>
      <c r="H1070" s="90">
        <v>0.59</v>
      </c>
      <c r="I1070" s="90">
        <v>0.64</v>
      </c>
      <c r="J1070" s="90" t="s">
        <v>381</v>
      </c>
      <c r="K1070" s="90">
        <v>1.674209379967E-2</v>
      </c>
      <c r="L1070" s="90">
        <v>3758.2429968760698</v>
      </c>
      <c r="M1070" s="90">
        <v>11.0465500871888</v>
      </c>
      <c r="N1070" s="90">
        <v>1.9024307402999601</v>
      </c>
      <c r="O1070" s="90">
        <v>0.18494237772253</v>
      </c>
      <c r="P1070" s="90">
        <v>3.1850673901479998E-2</v>
      </c>
      <c r="Q1070" s="90">
        <v>62.9208567756747</v>
      </c>
      <c r="R1070" s="90">
        <v>1400</v>
      </c>
      <c r="S1070" s="90" t="s">
        <v>324</v>
      </c>
      <c r="T1070" s="90">
        <v>1400</v>
      </c>
      <c r="U1070" s="90" t="s">
        <v>382</v>
      </c>
      <c r="V1070" s="90" t="s">
        <v>381</v>
      </c>
      <c r="Z1070" s="90">
        <v>0</v>
      </c>
      <c r="AA1070" s="90">
        <v>1</v>
      </c>
      <c r="AB1070" s="90">
        <v>0.18494237772253</v>
      </c>
      <c r="AC1070" s="90">
        <v>3.1850673901479998E-2</v>
      </c>
      <c r="AD1070" s="90">
        <v>744.92422800204201</v>
      </c>
      <c r="AF1070" s="90">
        <v>-1</v>
      </c>
      <c r="AG1070" s="90">
        <v>-1</v>
      </c>
      <c r="AH1070" s="90">
        <v>-1</v>
      </c>
      <c r="AI1070" s="90">
        <v>-1</v>
      </c>
      <c r="AJ1070" s="90">
        <v>0</v>
      </c>
      <c r="AM1070" s="90" t="s">
        <v>379</v>
      </c>
      <c r="AN1070" s="90">
        <v>-1</v>
      </c>
      <c r="AQ1070" s="90">
        <v>371</v>
      </c>
      <c r="AR1070" s="90" t="s">
        <v>275</v>
      </c>
      <c r="AS1070" s="90" t="s">
        <v>400</v>
      </c>
      <c r="AT1070" s="90" t="s">
        <v>244</v>
      </c>
      <c r="AU1070" s="90">
        <v>1.342676</v>
      </c>
      <c r="AV1070" s="90">
        <v>33.879443934954999</v>
      </c>
      <c r="AW1070" s="90">
        <v>67.752849817643906</v>
      </c>
      <c r="AX1070" s="90">
        <v>0.60415590269999997</v>
      </c>
    </row>
    <row r="1071" spans="1:50" x14ac:dyDescent="0.25">
      <c r="A1071" s="102">
        <v>830000</v>
      </c>
      <c r="B1071" s="102">
        <v>2400000</v>
      </c>
      <c r="C1071" s="102">
        <v>2400000</v>
      </c>
      <c r="D1071" s="90" t="s">
        <v>374</v>
      </c>
      <c r="E1071" s="90" t="s">
        <v>68</v>
      </c>
      <c r="F1071" s="90" t="s">
        <v>375</v>
      </c>
      <c r="G1071" s="90" t="s">
        <v>376</v>
      </c>
      <c r="H1071" s="90">
        <v>0.59</v>
      </c>
      <c r="I1071" s="90">
        <v>0.64</v>
      </c>
      <c r="J1071" s="90" t="s">
        <v>244</v>
      </c>
      <c r="K1071" s="90">
        <v>1.73152681402E-3</v>
      </c>
      <c r="L1071" s="90">
        <v>3758.2429968760698</v>
      </c>
      <c r="M1071" s="90">
        <v>11.0465500871888</v>
      </c>
      <c r="N1071" s="90">
        <v>1.9024307402999601</v>
      </c>
      <c r="O1071" s="90">
        <v>1.9127397678430001E-2</v>
      </c>
      <c r="P1071" s="90">
        <v>3.2941098386500001E-3</v>
      </c>
      <c r="Q1071" s="90">
        <v>6.5074985227126003</v>
      </c>
      <c r="R1071" s="90">
        <v>1300</v>
      </c>
      <c r="S1071" s="90" t="s">
        <v>387</v>
      </c>
      <c r="T1071" s="90">
        <v>1300</v>
      </c>
      <c r="U1071" s="90" t="s">
        <v>378</v>
      </c>
      <c r="V1071" s="90" t="s">
        <v>244</v>
      </c>
      <c r="Z1071" s="90">
        <v>0</v>
      </c>
      <c r="AA1071" s="90">
        <v>1</v>
      </c>
      <c r="AB1071" s="90">
        <v>1.9127397678430001E-2</v>
      </c>
      <c r="AC1071" s="90">
        <v>3.2941098386500001E-3</v>
      </c>
      <c r="AD1071" s="90">
        <v>877.65463352134998</v>
      </c>
      <c r="AF1071" s="90">
        <v>-1</v>
      </c>
      <c r="AG1071" s="90">
        <v>-1</v>
      </c>
      <c r="AH1071" s="90">
        <v>-1</v>
      </c>
      <c r="AI1071" s="90">
        <v>-1</v>
      </c>
      <c r="AJ1071" s="90">
        <v>0</v>
      </c>
      <c r="AM1071" s="90" t="s">
        <v>379</v>
      </c>
      <c r="AN1071" s="90">
        <v>-1</v>
      </c>
      <c r="AQ1071" s="90">
        <v>371</v>
      </c>
      <c r="AR1071" s="90" t="s">
        <v>275</v>
      </c>
      <c r="AS1071" s="90" t="s">
        <v>400</v>
      </c>
      <c r="AT1071" s="90" t="s">
        <v>244</v>
      </c>
      <c r="AU1071" s="90">
        <v>1.342676</v>
      </c>
      <c r="AV1071" s="90">
        <v>60.367574663486501</v>
      </c>
      <c r="AW1071" s="90">
        <v>7.0072404078960702</v>
      </c>
      <c r="AX1071" s="90">
        <v>0.71180424450000002</v>
      </c>
    </row>
    <row r="1072" spans="1:50" x14ac:dyDescent="0.25">
      <c r="A1072" s="102">
        <v>830000</v>
      </c>
      <c r="B1072" s="102">
        <v>2400000</v>
      </c>
      <c r="C1072" s="102">
        <v>2400000</v>
      </c>
      <c r="D1072" s="90" t="s">
        <v>374</v>
      </c>
      <c r="E1072" s="90" t="s">
        <v>68</v>
      </c>
      <c r="F1072" s="90" t="s">
        <v>375</v>
      </c>
      <c r="G1072" s="90" t="s">
        <v>376</v>
      </c>
      <c r="H1072" s="90">
        <v>0.59</v>
      </c>
      <c r="I1072" s="90">
        <v>0.64</v>
      </c>
      <c r="J1072" s="90" t="s">
        <v>381</v>
      </c>
      <c r="K1072" s="90">
        <v>2.0350536882E-4</v>
      </c>
      <c r="L1072" s="90">
        <v>3773.5392049614502</v>
      </c>
      <c r="M1072" s="90">
        <v>11.594993325188099</v>
      </c>
      <c r="N1072" s="90">
        <v>1.53082384235918</v>
      </c>
      <c r="O1072" s="90">
        <v>2.35964339321E-3</v>
      </c>
      <c r="P1072" s="90">
        <v>3.1153087064999998E-4</v>
      </c>
      <c r="Q1072" s="90">
        <v>0.76793548769636999</v>
      </c>
      <c r="R1072" s="90">
        <v>1400</v>
      </c>
      <c r="S1072" s="90" t="s">
        <v>324</v>
      </c>
      <c r="T1072" s="90">
        <v>1400</v>
      </c>
      <c r="U1072" s="90" t="s">
        <v>382</v>
      </c>
      <c r="V1072" s="90" t="s">
        <v>381</v>
      </c>
      <c r="Z1072" s="90">
        <v>0</v>
      </c>
      <c r="AA1072" s="90">
        <v>1</v>
      </c>
      <c r="AB1072" s="90">
        <v>2.35964339321E-3</v>
      </c>
      <c r="AC1072" s="90">
        <v>3.1153087064999998E-4</v>
      </c>
      <c r="AD1072" s="90">
        <v>603.78540914011</v>
      </c>
      <c r="AF1072" s="90">
        <v>-1</v>
      </c>
      <c r="AG1072" s="90">
        <v>-1</v>
      </c>
      <c r="AH1072" s="90">
        <v>-1</v>
      </c>
      <c r="AI1072" s="90">
        <v>-1</v>
      </c>
      <c r="AJ1072" s="90">
        <v>0</v>
      </c>
      <c r="AM1072" s="90" t="s">
        <v>379</v>
      </c>
      <c r="AN1072" s="90">
        <v>-1</v>
      </c>
      <c r="AQ1072" s="90">
        <v>371</v>
      </c>
      <c r="AR1072" s="90" t="s">
        <v>275</v>
      </c>
      <c r="AS1072" s="90" t="s">
        <v>400</v>
      </c>
      <c r="AT1072" s="90" t="s">
        <v>244</v>
      </c>
      <c r="AU1072" s="90">
        <v>1.342676</v>
      </c>
      <c r="AV1072" s="90">
        <v>4.7484460470006402</v>
      </c>
      <c r="AW1072" s="90">
        <v>0.82355700883969996</v>
      </c>
      <c r="AX1072" s="90">
        <v>0.48968808530000002</v>
      </c>
    </row>
    <row r="1073" spans="1:50" x14ac:dyDescent="0.25">
      <c r="A1073" s="102">
        <v>840000</v>
      </c>
      <c r="B1073" s="102">
        <v>2400000</v>
      </c>
      <c r="C1073" s="102">
        <v>2400000</v>
      </c>
      <c r="D1073" s="90" t="s">
        <v>374</v>
      </c>
      <c r="E1073" s="90" t="s">
        <v>68</v>
      </c>
      <c r="F1073" s="90" t="s">
        <v>375</v>
      </c>
      <c r="G1073" s="90" t="s">
        <v>376</v>
      </c>
      <c r="H1073" s="90">
        <v>0.59</v>
      </c>
      <c r="I1073" s="90">
        <v>0.64</v>
      </c>
      <c r="J1073" s="90" t="s">
        <v>244</v>
      </c>
      <c r="K1073" s="90">
        <v>5.1925523109030002E-2</v>
      </c>
      <c r="L1073" s="90">
        <v>3745.9425158229101</v>
      </c>
      <c r="M1073" s="90">
        <v>10.777527749643401</v>
      </c>
      <c r="N1073" s="90">
        <v>2.0766230529304099</v>
      </c>
      <c r="O1073" s="90">
        <v>0.55962876622234003</v>
      </c>
      <c r="P1073" s="90">
        <v>0.10782973832367999</v>
      </c>
      <c r="Q1073" s="90">
        <v>194.510024670468</v>
      </c>
      <c r="R1073" s="90">
        <v>1300</v>
      </c>
      <c r="S1073" s="90" t="s">
        <v>387</v>
      </c>
      <c r="T1073" s="90">
        <v>1300</v>
      </c>
      <c r="U1073" s="90" t="s">
        <v>378</v>
      </c>
      <c r="V1073" s="90" t="s">
        <v>244</v>
      </c>
      <c r="Z1073" s="90">
        <v>0</v>
      </c>
      <c r="AA1073" s="90">
        <v>1</v>
      </c>
      <c r="AB1073" s="90">
        <v>0.55962876622234003</v>
      </c>
      <c r="AC1073" s="90">
        <v>0.10782973832367999</v>
      </c>
      <c r="AD1073" s="90">
        <v>436.30099109430699</v>
      </c>
      <c r="AF1073" s="90">
        <v>-1</v>
      </c>
      <c r="AG1073" s="90">
        <v>-1</v>
      </c>
      <c r="AH1073" s="90">
        <v>-1</v>
      </c>
      <c r="AI1073" s="90">
        <v>-1</v>
      </c>
      <c r="AJ1073" s="90">
        <v>0</v>
      </c>
      <c r="AM1073" s="90" t="s">
        <v>379</v>
      </c>
      <c r="AN1073" s="90">
        <v>-1</v>
      </c>
      <c r="AQ1073" s="90">
        <v>371</v>
      </c>
      <c r="AR1073" s="90" t="s">
        <v>275</v>
      </c>
      <c r="AS1073" s="90" t="s">
        <v>400</v>
      </c>
      <c r="AT1073" s="90" t="s">
        <v>244</v>
      </c>
      <c r="AU1073" s="90">
        <v>1.342676</v>
      </c>
      <c r="AV1073" s="90">
        <v>68.411400514265907</v>
      </c>
      <c r="AW1073" s="90">
        <v>210.135136680264</v>
      </c>
      <c r="AX1073" s="90">
        <v>0.35385319630000001</v>
      </c>
    </row>
    <row r="1074" spans="1:50" x14ac:dyDescent="0.25">
      <c r="A1074" s="102">
        <v>840000</v>
      </c>
      <c r="B1074" s="102">
        <v>2400000</v>
      </c>
      <c r="C1074" s="102">
        <v>2400000</v>
      </c>
      <c r="D1074" s="90" t="s">
        <v>374</v>
      </c>
      <c r="E1074" s="90" t="s">
        <v>68</v>
      </c>
      <c r="F1074" s="90" t="s">
        <v>375</v>
      </c>
      <c r="G1074" s="90" t="s">
        <v>376</v>
      </c>
      <c r="H1074" s="90">
        <v>0.59</v>
      </c>
      <c r="I1074" s="90">
        <v>0.64</v>
      </c>
      <c r="J1074" s="90" t="s">
        <v>244</v>
      </c>
      <c r="K1074" s="90">
        <v>1.0708530709E-4</v>
      </c>
      <c r="L1074" s="90">
        <v>3745.9434823829201</v>
      </c>
      <c r="M1074" s="90">
        <v>10.777530530554801</v>
      </c>
      <c r="N1074" s="90">
        <v>2.0766235887589701</v>
      </c>
      <c r="O1074" s="90">
        <v>1.15411516662E-3</v>
      </c>
      <c r="P1074" s="90">
        <v>2.2237587471999999E-4</v>
      </c>
      <c r="Q1074" s="90">
        <v>0.40113550818271998</v>
      </c>
      <c r="R1074" s="90">
        <v>1300</v>
      </c>
      <c r="S1074" s="90" t="s">
        <v>387</v>
      </c>
      <c r="T1074" s="90">
        <v>1300</v>
      </c>
      <c r="U1074" s="90" t="s">
        <v>378</v>
      </c>
      <c r="V1074" s="90" t="s">
        <v>244</v>
      </c>
      <c r="Z1074" s="90">
        <v>0</v>
      </c>
      <c r="AA1074" s="90">
        <v>1</v>
      </c>
      <c r="AB1074" s="90">
        <v>1.15411516662E-3</v>
      </c>
      <c r="AC1074" s="90">
        <v>2.2237587471999999E-4</v>
      </c>
      <c r="AD1074" s="90">
        <v>219.46023591702101</v>
      </c>
      <c r="AF1074" s="90">
        <v>-1</v>
      </c>
      <c r="AG1074" s="90">
        <v>-1</v>
      </c>
      <c r="AH1074" s="90">
        <v>-1</v>
      </c>
      <c r="AI1074" s="90">
        <v>-1</v>
      </c>
      <c r="AJ1074" s="90">
        <v>0</v>
      </c>
      <c r="AM1074" s="90" t="s">
        <v>379</v>
      </c>
      <c r="AN1074" s="90">
        <v>-1</v>
      </c>
      <c r="AQ1074" s="90">
        <v>371</v>
      </c>
      <c r="AR1074" s="90" t="s">
        <v>275</v>
      </c>
      <c r="AS1074" s="90" t="s">
        <v>400</v>
      </c>
      <c r="AT1074" s="90" t="s">
        <v>244</v>
      </c>
      <c r="AU1074" s="90">
        <v>1.342676</v>
      </c>
      <c r="AV1074" s="90">
        <v>38.257304371738797</v>
      </c>
      <c r="AW1074" s="90">
        <v>0.43335886277233998</v>
      </c>
      <c r="AX1074" s="90">
        <v>0.1779888369</v>
      </c>
    </row>
    <row r="1075" spans="1:50" x14ac:dyDescent="0.25">
      <c r="A1075" s="102">
        <v>840000</v>
      </c>
      <c r="B1075" s="102">
        <v>2400000</v>
      </c>
      <c r="C1075" s="102">
        <v>2400000</v>
      </c>
      <c r="D1075" s="90" t="s">
        <v>374</v>
      </c>
      <c r="E1075" s="90" t="s">
        <v>68</v>
      </c>
      <c r="F1075" s="90" t="s">
        <v>375</v>
      </c>
      <c r="G1075" s="90" t="s">
        <v>376</v>
      </c>
      <c r="H1075" s="90">
        <v>0.59</v>
      </c>
      <c r="I1075" s="90">
        <v>0.64</v>
      </c>
      <c r="J1075" s="90" t="s">
        <v>244</v>
      </c>
      <c r="K1075" s="90">
        <v>0.25257841580468998</v>
      </c>
      <c r="L1075" s="90">
        <v>3745.9434823829201</v>
      </c>
      <c r="M1075" s="90">
        <v>10.777530530554801</v>
      </c>
      <c r="N1075" s="90">
        <v>2.0766235887589701</v>
      </c>
      <c r="O1075" s="90">
        <v>2.72217158769431</v>
      </c>
      <c r="P1075" s="90">
        <v>0.5245102962714</v>
      </c>
      <c r="Q1075" s="90">
        <v>946.14447047421197</v>
      </c>
      <c r="R1075" s="90">
        <v>1300</v>
      </c>
      <c r="S1075" s="90" t="s">
        <v>387</v>
      </c>
      <c r="T1075" s="90">
        <v>1300</v>
      </c>
      <c r="U1075" s="90" t="s">
        <v>378</v>
      </c>
      <c r="V1075" s="90" t="s">
        <v>244</v>
      </c>
      <c r="Z1075" s="90">
        <v>0</v>
      </c>
      <c r="AA1075" s="90">
        <v>1</v>
      </c>
      <c r="AB1075" s="90">
        <v>2.72217158769431</v>
      </c>
      <c r="AC1075" s="90">
        <v>0.5245102962714</v>
      </c>
      <c r="AD1075" s="90">
        <v>961.30433677949702</v>
      </c>
      <c r="AF1075" s="90">
        <v>-1</v>
      </c>
      <c r="AG1075" s="90">
        <v>-1</v>
      </c>
      <c r="AH1075" s="90">
        <v>-1</v>
      </c>
      <c r="AI1075" s="90">
        <v>-1</v>
      </c>
      <c r="AJ1075" s="90">
        <v>0</v>
      </c>
      <c r="AM1075" s="90" t="s">
        <v>379</v>
      </c>
      <c r="AN1075" s="90">
        <v>-1</v>
      </c>
      <c r="AQ1075" s="90">
        <v>371</v>
      </c>
      <c r="AR1075" s="90" t="s">
        <v>275</v>
      </c>
      <c r="AS1075" s="90" t="s">
        <v>400</v>
      </c>
      <c r="AT1075" s="90" t="s">
        <v>244</v>
      </c>
      <c r="AU1075" s="90">
        <v>1.342676</v>
      </c>
      <c r="AV1075" s="90">
        <v>131.60915530293599</v>
      </c>
      <c r="AW1075" s="90">
        <v>1022.14858415885</v>
      </c>
      <c r="AX1075" s="90">
        <v>0.77964666410000005</v>
      </c>
    </row>
    <row r="1076" spans="1:50" x14ac:dyDescent="0.25">
      <c r="A1076" s="102">
        <v>840000</v>
      </c>
      <c r="B1076" s="102">
        <v>2400000</v>
      </c>
      <c r="C1076" s="102">
        <v>2400000</v>
      </c>
      <c r="D1076" s="90" t="s">
        <v>374</v>
      </c>
      <c r="E1076" s="90" t="s">
        <v>68</v>
      </c>
      <c r="F1076" s="90" t="s">
        <v>375</v>
      </c>
      <c r="G1076" s="90" t="s">
        <v>376</v>
      </c>
      <c r="H1076" s="90">
        <v>0.59</v>
      </c>
      <c r="I1076" s="90">
        <v>0.64</v>
      </c>
      <c r="J1076" s="90" t="s">
        <v>244</v>
      </c>
      <c r="K1076" s="90">
        <v>6.8629075916999997E-4</v>
      </c>
      <c r="L1076" s="90">
        <v>3758.2429968760698</v>
      </c>
      <c r="M1076" s="90">
        <v>11.0465500871888</v>
      </c>
      <c r="N1076" s="90">
        <v>1.9024307402999601</v>
      </c>
      <c r="O1076" s="90">
        <v>7.5811452455999996E-3</v>
      </c>
      <c r="P1076" s="90">
        <v>1.3056206370300001E-3</v>
      </c>
      <c r="Q1076" s="90">
        <v>2.5792474394902101</v>
      </c>
      <c r="R1076" s="90">
        <v>1300</v>
      </c>
      <c r="S1076" s="90" t="s">
        <v>387</v>
      </c>
      <c r="T1076" s="90">
        <v>1300</v>
      </c>
      <c r="U1076" s="90" t="s">
        <v>378</v>
      </c>
      <c r="V1076" s="90" t="s">
        <v>244</v>
      </c>
      <c r="Z1076" s="90">
        <v>0</v>
      </c>
      <c r="AA1076" s="90">
        <v>1</v>
      </c>
      <c r="AB1076" s="90">
        <v>7.5811452455999996E-3</v>
      </c>
      <c r="AC1076" s="90">
        <v>1.3056206370300001E-3</v>
      </c>
      <c r="AD1076" s="90">
        <v>307.84057609007999</v>
      </c>
      <c r="AF1076" s="90">
        <v>-1</v>
      </c>
      <c r="AG1076" s="90">
        <v>-1</v>
      </c>
      <c r="AH1076" s="90">
        <v>-1</v>
      </c>
      <c r="AI1076" s="90">
        <v>-1</v>
      </c>
      <c r="AJ1076" s="90">
        <v>0</v>
      </c>
      <c r="AM1076" s="90" t="s">
        <v>379</v>
      </c>
      <c r="AN1076" s="90">
        <v>-1</v>
      </c>
      <c r="AQ1076" s="90">
        <v>371</v>
      </c>
      <c r="AR1076" s="90" t="s">
        <v>275</v>
      </c>
      <c r="AS1076" s="90" t="s">
        <v>400</v>
      </c>
      <c r="AT1076" s="90" t="s">
        <v>244</v>
      </c>
      <c r="AU1076" s="90">
        <v>1.342676</v>
      </c>
      <c r="AV1076" s="90">
        <v>65.977412021490494</v>
      </c>
      <c r="AW1076" s="90">
        <v>2.7773201664014402</v>
      </c>
      <c r="AX1076" s="90">
        <v>0.24966794489999999</v>
      </c>
    </row>
    <row r="1077" spans="1:50" x14ac:dyDescent="0.25">
      <c r="A1077" s="102">
        <v>840000</v>
      </c>
      <c r="B1077" s="102">
        <v>2400000</v>
      </c>
      <c r="C1077" s="102">
        <v>2400000</v>
      </c>
      <c r="D1077" s="90" t="s">
        <v>374</v>
      </c>
      <c r="E1077" s="90" t="s">
        <v>68</v>
      </c>
      <c r="F1077" s="90" t="s">
        <v>375</v>
      </c>
      <c r="G1077" s="90" t="s">
        <v>376</v>
      </c>
      <c r="H1077" s="90">
        <v>0.59</v>
      </c>
      <c r="I1077" s="90">
        <v>0.64</v>
      </c>
      <c r="J1077" s="90" t="s">
        <v>381</v>
      </c>
      <c r="K1077" s="90">
        <v>2.3317850099000001E-4</v>
      </c>
      <c r="L1077" s="90">
        <v>3758.2429968760698</v>
      </c>
      <c r="M1077" s="90">
        <v>11.0465500871888</v>
      </c>
      <c r="N1077" s="90">
        <v>1.9024307402999601</v>
      </c>
      <c r="O1077" s="90">
        <v>2.5758179905400001E-3</v>
      </c>
      <c r="P1077" s="90">
        <v>4.4360594826999998E-4</v>
      </c>
      <c r="Q1077" s="90">
        <v>0.87634146840155003</v>
      </c>
      <c r="R1077" s="90">
        <v>1300</v>
      </c>
      <c r="S1077" s="90" t="s">
        <v>387</v>
      </c>
      <c r="T1077" s="90">
        <v>1300</v>
      </c>
      <c r="U1077" s="90" t="s">
        <v>382</v>
      </c>
      <c r="V1077" s="90" t="s">
        <v>381</v>
      </c>
      <c r="Z1077" s="90">
        <v>0</v>
      </c>
      <c r="AA1077" s="90">
        <v>1</v>
      </c>
      <c r="AB1077" s="90">
        <v>2.5758179905400001E-3</v>
      </c>
      <c r="AC1077" s="90">
        <v>4.4360594826999998E-4</v>
      </c>
      <c r="AD1077" s="90">
        <v>388.37265188056801</v>
      </c>
      <c r="AF1077" s="90">
        <v>-1</v>
      </c>
      <c r="AG1077" s="90">
        <v>-1</v>
      </c>
      <c r="AH1077" s="90">
        <v>-1</v>
      </c>
      <c r="AI1077" s="90">
        <v>-1</v>
      </c>
      <c r="AJ1077" s="90">
        <v>0</v>
      </c>
      <c r="AM1077" s="90" t="s">
        <v>379</v>
      </c>
      <c r="AN1077" s="90">
        <v>-1</v>
      </c>
      <c r="AQ1077" s="90">
        <v>371</v>
      </c>
      <c r="AR1077" s="90" t="s">
        <v>275</v>
      </c>
      <c r="AS1077" s="90" t="s">
        <v>400</v>
      </c>
      <c r="AT1077" s="90" t="s">
        <v>244</v>
      </c>
      <c r="AU1077" s="90">
        <v>1.342676</v>
      </c>
      <c r="AV1077" s="90">
        <v>14.583191158864601</v>
      </c>
      <c r="AW1077" s="90">
        <v>0.94363991433472005</v>
      </c>
      <c r="AX1077" s="90">
        <v>0.31498187500000002</v>
      </c>
    </row>
    <row r="1078" spans="1:50" x14ac:dyDescent="0.25">
      <c r="A1078" s="102">
        <v>840000</v>
      </c>
      <c r="B1078" s="102">
        <v>2400000</v>
      </c>
      <c r="C1078" s="102">
        <v>2400000</v>
      </c>
      <c r="D1078" s="90" t="s">
        <v>374</v>
      </c>
      <c r="E1078" s="90" t="s">
        <v>68</v>
      </c>
      <c r="F1078" s="90" t="s">
        <v>375</v>
      </c>
      <c r="G1078" s="90" t="s">
        <v>376</v>
      </c>
      <c r="H1078" s="90">
        <v>0.59</v>
      </c>
      <c r="I1078" s="90">
        <v>0.64</v>
      </c>
      <c r="J1078" s="90" t="s">
        <v>381</v>
      </c>
      <c r="K1078" s="90">
        <v>6.46437714118E-2</v>
      </c>
      <c r="L1078" s="90">
        <v>3758.2429968760698</v>
      </c>
      <c r="M1078" s="90">
        <v>11.0465500871888</v>
      </c>
      <c r="N1078" s="90">
        <v>1.9024307402999601</v>
      </c>
      <c r="O1078" s="90">
        <v>0.71409065872523003</v>
      </c>
      <c r="P1078" s="90">
        <v>0.12298029790273</v>
      </c>
      <c r="Q1078" s="90">
        <v>242.94700120005501</v>
      </c>
      <c r="R1078" s="90">
        <v>1300</v>
      </c>
      <c r="S1078" s="90" t="s">
        <v>387</v>
      </c>
      <c r="T1078" s="90">
        <v>1300</v>
      </c>
      <c r="U1078" s="90" t="s">
        <v>382</v>
      </c>
      <c r="V1078" s="90" t="s">
        <v>381</v>
      </c>
      <c r="Z1078" s="90">
        <v>0</v>
      </c>
      <c r="AA1078" s="90">
        <v>1</v>
      </c>
      <c r="AB1078" s="90">
        <v>0.71409065872523003</v>
      </c>
      <c r="AC1078" s="90">
        <v>0.12298029790273</v>
      </c>
      <c r="AD1078" s="90">
        <v>388.37265188056801</v>
      </c>
      <c r="AF1078" s="90">
        <v>-1</v>
      </c>
      <c r="AG1078" s="90">
        <v>-1</v>
      </c>
      <c r="AH1078" s="90">
        <v>-1</v>
      </c>
      <c r="AI1078" s="90">
        <v>-1</v>
      </c>
      <c r="AJ1078" s="90">
        <v>0</v>
      </c>
      <c r="AM1078" s="90" t="s">
        <v>379</v>
      </c>
      <c r="AN1078" s="90">
        <v>-1</v>
      </c>
      <c r="AQ1078" s="90">
        <v>371</v>
      </c>
      <c r="AR1078" s="90" t="s">
        <v>275</v>
      </c>
      <c r="AS1078" s="90" t="s">
        <v>400</v>
      </c>
      <c r="AT1078" s="90" t="s">
        <v>244</v>
      </c>
      <c r="AU1078" s="90">
        <v>1.342676</v>
      </c>
      <c r="AV1078" s="90">
        <v>94.286423488063093</v>
      </c>
      <c r="AW1078" s="90">
        <v>261.60406150599903</v>
      </c>
      <c r="AX1078" s="90">
        <v>0.31498187500000002</v>
      </c>
    </row>
    <row r="1079" spans="1:50" x14ac:dyDescent="0.25">
      <c r="A1079" s="102">
        <v>840000</v>
      </c>
      <c r="B1079" s="102">
        <v>2400000</v>
      </c>
      <c r="C1079" s="102">
        <v>2400000</v>
      </c>
      <c r="D1079" s="90" t="s">
        <v>374</v>
      </c>
      <c r="E1079" s="90" t="s">
        <v>68</v>
      </c>
      <c r="F1079" s="90" t="s">
        <v>375</v>
      </c>
      <c r="G1079" s="90" t="s">
        <v>376</v>
      </c>
      <c r="H1079" s="90">
        <v>0.59</v>
      </c>
      <c r="I1079" s="90">
        <v>0.64</v>
      </c>
      <c r="J1079" s="90" t="s">
        <v>381</v>
      </c>
      <c r="K1079" s="90">
        <v>1.8963426535430001E-2</v>
      </c>
      <c r="L1079" s="90">
        <v>3758.2429968760698</v>
      </c>
      <c r="M1079" s="90">
        <v>11.0465500871888</v>
      </c>
      <c r="N1079" s="90">
        <v>1.9024307402999601</v>
      </c>
      <c r="O1079" s="90">
        <v>0.2094804410484</v>
      </c>
      <c r="P1079" s="90">
        <v>3.6076605582429998E-2</v>
      </c>
      <c r="Q1079" s="90">
        <v>71.269164973572501</v>
      </c>
      <c r="R1079" s="90">
        <v>1300</v>
      </c>
      <c r="S1079" s="90" t="s">
        <v>387</v>
      </c>
      <c r="T1079" s="90">
        <v>1300</v>
      </c>
      <c r="U1079" s="90" t="s">
        <v>382</v>
      </c>
      <c r="V1079" s="90" t="s">
        <v>381</v>
      </c>
      <c r="Z1079" s="90">
        <v>0</v>
      </c>
      <c r="AA1079" s="90">
        <v>1</v>
      </c>
      <c r="AB1079" s="90">
        <v>0.2094804410484</v>
      </c>
      <c r="AC1079" s="90">
        <v>3.6076605582429998E-2</v>
      </c>
      <c r="AD1079" s="90">
        <v>388.37265188056801</v>
      </c>
      <c r="AF1079" s="90">
        <v>-1</v>
      </c>
      <c r="AG1079" s="90">
        <v>-1</v>
      </c>
      <c r="AH1079" s="90">
        <v>-1</v>
      </c>
      <c r="AI1079" s="90">
        <v>-1</v>
      </c>
      <c r="AJ1079" s="90">
        <v>0</v>
      </c>
      <c r="AM1079" s="90" t="s">
        <v>379</v>
      </c>
      <c r="AN1079" s="90">
        <v>-1</v>
      </c>
      <c r="AQ1079" s="90">
        <v>371</v>
      </c>
      <c r="AR1079" s="90" t="s">
        <v>275</v>
      </c>
      <c r="AS1079" s="90" t="s">
        <v>400</v>
      </c>
      <c r="AT1079" s="90" t="s">
        <v>244</v>
      </c>
      <c r="AU1079" s="90">
        <v>1.342676</v>
      </c>
      <c r="AV1079" s="90">
        <v>85.214865554492704</v>
      </c>
      <c r="AW1079" s="90">
        <v>76.742264465636097</v>
      </c>
      <c r="AX1079" s="90">
        <v>0.31498187500000002</v>
      </c>
    </row>
    <row r="1080" spans="1:50" x14ac:dyDescent="0.25">
      <c r="A1080" s="102">
        <v>840000</v>
      </c>
      <c r="B1080" s="102">
        <v>2400000</v>
      </c>
      <c r="C1080" s="102">
        <v>2400000</v>
      </c>
      <c r="D1080" s="90" t="s">
        <v>374</v>
      </c>
      <c r="E1080" s="90" t="s">
        <v>68</v>
      </c>
      <c r="F1080" s="90" t="s">
        <v>375</v>
      </c>
      <c r="G1080" s="90" t="s">
        <v>376</v>
      </c>
      <c r="H1080" s="90">
        <v>0.59</v>
      </c>
      <c r="I1080" s="90">
        <v>0.64</v>
      </c>
      <c r="J1080" s="90" t="s">
        <v>381</v>
      </c>
      <c r="K1080" s="90">
        <v>3.7493736193999999E-4</v>
      </c>
      <c r="L1080" s="90">
        <v>3758.2429968760698</v>
      </c>
      <c r="M1080" s="90">
        <v>11.0465500871888</v>
      </c>
      <c r="N1080" s="90">
        <v>1.9024307402999601</v>
      </c>
      <c r="O1080" s="90">
        <v>4.1417643482599999E-3</v>
      </c>
      <c r="P1080" s="90">
        <v>7.1329236304E-4</v>
      </c>
      <c r="Q1080" s="90">
        <v>1.4091057147894701</v>
      </c>
      <c r="R1080" s="90">
        <v>1400</v>
      </c>
      <c r="S1080" s="90" t="s">
        <v>324</v>
      </c>
      <c r="T1080" s="90">
        <v>1400</v>
      </c>
      <c r="U1080" s="90" t="s">
        <v>382</v>
      </c>
      <c r="V1080" s="90" t="s">
        <v>381</v>
      </c>
      <c r="Z1080" s="90">
        <v>0</v>
      </c>
      <c r="AA1080" s="90">
        <v>1</v>
      </c>
      <c r="AB1080" s="90">
        <v>4.1417643482599999E-3</v>
      </c>
      <c r="AC1080" s="90">
        <v>7.1329236304E-4</v>
      </c>
      <c r="AD1080" s="90">
        <v>744.92422800204201</v>
      </c>
      <c r="AF1080" s="90">
        <v>-1</v>
      </c>
      <c r="AG1080" s="90">
        <v>-1</v>
      </c>
      <c r="AH1080" s="90">
        <v>-1</v>
      </c>
      <c r="AI1080" s="90">
        <v>-1</v>
      </c>
      <c r="AJ1080" s="90">
        <v>0</v>
      </c>
      <c r="AM1080" s="90" t="s">
        <v>379</v>
      </c>
      <c r="AN1080" s="90">
        <v>-1</v>
      </c>
      <c r="AQ1080" s="90">
        <v>371</v>
      </c>
      <c r="AR1080" s="90" t="s">
        <v>275</v>
      </c>
      <c r="AS1080" s="90" t="s">
        <v>400</v>
      </c>
      <c r="AT1080" s="90" t="s">
        <v>244</v>
      </c>
      <c r="AU1080" s="90">
        <v>1.342676</v>
      </c>
      <c r="AV1080" s="90">
        <v>20.2393004510438</v>
      </c>
      <c r="AW1080" s="90">
        <v>1.51731767117695</v>
      </c>
      <c r="AX1080" s="90">
        <v>0.60415590269999997</v>
      </c>
    </row>
    <row r="1081" spans="1:50" x14ac:dyDescent="0.25">
      <c r="A1081" s="102">
        <v>840000</v>
      </c>
      <c r="B1081" s="102">
        <v>2400000</v>
      </c>
      <c r="C1081" s="102">
        <v>2400000</v>
      </c>
      <c r="D1081" s="90" t="s">
        <v>374</v>
      </c>
      <c r="E1081" s="90" t="s">
        <v>68</v>
      </c>
      <c r="F1081" s="90" t="s">
        <v>375</v>
      </c>
      <c r="G1081" s="90" t="s">
        <v>376</v>
      </c>
      <c r="H1081" s="90">
        <v>0.59</v>
      </c>
      <c r="I1081" s="90">
        <v>0.64</v>
      </c>
      <c r="J1081" s="90" t="s">
        <v>381</v>
      </c>
      <c r="K1081" s="90">
        <v>3.343067928316E-2</v>
      </c>
      <c r="L1081" s="90">
        <v>3758.2429968760698</v>
      </c>
      <c r="M1081" s="90">
        <v>11.0465500871888</v>
      </c>
      <c r="N1081" s="90">
        <v>1.9024307402999601</v>
      </c>
      <c r="O1081" s="90">
        <v>0.36929367315020001</v>
      </c>
      <c r="P1081" s="90">
        <v>6.3599551937390003E-2</v>
      </c>
      <c r="Q1081" s="90">
        <v>125.640616296757</v>
      </c>
      <c r="R1081" s="90">
        <v>1400</v>
      </c>
      <c r="S1081" s="90" t="s">
        <v>324</v>
      </c>
      <c r="T1081" s="90">
        <v>1400</v>
      </c>
      <c r="U1081" s="90" t="s">
        <v>382</v>
      </c>
      <c r="V1081" s="90" t="s">
        <v>381</v>
      </c>
      <c r="Z1081" s="90">
        <v>0</v>
      </c>
      <c r="AA1081" s="90">
        <v>1</v>
      </c>
      <c r="AB1081" s="90">
        <v>0.36929367315020001</v>
      </c>
      <c r="AC1081" s="90">
        <v>6.3599551937390003E-2</v>
      </c>
      <c r="AD1081" s="90">
        <v>744.92422800204201</v>
      </c>
      <c r="AF1081" s="90">
        <v>-1</v>
      </c>
      <c r="AG1081" s="90">
        <v>-1</v>
      </c>
      <c r="AH1081" s="90">
        <v>-1</v>
      </c>
      <c r="AI1081" s="90">
        <v>-1</v>
      </c>
      <c r="AJ1081" s="90">
        <v>0</v>
      </c>
      <c r="AM1081" s="90" t="s">
        <v>379</v>
      </c>
      <c r="AN1081" s="90">
        <v>-1</v>
      </c>
      <c r="AQ1081" s="90">
        <v>371</v>
      </c>
      <c r="AR1081" s="90" t="s">
        <v>275</v>
      </c>
      <c r="AS1081" s="90" t="s">
        <v>400</v>
      </c>
      <c r="AT1081" s="90" t="s">
        <v>244</v>
      </c>
      <c r="AU1081" s="90">
        <v>1.342676</v>
      </c>
      <c r="AV1081" s="90">
        <v>92.1421786155029</v>
      </c>
      <c r="AW1081" s="90">
        <v>135.289159162262</v>
      </c>
      <c r="AX1081" s="90">
        <v>0.60415590269999997</v>
      </c>
    </row>
    <row r="1082" spans="1:50" x14ac:dyDescent="0.25">
      <c r="A1082" s="102">
        <v>840000</v>
      </c>
      <c r="B1082" s="102">
        <v>2400000</v>
      </c>
      <c r="C1082" s="102">
        <v>2400000</v>
      </c>
      <c r="D1082" s="90" t="s">
        <v>374</v>
      </c>
      <c r="E1082" s="90" t="s">
        <v>68</v>
      </c>
      <c r="F1082" s="90" t="s">
        <v>375</v>
      </c>
      <c r="G1082" s="90" t="s">
        <v>376</v>
      </c>
      <c r="H1082" s="90">
        <v>0.59</v>
      </c>
      <c r="I1082" s="90">
        <v>0.64</v>
      </c>
      <c r="J1082" s="90" t="s">
        <v>244</v>
      </c>
      <c r="K1082" s="90">
        <v>0.23179572865413001</v>
      </c>
      <c r="L1082" s="90">
        <v>3758.2429968760698</v>
      </c>
      <c r="M1082" s="90">
        <v>11.0465500871888</v>
      </c>
      <c r="N1082" s="90">
        <v>1.9024307402999601</v>
      </c>
      <c r="O1082" s="90">
        <v>2.5605431265743701</v>
      </c>
      <c r="P1082" s="90">
        <v>0.44097531966185999</v>
      </c>
      <c r="Q1082" s="90">
        <v>871.14467392020094</v>
      </c>
      <c r="R1082" s="90">
        <v>1300</v>
      </c>
      <c r="S1082" s="90" t="s">
        <v>387</v>
      </c>
      <c r="T1082" s="90">
        <v>1300</v>
      </c>
      <c r="U1082" s="90" t="s">
        <v>378</v>
      </c>
      <c r="V1082" s="90" t="s">
        <v>244</v>
      </c>
      <c r="Z1082" s="90">
        <v>0</v>
      </c>
      <c r="AA1082" s="90">
        <v>1</v>
      </c>
      <c r="AB1082" s="90">
        <v>2.5605431265743701</v>
      </c>
      <c r="AC1082" s="90">
        <v>0.44097531966185999</v>
      </c>
      <c r="AD1082" s="90">
        <v>877.65463352134998</v>
      </c>
      <c r="AF1082" s="90">
        <v>-1</v>
      </c>
      <c r="AG1082" s="90">
        <v>-1</v>
      </c>
      <c r="AH1082" s="90">
        <v>-1</v>
      </c>
      <c r="AI1082" s="90">
        <v>-1</v>
      </c>
      <c r="AJ1082" s="90">
        <v>0</v>
      </c>
      <c r="AM1082" s="90" t="s">
        <v>379</v>
      </c>
      <c r="AN1082" s="90">
        <v>-1</v>
      </c>
      <c r="AQ1082" s="90">
        <v>371</v>
      </c>
      <c r="AR1082" s="90" t="s">
        <v>275</v>
      </c>
      <c r="AS1082" s="90" t="s">
        <v>400</v>
      </c>
      <c r="AT1082" s="90" t="s">
        <v>244</v>
      </c>
      <c r="AU1082" s="90">
        <v>1.342676</v>
      </c>
      <c r="AV1082" s="90">
        <v>128.676659601148</v>
      </c>
      <c r="AW1082" s="90">
        <v>938.04403318888706</v>
      </c>
      <c r="AX1082" s="90">
        <v>0.71180424450000002</v>
      </c>
    </row>
    <row r="1083" spans="1:50" x14ac:dyDescent="0.25">
      <c r="A1083" s="102">
        <v>840000</v>
      </c>
      <c r="B1083" s="102">
        <v>2400000</v>
      </c>
      <c r="C1083" s="102">
        <v>2400000</v>
      </c>
      <c r="D1083" s="90" t="s">
        <v>374</v>
      </c>
      <c r="E1083" s="90" t="s">
        <v>68</v>
      </c>
      <c r="F1083" s="90" t="s">
        <v>375</v>
      </c>
      <c r="G1083" s="90" t="s">
        <v>376</v>
      </c>
      <c r="H1083" s="90">
        <v>0.59</v>
      </c>
      <c r="I1083" s="90">
        <v>0.64</v>
      </c>
      <c r="J1083" s="90" t="s">
        <v>381</v>
      </c>
      <c r="K1083" s="90">
        <v>7.7520666348999999E-4</v>
      </c>
      <c r="L1083" s="90">
        <v>3758.2429968760698</v>
      </c>
      <c r="M1083" s="90">
        <v>11.0465500871888</v>
      </c>
      <c r="N1083" s="90">
        <v>1.9024307402999601</v>
      </c>
      <c r="O1083" s="90">
        <v>8.5633592362000001E-3</v>
      </c>
      <c r="P1083" s="90">
        <v>1.4747769867100001E-3</v>
      </c>
      <c r="Q1083" s="90">
        <v>2.91341501420799</v>
      </c>
      <c r="R1083" s="90">
        <v>1300</v>
      </c>
      <c r="S1083" s="90" t="s">
        <v>387</v>
      </c>
      <c r="T1083" s="90">
        <v>1300</v>
      </c>
      <c r="U1083" s="90" t="s">
        <v>382</v>
      </c>
      <c r="V1083" s="90" t="s">
        <v>381</v>
      </c>
      <c r="Z1083" s="90">
        <v>0</v>
      </c>
      <c r="AA1083" s="90">
        <v>1</v>
      </c>
      <c r="AB1083" s="90">
        <v>8.5633592362000001E-3</v>
      </c>
      <c r="AC1083" s="90">
        <v>1.4747769867100001E-3</v>
      </c>
      <c r="AD1083" s="90">
        <v>2.9130838063910001</v>
      </c>
      <c r="AF1083" s="90">
        <v>-1</v>
      </c>
      <c r="AG1083" s="90">
        <v>-1</v>
      </c>
      <c r="AH1083" s="90">
        <v>-1</v>
      </c>
      <c r="AI1083" s="90">
        <v>-1</v>
      </c>
      <c r="AJ1083" s="90">
        <v>0</v>
      </c>
      <c r="AM1083" s="90" t="s">
        <v>379</v>
      </c>
      <c r="AN1083" s="90">
        <v>-1</v>
      </c>
      <c r="AQ1083" s="90">
        <v>371</v>
      </c>
      <c r="AR1083" s="90" t="s">
        <v>275</v>
      </c>
      <c r="AS1083" s="90" t="s">
        <v>400</v>
      </c>
      <c r="AT1083" s="90" t="s">
        <v>244</v>
      </c>
      <c r="AU1083" s="90">
        <v>1.342676</v>
      </c>
      <c r="AV1083" s="90">
        <v>82.658921363959905</v>
      </c>
      <c r="AW1083" s="90">
        <v>3.1371500648468902</v>
      </c>
      <c r="AX1083" s="90">
        <v>2.3625984000000002E-3</v>
      </c>
    </row>
    <row r="1084" spans="1:50" x14ac:dyDescent="0.25">
      <c r="A1084" s="102">
        <v>840000</v>
      </c>
      <c r="B1084" s="102">
        <v>2400000</v>
      </c>
      <c r="C1084" s="102">
        <v>2400000</v>
      </c>
      <c r="D1084" s="90" t="s">
        <v>374</v>
      </c>
      <c r="E1084" s="90" t="s">
        <v>68</v>
      </c>
      <c r="F1084" s="90" t="s">
        <v>375</v>
      </c>
      <c r="G1084" s="90" t="s">
        <v>376</v>
      </c>
      <c r="H1084" s="90">
        <v>0.59</v>
      </c>
      <c r="I1084" s="90">
        <v>0.64</v>
      </c>
      <c r="J1084" s="90" t="s">
        <v>381</v>
      </c>
      <c r="K1084" s="90">
        <v>4.4384962817990002E-2</v>
      </c>
      <c r="L1084" s="90">
        <v>3762.7820072413201</v>
      </c>
      <c r="M1084" s="90">
        <v>11.1686970493102</v>
      </c>
      <c r="N1084" s="90">
        <v>1.77180170362087</v>
      </c>
      <c r="O1084" s="90">
        <v>0.49572220325913002</v>
      </c>
      <c r="P1084" s="90">
        <v>7.864135273608E-2</v>
      </c>
      <c r="Q1084" s="90">
        <v>167.01093948364101</v>
      </c>
      <c r="R1084" s="90">
        <v>1300</v>
      </c>
      <c r="S1084" s="90" t="s">
        <v>387</v>
      </c>
      <c r="T1084" s="90">
        <v>1300</v>
      </c>
      <c r="U1084" s="90" t="s">
        <v>382</v>
      </c>
      <c r="V1084" s="90" t="s">
        <v>381</v>
      </c>
      <c r="Z1084" s="90">
        <v>0</v>
      </c>
      <c r="AA1084" s="90">
        <v>1</v>
      </c>
      <c r="AB1084" s="90">
        <v>0.49572220325913002</v>
      </c>
      <c r="AC1084" s="90">
        <v>7.864135273608E-2</v>
      </c>
      <c r="AD1084" s="90">
        <v>523.65990042470901</v>
      </c>
      <c r="AF1084" s="90">
        <v>-1</v>
      </c>
      <c r="AG1084" s="90">
        <v>-1</v>
      </c>
      <c r="AH1084" s="90">
        <v>-1</v>
      </c>
      <c r="AI1084" s="90">
        <v>-1</v>
      </c>
      <c r="AJ1084" s="90">
        <v>0</v>
      </c>
      <c r="AM1084" s="90" t="s">
        <v>379</v>
      </c>
      <c r="AN1084" s="90">
        <v>-1</v>
      </c>
      <c r="AQ1084" s="90">
        <v>371</v>
      </c>
      <c r="AR1084" s="90" t="s">
        <v>275</v>
      </c>
      <c r="AS1084" s="90" t="s">
        <v>400</v>
      </c>
      <c r="AT1084" s="90" t="s">
        <v>244</v>
      </c>
      <c r="AU1084" s="90">
        <v>1.342676</v>
      </c>
      <c r="AV1084" s="90">
        <v>71.640087624486</v>
      </c>
      <c r="AW1084" s="90">
        <v>179.61957183800399</v>
      </c>
      <c r="AX1084" s="90">
        <v>0.42470389330000002</v>
      </c>
    </row>
    <row r="1085" spans="1:50" x14ac:dyDescent="0.25">
      <c r="A1085" s="102">
        <v>840000</v>
      </c>
      <c r="B1085" s="102">
        <v>2400000</v>
      </c>
      <c r="C1085" s="102">
        <v>2400000</v>
      </c>
      <c r="D1085" s="90" t="s">
        <v>374</v>
      </c>
      <c r="E1085" s="90" t="s">
        <v>68</v>
      </c>
      <c r="F1085" s="90" t="s">
        <v>375</v>
      </c>
      <c r="G1085" s="90" t="s">
        <v>376</v>
      </c>
      <c r="H1085" s="90">
        <v>0.59</v>
      </c>
      <c r="I1085" s="90">
        <v>0.64</v>
      </c>
      <c r="J1085" s="90" t="s">
        <v>381</v>
      </c>
      <c r="K1085" s="90">
        <v>2.3409449100869999E-2</v>
      </c>
      <c r="L1085" s="90">
        <v>3762.7820072413201</v>
      </c>
      <c r="M1085" s="90">
        <v>11.1686970493102</v>
      </c>
      <c r="N1085" s="90">
        <v>1.77180170362087</v>
      </c>
      <c r="O1085" s="90">
        <v>0.26145304509896</v>
      </c>
      <c r="P1085" s="90">
        <v>4.147690179776E-2</v>
      </c>
      <c r="Q1085" s="90">
        <v>88.084653876218994</v>
      </c>
      <c r="R1085" s="90">
        <v>1300</v>
      </c>
      <c r="S1085" s="90" t="s">
        <v>387</v>
      </c>
      <c r="T1085" s="90">
        <v>1300</v>
      </c>
      <c r="U1085" s="90" t="s">
        <v>382</v>
      </c>
      <c r="V1085" s="90" t="s">
        <v>381</v>
      </c>
      <c r="Z1085" s="90">
        <v>0</v>
      </c>
      <c r="AA1085" s="90">
        <v>1</v>
      </c>
      <c r="AB1085" s="90">
        <v>0.26145304509896</v>
      </c>
      <c r="AC1085" s="90">
        <v>4.147690179776E-2</v>
      </c>
      <c r="AD1085" s="90">
        <v>523.65990042470901</v>
      </c>
      <c r="AF1085" s="90">
        <v>-1</v>
      </c>
      <c r="AG1085" s="90">
        <v>-1</v>
      </c>
      <c r="AH1085" s="90">
        <v>-1</v>
      </c>
      <c r="AI1085" s="90">
        <v>-1</v>
      </c>
      <c r="AJ1085" s="90">
        <v>0</v>
      </c>
      <c r="AM1085" s="90" t="s">
        <v>379</v>
      </c>
      <c r="AN1085" s="90">
        <v>-1</v>
      </c>
      <c r="AQ1085" s="90">
        <v>371</v>
      </c>
      <c r="AR1085" s="90" t="s">
        <v>275</v>
      </c>
      <c r="AS1085" s="90" t="s">
        <v>400</v>
      </c>
      <c r="AT1085" s="90" t="s">
        <v>244</v>
      </c>
      <c r="AU1085" s="90">
        <v>1.342676</v>
      </c>
      <c r="AV1085" s="90">
        <v>61.660675489002401</v>
      </c>
      <c r="AW1085" s="90">
        <v>94.734679438738297</v>
      </c>
      <c r="AX1085" s="90">
        <v>0.42470389330000002</v>
      </c>
    </row>
    <row r="1086" spans="1:50" x14ac:dyDescent="0.25">
      <c r="A1086" s="102">
        <v>840000</v>
      </c>
      <c r="B1086" s="102">
        <v>2400000</v>
      </c>
      <c r="C1086" s="102">
        <v>2400000</v>
      </c>
      <c r="D1086" s="90" t="s">
        <v>374</v>
      </c>
      <c r="E1086" s="90" t="s">
        <v>68</v>
      </c>
      <c r="F1086" s="90" t="s">
        <v>375</v>
      </c>
      <c r="G1086" s="90" t="s">
        <v>376</v>
      </c>
      <c r="H1086" s="90">
        <v>0.59</v>
      </c>
      <c r="I1086" s="90">
        <v>0.64</v>
      </c>
      <c r="J1086" s="90" t="s">
        <v>381</v>
      </c>
      <c r="K1086" s="90">
        <v>1.848763190108E-2</v>
      </c>
      <c r="L1086" s="90">
        <v>3762.7820072413201</v>
      </c>
      <c r="M1086" s="90">
        <v>11.1686970493102</v>
      </c>
      <c r="N1086" s="90">
        <v>1.77180170362087</v>
      </c>
      <c r="O1086" s="90">
        <v>0.20648275986236</v>
      </c>
      <c r="P1086" s="90">
        <v>3.2756417698250002E-2</v>
      </c>
      <c r="Q1086" s="90">
        <v>69.564928673895693</v>
      </c>
      <c r="R1086" s="90">
        <v>1400</v>
      </c>
      <c r="S1086" s="90" t="s">
        <v>324</v>
      </c>
      <c r="T1086" s="90">
        <v>1400</v>
      </c>
      <c r="U1086" s="90" t="s">
        <v>382</v>
      </c>
      <c r="V1086" s="90" t="s">
        <v>381</v>
      </c>
      <c r="Z1086" s="90">
        <v>0</v>
      </c>
      <c r="AA1086" s="90">
        <v>1</v>
      </c>
      <c r="AB1086" s="90">
        <v>0.20648275986236</v>
      </c>
      <c r="AC1086" s="90">
        <v>3.2756417698250002E-2</v>
      </c>
      <c r="AD1086" s="90">
        <v>979.58457943896303</v>
      </c>
      <c r="AF1086" s="90">
        <v>-1</v>
      </c>
      <c r="AG1086" s="90">
        <v>-1</v>
      </c>
      <c r="AH1086" s="90">
        <v>-1</v>
      </c>
      <c r="AI1086" s="90">
        <v>-1</v>
      </c>
      <c r="AJ1086" s="90">
        <v>0</v>
      </c>
      <c r="AM1086" s="90" t="s">
        <v>379</v>
      </c>
      <c r="AN1086" s="90">
        <v>-1</v>
      </c>
      <c r="AQ1086" s="90">
        <v>371</v>
      </c>
      <c r="AR1086" s="90" t="s">
        <v>275</v>
      </c>
      <c r="AS1086" s="90" t="s">
        <v>400</v>
      </c>
      <c r="AT1086" s="90" t="s">
        <v>244</v>
      </c>
      <c r="AU1086" s="90">
        <v>1.342676</v>
      </c>
      <c r="AV1086" s="90">
        <v>65.758622785782407</v>
      </c>
      <c r="AW1086" s="90">
        <v>74.816791893866295</v>
      </c>
      <c r="AX1086" s="90">
        <v>0.79447248940000004</v>
      </c>
    </row>
    <row r="1087" spans="1:50" x14ac:dyDescent="0.25">
      <c r="A1087" s="102">
        <v>840000</v>
      </c>
      <c r="B1087" s="102">
        <v>2400000</v>
      </c>
      <c r="C1087" s="102">
        <v>2400000</v>
      </c>
      <c r="D1087" s="90" t="s">
        <v>374</v>
      </c>
      <c r="E1087" s="90" t="s">
        <v>68</v>
      </c>
      <c r="F1087" s="90" t="s">
        <v>375</v>
      </c>
      <c r="G1087" s="90" t="s">
        <v>376</v>
      </c>
      <c r="H1087" s="90">
        <v>0.59</v>
      </c>
      <c r="I1087" s="90">
        <v>0.64</v>
      </c>
      <c r="J1087" s="90" t="s">
        <v>244</v>
      </c>
      <c r="K1087" s="90">
        <v>3.4829876959300003E-2</v>
      </c>
      <c r="L1087" s="90">
        <v>3762.7820072413201</v>
      </c>
      <c r="M1087" s="90">
        <v>11.1686970493102</v>
      </c>
      <c r="N1087" s="90">
        <v>1.77180170362087</v>
      </c>
      <c r="O1087" s="90">
        <v>0.38900434402317002</v>
      </c>
      <c r="P1087" s="90">
        <v>6.1711635333389997E-2</v>
      </c>
      <c r="Q1087" s="90">
        <v>131.057234336883</v>
      </c>
      <c r="R1087" s="90">
        <v>1300</v>
      </c>
      <c r="S1087" s="90" t="s">
        <v>387</v>
      </c>
      <c r="T1087" s="90">
        <v>1300</v>
      </c>
      <c r="U1087" s="90" t="s">
        <v>378</v>
      </c>
      <c r="V1087" s="90" t="s">
        <v>244</v>
      </c>
      <c r="Z1087" s="90">
        <v>0</v>
      </c>
      <c r="AA1087" s="90">
        <v>1</v>
      </c>
      <c r="AB1087" s="90">
        <v>0.38900434402317002</v>
      </c>
      <c r="AC1087" s="90">
        <v>6.1711635333389997E-2</v>
      </c>
      <c r="AD1087" s="90">
        <v>250.07828411436199</v>
      </c>
      <c r="AF1087" s="90">
        <v>-1</v>
      </c>
      <c r="AG1087" s="90">
        <v>-1</v>
      </c>
      <c r="AH1087" s="90">
        <v>-1</v>
      </c>
      <c r="AI1087" s="90">
        <v>-1</v>
      </c>
      <c r="AJ1087" s="90">
        <v>0</v>
      </c>
      <c r="AM1087" s="90" t="s">
        <v>379</v>
      </c>
      <c r="AN1087" s="90">
        <v>-1</v>
      </c>
      <c r="AQ1087" s="90">
        <v>371</v>
      </c>
      <c r="AR1087" s="90" t="s">
        <v>275</v>
      </c>
      <c r="AS1087" s="90" t="s">
        <v>400</v>
      </c>
      <c r="AT1087" s="90" t="s">
        <v>244</v>
      </c>
      <c r="AU1087" s="90">
        <v>1.342676</v>
      </c>
      <c r="AV1087" s="90">
        <v>50.546562172552001</v>
      </c>
      <c r="AW1087" s="90">
        <v>140.95151126414399</v>
      </c>
      <c r="AX1087" s="90">
        <v>0.20282099279999999</v>
      </c>
    </row>
    <row r="1088" spans="1:50" x14ac:dyDescent="0.25">
      <c r="A1088" s="102">
        <v>840000</v>
      </c>
      <c r="B1088" s="102">
        <v>2400000</v>
      </c>
      <c r="C1088" s="102">
        <v>2400000</v>
      </c>
      <c r="D1088" s="90" t="s">
        <v>374</v>
      </c>
      <c r="E1088" s="90" t="s">
        <v>68</v>
      </c>
      <c r="F1088" s="90" t="s">
        <v>375</v>
      </c>
      <c r="G1088" s="90" t="s">
        <v>376</v>
      </c>
      <c r="H1088" s="90">
        <v>0.59</v>
      </c>
      <c r="I1088" s="90">
        <v>0.64</v>
      </c>
      <c r="J1088" s="90" t="s">
        <v>381</v>
      </c>
      <c r="K1088" s="90">
        <v>1.8395903213E-4</v>
      </c>
      <c r="L1088" s="90">
        <v>3762.7820072413201</v>
      </c>
      <c r="M1088" s="90">
        <v>11.1686970493102</v>
      </c>
      <c r="N1088" s="90">
        <v>1.77180170362087</v>
      </c>
      <c r="O1088" s="90">
        <v>2.0545826993400001E-3</v>
      </c>
      <c r="P1088" s="90">
        <v>3.2593892652E-4</v>
      </c>
      <c r="Q1088" s="90">
        <v>0.69219773616828995</v>
      </c>
      <c r="R1088" s="90">
        <v>1300</v>
      </c>
      <c r="S1088" s="90" t="s">
        <v>387</v>
      </c>
      <c r="T1088" s="90">
        <v>1300</v>
      </c>
      <c r="U1088" s="90" t="s">
        <v>382</v>
      </c>
      <c r="V1088" s="90" t="s">
        <v>381</v>
      </c>
      <c r="Z1088" s="90">
        <v>0</v>
      </c>
      <c r="AA1088" s="90">
        <v>1</v>
      </c>
      <c r="AB1088" s="90">
        <v>2.0545826993400001E-3</v>
      </c>
      <c r="AC1088" s="90">
        <v>3.2593892652E-4</v>
      </c>
      <c r="AD1088" s="90">
        <v>1.4984715209994299</v>
      </c>
      <c r="AF1088" s="90">
        <v>-1</v>
      </c>
      <c r="AG1088" s="90">
        <v>-1</v>
      </c>
      <c r="AH1088" s="90">
        <v>-1</v>
      </c>
      <c r="AI1088" s="90">
        <v>-1</v>
      </c>
      <c r="AJ1088" s="90">
        <v>0</v>
      </c>
      <c r="AM1088" s="90" t="s">
        <v>379</v>
      </c>
      <c r="AN1088" s="90">
        <v>-1</v>
      </c>
      <c r="AQ1088" s="90">
        <v>371</v>
      </c>
      <c r="AR1088" s="90" t="s">
        <v>275</v>
      </c>
      <c r="AS1088" s="90" t="s">
        <v>400</v>
      </c>
      <c r="AT1088" s="90" t="s">
        <v>244</v>
      </c>
      <c r="AU1088" s="90">
        <v>1.342676</v>
      </c>
      <c r="AV1088" s="90">
        <v>18.280840986255502</v>
      </c>
      <c r="AW1088" s="90">
        <v>0.74445579063260003</v>
      </c>
      <c r="AX1088" s="90">
        <v>1.2153054E-3</v>
      </c>
    </row>
    <row r="1089" spans="1:50" x14ac:dyDescent="0.25">
      <c r="A1089" s="102">
        <v>840000</v>
      </c>
      <c r="B1089" s="102">
        <v>2400000</v>
      </c>
      <c r="C1089" s="102">
        <v>2400000</v>
      </c>
      <c r="D1089" s="90" t="s">
        <v>374</v>
      </c>
      <c r="E1089" s="90" t="s">
        <v>68</v>
      </c>
      <c r="F1089" s="90" t="s">
        <v>375</v>
      </c>
      <c r="G1089" s="90" t="s">
        <v>376</v>
      </c>
      <c r="H1089" s="90">
        <v>0.59</v>
      </c>
      <c r="I1089" s="90">
        <v>0.64</v>
      </c>
      <c r="J1089" s="90" t="s">
        <v>381</v>
      </c>
      <c r="K1089" s="90">
        <v>3.8461127419999997E-5</v>
      </c>
      <c r="L1089" s="90">
        <v>3773.5392049614502</v>
      </c>
      <c r="M1089" s="90">
        <v>11.594993325188099</v>
      </c>
      <c r="N1089" s="90">
        <v>1.53082384235918</v>
      </c>
      <c r="O1089" s="90">
        <v>4.4595651579000002E-4</v>
      </c>
      <c r="P1089" s="90">
        <v>5.8877210859999998E-5</v>
      </c>
      <c r="Q1089" s="90">
        <v>0.14513457221279999</v>
      </c>
      <c r="R1089" s="90">
        <v>1400</v>
      </c>
      <c r="S1089" s="90" t="s">
        <v>324</v>
      </c>
      <c r="T1089" s="90">
        <v>1400</v>
      </c>
      <c r="U1089" s="90" t="s">
        <v>382</v>
      </c>
      <c r="V1089" s="90" t="s">
        <v>381</v>
      </c>
      <c r="Z1089" s="90">
        <v>0</v>
      </c>
      <c r="AA1089" s="90">
        <v>1</v>
      </c>
      <c r="AB1089" s="90">
        <v>4.4595651579000002E-4</v>
      </c>
      <c r="AC1089" s="90">
        <v>5.8877210859999998E-5</v>
      </c>
      <c r="AD1089" s="90">
        <v>603.78540914011</v>
      </c>
      <c r="AF1089" s="90">
        <v>-1</v>
      </c>
      <c r="AG1089" s="90">
        <v>-1</v>
      </c>
      <c r="AH1089" s="90">
        <v>-1</v>
      </c>
      <c r="AI1089" s="90">
        <v>-1</v>
      </c>
      <c r="AJ1089" s="90">
        <v>0</v>
      </c>
      <c r="AM1089" s="90" t="s">
        <v>379</v>
      </c>
      <c r="AN1089" s="90">
        <v>-1</v>
      </c>
      <c r="AQ1089" s="90">
        <v>371</v>
      </c>
      <c r="AR1089" s="90" t="s">
        <v>275</v>
      </c>
      <c r="AS1089" s="90" t="s">
        <v>400</v>
      </c>
      <c r="AT1089" s="90" t="s">
        <v>244</v>
      </c>
      <c r="AU1089" s="90">
        <v>1.342676</v>
      </c>
      <c r="AV1089" s="90">
        <v>2.2319902220880001</v>
      </c>
      <c r="AW1089" s="90">
        <v>0.15564666053990001</v>
      </c>
      <c r="AX1089" s="90">
        <v>0.48968808530000002</v>
      </c>
    </row>
    <row r="1090" spans="1:50" x14ac:dyDescent="0.25">
      <c r="A1090" s="102">
        <v>840000</v>
      </c>
      <c r="B1090" s="102">
        <v>2400000</v>
      </c>
      <c r="C1090" s="102">
        <v>2400000</v>
      </c>
      <c r="D1090" s="90" t="s">
        <v>374</v>
      </c>
      <c r="E1090" s="90" t="s">
        <v>68</v>
      </c>
      <c r="F1090" s="90" t="s">
        <v>375</v>
      </c>
      <c r="G1090" s="90" t="s">
        <v>376</v>
      </c>
      <c r="H1090" s="90">
        <v>0.59</v>
      </c>
      <c r="I1090" s="90">
        <v>0.64</v>
      </c>
      <c r="J1090" s="90" t="s">
        <v>244</v>
      </c>
      <c r="K1090" s="90">
        <v>2.2724401480600002E-3</v>
      </c>
      <c r="L1090" s="90">
        <v>3768.66542927504</v>
      </c>
      <c r="M1090" s="90">
        <v>10.136910725021099</v>
      </c>
      <c r="N1090" s="90">
        <v>1.85697628508424</v>
      </c>
      <c r="O1090" s="90">
        <v>2.3035522908890001E-2</v>
      </c>
      <c r="P1090" s="90">
        <v>4.2198674642300003E-3</v>
      </c>
      <c r="Q1090" s="90">
        <v>8.5640666261129894</v>
      </c>
      <c r="R1090" s="90">
        <v>1300</v>
      </c>
      <c r="S1090" s="90" t="s">
        <v>387</v>
      </c>
      <c r="T1090" s="90">
        <v>1300</v>
      </c>
      <c r="U1090" s="90" t="s">
        <v>378</v>
      </c>
      <c r="V1090" s="90" t="s">
        <v>244</v>
      </c>
      <c r="Z1090" s="90">
        <v>0</v>
      </c>
      <c r="AA1090" s="90">
        <v>1</v>
      </c>
      <c r="AB1090" s="90">
        <v>2.3035522908890001E-2</v>
      </c>
      <c r="AC1090" s="90">
        <v>4.2198674642300003E-3</v>
      </c>
      <c r="AD1090" s="90">
        <v>31.873671295631599</v>
      </c>
      <c r="AF1090" s="90">
        <v>-1</v>
      </c>
      <c r="AG1090" s="90">
        <v>-1</v>
      </c>
      <c r="AH1090" s="90">
        <v>-1</v>
      </c>
      <c r="AI1090" s="90">
        <v>-1</v>
      </c>
      <c r="AJ1090" s="90">
        <v>0</v>
      </c>
      <c r="AM1090" s="90" t="s">
        <v>379</v>
      </c>
      <c r="AN1090" s="90">
        <v>-1</v>
      </c>
      <c r="AQ1090" s="90">
        <v>372</v>
      </c>
      <c r="AR1090" s="90" t="s">
        <v>277</v>
      </c>
      <c r="AS1090" s="90" t="s">
        <v>401</v>
      </c>
      <c r="AT1090" s="90" t="s">
        <v>244</v>
      </c>
      <c r="AU1090" s="90">
        <v>1.853804</v>
      </c>
      <c r="AV1090" s="90">
        <v>33.282142329398397</v>
      </c>
      <c r="AW1090" s="90">
        <v>9.1962390077222693</v>
      </c>
      <c r="AX1090" s="90">
        <v>2.5850503899999999E-2</v>
      </c>
    </row>
    <row r="1091" spans="1:50" x14ac:dyDescent="0.25">
      <c r="A1091" s="102">
        <v>840000</v>
      </c>
      <c r="B1091" s="102">
        <v>2400000</v>
      </c>
      <c r="C1091" s="102">
        <v>2400000</v>
      </c>
      <c r="D1091" s="90" t="s">
        <v>374</v>
      </c>
      <c r="E1091" s="90" t="s">
        <v>68</v>
      </c>
      <c r="F1091" s="90" t="s">
        <v>375</v>
      </c>
      <c r="G1091" s="90" t="s">
        <v>376</v>
      </c>
      <c r="H1091" s="90">
        <v>0.59</v>
      </c>
      <c r="I1091" s="90">
        <v>0.64</v>
      </c>
      <c r="J1091" s="90" t="s">
        <v>381</v>
      </c>
      <c r="K1091" s="90">
        <v>2.9599119048439999E-2</v>
      </c>
      <c r="L1091" s="90">
        <v>3768.66542927504</v>
      </c>
      <c r="M1091" s="90">
        <v>10.136910725021099</v>
      </c>
      <c r="N1091" s="90">
        <v>1.85697628508424</v>
      </c>
      <c r="O1091" s="90">
        <v>0.30004362733336998</v>
      </c>
      <c r="P1091" s="90">
        <v>5.4964862132340003E-2</v>
      </c>
      <c r="Q1091" s="90">
        <v>111.54917669487401</v>
      </c>
      <c r="R1091" s="90">
        <v>1300</v>
      </c>
      <c r="S1091" s="90" t="s">
        <v>387</v>
      </c>
      <c r="T1091" s="90">
        <v>1300</v>
      </c>
      <c r="U1091" s="90" t="s">
        <v>382</v>
      </c>
      <c r="V1091" s="90" t="s">
        <v>381</v>
      </c>
      <c r="Z1091" s="90">
        <v>0</v>
      </c>
      <c r="AA1091" s="90">
        <v>1</v>
      </c>
      <c r="AB1091" s="90">
        <v>0.30004362733336998</v>
      </c>
      <c r="AC1091" s="90">
        <v>5.4964862132340003E-2</v>
      </c>
      <c r="AD1091" s="90">
        <v>892.55793943311301</v>
      </c>
      <c r="AF1091" s="90">
        <v>-1</v>
      </c>
      <c r="AG1091" s="90">
        <v>-1</v>
      </c>
      <c r="AH1091" s="90">
        <v>-1</v>
      </c>
      <c r="AI1091" s="90">
        <v>-1</v>
      </c>
      <c r="AJ1091" s="90">
        <v>0</v>
      </c>
      <c r="AM1091" s="90" t="s">
        <v>379</v>
      </c>
      <c r="AN1091" s="90">
        <v>-1</v>
      </c>
      <c r="AQ1091" s="90">
        <v>372</v>
      </c>
      <c r="AR1091" s="90" t="s">
        <v>277</v>
      </c>
      <c r="AS1091" s="90" t="s">
        <v>401</v>
      </c>
      <c r="AT1091" s="90" t="s">
        <v>244</v>
      </c>
      <c r="AU1091" s="90">
        <v>1.853804</v>
      </c>
      <c r="AV1091" s="90">
        <v>46.429200273550599</v>
      </c>
      <c r="AW1091" s="90">
        <v>119.783385018587</v>
      </c>
      <c r="AX1091" s="90">
        <v>0.72389127289999999</v>
      </c>
    </row>
    <row r="1092" spans="1:50" x14ac:dyDescent="0.25">
      <c r="A1092" s="102">
        <v>840000</v>
      </c>
      <c r="B1092" s="102">
        <v>2400000</v>
      </c>
      <c r="C1092" s="102">
        <v>2400000</v>
      </c>
      <c r="D1092" s="90" t="s">
        <v>374</v>
      </c>
      <c r="E1092" s="90" t="s">
        <v>68</v>
      </c>
      <c r="F1092" s="90" t="s">
        <v>375</v>
      </c>
      <c r="G1092" s="90" t="s">
        <v>376</v>
      </c>
      <c r="H1092" s="90">
        <v>0.59</v>
      </c>
      <c r="I1092" s="90">
        <v>0.64</v>
      </c>
      <c r="J1092" s="90" t="s">
        <v>244</v>
      </c>
      <c r="K1092" s="90">
        <v>9.3101612208500006E-3</v>
      </c>
      <c r="L1092" s="90">
        <v>3768.66542927504</v>
      </c>
      <c r="M1092" s="90">
        <v>10.136910725021099</v>
      </c>
      <c r="N1092" s="90">
        <v>1.85697628508424</v>
      </c>
      <c r="O1092" s="90">
        <v>9.4376273131349997E-2</v>
      </c>
      <c r="P1092" s="90">
        <v>1.7288748597430001E-2</v>
      </c>
      <c r="Q1092" s="90">
        <v>35.0868827340095</v>
      </c>
      <c r="R1092" s="90">
        <v>1330</v>
      </c>
      <c r="S1092" s="90" t="s">
        <v>397</v>
      </c>
      <c r="T1092" s="90">
        <v>1330</v>
      </c>
      <c r="U1092" s="90" t="s">
        <v>378</v>
      </c>
      <c r="V1092" s="90" t="s">
        <v>244</v>
      </c>
      <c r="Z1092" s="90">
        <v>0</v>
      </c>
      <c r="AA1092" s="90">
        <v>1</v>
      </c>
      <c r="AB1092" s="90">
        <v>9.4376273131349997E-2</v>
      </c>
      <c r="AC1092" s="90">
        <v>1.7288748597430001E-2</v>
      </c>
      <c r="AD1092" s="90">
        <v>55.628547456845801</v>
      </c>
      <c r="AF1092" s="90">
        <v>-1</v>
      </c>
      <c r="AG1092" s="90">
        <v>-1</v>
      </c>
      <c r="AH1092" s="90">
        <v>-1</v>
      </c>
      <c r="AI1092" s="90">
        <v>-1</v>
      </c>
      <c r="AJ1092" s="90">
        <v>0</v>
      </c>
      <c r="AM1092" s="90" t="s">
        <v>379</v>
      </c>
      <c r="AN1092" s="90">
        <v>-1</v>
      </c>
      <c r="AQ1092" s="90">
        <v>372</v>
      </c>
      <c r="AR1092" s="90" t="s">
        <v>277</v>
      </c>
      <c r="AS1092" s="90" t="s">
        <v>401</v>
      </c>
      <c r="AT1092" s="90" t="s">
        <v>244</v>
      </c>
      <c r="AU1092" s="90">
        <v>1.853804</v>
      </c>
      <c r="AV1092" s="90">
        <v>32.197813152389202</v>
      </c>
      <c r="AW1092" s="90">
        <v>37.676885730191003</v>
      </c>
      <c r="AX1092" s="90">
        <v>4.5116421300000001E-2</v>
      </c>
    </row>
    <row r="1093" spans="1:50" x14ac:dyDescent="0.25">
      <c r="A1093" s="102">
        <v>840000</v>
      </c>
      <c r="B1093" s="102">
        <v>2400000</v>
      </c>
      <c r="C1093" s="102">
        <v>2400000</v>
      </c>
      <c r="D1093" s="90" t="s">
        <v>374</v>
      </c>
      <c r="E1093" s="90" t="s">
        <v>68</v>
      </c>
      <c r="F1093" s="90" t="s">
        <v>375</v>
      </c>
      <c r="G1093" s="90" t="s">
        <v>376</v>
      </c>
      <c r="H1093" s="90">
        <v>0.59</v>
      </c>
      <c r="I1093" s="90">
        <v>0.64</v>
      </c>
      <c r="J1093" s="90" t="s">
        <v>244</v>
      </c>
      <c r="K1093" s="90">
        <v>7.8452065982189997E-2</v>
      </c>
      <c r="L1093" s="90">
        <v>3768.66542927504</v>
      </c>
      <c r="M1093" s="90">
        <v>10.136910725021099</v>
      </c>
      <c r="N1093" s="90">
        <v>1.85697628508424</v>
      </c>
      <c r="O1093" s="90">
        <v>0.79526158905501998</v>
      </c>
      <c r="P1093" s="90">
        <v>0.14568362604480001</v>
      </c>
      <c r="Q1093" s="90">
        <v>295.65958892231703</v>
      </c>
      <c r="R1093" s="90">
        <v>1330</v>
      </c>
      <c r="S1093" s="90" t="s">
        <v>397</v>
      </c>
      <c r="T1093" s="90">
        <v>1330</v>
      </c>
      <c r="U1093" s="90" t="s">
        <v>378</v>
      </c>
      <c r="V1093" s="90" t="s">
        <v>244</v>
      </c>
      <c r="Z1093" s="90">
        <v>0</v>
      </c>
      <c r="AA1093" s="90">
        <v>1</v>
      </c>
      <c r="AB1093" s="90">
        <v>0.79526158905501998</v>
      </c>
      <c r="AC1093" s="90">
        <v>0.14568362604480001</v>
      </c>
      <c r="AD1093" s="90">
        <v>493.10898689561498</v>
      </c>
      <c r="AF1093" s="90">
        <v>-1</v>
      </c>
      <c r="AG1093" s="90">
        <v>-1</v>
      </c>
      <c r="AH1093" s="90">
        <v>-1</v>
      </c>
      <c r="AI1093" s="90">
        <v>-1</v>
      </c>
      <c r="AJ1093" s="90">
        <v>0</v>
      </c>
      <c r="AM1093" s="90" t="s">
        <v>379</v>
      </c>
      <c r="AN1093" s="90">
        <v>-1</v>
      </c>
      <c r="AQ1093" s="90">
        <v>372</v>
      </c>
      <c r="AR1093" s="90" t="s">
        <v>277</v>
      </c>
      <c r="AS1093" s="90" t="s">
        <v>401</v>
      </c>
      <c r="AT1093" s="90" t="s">
        <v>244</v>
      </c>
      <c r="AU1093" s="90">
        <v>1.853804</v>
      </c>
      <c r="AV1093" s="90">
        <v>81.193371589707795</v>
      </c>
      <c r="AW1093" s="90">
        <v>317.48424707061099</v>
      </c>
      <c r="AX1093" s="90">
        <v>0.39992618559999998</v>
      </c>
    </row>
    <row r="1094" spans="1:50" x14ac:dyDescent="0.25">
      <c r="A1094" s="102">
        <v>840000</v>
      </c>
      <c r="B1094" s="102">
        <v>2400000</v>
      </c>
      <c r="C1094" s="102">
        <v>2400000</v>
      </c>
      <c r="D1094" s="90" t="s">
        <v>374</v>
      </c>
      <c r="E1094" s="90" t="s">
        <v>68</v>
      </c>
      <c r="F1094" s="90" t="s">
        <v>375</v>
      </c>
      <c r="G1094" s="90" t="s">
        <v>376</v>
      </c>
      <c r="H1094" s="90">
        <v>0.59</v>
      </c>
      <c r="I1094" s="90">
        <v>0.64</v>
      </c>
      <c r="J1094" s="90" t="s">
        <v>244</v>
      </c>
      <c r="K1094" s="90">
        <v>4.1664985347669999E-2</v>
      </c>
      <c r="L1094" s="90">
        <v>3777.7388730708099</v>
      </c>
      <c r="M1094" s="90">
        <v>9.8672962632328094</v>
      </c>
      <c r="N1094" s="90">
        <v>1.7833472465904301</v>
      </c>
      <c r="O1094" s="90">
        <v>0.41112075422875999</v>
      </c>
      <c r="P1094" s="90">
        <v>7.4303136899000005E-2</v>
      </c>
      <c r="Q1094" s="90">
        <v>157.399434793837</v>
      </c>
      <c r="R1094" s="90">
        <v>1300</v>
      </c>
      <c r="S1094" s="90" t="s">
        <v>387</v>
      </c>
      <c r="T1094" s="90">
        <v>1300</v>
      </c>
      <c r="U1094" s="90" t="s">
        <v>378</v>
      </c>
      <c r="V1094" s="90" t="s">
        <v>244</v>
      </c>
      <c r="Z1094" s="90">
        <v>0</v>
      </c>
      <c r="AA1094" s="90">
        <v>1</v>
      </c>
      <c r="AB1094" s="90">
        <v>0.41112075422875999</v>
      </c>
      <c r="AC1094" s="90">
        <v>7.4303136899000005E-2</v>
      </c>
      <c r="AD1094" s="90">
        <v>287.942342793926</v>
      </c>
      <c r="AF1094" s="90">
        <v>-1</v>
      </c>
      <c r="AG1094" s="90">
        <v>-1</v>
      </c>
      <c r="AH1094" s="90">
        <v>-1</v>
      </c>
      <c r="AI1094" s="90">
        <v>-1</v>
      </c>
      <c r="AJ1094" s="90">
        <v>0</v>
      </c>
      <c r="AM1094" s="90" t="s">
        <v>379</v>
      </c>
      <c r="AN1094" s="90">
        <v>-1</v>
      </c>
      <c r="AQ1094" s="90">
        <v>372</v>
      </c>
      <c r="AR1094" s="90" t="s">
        <v>277</v>
      </c>
      <c r="AS1094" s="90" t="s">
        <v>401</v>
      </c>
      <c r="AT1094" s="90" t="s">
        <v>244</v>
      </c>
      <c r="AU1094" s="90">
        <v>1.853804</v>
      </c>
      <c r="AV1094" s="90">
        <v>69.580433799145496</v>
      </c>
      <c r="AW1094" s="90">
        <v>168.612213543438</v>
      </c>
      <c r="AX1094" s="90">
        <v>0.23352988059999999</v>
      </c>
    </row>
    <row r="1095" spans="1:50" x14ac:dyDescent="0.25">
      <c r="A1095" s="102">
        <v>840000</v>
      </c>
      <c r="B1095" s="102">
        <v>2400000</v>
      </c>
      <c r="C1095" s="102">
        <v>2400000</v>
      </c>
      <c r="D1095" s="90" t="s">
        <v>374</v>
      </c>
      <c r="E1095" s="90" t="s">
        <v>68</v>
      </c>
      <c r="F1095" s="90" t="s">
        <v>375</v>
      </c>
      <c r="G1095" s="90" t="s">
        <v>376</v>
      </c>
      <c r="H1095" s="90">
        <v>0.59</v>
      </c>
      <c r="I1095" s="90">
        <v>0.64</v>
      </c>
      <c r="J1095" s="90" t="s">
        <v>381</v>
      </c>
      <c r="K1095" s="90">
        <v>1.6152579053609999E-2</v>
      </c>
      <c r="L1095" s="90">
        <v>3777.7388730708099</v>
      </c>
      <c r="M1095" s="90">
        <v>9.8672962632328094</v>
      </c>
      <c r="N1095" s="90">
        <v>1.7833472465904301</v>
      </c>
      <c r="O1095" s="90">
        <v>0.15938228293734</v>
      </c>
      <c r="P1095" s="90">
        <v>2.8805657380600001E-2</v>
      </c>
      <c r="Q1095" s="90">
        <v>61.020225791205903</v>
      </c>
      <c r="R1095" s="90">
        <v>1300</v>
      </c>
      <c r="S1095" s="90" t="s">
        <v>387</v>
      </c>
      <c r="T1095" s="90">
        <v>1300</v>
      </c>
      <c r="U1095" s="90" t="s">
        <v>382</v>
      </c>
      <c r="V1095" s="90" t="s">
        <v>381</v>
      </c>
      <c r="Z1095" s="90">
        <v>0</v>
      </c>
      <c r="AA1095" s="90">
        <v>1</v>
      </c>
      <c r="AB1095" s="90">
        <v>0.15938228293734</v>
      </c>
      <c r="AC1095" s="90">
        <v>2.8805657380600001E-2</v>
      </c>
      <c r="AD1095" s="90">
        <v>715.931462472769</v>
      </c>
      <c r="AF1095" s="90">
        <v>-1</v>
      </c>
      <c r="AG1095" s="90">
        <v>-1</v>
      </c>
      <c r="AH1095" s="90">
        <v>-1</v>
      </c>
      <c r="AI1095" s="90">
        <v>-1</v>
      </c>
      <c r="AJ1095" s="90">
        <v>0</v>
      </c>
      <c r="AM1095" s="90" t="s">
        <v>379</v>
      </c>
      <c r="AN1095" s="90">
        <v>-1</v>
      </c>
      <c r="AQ1095" s="90">
        <v>372</v>
      </c>
      <c r="AR1095" s="90" t="s">
        <v>277</v>
      </c>
      <c r="AS1095" s="90" t="s">
        <v>401</v>
      </c>
      <c r="AT1095" s="90" t="s">
        <v>244</v>
      </c>
      <c r="AU1095" s="90">
        <v>1.853804</v>
      </c>
      <c r="AV1095" s="90">
        <v>32.3725619586153</v>
      </c>
      <c r="AW1095" s="90">
        <v>65.367168281460494</v>
      </c>
      <c r="AX1095" s="90">
        <v>0.58064189980000003</v>
      </c>
    </row>
    <row r="1096" spans="1:50" x14ac:dyDescent="0.25">
      <c r="A1096" s="102">
        <v>840000</v>
      </c>
      <c r="B1096" s="102">
        <v>2400000</v>
      </c>
      <c r="C1096" s="102">
        <v>2400000</v>
      </c>
      <c r="D1096" s="90" t="s">
        <v>374</v>
      </c>
      <c r="E1096" s="90" t="s">
        <v>68</v>
      </c>
      <c r="F1096" s="90" t="s">
        <v>375</v>
      </c>
      <c r="G1096" s="90" t="s">
        <v>376</v>
      </c>
      <c r="H1096" s="90">
        <v>0.59</v>
      </c>
      <c r="I1096" s="90">
        <v>0.64</v>
      </c>
      <c r="J1096" s="90" t="s">
        <v>244</v>
      </c>
      <c r="K1096" s="90">
        <v>7.2833040769999997E-4</v>
      </c>
      <c r="L1096" s="90">
        <v>3777.7388730708099</v>
      </c>
      <c r="M1096" s="90">
        <v>9.8672962632328094</v>
      </c>
      <c r="N1096" s="90">
        <v>1.7833472465904301</v>
      </c>
      <c r="O1096" s="90">
        <v>7.1866519103499999E-3</v>
      </c>
      <c r="P1096" s="90">
        <v>1.2988660271899999E-3</v>
      </c>
      <c r="Q1096" s="90">
        <v>2.75144209363047</v>
      </c>
      <c r="R1096" s="90">
        <v>1330</v>
      </c>
      <c r="S1096" s="90" t="s">
        <v>397</v>
      </c>
      <c r="T1096" s="90">
        <v>1330</v>
      </c>
      <c r="U1096" s="90" t="s">
        <v>378</v>
      </c>
      <c r="V1096" s="90" t="s">
        <v>244</v>
      </c>
      <c r="Z1096" s="90">
        <v>0</v>
      </c>
      <c r="AA1096" s="90">
        <v>1</v>
      </c>
      <c r="AB1096" s="90">
        <v>7.1866519103499999E-3</v>
      </c>
      <c r="AC1096" s="90">
        <v>1.2988660271899999E-3</v>
      </c>
      <c r="AD1096" s="90">
        <v>2.7514420936314901</v>
      </c>
      <c r="AF1096" s="90">
        <v>-1</v>
      </c>
      <c r="AG1096" s="90">
        <v>-1</v>
      </c>
      <c r="AH1096" s="90">
        <v>-1</v>
      </c>
      <c r="AI1096" s="90">
        <v>-1</v>
      </c>
      <c r="AJ1096" s="90">
        <v>0</v>
      </c>
      <c r="AM1096" s="90" t="s">
        <v>379</v>
      </c>
      <c r="AN1096" s="90">
        <v>-1</v>
      </c>
      <c r="AQ1096" s="90">
        <v>372</v>
      </c>
      <c r="AR1096" s="90" t="s">
        <v>277</v>
      </c>
      <c r="AS1096" s="90" t="s">
        <v>401</v>
      </c>
      <c r="AT1096" s="90" t="s">
        <v>244</v>
      </c>
      <c r="AU1096" s="90">
        <v>1.853804</v>
      </c>
      <c r="AV1096" s="90">
        <v>8.9167524213725393</v>
      </c>
      <c r="AW1096" s="90">
        <v>2.9474485880553298</v>
      </c>
      <c r="AX1096" s="90">
        <v>2.2315020999999998E-3</v>
      </c>
    </row>
    <row r="1097" spans="1:50" x14ac:dyDescent="0.25">
      <c r="A1097" s="102">
        <v>840000</v>
      </c>
      <c r="B1097" s="102">
        <v>2400000</v>
      </c>
      <c r="C1097" s="102">
        <v>2400000</v>
      </c>
      <c r="D1097" s="90" t="s">
        <v>374</v>
      </c>
      <c r="E1097" s="90" t="s">
        <v>68</v>
      </c>
      <c r="F1097" s="90" t="s">
        <v>375</v>
      </c>
      <c r="G1097" s="90" t="s">
        <v>376</v>
      </c>
      <c r="H1097" s="90">
        <v>0.59</v>
      </c>
      <c r="I1097" s="90">
        <v>0.64</v>
      </c>
      <c r="J1097" s="90" t="s">
        <v>244</v>
      </c>
      <c r="K1097" s="90">
        <v>6.44025421048E-3</v>
      </c>
      <c r="L1097" s="90">
        <v>3777.7388730708099</v>
      </c>
      <c r="M1097" s="90">
        <v>9.8672962632328094</v>
      </c>
      <c r="N1097" s="90">
        <v>1.7833472465904301</v>
      </c>
      <c r="O1097" s="90">
        <v>6.3547896305350002E-2</v>
      </c>
      <c r="P1097" s="90">
        <v>1.14852096136E-2</v>
      </c>
      <c r="Q1097" s="90">
        <v>24.329598683395801</v>
      </c>
      <c r="R1097" s="90">
        <v>1330</v>
      </c>
      <c r="S1097" s="90" t="s">
        <v>397</v>
      </c>
      <c r="T1097" s="90">
        <v>1330</v>
      </c>
      <c r="U1097" s="90" t="s">
        <v>378</v>
      </c>
      <c r="V1097" s="90" t="s">
        <v>244</v>
      </c>
      <c r="Z1097" s="90">
        <v>0</v>
      </c>
      <c r="AA1097" s="90">
        <v>1</v>
      </c>
      <c r="AB1097" s="90">
        <v>6.3547896305350002E-2</v>
      </c>
      <c r="AC1097" s="90">
        <v>1.14852096136E-2</v>
      </c>
      <c r="AD1097" s="90">
        <v>24.329598683396298</v>
      </c>
      <c r="AF1097" s="90">
        <v>-1</v>
      </c>
      <c r="AG1097" s="90">
        <v>-1</v>
      </c>
      <c r="AH1097" s="90">
        <v>-1</v>
      </c>
      <c r="AI1097" s="90">
        <v>-1</v>
      </c>
      <c r="AJ1097" s="90">
        <v>0</v>
      </c>
      <c r="AM1097" s="90" t="s">
        <v>379</v>
      </c>
      <c r="AN1097" s="90">
        <v>-1</v>
      </c>
      <c r="AQ1097" s="90">
        <v>372</v>
      </c>
      <c r="AR1097" s="90" t="s">
        <v>277</v>
      </c>
      <c r="AS1097" s="90" t="s">
        <v>401</v>
      </c>
      <c r="AT1097" s="90" t="s">
        <v>244</v>
      </c>
      <c r="AU1097" s="90">
        <v>1.853804</v>
      </c>
      <c r="AV1097" s="90">
        <v>48.354630135469399</v>
      </c>
      <c r="AW1097" s="90">
        <v>26.0627841135782</v>
      </c>
      <c r="AX1097" s="90">
        <v>1.97320346E-2</v>
      </c>
    </row>
    <row r="1098" spans="1:50" x14ac:dyDescent="0.25">
      <c r="A1098" s="102">
        <v>840000</v>
      </c>
      <c r="B1098" s="102">
        <v>2400000</v>
      </c>
      <c r="C1098" s="102">
        <v>2400000</v>
      </c>
      <c r="D1098" s="90" t="s">
        <v>374</v>
      </c>
      <c r="E1098" s="90" t="s">
        <v>68</v>
      </c>
      <c r="F1098" s="90" t="s">
        <v>375</v>
      </c>
      <c r="G1098" s="90" t="s">
        <v>376</v>
      </c>
      <c r="H1098" s="90">
        <v>0.59</v>
      </c>
      <c r="I1098" s="90">
        <v>0.64</v>
      </c>
      <c r="J1098" s="90" t="s">
        <v>244</v>
      </c>
      <c r="K1098" s="90">
        <v>0.11602173087891</v>
      </c>
      <c r="L1098" s="90">
        <v>3737.4686967357602</v>
      </c>
      <c r="M1098" s="90">
        <v>10.115799686661701</v>
      </c>
      <c r="N1098" s="90">
        <v>1.7613689011664699</v>
      </c>
      <c r="O1098" s="90">
        <v>1.17365258887089</v>
      </c>
      <c r="P1098" s="90">
        <v>0.20435706862962</v>
      </c>
      <c r="Q1098" s="90">
        <v>433.627587301049</v>
      </c>
      <c r="R1098" s="90">
        <v>1200</v>
      </c>
      <c r="S1098" s="90" t="s">
        <v>384</v>
      </c>
      <c r="T1098" s="90">
        <v>1200</v>
      </c>
      <c r="U1098" s="90" t="s">
        <v>378</v>
      </c>
      <c r="V1098" s="90" t="s">
        <v>244</v>
      </c>
      <c r="Z1098" s="90">
        <v>0</v>
      </c>
      <c r="AA1098" s="90">
        <v>1</v>
      </c>
      <c r="AB1098" s="90">
        <v>1.17365258887089</v>
      </c>
      <c r="AC1098" s="90">
        <v>0.20435706862962</v>
      </c>
      <c r="AD1098" s="90">
        <v>439.28566849245402</v>
      </c>
      <c r="AF1098" s="90">
        <v>-1</v>
      </c>
      <c r="AG1098" s="90">
        <v>-1</v>
      </c>
      <c r="AH1098" s="90">
        <v>-1</v>
      </c>
      <c r="AI1098" s="90">
        <v>-1</v>
      </c>
      <c r="AJ1098" s="90">
        <v>0</v>
      </c>
      <c r="AM1098" s="90" t="s">
        <v>379</v>
      </c>
      <c r="AN1098" s="90">
        <v>-1</v>
      </c>
      <c r="AQ1098" s="90">
        <v>372</v>
      </c>
      <c r="AR1098" s="90" t="s">
        <v>277</v>
      </c>
      <c r="AS1098" s="90" t="s">
        <v>401</v>
      </c>
      <c r="AT1098" s="90" t="s">
        <v>244</v>
      </c>
      <c r="AU1098" s="90">
        <v>1.853804</v>
      </c>
      <c r="AV1098" s="90">
        <v>119.976498587329</v>
      </c>
      <c r="AW1098" s="90">
        <v>469.523286745306</v>
      </c>
      <c r="AX1098" s="90">
        <v>0.3562738593</v>
      </c>
    </row>
    <row r="1099" spans="1:50" x14ac:dyDescent="0.25">
      <c r="A1099" s="102">
        <v>840000</v>
      </c>
      <c r="B1099" s="102">
        <v>2400000</v>
      </c>
      <c r="C1099" s="102">
        <v>2400000</v>
      </c>
      <c r="D1099" s="90" t="s">
        <v>374</v>
      </c>
      <c r="E1099" s="90" t="s">
        <v>68</v>
      </c>
      <c r="F1099" s="90" t="s">
        <v>375</v>
      </c>
      <c r="G1099" s="90" t="s">
        <v>376</v>
      </c>
      <c r="H1099" s="90">
        <v>0.59</v>
      </c>
      <c r="I1099" s="90">
        <v>0.64</v>
      </c>
      <c r="J1099" s="90" t="s">
        <v>244</v>
      </c>
      <c r="K1099" s="90">
        <v>4.0785329236139999E-2</v>
      </c>
      <c r="L1099" s="90">
        <v>3737.4686967357602</v>
      </c>
      <c r="M1099" s="90">
        <v>10.115799686661701</v>
      </c>
      <c r="N1099" s="90">
        <v>1.7613689011664699</v>
      </c>
      <c r="O1099" s="90">
        <v>0.41257622070741001</v>
      </c>
      <c r="P1099" s="90">
        <v>7.1838010540379998E-2</v>
      </c>
      <c r="Q1099" s="90">
        <v>152.433891306161</v>
      </c>
      <c r="R1099" s="90">
        <v>1300</v>
      </c>
      <c r="S1099" s="90" t="s">
        <v>387</v>
      </c>
      <c r="T1099" s="90">
        <v>1300</v>
      </c>
      <c r="U1099" s="90" t="s">
        <v>378</v>
      </c>
      <c r="V1099" s="90" t="s">
        <v>244</v>
      </c>
      <c r="Z1099" s="90">
        <v>0</v>
      </c>
      <c r="AA1099" s="90">
        <v>1</v>
      </c>
      <c r="AB1099" s="90">
        <v>0.41257622070741001</v>
      </c>
      <c r="AC1099" s="90">
        <v>7.1838010540379998E-2</v>
      </c>
      <c r="AD1099" s="90">
        <v>597.84066951150498</v>
      </c>
      <c r="AF1099" s="90">
        <v>-1</v>
      </c>
      <c r="AG1099" s="90">
        <v>-1</v>
      </c>
      <c r="AH1099" s="90">
        <v>-1</v>
      </c>
      <c r="AI1099" s="90">
        <v>-1</v>
      </c>
      <c r="AJ1099" s="90">
        <v>0</v>
      </c>
      <c r="AM1099" s="90" t="s">
        <v>379</v>
      </c>
      <c r="AN1099" s="90">
        <v>-1</v>
      </c>
      <c r="AQ1099" s="90">
        <v>372</v>
      </c>
      <c r="AR1099" s="90" t="s">
        <v>277</v>
      </c>
      <c r="AS1099" s="90" t="s">
        <v>401</v>
      </c>
      <c r="AT1099" s="90" t="s">
        <v>244</v>
      </c>
      <c r="AU1099" s="90">
        <v>1.853804</v>
      </c>
      <c r="AV1099" s="90">
        <v>105.69229286459699</v>
      </c>
      <c r="AW1099" s="90">
        <v>165.05237155900099</v>
      </c>
      <c r="AX1099" s="90">
        <v>0.484866723</v>
      </c>
    </row>
    <row r="1100" spans="1:50" x14ac:dyDescent="0.25">
      <c r="A1100" s="102">
        <v>840000</v>
      </c>
      <c r="B1100" s="102">
        <v>2400000</v>
      </c>
      <c r="C1100" s="102">
        <v>2400000</v>
      </c>
      <c r="D1100" s="90" t="s">
        <v>374</v>
      </c>
      <c r="E1100" s="90" t="s">
        <v>68</v>
      </c>
      <c r="F1100" s="90" t="s">
        <v>375</v>
      </c>
      <c r="G1100" s="90" t="s">
        <v>376</v>
      </c>
      <c r="H1100" s="90">
        <v>0.59</v>
      </c>
      <c r="I1100" s="90">
        <v>0.64</v>
      </c>
      <c r="J1100" s="90" t="s">
        <v>381</v>
      </c>
      <c r="K1100" s="90">
        <v>4.6396397516000002E-4</v>
      </c>
      <c r="L1100" s="90">
        <v>3737.4686967357602</v>
      </c>
      <c r="M1100" s="90">
        <v>10.115799686661701</v>
      </c>
      <c r="N1100" s="90">
        <v>1.7613689011664699</v>
      </c>
      <c r="O1100" s="90">
        <v>4.6933666346199998E-3</v>
      </c>
      <c r="P1100" s="90">
        <v>8.1721171711999997E-4</v>
      </c>
      <c r="Q1100" s="90">
        <v>1.7340508336034799</v>
      </c>
      <c r="R1100" s="90">
        <v>1300</v>
      </c>
      <c r="S1100" s="90" t="s">
        <v>387</v>
      </c>
      <c r="T1100" s="90">
        <v>1300</v>
      </c>
      <c r="U1100" s="90" t="s">
        <v>382</v>
      </c>
      <c r="V1100" s="90" t="s">
        <v>381</v>
      </c>
      <c r="Z1100" s="90">
        <v>0</v>
      </c>
      <c r="AA1100" s="90">
        <v>1</v>
      </c>
      <c r="AB1100" s="90">
        <v>4.6933666346199998E-3</v>
      </c>
      <c r="AC1100" s="90">
        <v>8.1721171711999997E-4</v>
      </c>
      <c r="AD1100" s="90">
        <v>7.3193554925630497</v>
      </c>
      <c r="AF1100" s="90">
        <v>-1</v>
      </c>
      <c r="AG1100" s="90">
        <v>-1</v>
      </c>
      <c r="AH1100" s="90">
        <v>-1</v>
      </c>
      <c r="AI1100" s="90">
        <v>-1</v>
      </c>
      <c r="AJ1100" s="90">
        <v>0</v>
      </c>
      <c r="AM1100" s="90" t="s">
        <v>379</v>
      </c>
      <c r="AN1100" s="90">
        <v>-1</v>
      </c>
      <c r="AQ1100" s="90">
        <v>372</v>
      </c>
      <c r="AR1100" s="90" t="s">
        <v>277</v>
      </c>
      <c r="AS1100" s="90" t="s">
        <v>401</v>
      </c>
      <c r="AT1100" s="90" t="s">
        <v>244</v>
      </c>
      <c r="AU1100" s="90">
        <v>1.853804</v>
      </c>
      <c r="AV1100" s="90">
        <v>26.807953685169299</v>
      </c>
      <c r="AW1100" s="90">
        <v>1.87759559267204</v>
      </c>
      <c r="AX1100" s="90">
        <v>5.9362169000000001E-3</v>
      </c>
    </row>
    <row r="1101" spans="1:50" x14ac:dyDescent="0.25">
      <c r="A1101" s="102">
        <v>840000</v>
      </c>
      <c r="B1101" s="102">
        <v>2400000</v>
      </c>
      <c r="C1101" s="102">
        <v>2400000</v>
      </c>
      <c r="D1101" s="90" t="s">
        <v>374</v>
      </c>
      <c r="E1101" s="90" t="s">
        <v>68</v>
      </c>
      <c r="F1101" s="90" t="s">
        <v>375</v>
      </c>
      <c r="G1101" s="90" t="s">
        <v>376</v>
      </c>
      <c r="H1101" s="90">
        <v>0.59</v>
      </c>
      <c r="I1101" s="90">
        <v>0.64</v>
      </c>
      <c r="J1101" s="90" t="s">
        <v>244</v>
      </c>
      <c r="K1101" s="90">
        <v>7.6027739366999999E-4</v>
      </c>
      <c r="L1101" s="90">
        <v>3737.4686967357602</v>
      </c>
      <c r="M1101" s="90">
        <v>10.115799686661701</v>
      </c>
      <c r="N1101" s="90">
        <v>1.7613689011664699</v>
      </c>
      <c r="O1101" s="90">
        <v>7.6908138207500004E-3</v>
      </c>
      <c r="P1101" s="90">
        <v>1.33912895748E-3</v>
      </c>
      <c r="Q1101" s="90">
        <v>2.84151295971111</v>
      </c>
      <c r="R1101" s="90">
        <v>1210</v>
      </c>
      <c r="S1101" s="90" t="s">
        <v>385</v>
      </c>
      <c r="T1101" s="90">
        <v>1210</v>
      </c>
      <c r="U1101" s="90" t="s">
        <v>378</v>
      </c>
      <c r="V1101" s="90" t="s">
        <v>244</v>
      </c>
      <c r="Z1101" s="90">
        <v>0</v>
      </c>
      <c r="AA1101" s="90">
        <v>1</v>
      </c>
      <c r="AB1101" s="90">
        <v>7.6908138207500004E-3</v>
      </c>
      <c r="AC1101" s="90">
        <v>1.33912895748E-3</v>
      </c>
      <c r="AD1101" s="90">
        <v>2.8415129597117601</v>
      </c>
      <c r="AF1101" s="90">
        <v>-1</v>
      </c>
      <c r="AG1101" s="90">
        <v>-1</v>
      </c>
      <c r="AH1101" s="90">
        <v>-1</v>
      </c>
      <c r="AI1101" s="90">
        <v>-1</v>
      </c>
      <c r="AJ1101" s="90">
        <v>0</v>
      </c>
      <c r="AM1101" s="90" t="s">
        <v>379</v>
      </c>
      <c r="AN1101" s="90">
        <v>-1</v>
      </c>
      <c r="AQ1101" s="90">
        <v>372</v>
      </c>
      <c r="AR1101" s="90" t="s">
        <v>277</v>
      </c>
      <c r="AS1101" s="90" t="s">
        <v>401</v>
      </c>
      <c r="AT1101" s="90" t="s">
        <v>244</v>
      </c>
      <c r="AU1101" s="90">
        <v>1.853804</v>
      </c>
      <c r="AV1101" s="90">
        <v>28.479156857113502</v>
      </c>
      <c r="AW1101" s="90">
        <v>3.0767334534161002</v>
      </c>
      <c r="AX1101" s="90">
        <v>2.3045523000000002E-3</v>
      </c>
    </row>
    <row r="1102" spans="1:50" x14ac:dyDescent="0.25">
      <c r="A1102" s="102">
        <v>840000</v>
      </c>
      <c r="B1102" s="102">
        <v>2400000</v>
      </c>
      <c r="C1102" s="102">
        <v>2400000</v>
      </c>
      <c r="D1102" s="90" t="s">
        <v>374</v>
      </c>
      <c r="E1102" s="90" t="s">
        <v>68</v>
      </c>
      <c r="F1102" s="90" t="s">
        <v>375</v>
      </c>
      <c r="G1102" s="90" t="s">
        <v>376</v>
      </c>
      <c r="H1102" s="90">
        <v>0.59</v>
      </c>
      <c r="I1102" s="90">
        <v>0.64</v>
      </c>
      <c r="J1102" s="90" t="s">
        <v>244</v>
      </c>
      <c r="K1102" s="90">
        <v>2.0026804027399999E-3</v>
      </c>
      <c r="L1102" s="90">
        <v>3737.4686967357602</v>
      </c>
      <c r="M1102" s="90">
        <v>10.115799686661701</v>
      </c>
      <c r="N1102" s="90">
        <v>1.7613689011664699</v>
      </c>
      <c r="O1102" s="90">
        <v>2.0258713790590001E-2</v>
      </c>
      <c r="P1102" s="90">
        <v>3.5274589803699998E-3</v>
      </c>
      <c r="Q1102" s="90">
        <v>7.4849553148330799</v>
      </c>
      <c r="R1102" s="90">
        <v>1210</v>
      </c>
      <c r="S1102" s="90" t="s">
        <v>385</v>
      </c>
      <c r="T1102" s="90">
        <v>1210</v>
      </c>
      <c r="U1102" s="90" t="s">
        <v>378</v>
      </c>
      <c r="V1102" s="90" t="s">
        <v>244</v>
      </c>
      <c r="Z1102" s="90">
        <v>0</v>
      </c>
      <c r="AA1102" s="90">
        <v>1</v>
      </c>
      <c r="AB1102" s="90">
        <v>2.0258713790590001E-2</v>
      </c>
      <c r="AC1102" s="90">
        <v>3.5274589803699998E-3</v>
      </c>
      <c r="AD1102" s="90">
        <v>7.4849553148323702</v>
      </c>
      <c r="AF1102" s="90">
        <v>-1</v>
      </c>
      <c r="AG1102" s="90">
        <v>-1</v>
      </c>
      <c r="AH1102" s="90">
        <v>-1</v>
      </c>
      <c r="AI1102" s="90">
        <v>-1</v>
      </c>
      <c r="AJ1102" s="90">
        <v>0</v>
      </c>
      <c r="AM1102" s="90" t="s">
        <v>379</v>
      </c>
      <c r="AN1102" s="90">
        <v>-1</v>
      </c>
      <c r="AQ1102" s="90">
        <v>372</v>
      </c>
      <c r="AR1102" s="90" t="s">
        <v>277</v>
      </c>
      <c r="AS1102" s="90" t="s">
        <v>401</v>
      </c>
      <c r="AT1102" s="90" t="s">
        <v>244</v>
      </c>
      <c r="AU1102" s="90">
        <v>1.853804</v>
      </c>
      <c r="AV1102" s="90">
        <v>64.061793544542994</v>
      </c>
      <c r="AW1102" s="90">
        <v>8.1045600498705497</v>
      </c>
      <c r="AX1102" s="90">
        <v>6.0705233999999997E-3</v>
      </c>
    </row>
    <row r="1103" spans="1:50" x14ac:dyDescent="0.25">
      <c r="A1103" s="102">
        <v>840000</v>
      </c>
      <c r="B1103" s="102">
        <v>2400000</v>
      </c>
      <c r="C1103" s="102">
        <v>2400000</v>
      </c>
      <c r="D1103" s="90" t="s">
        <v>374</v>
      </c>
      <c r="E1103" s="90" t="s">
        <v>68</v>
      </c>
      <c r="F1103" s="90" t="s">
        <v>375</v>
      </c>
      <c r="G1103" s="90" t="s">
        <v>376</v>
      </c>
      <c r="H1103" s="90">
        <v>0.59</v>
      </c>
      <c r="I1103" s="90">
        <v>0.64</v>
      </c>
      <c r="J1103" s="90" t="s">
        <v>244</v>
      </c>
      <c r="K1103" s="90">
        <v>4.4333239574950001E-2</v>
      </c>
      <c r="L1103" s="90">
        <v>3737.4686967357602</v>
      </c>
      <c r="M1103" s="90">
        <v>10.115799686661701</v>
      </c>
      <c r="N1103" s="90">
        <v>1.7613689011664699</v>
      </c>
      <c r="O1103" s="90">
        <v>0.44846617100107</v>
      </c>
      <c r="P1103" s="90">
        <v>7.8087189475290003E-2</v>
      </c>
      <c r="Q1103" s="90">
        <v>165.694095136296</v>
      </c>
      <c r="R1103" s="90">
        <v>1210</v>
      </c>
      <c r="S1103" s="90" t="s">
        <v>385</v>
      </c>
      <c r="T1103" s="90">
        <v>1210</v>
      </c>
      <c r="U1103" s="90" t="s">
        <v>378</v>
      </c>
      <c r="V1103" s="90" t="s">
        <v>244</v>
      </c>
      <c r="Z1103" s="90">
        <v>0</v>
      </c>
      <c r="AA1103" s="90">
        <v>1</v>
      </c>
      <c r="AB1103" s="90">
        <v>0.44846617100107</v>
      </c>
      <c r="AC1103" s="90">
        <v>7.8087189475290003E-2</v>
      </c>
      <c r="AD1103" s="90">
        <v>301.63487264474799</v>
      </c>
      <c r="AF1103" s="90">
        <v>-1</v>
      </c>
      <c r="AG1103" s="90">
        <v>-1</v>
      </c>
      <c r="AH1103" s="90">
        <v>-1</v>
      </c>
      <c r="AI1103" s="90">
        <v>-1</v>
      </c>
      <c r="AJ1103" s="90">
        <v>0</v>
      </c>
      <c r="AM1103" s="90" t="s">
        <v>379</v>
      </c>
      <c r="AN1103" s="90">
        <v>-1</v>
      </c>
      <c r="AQ1103" s="90">
        <v>372</v>
      </c>
      <c r="AR1103" s="90" t="s">
        <v>277</v>
      </c>
      <c r="AS1103" s="90" t="s">
        <v>401</v>
      </c>
      <c r="AT1103" s="90" t="s">
        <v>244</v>
      </c>
      <c r="AU1103" s="90">
        <v>1.853804</v>
      </c>
      <c r="AV1103" s="90">
        <v>54.524385980591198</v>
      </c>
      <c r="AW1103" s="90">
        <v>179.410255299721</v>
      </c>
      <c r="AX1103" s="90">
        <v>0.24463493319999999</v>
      </c>
    </row>
    <row r="1104" spans="1:50" x14ac:dyDescent="0.25">
      <c r="A1104" s="102">
        <v>840000</v>
      </c>
      <c r="B1104" s="102">
        <v>2400000</v>
      </c>
      <c r="C1104" s="102">
        <v>2400000</v>
      </c>
      <c r="D1104" s="90" t="s">
        <v>374</v>
      </c>
      <c r="E1104" s="90" t="s">
        <v>68</v>
      </c>
      <c r="F1104" s="90" t="s">
        <v>375</v>
      </c>
      <c r="G1104" s="90" t="s">
        <v>376</v>
      </c>
      <c r="H1104" s="90">
        <v>0.59</v>
      </c>
      <c r="I1104" s="90">
        <v>0.64</v>
      </c>
      <c r="J1104" s="90" t="s">
        <v>244</v>
      </c>
      <c r="K1104" s="90">
        <v>9.4343091985819999E-2</v>
      </c>
      <c r="L1104" s="90">
        <v>3738.66490964901</v>
      </c>
      <c r="M1104" s="90">
        <v>10.176386056100799</v>
      </c>
      <c r="N1104" s="90">
        <v>1.7898962071248701</v>
      </c>
      <c r="O1104" s="90">
        <v>0.96007172577402</v>
      </c>
      <c r="P1104" s="90">
        <v>0.16886434251386001</v>
      </c>
      <c r="Q1104" s="90">
        <v>352.71720747520402</v>
      </c>
      <c r="R1104" s="90">
        <v>1200</v>
      </c>
      <c r="S1104" s="90" t="s">
        <v>384</v>
      </c>
      <c r="T1104" s="90">
        <v>1200</v>
      </c>
      <c r="U1104" s="90" t="s">
        <v>378</v>
      </c>
      <c r="V1104" s="90" t="s">
        <v>244</v>
      </c>
      <c r="Z1104" s="90">
        <v>0</v>
      </c>
      <c r="AA1104" s="90">
        <v>1</v>
      </c>
      <c r="AB1104" s="90">
        <v>0.96007172577402</v>
      </c>
      <c r="AC1104" s="90">
        <v>0.16886434251386001</v>
      </c>
      <c r="AD1104" s="90">
        <v>475.69295128180403</v>
      </c>
      <c r="AF1104" s="90">
        <v>-1</v>
      </c>
      <c r="AG1104" s="90">
        <v>-1</v>
      </c>
      <c r="AH1104" s="90">
        <v>-1</v>
      </c>
      <c r="AI1104" s="90">
        <v>-1</v>
      </c>
      <c r="AJ1104" s="90">
        <v>0</v>
      </c>
      <c r="AM1104" s="90" t="s">
        <v>379</v>
      </c>
      <c r="AN1104" s="90">
        <v>-1</v>
      </c>
      <c r="AQ1104" s="90">
        <v>372</v>
      </c>
      <c r="AR1104" s="90" t="s">
        <v>277</v>
      </c>
      <c r="AS1104" s="90" t="s">
        <v>401</v>
      </c>
      <c r="AT1104" s="90" t="s">
        <v>244</v>
      </c>
      <c r="AU1104" s="90">
        <v>1.853804</v>
      </c>
      <c r="AV1104" s="90">
        <v>95.439710417846101</v>
      </c>
      <c r="AW1104" s="90">
        <v>381.79294771192099</v>
      </c>
      <c r="AX1104" s="90">
        <v>0.38580125809999999</v>
      </c>
    </row>
    <row r="1105" spans="1:50" x14ac:dyDescent="0.25">
      <c r="A1105" s="102">
        <v>840000</v>
      </c>
      <c r="B1105" s="102">
        <v>2400000</v>
      </c>
      <c r="C1105" s="102">
        <v>2400000</v>
      </c>
      <c r="D1105" s="90" t="s">
        <v>374</v>
      </c>
      <c r="E1105" s="90" t="s">
        <v>68</v>
      </c>
      <c r="F1105" s="90" t="s">
        <v>375</v>
      </c>
      <c r="G1105" s="90" t="s">
        <v>376</v>
      </c>
      <c r="H1105" s="90">
        <v>0.59</v>
      </c>
      <c r="I1105" s="90">
        <v>0.64</v>
      </c>
      <c r="J1105" s="90" t="s">
        <v>244</v>
      </c>
      <c r="K1105" s="90">
        <v>3.4532833248999999E-4</v>
      </c>
      <c r="L1105" s="90">
        <v>3738.66490964901</v>
      </c>
      <c r="M1105" s="90">
        <v>10.176386056100799</v>
      </c>
      <c r="N1105" s="90">
        <v>1.7898962071248701</v>
      </c>
      <c r="O1105" s="90">
        <v>3.5141944275800001E-3</v>
      </c>
      <c r="P1105" s="90">
        <v>6.1810187254000002E-4</v>
      </c>
      <c r="Q1105" s="90">
        <v>1.2910669190104</v>
      </c>
      <c r="R1105" s="90">
        <v>1300</v>
      </c>
      <c r="S1105" s="90" t="s">
        <v>387</v>
      </c>
      <c r="T1105" s="90">
        <v>1300</v>
      </c>
      <c r="U1105" s="90" t="s">
        <v>378</v>
      </c>
      <c r="V1105" s="90" t="s">
        <v>244</v>
      </c>
      <c r="Z1105" s="90">
        <v>0</v>
      </c>
      <c r="AA1105" s="90">
        <v>1</v>
      </c>
      <c r="AB1105" s="90">
        <v>3.5141944275800001E-3</v>
      </c>
      <c r="AC1105" s="90">
        <v>6.1810187254000002E-4</v>
      </c>
      <c r="AD1105" s="90">
        <v>642.41050350591695</v>
      </c>
      <c r="AF1105" s="90">
        <v>-1</v>
      </c>
      <c r="AG1105" s="90">
        <v>-1</v>
      </c>
      <c r="AH1105" s="90">
        <v>-1</v>
      </c>
      <c r="AI1105" s="90">
        <v>-1</v>
      </c>
      <c r="AJ1105" s="90">
        <v>0</v>
      </c>
      <c r="AM1105" s="90" t="s">
        <v>379</v>
      </c>
      <c r="AN1105" s="90">
        <v>-1</v>
      </c>
      <c r="AQ1105" s="90">
        <v>372</v>
      </c>
      <c r="AR1105" s="90" t="s">
        <v>277</v>
      </c>
      <c r="AS1105" s="90" t="s">
        <v>401</v>
      </c>
      <c r="AT1105" s="90" t="s">
        <v>244</v>
      </c>
      <c r="AU1105" s="90">
        <v>1.853804</v>
      </c>
      <c r="AV1105" s="90">
        <v>48.7362803242154</v>
      </c>
      <c r="AW1105" s="90">
        <v>1.39749418019899</v>
      </c>
      <c r="AX1105" s="90">
        <v>0.52101419589999998</v>
      </c>
    </row>
    <row r="1106" spans="1:50" x14ac:dyDescent="0.25">
      <c r="A1106" s="102">
        <v>840000</v>
      </c>
      <c r="B1106" s="102">
        <v>2400000</v>
      </c>
      <c r="C1106" s="102">
        <v>2400000</v>
      </c>
      <c r="D1106" s="90" t="s">
        <v>374</v>
      </c>
      <c r="E1106" s="90" t="s">
        <v>68</v>
      </c>
      <c r="F1106" s="90" t="s">
        <v>375</v>
      </c>
      <c r="G1106" s="90" t="s">
        <v>376</v>
      </c>
      <c r="H1106" s="90">
        <v>0.59</v>
      </c>
      <c r="I1106" s="90">
        <v>0.64</v>
      </c>
      <c r="J1106" s="90" t="s">
        <v>244</v>
      </c>
      <c r="K1106" s="90">
        <v>4.8678595960000002E-5</v>
      </c>
      <c r="L1106" s="90">
        <v>3738.66490964901</v>
      </c>
      <c r="M1106" s="90">
        <v>10.176386056100799</v>
      </c>
      <c r="N1106" s="90">
        <v>1.7898962071248701</v>
      </c>
      <c r="O1106" s="90">
        <v>4.9537218516999999E-4</v>
      </c>
      <c r="P1106" s="90">
        <v>8.7129634279999995E-5</v>
      </c>
      <c r="Q1106" s="90">
        <v>0.18199295857410999</v>
      </c>
      <c r="R1106" s="90">
        <v>1210</v>
      </c>
      <c r="S1106" s="90" t="s">
        <v>385</v>
      </c>
      <c r="T1106" s="90">
        <v>1210</v>
      </c>
      <c r="U1106" s="90" t="s">
        <v>378</v>
      </c>
      <c r="V1106" s="90" t="s">
        <v>244</v>
      </c>
      <c r="Z1106" s="90">
        <v>0</v>
      </c>
      <c r="AA1106" s="90">
        <v>1</v>
      </c>
      <c r="AB1106" s="90">
        <v>4.9537218516999999E-4</v>
      </c>
      <c r="AC1106" s="90">
        <v>8.7129634279999995E-5</v>
      </c>
      <c r="AD1106" s="90">
        <v>0.18199295857452999</v>
      </c>
      <c r="AF1106" s="90">
        <v>-1</v>
      </c>
      <c r="AG1106" s="90">
        <v>-1</v>
      </c>
      <c r="AH1106" s="90">
        <v>-1</v>
      </c>
      <c r="AI1106" s="90">
        <v>-1</v>
      </c>
      <c r="AJ1106" s="90">
        <v>0</v>
      </c>
      <c r="AM1106" s="90" t="s">
        <v>379</v>
      </c>
      <c r="AN1106" s="90">
        <v>-1</v>
      </c>
      <c r="AQ1106" s="90">
        <v>372</v>
      </c>
      <c r="AR1106" s="90" t="s">
        <v>277</v>
      </c>
      <c r="AS1106" s="90" t="s">
        <v>401</v>
      </c>
      <c r="AT1106" s="90" t="s">
        <v>244</v>
      </c>
      <c r="AU1106" s="90">
        <v>1.853804</v>
      </c>
      <c r="AV1106" s="90">
        <v>2.3107251662058101</v>
      </c>
      <c r="AW1106" s="90">
        <v>0.19699528870269001</v>
      </c>
      <c r="AX1106" s="90">
        <v>1.476018E-4</v>
      </c>
    </row>
    <row r="1107" spans="1:50" x14ac:dyDescent="0.25">
      <c r="A1107" s="102">
        <v>840000</v>
      </c>
      <c r="B1107" s="102">
        <v>2400000</v>
      </c>
      <c r="C1107" s="102">
        <v>2400000</v>
      </c>
      <c r="D1107" s="90" t="s">
        <v>374</v>
      </c>
      <c r="E1107" s="90" t="s">
        <v>68</v>
      </c>
      <c r="F1107" s="90" t="s">
        <v>375</v>
      </c>
      <c r="G1107" s="90" t="s">
        <v>376</v>
      </c>
      <c r="H1107" s="90">
        <v>0.59</v>
      </c>
      <c r="I1107" s="90">
        <v>0.64</v>
      </c>
      <c r="J1107" s="90" t="s">
        <v>244</v>
      </c>
      <c r="K1107" s="90">
        <v>7.0995127312000004E-4</v>
      </c>
      <c r="L1107" s="90">
        <v>3738.66490964901</v>
      </c>
      <c r="M1107" s="90">
        <v>10.176386056100799</v>
      </c>
      <c r="N1107" s="90">
        <v>1.7898962071248701</v>
      </c>
      <c r="O1107" s="90">
        <v>7.2247382363E-3</v>
      </c>
      <c r="P1107" s="90">
        <v>1.270739091E-3</v>
      </c>
      <c r="Q1107" s="90">
        <v>2.6542699123781199</v>
      </c>
      <c r="R1107" s="90">
        <v>1330</v>
      </c>
      <c r="S1107" s="90" t="s">
        <v>397</v>
      </c>
      <c r="T1107" s="90">
        <v>1330</v>
      </c>
      <c r="U1107" s="90" t="s">
        <v>378</v>
      </c>
      <c r="V1107" s="90" t="s">
        <v>244</v>
      </c>
      <c r="Z1107" s="90">
        <v>0</v>
      </c>
      <c r="AA1107" s="90">
        <v>1</v>
      </c>
      <c r="AB1107" s="90">
        <v>7.2247382363E-3</v>
      </c>
      <c r="AC1107" s="90">
        <v>1.270739091E-3</v>
      </c>
      <c r="AD1107" s="90">
        <v>2.65426991237798</v>
      </c>
      <c r="AF1107" s="90">
        <v>-1</v>
      </c>
      <c r="AG1107" s="90">
        <v>-1</v>
      </c>
      <c r="AH1107" s="90">
        <v>-1</v>
      </c>
      <c r="AI1107" s="90">
        <v>-1</v>
      </c>
      <c r="AJ1107" s="90">
        <v>0</v>
      </c>
      <c r="AM1107" s="90" t="s">
        <v>379</v>
      </c>
      <c r="AN1107" s="90">
        <v>-1</v>
      </c>
      <c r="AQ1107" s="90">
        <v>372</v>
      </c>
      <c r="AR1107" s="90" t="s">
        <v>277</v>
      </c>
      <c r="AS1107" s="90" t="s">
        <v>401</v>
      </c>
      <c r="AT1107" s="90" t="s">
        <v>244</v>
      </c>
      <c r="AU1107" s="90">
        <v>1.853804</v>
      </c>
      <c r="AV1107" s="90">
        <v>29.716432347370102</v>
      </c>
      <c r="AW1107" s="90">
        <v>2.8730708692206202</v>
      </c>
      <c r="AX1107" s="90">
        <v>2.1526925000000001E-3</v>
      </c>
    </row>
    <row r="1108" spans="1:50" x14ac:dyDescent="0.25">
      <c r="A1108" s="102">
        <v>840000</v>
      </c>
      <c r="B1108" s="102">
        <v>2400000</v>
      </c>
      <c r="C1108" s="102">
        <v>2400000</v>
      </c>
      <c r="D1108" s="90" t="s">
        <v>374</v>
      </c>
      <c r="E1108" s="90" t="s">
        <v>68</v>
      </c>
      <c r="F1108" s="90" t="s">
        <v>375</v>
      </c>
      <c r="G1108" s="90" t="s">
        <v>376</v>
      </c>
      <c r="H1108" s="90">
        <v>0.59</v>
      </c>
      <c r="I1108" s="90">
        <v>0.64</v>
      </c>
      <c r="J1108" s="90" t="s">
        <v>244</v>
      </c>
      <c r="K1108" s="90">
        <v>6.8880981577999995E-4</v>
      </c>
      <c r="L1108" s="90">
        <v>3738.66490964901</v>
      </c>
      <c r="M1108" s="90">
        <v>10.176386056100799</v>
      </c>
      <c r="N1108" s="90">
        <v>1.7898962071248701</v>
      </c>
      <c r="O1108" s="90">
        <v>7.00959460462E-3</v>
      </c>
      <c r="P1108" s="90">
        <v>1.2328980766899999E-3</v>
      </c>
      <c r="Q1108" s="90">
        <v>2.57522908768596</v>
      </c>
      <c r="R1108" s="90">
        <v>1210</v>
      </c>
      <c r="S1108" s="90" t="s">
        <v>385</v>
      </c>
      <c r="T1108" s="90">
        <v>1210</v>
      </c>
      <c r="U1108" s="90" t="s">
        <v>378</v>
      </c>
      <c r="V1108" s="90" t="s">
        <v>244</v>
      </c>
      <c r="Z1108" s="90">
        <v>0</v>
      </c>
      <c r="AA1108" s="90">
        <v>1</v>
      </c>
      <c r="AB1108" s="90">
        <v>7.00959460462E-3</v>
      </c>
      <c r="AC1108" s="90">
        <v>1.2328980766899999E-3</v>
      </c>
      <c r="AD1108" s="90">
        <v>2.5752290876859498</v>
      </c>
      <c r="AF1108" s="90">
        <v>-1</v>
      </c>
      <c r="AG1108" s="90">
        <v>-1</v>
      </c>
      <c r="AH1108" s="90">
        <v>-1</v>
      </c>
      <c r="AI1108" s="90">
        <v>-1</v>
      </c>
      <c r="AJ1108" s="90">
        <v>0</v>
      </c>
      <c r="AM1108" s="90" t="s">
        <v>379</v>
      </c>
      <c r="AN1108" s="90">
        <v>-1</v>
      </c>
      <c r="AQ1108" s="90">
        <v>372</v>
      </c>
      <c r="AR1108" s="90" t="s">
        <v>277</v>
      </c>
      <c r="AS1108" s="90" t="s">
        <v>401</v>
      </c>
      <c r="AT1108" s="90" t="s">
        <v>244</v>
      </c>
      <c r="AU1108" s="90">
        <v>1.853804</v>
      </c>
      <c r="AV1108" s="90">
        <v>32.720569294498603</v>
      </c>
      <c r="AW1108" s="90">
        <v>2.7875144268095302</v>
      </c>
      <c r="AX1108" s="90">
        <v>2.0885881000000002E-3</v>
      </c>
    </row>
    <row r="1109" spans="1:50" x14ac:dyDescent="0.25">
      <c r="A1109" s="102">
        <v>840000</v>
      </c>
      <c r="B1109" s="102">
        <v>2400000</v>
      </c>
      <c r="C1109" s="102">
        <v>2400000</v>
      </c>
      <c r="D1109" s="90" t="s">
        <v>374</v>
      </c>
      <c r="E1109" s="90" t="s">
        <v>68</v>
      </c>
      <c r="F1109" s="90" t="s">
        <v>375</v>
      </c>
      <c r="G1109" s="90" t="s">
        <v>376</v>
      </c>
      <c r="H1109" s="90">
        <v>0.59</v>
      </c>
      <c r="I1109" s="90">
        <v>0.64</v>
      </c>
      <c r="J1109" s="90" t="s">
        <v>244</v>
      </c>
      <c r="K1109" s="90">
        <v>2.0514869651000001E-4</v>
      </c>
      <c r="L1109" s="90">
        <v>3738.66490964901</v>
      </c>
      <c r="M1109" s="90">
        <v>10.176386056100799</v>
      </c>
      <c r="N1109" s="90">
        <v>1.7898962071248701</v>
      </c>
      <c r="O1109" s="90">
        <v>2.0876723346000001E-3</v>
      </c>
      <c r="P1109" s="90">
        <v>3.6719487378000001E-4</v>
      </c>
      <c r="Q1109" s="90">
        <v>0.76698223290591006</v>
      </c>
      <c r="R1109" s="90">
        <v>1210</v>
      </c>
      <c r="S1109" s="90" t="s">
        <v>385</v>
      </c>
      <c r="T1109" s="90">
        <v>1210</v>
      </c>
      <c r="U1109" s="90" t="s">
        <v>378</v>
      </c>
      <c r="V1109" s="90" t="s">
        <v>244</v>
      </c>
      <c r="Z1109" s="90">
        <v>0</v>
      </c>
      <c r="AA1109" s="90">
        <v>1</v>
      </c>
      <c r="AB1109" s="90">
        <v>2.0876723346000001E-3</v>
      </c>
      <c r="AC1109" s="90">
        <v>3.6719487378000001E-4</v>
      </c>
      <c r="AD1109" s="90">
        <v>1.55178367445307</v>
      </c>
      <c r="AF1109" s="90">
        <v>-1</v>
      </c>
      <c r="AG1109" s="90">
        <v>-1</v>
      </c>
      <c r="AH1109" s="90">
        <v>-1</v>
      </c>
      <c r="AI1109" s="90">
        <v>-1</v>
      </c>
      <c r="AJ1109" s="90">
        <v>0</v>
      </c>
      <c r="AM1109" s="90" t="s">
        <v>379</v>
      </c>
      <c r="AN1109" s="90">
        <v>-1</v>
      </c>
      <c r="AQ1109" s="90">
        <v>372</v>
      </c>
      <c r="AR1109" s="90" t="s">
        <v>277</v>
      </c>
      <c r="AS1109" s="90" t="s">
        <v>401</v>
      </c>
      <c r="AT1109" s="90" t="s">
        <v>244</v>
      </c>
      <c r="AU1109" s="90">
        <v>1.853804</v>
      </c>
      <c r="AV1109" s="90">
        <v>11.9487392386526</v>
      </c>
      <c r="AW1109" s="90">
        <v>0.83020732002425002</v>
      </c>
      <c r="AX1109" s="90">
        <v>1.2585431E-3</v>
      </c>
    </row>
    <row r="1110" spans="1:50" x14ac:dyDescent="0.25">
      <c r="A1110" s="102">
        <v>840000</v>
      </c>
      <c r="B1110" s="102">
        <v>2400000</v>
      </c>
      <c r="C1110" s="102">
        <v>2400000</v>
      </c>
      <c r="D1110" s="90" t="s">
        <v>374</v>
      </c>
      <c r="E1110" s="90" t="s">
        <v>68</v>
      </c>
      <c r="F1110" s="90" t="s">
        <v>375</v>
      </c>
      <c r="G1110" s="90" t="s">
        <v>376</v>
      </c>
      <c r="H1110" s="90">
        <v>0.59</v>
      </c>
      <c r="I1110" s="90">
        <v>0.64</v>
      </c>
      <c r="J1110" s="90" t="s">
        <v>244</v>
      </c>
      <c r="K1110" s="90">
        <v>1.0297659180300001E-3</v>
      </c>
      <c r="L1110" s="90">
        <v>3753.31698130307</v>
      </c>
      <c r="M1110" s="90">
        <v>9.9456634254991698</v>
      </c>
      <c r="N1110" s="90">
        <v>1.7438898703919601</v>
      </c>
      <c r="O1110" s="90">
        <v>1.024170522785E-2</v>
      </c>
      <c r="P1110" s="90">
        <v>1.79579835334E-3</v>
      </c>
      <c r="Q1110" s="90">
        <v>3.86503790693917</v>
      </c>
      <c r="R1110" s="90">
        <v>1300</v>
      </c>
      <c r="S1110" s="90" t="s">
        <v>387</v>
      </c>
      <c r="T1110" s="90">
        <v>1300</v>
      </c>
      <c r="U1110" s="90" t="s">
        <v>378</v>
      </c>
      <c r="V1110" s="90" t="s">
        <v>244</v>
      </c>
      <c r="Z1110" s="90">
        <v>0</v>
      </c>
      <c r="AA1110" s="90">
        <v>1</v>
      </c>
      <c r="AB1110" s="90">
        <v>1.024170522785E-2</v>
      </c>
      <c r="AC1110" s="90">
        <v>1.79579835334E-3</v>
      </c>
      <c r="AD1110" s="90">
        <v>3.86503790694064</v>
      </c>
      <c r="AF1110" s="90">
        <v>-1</v>
      </c>
      <c r="AG1110" s="90">
        <v>-1</v>
      </c>
      <c r="AH1110" s="90">
        <v>-1</v>
      </c>
      <c r="AI1110" s="90">
        <v>-1</v>
      </c>
      <c r="AJ1110" s="90">
        <v>0</v>
      </c>
      <c r="AM1110" s="90" t="s">
        <v>379</v>
      </c>
      <c r="AN1110" s="90">
        <v>-1</v>
      </c>
      <c r="AQ1110" s="90">
        <v>372</v>
      </c>
      <c r="AR1110" s="90" t="s">
        <v>277</v>
      </c>
      <c r="AS1110" s="90" t="s">
        <v>401</v>
      </c>
      <c r="AT1110" s="90" t="s">
        <v>244</v>
      </c>
      <c r="AU1110" s="90">
        <v>1.853804</v>
      </c>
      <c r="AV1110" s="90">
        <v>37.529106972479703</v>
      </c>
      <c r="AW1110" s="90">
        <v>4.1673148189823097</v>
      </c>
      <c r="AX1110" s="90">
        <v>3.1346617000000002E-3</v>
      </c>
    </row>
    <row r="1111" spans="1:50" x14ac:dyDescent="0.25">
      <c r="A1111" s="102">
        <v>840000</v>
      </c>
      <c r="B1111" s="102">
        <v>2400000</v>
      </c>
      <c r="C1111" s="102">
        <v>2400000</v>
      </c>
      <c r="D1111" s="90" t="s">
        <v>374</v>
      </c>
      <c r="E1111" s="90" t="s">
        <v>68</v>
      </c>
      <c r="F1111" s="90" t="s">
        <v>375</v>
      </c>
      <c r="G1111" s="90" t="s">
        <v>376</v>
      </c>
      <c r="H1111" s="90">
        <v>0.59</v>
      </c>
      <c r="I1111" s="90">
        <v>0.64</v>
      </c>
      <c r="J1111" s="90" t="s">
        <v>244</v>
      </c>
      <c r="K1111" s="90">
        <v>0.11620399070092</v>
      </c>
      <c r="L1111" s="90">
        <v>3753.31698130307</v>
      </c>
      <c r="M1111" s="90">
        <v>9.9456634254991698</v>
      </c>
      <c r="N1111" s="90">
        <v>1.7438898703919601</v>
      </c>
      <c r="O1111" s="90">
        <v>1.15572578021124</v>
      </c>
      <c r="P1111" s="90">
        <v>0.20264696228246001</v>
      </c>
      <c r="Q1111" s="90">
        <v>436.15041159296999</v>
      </c>
      <c r="R1111" s="90">
        <v>1210</v>
      </c>
      <c r="S1111" s="90" t="s">
        <v>385</v>
      </c>
      <c r="T1111" s="90">
        <v>1210</v>
      </c>
      <c r="U1111" s="90" t="s">
        <v>378</v>
      </c>
      <c r="V1111" s="90" t="s">
        <v>244</v>
      </c>
      <c r="Z1111" s="90">
        <v>0</v>
      </c>
      <c r="AA1111" s="90">
        <v>1</v>
      </c>
      <c r="AB1111" s="90">
        <v>1.15572578021124</v>
      </c>
      <c r="AC1111" s="90">
        <v>0.20264696228246001</v>
      </c>
      <c r="AD1111" s="90">
        <v>664.50527082634403</v>
      </c>
      <c r="AF1111" s="90">
        <v>-1</v>
      </c>
      <c r="AG1111" s="90">
        <v>-1</v>
      </c>
      <c r="AH1111" s="90">
        <v>-1</v>
      </c>
      <c r="AI1111" s="90">
        <v>-1</v>
      </c>
      <c r="AJ1111" s="90">
        <v>0</v>
      </c>
      <c r="AM1111" s="90" t="s">
        <v>379</v>
      </c>
      <c r="AN1111" s="90">
        <v>-1</v>
      </c>
      <c r="AQ1111" s="90">
        <v>372</v>
      </c>
      <c r="AR1111" s="90" t="s">
        <v>277</v>
      </c>
      <c r="AS1111" s="90" t="s">
        <v>401</v>
      </c>
      <c r="AT1111" s="90" t="s">
        <v>244</v>
      </c>
      <c r="AU1111" s="90">
        <v>1.853804</v>
      </c>
      <c r="AV1111" s="90">
        <v>91.418070045223899</v>
      </c>
      <c r="AW1111" s="90">
        <v>470.260866076551</v>
      </c>
      <c r="AX1111" s="90">
        <v>0.5389337152</v>
      </c>
    </row>
    <row r="1112" spans="1:50" x14ac:dyDescent="0.25">
      <c r="A1112" s="102">
        <v>840000</v>
      </c>
      <c r="B1112" s="102">
        <v>2400000</v>
      </c>
      <c r="C1112" s="102">
        <v>2400000</v>
      </c>
      <c r="D1112" s="90" t="s">
        <v>374</v>
      </c>
      <c r="E1112" s="90" t="s">
        <v>68</v>
      </c>
      <c r="F1112" s="90" t="s">
        <v>375</v>
      </c>
      <c r="G1112" s="90" t="s">
        <v>376</v>
      </c>
      <c r="H1112" s="90">
        <v>0.59</v>
      </c>
      <c r="I1112" s="90">
        <v>0.64</v>
      </c>
      <c r="J1112" s="90" t="s">
        <v>244</v>
      </c>
      <c r="K1112" s="90">
        <v>6.688215335363E-2</v>
      </c>
      <c r="L1112" s="90">
        <v>3753.31698130307</v>
      </c>
      <c r="M1112" s="90">
        <v>9.9456634254991698</v>
      </c>
      <c r="N1112" s="90">
        <v>1.7438898703919601</v>
      </c>
      <c r="O1112" s="90">
        <v>0.66518738642784003</v>
      </c>
      <c r="P1112" s="90">
        <v>0.1166351097434</v>
      </c>
      <c r="Q1112" s="90">
        <v>251.029921928303</v>
      </c>
      <c r="R1112" s="90">
        <v>1330</v>
      </c>
      <c r="S1112" s="90" t="s">
        <v>397</v>
      </c>
      <c r="T1112" s="90">
        <v>1330</v>
      </c>
      <c r="U1112" s="90" t="s">
        <v>378</v>
      </c>
      <c r="V1112" s="90" t="s">
        <v>244</v>
      </c>
      <c r="Z1112" s="90">
        <v>0</v>
      </c>
      <c r="AA1112" s="90">
        <v>1</v>
      </c>
      <c r="AB1112" s="90">
        <v>0.66518738642784003</v>
      </c>
      <c r="AC1112" s="90">
        <v>0.1166351097434</v>
      </c>
      <c r="AD1112" s="90">
        <v>386.64560750289297</v>
      </c>
      <c r="AF1112" s="90">
        <v>-1</v>
      </c>
      <c r="AG1112" s="90">
        <v>-1</v>
      </c>
      <c r="AH1112" s="90">
        <v>-1</v>
      </c>
      <c r="AI1112" s="90">
        <v>-1</v>
      </c>
      <c r="AJ1112" s="90">
        <v>0</v>
      </c>
      <c r="AM1112" s="90" t="s">
        <v>379</v>
      </c>
      <c r="AN1112" s="90">
        <v>-1</v>
      </c>
      <c r="AQ1112" s="90">
        <v>372</v>
      </c>
      <c r="AR1112" s="90" t="s">
        <v>277</v>
      </c>
      <c r="AS1112" s="90" t="s">
        <v>401</v>
      </c>
      <c r="AT1112" s="90" t="s">
        <v>244</v>
      </c>
      <c r="AU1112" s="90">
        <v>1.853804</v>
      </c>
      <c r="AV1112" s="90">
        <v>66.812566233359107</v>
      </c>
      <c r="AW1112" s="90">
        <v>270.66247184308497</v>
      </c>
      <c r="AX1112" s="90">
        <v>0.31358119020000003</v>
      </c>
    </row>
    <row r="1113" spans="1:50" x14ac:dyDescent="0.25">
      <c r="A1113" s="102">
        <v>840000</v>
      </c>
      <c r="B1113" s="102">
        <v>2400000</v>
      </c>
      <c r="C1113" s="102">
        <v>2400000</v>
      </c>
      <c r="D1113" s="90" t="s">
        <v>374</v>
      </c>
      <c r="E1113" s="90" t="s">
        <v>68</v>
      </c>
      <c r="F1113" s="90" t="s">
        <v>375</v>
      </c>
      <c r="G1113" s="90" t="s">
        <v>376</v>
      </c>
      <c r="H1113" s="90">
        <v>0.59</v>
      </c>
      <c r="I1113" s="90">
        <v>0.64</v>
      </c>
      <c r="J1113" s="90" t="s">
        <v>244</v>
      </c>
      <c r="K1113" s="90">
        <v>1.043730682878E-2</v>
      </c>
      <c r="L1113" s="90">
        <v>3618.6125122257199</v>
      </c>
      <c r="M1113" s="90">
        <v>8.9028021953563101</v>
      </c>
      <c r="N1113" s="90">
        <v>1.5077956406829101</v>
      </c>
      <c r="O1113" s="90">
        <v>9.2921278148869996E-2</v>
      </c>
      <c r="P1113" s="90">
        <v>1.5737325736899999E-2</v>
      </c>
      <c r="Q1113" s="90">
        <v>37.768569084562202</v>
      </c>
      <c r="R1113" s="90">
        <v>1200</v>
      </c>
      <c r="S1113" s="90" t="s">
        <v>384</v>
      </c>
      <c r="T1113" s="90">
        <v>1200</v>
      </c>
      <c r="U1113" s="90" t="s">
        <v>378</v>
      </c>
      <c r="V1113" s="90" t="s">
        <v>244</v>
      </c>
      <c r="Z1113" s="90">
        <v>0</v>
      </c>
      <c r="AA1113" s="90">
        <v>1</v>
      </c>
      <c r="AB1113" s="90">
        <v>9.2921278148869996E-2</v>
      </c>
      <c r="AC1113" s="90">
        <v>1.5737325736899999E-2</v>
      </c>
      <c r="AD1113" s="90">
        <v>66.3891041419445</v>
      </c>
      <c r="AF1113" s="90">
        <v>-1</v>
      </c>
      <c r="AG1113" s="90">
        <v>-1</v>
      </c>
      <c r="AH1113" s="90">
        <v>-1</v>
      </c>
      <c r="AI1113" s="90">
        <v>-1</v>
      </c>
      <c r="AJ1113" s="90">
        <v>0</v>
      </c>
      <c r="AM1113" s="90" t="s">
        <v>379</v>
      </c>
      <c r="AN1113" s="90">
        <v>-1</v>
      </c>
      <c r="AQ1113" s="90">
        <v>372</v>
      </c>
      <c r="AR1113" s="90" t="s">
        <v>277</v>
      </c>
      <c r="AS1113" s="90" t="s">
        <v>401</v>
      </c>
      <c r="AT1113" s="90" t="s">
        <v>244</v>
      </c>
      <c r="AU1113" s="90">
        <v>1.853804</v>
      </c>
      <c r="AV1113" s="90">
        <v>27.859151547027999</v>
      </c>
      <c r="AW1113" s="90">
        <v>42.238282172609601</v>
      </c>
      <c r="AX1113" s="90">
        <v>5.3843555699999997E-2</v>
      </c>
    </row>
    <row r="1114" spans="1:50" x14ac:dyDescent="0.25">
      <c r="A1114" s="102">
        <v>840000</v>
      </c>
      <c r="B1114" s="102">
        <v>2400000</v>
      </c>
      <c r="C1114" s="102">
        <v>2400000</v>
      </c>
      <c r="D1114" s="90" t="s">
        <v>374</v>
      </c>
      <c r="E1114" s="90" t="s">
        <v>68</v>
      </c>
      <c r="F1114" s="90" t="s">
        <v>375</v>
      </c>
      <c r="G1114" s="90" t="s">
        <v>376</v>
      </c>
      <c r="H1114" s="90">
        <v>0.59</v>
      </c>
      <c r="I1114" s="90">
        <v>0.64</v>
      </c>
      <c r="J1114" s="90" t="s">
        <v>244</v>
      </c>
      <c r="K1114" s="90">
        <v>3.4409676926640001E-2</v>
      </c>
      <c r="L1114" s="90">
        <v>3618.6125122257199</v>
      </c>
      <c r="M1114" s="90">
        <v>8.9028021953563101</v>
      </c>
      <c r="N1114" s="90">
        <v>1.5077956406829101</v>
      </c>
      <c r="O1114" s="90">
        <v>0.30634254728407001</v>
      </c>
      <c r="P1114" s="90">
        <v>5.1882760867300003E-2</v>
      </c>
      <c r="Q1114" s="90">
        <v>124.51528746841601</v>
      </c>
      <c r="R1114" s="90">
        <v>1300</v>
      </c>
      <c r="S1114" s="90" t="s">
        <v>387</v>
      </c>
      <c r="T1114" s="90">
        <v>1300</v>
      </c>
      <c r="U1114" s="90" t="s">
        <v>378</v>
      </c>
      <c r="V1114" s="90" t="s">
        <v>244</v>
      </c>
      <c r="Z1114" s="90">
        <v>0</v>
      </c>
      <c r="AA1114" s="90">
        <v>1</v>
      </c>
      <c r="AB1114" s="90">
        <v>0.30634254728407001</v>
      </c>
      <c r="AC1114" s="90">
        <v>5.1882760867300003E-2</v>
      </c>
      <c r="AD1114" s="90">
        <v>783.78818837516997</v>
      </c>
      <c r="AF1114" s="90">
        <v>-1</v>
      </c>
      <c r="AG1114" s="90">
        <v>-1</v>
      </c>
      <c r="AH1114" s="90">
        <v>-1</v>
      </c>
      <c r="AI1114" s="90">
        <v>-1</v>
      </c>
      <c r="AJ1114" s="90">
        <v>0</v>
      </c>
      <c r="AM1114" s="90" t="s">
        <v>379</v>
      </c>
      <c r="AN1114" s="90">
        <v>-1</v>
      </c>
      <c r="AQ1114" s="90">
        <v>372</v>
      </c>
      <c r="AR1114" s="90" t="s">
        <v>277</v>
      </c>
      <c r="AS1114" s="90" t="s">
        <v>401</v>
      </c>
      <c r="AT1114" s="90" t="s">
        <v>244</v>
      </c>
      <c r="AU1114" s="90">
        <v>1.853804</v>
      </c>
      <c r="AV1114" s="90">
        <v>75.617364922478899</v>
      </c>
      <c r="AW1114" s="90">
        <v>139.25102206331701</v>
      </c>
      <c r="AX1114" s="90">
        <v>0.6356757408</v>
      </c>
    </row>
    <row r="1115" spans="1:50" x14ac:dyDescent="0.25">
      <c r="A1115" s="102">
        <v>840000</v>
      </c>
      <c r="B1115" s="102">
        <v>2400000</v>
      </c>
      <c r="C1115" s="102">
        <v>2400000</v>
      </c>
      <c r="D1115" s="90" t="s">
        <v>374</v>
      </c>
      <c r="E1115" s="90" t="s">
        <v>68</v>
      </c>
      <c r="F1115" s="90" t="s">
        <v>375</v>
      </c>
      <c r="G1115" s="90" t="s">
        <v>376</v>
      </c>
      <c r="H1115" s="90">
        <v>0.59</v>
      </c>
      <c r="I1115" s="90">
        <v>0.64</v>
      </c>
      <c r="J1115" s="90" t="s">
        <v>381</v>
      </c>
      <c r="K1115" s="90">
        <v>1.6411070137E-4</v>
      </c>
      <c r="L1115" s="90">
        <v>3618.6125122257199</v>
      </c>
      <c r="M1115" s="90">
        <v>8.9028021953563101</v>
      </c>
      <c r="N1115" s="90">
        <v>1.5077956406829101</v>
      </c>
      <c r="O1115" s="90">
        <v>1.4610451124600001E-3</v>
      </c>
      <c r="P1115" s="90">
        <v>2.4744540012000001E-4</v>
      </c>
      <c r="Q1115" s="90">
        <v>0.59385303737846995</v>
      </c>
      <c r="R1115" s="90">
        <v>1300</v>
      </c>
      <c r="S1115" s="90" t="s">
        <v>387</v>
      </c>
      <c r="T1115" s="90">
        <v>1300</v>
      </c>
      <c r="U1115" s="90" t="s">
        <v>382</v>
      </c>
      <c r="V1115" s="90" t="s">
        <v>381</v>
      </c>
      <c r="Z1115" s="90">
        <v>0</v>
      </c>
      <c r="AA1115" s="90">
        <v>1</v>
      </c>
      <c r="AB1115" s="90">
        <v>1.4610451124600001E-3</v>
      </c>
      <c r="AC1115" s="90">
        <v>2.4744540012000001E-4</v>
      </c>
      <c r="AD1115" s="90">
        <v>4.95155318704174</v>
      </c>
      <c r="AF1115" s="90">
        <v>-1</v>
      </c>
      <c r="AG1115" s="90">
        <v>-1</v>
      </c>
      <c r="AH1115" s="90">
        <v>-1</v>
      </c>
      <c r="AI1115" s="90">
        <v>-1</v>
      </c>
      <c r="AJ1115" s="90">
        <v>0</v>
      </c>
      <c r="AM1115" s="90" t="s">
        <v>379</v>
      </c>
      <c r="AN1115" s="90">
        <v>-1</v>
      </c>
      <c r="AQ1115" s="90">
        <v>372</v>
      </c>
      <c r="AR1115" s="90" t="s">
        <v>277</v>
      </c>
      <c r="AS1115" s="90" t="s">
        <v>401</v>
      </c>
      <c r="AT1115" s="90" t="s">
        <v>244</v>
      </c>
      <c r="AU1115" s="90">
        <v>1.853804</v>
      </c>
      <c r="AV1115" s="90">
        <v>10.236668245519301</v>
      </c>
      <c r="AW1115" s="90">
        <v>0.66413244583414999</v>
      </c>
      <c r="AX1115" s="90">
        <v>4.0158581999999998E-3</v>
      </c>
    </row>
    <row r="1116" spans="1:50" x14ac:dyDescent="0.25">
      <c r="A1116" s="102">
        <v>840000</v>
      </c>
      <c r="B1116" s="102">
        <v>2400000</v>
      </c>
      <c r="C1116" s="102">
        <v>2400000</v>
      </c>
      <c r="D1116" s="90" t="s">
        <v>374</v>
      </c>
      <c r="E1116" s="90" t="s">
        <v>68</v>
      </c>
      <c r="F1116" s="90" t="s">
        <v>375</v>
      </c>
      <c r="G1116" s="90" t="s">
        <v>376</v>
      </c>
      <c r="H1116" s="90">
        <v>0.59</v>
      </c>
      <c r="I1116" s="90">
        <v>0.64</v>
      </c>
      <c r="J1116" s="90" t="s">
        <v>244</v>
      </c>
      <c r="K1116" s="90">
        <v>7.2890600396829999E-2</v>
      </c>
      <c r="L1116" s="90">
        <v>3761.35678253276</v>
      </c>
      <c r="M1116" s="90">
        <v>8.7597005472687606</v>
      </c>
      <c r="N1116" s="90">
        <v>1.41947732791967</v>
      </c>
      <c r="O1116" s="90">
        <v>0.63849983218688999</v>
      </c>
      <c r="P1116" s="90">
        <v>0.10346655468175001</v>
      </c>
      <c r="Q1116" s="90">
        <v>274.16755418551702</v>
      </c>
      <c r="R1116" s="90">
        <v>1300</v>
      </c>
      <c r="S1116" s="90" t="s">
        <v>387</v>
      </c>
      <c r="T1116" s="90">
        <v>1300</v>
      </c>
      <c r="U1116" s="90" t="s">
        <v>378</v>
      </c>
      <c r="V1116" s="90" t="s">
        <v>244</v>
      </c>
      <c r="Z1116" s="90">
        <v>0</v>
      </c>
      <c r="AA1116" s="90">
        <v>1</v>
      </c>
      <c r="AB1116" s="90">
        <v>0.63849983218688999</v>
      </c>
      <c r="AC1116" s="90">
        <v>0.10346655468175001</v>
      </c>
      <c r="AD1116" s="90">
        <v>546.262070062107</v>
      </c>
      <c r="AF1116" s="90">
        <v>-1</v>
      </c>
      <c r="AG1116" s="90">
        <v>-1</v>
      </c>
      <c r="AH1116" s="90">
        <v>-1</v>
      </c>
      <c r="AI1116" s="90">
        <v>-1</v>
      </c>
      <c r="AJ1116" s="90">
        <v>0</v>
      </c>
      <c r="AM1116" s="90" t="s">
        <v>379</v>
      </c>
      <c r="AN1116" s="90">
        <v>-1</v>
      </c>
      <c r="AQ1116" s="90">
        <v>372</v>
      </c>
      <c r="AR1116" s="90" t="s">
        <v>277</v>
      </c>
      <c r="AS1116" s="90" t="s">
        <v>401</v>
      </c>
      <c r="AT1116" s="90" t="s">
        <v>244</v>
      </c>
      <c r="AU1116" s="90">
        <v>1.853804</v>
      </c>
      <c r="AV1116" s="90">
        <v>111.54653867627501</v>
      </c>
      <c r="AW1116" s="90">
        <v>294.977794348521</v>
      </c>
      <c r="AX1116" s="90">
        <v>0.44303493109999997</v>
      </c>
    </row>
    <row r="1117" spans="1:50" x14ac:dyDescent="0.25">
      <c r="A1117" s="102">
        <v>840000</v>
      </c>
      <c r="B1117" s="102">
        <v>2400000</v>
      </c>
      <c r="C1117" s="102">
        <v>2400000</v>
      </c>
      <c r="D1117" s="90" t="s">
        <v>374</v>
      </c>
      <c r="E1117" s="90" t="s">
        <v>68</v>
      </c>
      <c r="F1117" s="90" t="s">
        <v>375</v>
      </c>
      <c r="G1117" s="90" t="s">
        <v>376</v>
      </c>
      <c r="H1117" s="90">
        <v>0.59</v>
      </c>
      <c r="I1117" s="90">
        <v>0.64</v>
      </c>
      <c r="J1117" s="90" t="s">
        <v>244</v>
      </c>
      <c r="K1117" s="90">
        <v>4.6997659216E-4</v>
      </c>
      <c r="L1117" s="90">
        <v>3761.35678253276</v>
      </c>
      <c r="M1117" s="90">
        <v>8.7597005472687606</v>
      </c>
      <c r="N1117" s="90">
        <v>1.41947732791967</v>
      </c>
      <c r="O1117" s="90">
        <v>4.1168542116000002E-3</v>
      </c>
      <c r="P1117" s="90">
        <v>6.6712111723000002E-4</v>
      </c>
      <c r="Q1117" s="90">
        <v>1.7677496425752199</v>
      </c>
      <c r="R1117" s="90">
        <v>1210</v>
      </c>
      <c r="S1117" s="90" t="s">
        <v>385</v>
      </c>
      <c r="T1117" s="90">
        <v>1210</v>
      </c>
      <c r="U1117" s="90" t="s">
        <v>378</v>
      </c>
      <c r="V1117" s="90" t="s">
        <v>244</v>
      </c>
      <c r="Z1117" s="90">
        <v>0</v>
      </c>
      <c r="AA1117" s="90">
        <v>1</v>
      </c>
      <c r="AB1117" s="90">
        <v>4.1168542116000002E-3</v>
      </c>
      <c r="AC1117" s="90">
        <v>6.6712111723000002E-4</v>
      </c>
      <c r="AD1117" s="90">
        <v>1.7677496425739001</v>
      </c>
      <c r="AF1117" s="90">
        <v>-1</v>
      </c>
      <c r="AG1117" s="90">
        <v>-1</v>
      </c>
      <c r="AH1117" s="90">
        <v>-1</v>
      </c>
      <c r="AI1117" s="90">
        <v>-1</v>
      </c>
      <c r="AJ1117" s="90">
        <v>0</v>
      </c>
      <c r="AM1117" s="90" t="s">
        <v>379</v>
      </c>
      <c r="AN1117" s="90">
        <v>-1</v>
      </c>
      <c r="AQ1117" s="90">
        <v>372</v>
      </c>
      <c r="AR1117" s="90" t="s">
        <v>277</v>
      </c>
      <c r="AS1117" s="90" t="s">
        <v>401</v>
      </c>
      <c r="AT1117" s="90" t="s">
        <v>244</v>
      </c>
      <c r="AU1117" s="90">
        <v>1.853804</v>
      </c>
      <c r="AV1117" s="90">
        <v>25.353461810011101</v>
      </c>
      <c r="AW1117" s="90">
        <v>1.9019277903832199</v>
      </c>
      <c r="AX1117" s="90">
        <v>1.433698E-3</v>
      </c>
    </row>
    <row r="1118" spans="1:50" x14ac:dyDescent="0.25">
      <c r="A1118" s="102">
        <v>840000</v>
      </c>
      <c r="B1118" s="102">
        <v>2400000</v>
      </c>
      <c r="C1118" s="102">
        <v>2400000</v>
      </c>
      <c r="D1118" s="90" t="s">
        <v>374</v>
      </c>
      <c r="E1118" s="90" t="s">
        <v>68</v>
      </c>
      <c r="F1118" s="90" t="s">
        <v>375</v>
      </c>
      <c r="G1118" s="90" t="s">
        <v>376</v>
      </c>
      <c r="H1118" s="90">
        <v>0.59</v>
      </c>
      <c r="I1118" s="90">
        <v>0.64</v>
      </c>
      <c r="J1118" s="90" t="s">
        <v>244</v>
      </c>
      <c r="K1118" s="90">
        <v>2.4966520218400001E-3</v>
      </c>
      <c r="L1118" s="90">
        <v>3761.35678253276</v>
      </c>
      <c r="M1118" s="90">
        <v>8.7597005472687606</v>
      </c>
      <c r="N1118" s="90">
        <v>1.41947732791967</v>
      </c>
      <c r="O1118" s="90">
        <v>2.186992408206E-2</v>
      </c>
      <c r="P1118" s="90">
        <v>3.5439409406999999E-3</v>
      </c>
      <c r="Q1118" s="90">
        <v>9.3907990159757908</v>
      </c>
      <c r="R1118" s="90">
        <v>1330</v>
      </c>
      <c r="S1118" s="90" t="s">
        <v>397</v>
      </c>
      <c r="T1118" s="90">
        <v>1330</v>
      </c>
      <c r="U1118" s="90" t="s">
        <v>378</v>
      </c>
      <c r="V1118" s="90" t="s">
        <v>244</v>
      </c>
      <c r="Z1118" s="90">
        <v>0</v>
      </c>
      <c r="AA1118" s="90">
        <v>1</v>
      </c>
      <c r="AB1118" s="90">
        <v>2.186992408206E-2</v>
      </c>
      <c r="AC1118" s="90">
        <v>3.5439409406999999E-3</v>
      </c>
      <c r="AD1118" s="90">
        <v>9.3907990159753396</v>
      </c>
      <c r="AF1118" s="90">
        <v>-1</v>
      </c>
      <c r="AG1118" s="90">
        <v>-1</v>
      </c>
      <c r="AH1118" s="90">
        <v>-1</v>
      </c>
      <c r="AI1118" s="90">
        <v>-1</v>
      </c>
      <c r="AJ1118" s="90">
        <v>0</v>
      </c>
      <c r="AM1118" s="90" t="s">
        <v>379</v>
      </c>
      <c r="AN1118" s="90">
        <v>-1</v>
      </c>
      <c r="AQ1118" s="90">
        <v>372</v>
      </c>
      <c r="AR1118" s="90" t="s">
        <v>277</v>
      </c>
      <c r="AS1118" s="90" t="s">
        <v>401</v>
      </c>
      <c r="AT1118" s="90" t="s">
        <v>244</v>
      </c>
      <c r="AU1118" s="90">
        <v>1.853804</v>
      </c>
      <c r="AV1118" s="90">
        <v>38.952434380327297</v>
      </c>
      <c r="AW1118" s="90">
        <v>10.1035922690847</v>
      </c>
      <c r="AX1118" s="90">
        <v>7.6162197999999999E-3</v>
      </c>
    </row>
    <row r="1119" spans="1:50" x14ac:dyDescent="0.25">
      <c r="A1119" s="102">
        <v>840000</v>
      </c>
      <c r="B1119" s="102">
        <v>2400000</v>
      </c>
      <c r="C1119" s="102">
        <v>2400000</v>
      </c>
      <c r="D1119" s="90" t="s">
        <v>374</v>
      </c>
      <c r="E1119" s="90" t="s">
        <v>68</v>
      </c>
      <c r="F1119" s="90" t="s">
        <v>375</v>
      </c>
      <c r="G1119" s="90" t="s">
        <v>376</v>
      </c>
      <c r="H1119" s="90">
        <v>0.59</v>
      </c>
      <c r="I1119" s="90">
        <v>0.64</v>
      </c>
      <c r="J1119" s="90" t="s">
        <v>244</v>
      </c>
      <c r="K1119" s="90">
        <v>0.26124667061640999</v>
      </c>
      <c r="L1119" s="90">
        <v>3777.7388730708099</v>
      </c>
      <c r="M1119" s="90">
        <v>9.8672962632328094</v>
      </c>
      <c r="N1119" s="90">
        <v>1.7833472465904301</v>
      </c>
      <c r="O1119" s="90">
        <v>2.5777982967553701</v>
      </c>
      <c r="P1119" s="90">
        <v>0.46589353072470002</v>
      </c>
      <c r="Q1119" s="90">
        <v>986.92170304796196</v>
      </c>
      <c r="R1119" s="90">
        <v>1390</v>
      </c>
      <c r="S1119" s="90" t="s">
        <v>402</v>
      </c>
      <c r="T1119" s="90">
        <v>1390</v>
      </c>
      <c r="U1119" s="90" t="s">
        <v>378</v>
      </c>
      <c r="V1119" s="90" t="s">
        <v>244</v>
      </c>
      <c r="Z1119" s="90">
        <v>0</v>
      </c>
      <c r="AA1119" s="90">
        <v>1</v>
      </c>
      <c r="AB1119" s="90">
        <v>2.5777982967553701</v>
      </c>
      <c r="AC1119" s="90">
        <v>0.46589353072470002</v>
      </c>
      <c r="AD1119" s="90">
        <v>986.92170304796196</v>
      </c>
      <c r="AF1119" s="90">
        <v>-1</v>
      </c>
      <c r="AG1119" s="90">
        <v>-1</v>
      </c>
      <c r="AH1119" s="90">
        <v>-1</v>
      </c>
      <c r="AI1119" s="90">
        <v>-1</v>
      </c>
      <c r="AJ1119" s="90">
        <v>0</v>
      </c>
      <c r="AM1119" s="90" t="s">
        <v>379</v>
      </c>
      <c r="AN1119" s="90">
        <v>-1</v>
      </c>
      <c r="AQ1119" s="90">
        <v>373</v>
      </c>
      <c r="AR1119" s="90" t="s">
        <v>279</v>
      </c>
      <c r="AS1119" s="90" t="s">
        <v>403</v>
      </c>
      <c r="AT1119" s="90" t="s">
        <v>244</v>
      </c>
      <c r="AU1119" s="90">
        <v>4.0744790000000002</v>
      </c>
      <c r="AV1119" s="90">
        <v>132.72629733018701</v>
      </c>
      <c r="AW1119" s="90">
        <v>1057.2277668146601</v>
      </c>
      <c r="AX1119" s="90">
        <v>0.8004231168</v>
      </c>
    </row>
    <row r="1120" spans="1:50" x14ac:dyDescent="0.25">
      <c r="A1120" s="102">
        <v>840000</v>
      </c>
      <c r="B1120" s="102">
        <v>2400000</v>
      </c>
      <c r="C1120" s="102">
        <v>2400000</v>
      </c>
      <c r="D1120" s="90" t="s">
        <v>374</v>
      </c>
      <c r="E1120" s="90" t="s">
        <v>68</v>
      </c>
      <c r="F1120" s="90" t="s">
        <v>375</v>
      </c>
      <c r="G1120" s="90" t="s">
        <v>376</v>
      </c>
      <c r="H1120" s="90">
        <v>0.59</v>
      </c>
      <c r="I1120" s="90">
        <v>0.64</v>
      </c>
      <c r="J1120" s="90" t="s">
        <v>381</v>
      </c>
      <c r="K1120" s="90">
        <v>4.4396926809010001E-2</v>
      </c>
      <c r="L1120" s="90">
        <v>3777.7388730708099</v>
      </c>
      <c r="M1120" s="90">
        <v>9.8672962632328094</v>
      </c>
      <c r="N1120" s="90">
        <v>1.7833472465904301</v>
      </c>
      <c r="O1120" s="90">
        <v>0.43807763000159</v>
      </c>
      <c r="P1120" s="90">
        <v>7.9175137181930005E-2</v>
      </c>
      <c r="Q1120" s="90">
        <v>167.71999625128799</v>
      </c>
      <c r="R1120" s="90">
        <v>1390</v>
      </c>
      <c r="S1120" s="90" t="s">
        <v>402</v>
      </c>
      <c r="T1120" s="90">
        <v>1390</v>
      </c>
      <c r="U1120" s="90" t="s">
        <v>382</v>
      </c>
      <c r="V1120" s="90" t="s">
        <v>381</v>
      </c>
      <c r="Z1120" s="90">
        <v>0</v>
      </c>
      <c r="AA1120" s="90">
        <v>1</v>
      </c>
      <c r="AB1120" s="90">
        <v>0.43807763000159</v>
      </c>
      <c r="AC1120" s="90">
        <v>7.9175137181930005E-2</v>
      </c>
      <c r="AD1120" s="90">
        <v>167.71999625128799</v>
      </c>
      <c r="AF1120" s="90">
        <v>-1</v>
      </c>
      <c r="AG1120" s="90">
        <v>-1</v>
      </c>
      <c r="AH1120" s="90">
        <v>-1</v>
      </c>
      <c r="AI1120" s="90">
        <v>-1</v>
      </c>
      <c r="AJ1120" s="90">
        <v>0</v>
      </c>
      <c r="AM1120" s="90" t="s">
        <v>379</v>
      </c>
      <c r="AN1120" s="90">
        <v>-1</v>
      </c>
      <c r="AQ1120" s="90">
        <v>373</v>
      </c>
      <c r="AR1120" s="90" t="s">
        <v>279</v>
      </c>
      <c r="AS1120" s="90" t="s">
        <v>403</v>
      </c>
      <c r="AT1120" s="90" t="s">
        <v>244</v>
      </c>
      <c r="AU1120" s="90">
        <v>4.0744790000000002</v>
      </c>
      <c r="AV1120" s="90">
        <v>87.974839537484996</v>
      </c>
      <c r="AW1120" s="90">
        <v>179.667988391877</v>
      </c>
      <c r="AX1120" s="90">
        <v>0.1360259499</v>
      </c>
    </row>
    <row r="1121" spans="1:50" x14ac:dyDescent="0.25">
      <c r="A1121" s="102">
        <v>840000</v>
      </c>
      <c r="B1121" s="102">
        <v>2400000</v>
      </c>
      <c r="C1121" s="102">
        <v>2400000</v>
      </c>
      <c r="D1121" s="90" t="s">
        <v>374</v>
      </c>
      <c r="E1121" s="90" t="s">
        <v>68</v>
      </c>
      <c r="F1121" s="90" t="s">
        <v>375</v>
      </c>
      <c r="G1121" s="90" t="s">
        <v>376</v>
      </c>
      <c r="H1121" s="90">
        <v>0.59</v>
      </c>
      <c r="I1121" s="90">
        <v>0.64</v>
      </c>
      <c r="J1121" s="90" t="s">
        <v>244</v>
      </c>
      <c r="K1121" s="90">
        <v>1.9811341271980001E-2</v>
      </c>
      <c r="L1121" s="90">
        <v>3777.7388730708099</v>
      </c>
      <c r="M1121" s="90">
        <v>9.8672962632328094</v>
      </c>
      <c r="N1121" s="90">
        <v>1.7833472465904301</v>
      </c>
      <c r="O1121" s="90">
        <v>0.19548437370267999</v>
      </c>
      <c r="P1121" s="90">
        <v>3.5330500908650003E-2</v>
      </c>
      <c r="Q1121" s="90">
        <v>74.842074050849902</v>
      </c>
      <c r="R1121" s="90">
        <v>1300</v>
      </c>
      <c r="S1121" s="90" t="s">
        <v>387</v>
      </c>
      <c r="T1121" s="90">
        <v>1300</v>
      </c>
      <c r="U1121" s="90" t="s">
        <v>378</v>
      </c>
      <c r="V1121" s="90" t="s">
        <v>244</v>
      </c>
      <c r="Z1121" s="90">
        <v>0</v>
      </c>
      <c r="AA1121" s="90">
        <v>1</v>
      </c>
      <c r="AB1121" s="90">
        <v>0.19548437370267999</v>
      </c>
      <c r="AC1121" s="90">
        <v>3.5330500908650003E-2</v>
      </c>
      <c r="AD1121" s="90">
        <v>287.942342793926</v>
      </c>
      <c r="AF1121" s="90">
        <v>-1</v>
      </c>
      <c r="AG1121" s="90">
        <v>-1</v>
      </c>
      <c r="AH1121" s="90">
        <v>-1</v>
      </c>
      <c r="AI1121" s="90">
        <v>-1</v>
      </c>
      <c r="AJ1121" s="90">
        <v>0</v>
      </c>
      <c r="AM1121" s="90" t="s">
        <v>379</v>
      </c>
      <c r="AN1121" s="90">
        <v>-1</v>
      </c>
      <c r="AQ1121" s="90">
        <v>373</v>
      </c>
      <c r="AR1121" s="90" t="s">
        <v>279</v>
      </c>
      <c r="AS1121" s="90" t="s">
        <v>403</v>
      </c>
      <c r="AT1121" s="90" t="s">
        <v>244</v>
      </c>
      <c r="AU1121" s="90">
        <v>4.0744790000000002</v>
      </c>
      <c r="AV1121" s="90">
        <v>60.1116377565669</v>
      </c>
      <c r="AW1121" s="90">
        <v>80.173653662890402</v>
      </c>
      <c r="AX1121" s="90">
        <v>0.23352988059999999</v>
      </c>
    </row>
    <row r="1122" spans="1:50" x14ac:dyDescent="0.25">
      <c r="A1122" s="102">
        <v>840000</v>
      </c>
      <c r="B1122" s="102">
        <v>2400000</v>
      </c>
      <c r="C1122" s="102">
        <v>2400000</v>
      </c>
      <c r="D1122" s="90" t="s">
        <v>374</v>
      </c>
      <c r="E1122" s="90" t="s">
        <v>68</v>
      </c>
      <c r="F1122" s="90" t="s">
        <v>375</v>
      </c>
      <c r="G1122" s="90" t="s">
        <v>376</v>
      </c>
      <c r="H1122" s="90">
        <v>0.59</v>
      </c>
      <c r="I1122" s="90">
        <v>0.64</v>
      </c>
      <c r="J1122" s="90" t="s">
        <v>381</v>
      </c>
      <c r="K1122" s="90">
        <v>5.5947050371980001E-2</v>
      </c>
      <c r="L1122" s="90">
        <v>3777.7388730708099</v>
      </c>
      <c r="M1122" s="90">
        <v>9.8672962632328094</v>
      </c>
      <c r="N1122" s="90">
        <v>1.7833472465904301</v>
      </c>
      <c r="O1122" s="90">
        <v>0.55204612107437001</v>
      </c>
      <c r="P1122" s="90">
        <v>9.9773018235729996E-2</v>
      </c>
      <c r="Q1122" s="90">
        <v>211.353347023895</v>
      </c>
      <c r="R1122" s="90">
        <v>1300</v>
      </c>
      <c r="S1122" s="90" t="s">
        <v>387</v>
      </c>
      <c r="T1122" s="90">
        <v>1300</v>
      </c>
      <c r="U1122" s="90" t="s">
        <v>382</v>
      </c>
      <c r="V1122" s="90" t="s">
        <v>381</v>
      </c>
      <c r="Z1122" s="90">
        <v>0</v>
      </c>
      <c r="AA1122" s="90">
        <v>1</v>
      </c>
      <c r="AB1122" s="90">
        <v>0.55204612107437001</v>
      </c>
      <c r="AC1122" s="90">
        <v>9.9773018235729996E-2</v>
      </c>
      <c r="AD1122" s="90">
        <v>715.931462472769</v>
      </c>
      <c r="AF1122" s="90">
        <v>-1</v>
      </c>
      <c r="AG1122" s="90">
        <v>-1</v>
      </c>
      <c r="AH1122" s="90">
        <v>-1</v>
      </c>
      <c r="AI1122" s="90">
        <v>-1</v>
      </c>
      <c r="AJ1122" s="90">
        <v>0</v>
      </c>
      <c r="AM1122" s="90" t="s">
        <v>379</v>
      </c>
      <c r="AN1122" s="90">
        <v>-1</v>
      </c>
      <c r="AQ1122" s="90">
        <v>373</v>
      </c>
      <c r="AR1122" s="90" t="s">
        <v>279</v>
      </c>
      <c r="AS1122" s="90" t="s">
        <v>403</v>
      </c>
      <c r="AT1122" s="90" t="s">
        <v>244</v>
      </c>
      <c r="AU1122" s="90">
        <v>4.0744790000000002</v>
      </c>
      <c r="AV1122" s="90">
        <v>105.27928358957</v>
      </c>
      <c r="AW1122" s="90">
        <v>226.409680112199</v>
      </c>
      <c r="AX1122" s="90">
        <v>0.58064189980000003</v>
      </c>
    </row>
    <row r="1123" spans="1:50" x14ac:dyDescent="0.25">
      <c r="A1123" s="102">
        <v>840000</v>
      </c>
      <c r="B1123" s="102">
        <v>2400000</v>
      </c>
      <c r="C1123" s="102">
        <v>2400000</v>
      </c>
      <c r="D1123" s="90" t="s">
        <v>374</v>
      </c>
      <c r="E1123" s="90" t="s">
        <v>68</v>
      </c>
      <c r="F1123" s="90" t="s">
        <v>375</v>
      </c>
      <c r="G1123" s="90" t="s">
        <v>376</v>
      </c>
      <c r="H1123" s="90">
        <v>0.59</v>
      </c>
      <c r="I1123" s="90">
        <v>0.64</v>
      </c>
      <c r="J1123" s="90" t="s">
        <v>244</v>
      </c>
      <c r="K1123" s="90">
        <v>2.333703163278E-2</v>
      </c>
      <c r="L1123" s="90">
        <v>3658.0058763699899</v>
      </c>
      <c r="M1123" s="90">
        <v>8.6960428537051406</v>
      </c>
      <c r="N1123" s="90">
        <v>1.42578221936369</v>
      </c>
      <c r="O1123" s="90">
        <v>0.20293982715698999</v>
      </c>
      <c r="P1123" s="90">
        <v>3.3273524754749997E-2</v>
      </c>
      <c r="Q1123" s="90">
        <v>85.366998849770795</v>
      </c>
      <c r="R1123" s="90">
        <v>1300</v>
      </c>
      <c r="S1123" s="90" t="s">
        <v>387</v>
      </c>
      <c r="T1123" s="90">
        <v>1300</v>
      </c>
      <c r="U1123" s="90" t="s">
        <v>378</v>
      </c>
      <c r="V1123" s="90" t="s">
        <v>244</v>
      </c>
      <c r="Z1123" s="90">
        <v>0</v>
      </c>
      <c r="AA1123" s="90">
        <v>1</v>
      </c>
      <c r="AB1123" s="90">
        <v>0.20293982715698999</v>
      </c>
      <c r="AC1123" s="90">
        <v>3.3273524754749997E-2</v>
      </c>
      <c r="AD1123" s="90">
        <v>706.39935959064098</v>
      </c>
      <c r="AF1123" s="90">
        <v>-1</v>
      </c>
      <c r="AG1123" s="90">
        <v>-1</v>
      </c>
      <c r="AH1123" s="90">
        <v>-1</v>
      </c>
      <c r="AI1123" s="90">
        <v>-1</v>
      </c>
      <c r="AJ1123" s="90">
        <v>0</v>
      </c>
      <c r="AM1123" s="90" t="s">
        <v>379</v>
      </c>
      <c r="AN1123" s="90">
        <v>-1</v>
      </c>
      <c r="AQ1123" s="90">
        <v>373</v>
      </c>
      <c r="AR1123" s="90" t="s">
        <v>279</v>
      </c>
      <c r="AS1123" s="90" t="s">
        <v>403</v>
      </c>
      <c r="AT1123" s="90" t="s">
        <v>244</v>
      </c>
      <c r="AU1123" s="90">
        <v>4.0744790000000002</v>
      </c>
      <c r="AV1123" s="90">
        <v>43.938261283435899</v>
      </c>
      <c r="AW1123" s="90">
        <v>94.441616342901597</v>
      </c>
      <c r="AX1123" s="90">
        <v>0.57291107829999999</v>
      </c>
    </row>
    <row r="1124" spans="1:50" x14ac:dyDescent="0.25">
      <c r="A1124" s="102">
        <v>840000</v>
      </c>
      <c r="B1124" s="102">
        <v>2400000</v>
      </c>
      <c r="C1124" s="102">
        <v>2400000</v>
      </c>
      <c r="D1124" s="90" t="s">
        <v>374</v>
      </c>
      <c r="E1124" s="90" t="s">
        <v>68</v>
      </c>
      <c r="F1124" s="90" t="s">
        <v>375</v>
      </c>
      <c r="G1124" s="90" t="s">
        <v>376</v>
      </c>
      <c r="H1124" s="90">
        <v>0.59</v>
      </c>
      <c r="I1124" s="90">
        <v>0.64</v>
      </c>
      <c r="J1124" s="90" t="s">
        <v>389</v>
      </c>
      <c r="K1124" s="90">
        <v>6.3263377493099999E-3</v>
      </c>
      <c r="L1124" s="90">
        <v>3658.0058763699899</v>
      </c>
      <c r="M1124" s="90">
        <v>8.6960428537051406</v>
      </c>
      <c r="N1124" s="90">
        <v>1.42578221936369</v>
      </c>
      <c r="O1124" s="90">
        <v>5.5014104175029999E-2</v>
      </c>
      <c r="P1124" s="90">
        <v>9.0199798766600007E-3</v>
      </c>
      <c r="Q1124" s="90">
        <v>23.141780662888198</v>
      </c>
      <c r="R1124" s="90">
        <v>4340</v>
      </c>
      <c r="S1124" s="90" t="s">
        <v>404</v>
      </c>
      <c r="T1124" s="90">
        <v>4340</v>
      </c>
      <c r="U1124" s="90" t="s">
        <v>378</v>
      </c>
      <c r="V1124" s="90" t="s">
        <v>244</v>
      </c>
      <c r="Y1124" s="90" t="s">
        <v>389</v>
      </c>
      <c r="Z1124" s="90">
        <v>0</v>
      </c>
      <c r="AA1124" s="90">
        <v>1</v>
      </c>
      <c r="AB1124" s="90">
        <v>5.5014104175029999E-2</v>
      </c>
      <c r="AC1124" s="90">
        <v>9.0199798766600007E-3</v>
      </c>
      <c r="AD1124" s="90">
        <v>252.17467248678599</v>
      </c>
      <c r="AF1124" s="90">
        <v>-1</v>
      </c>
      <c r="AG1124" s="90">
        <v>-1</v>
      </c>
      <c r="AH1124" s="90">
        <v>-1</v>
      </c>
      <c r="AI1124" s="90">
        <v>-1</v>
      </c>
      <c r="AJ1124" s="90">
        <v>0</v>
      </c>
      <c r="AM1124" s="90" t="s">
        <v>379</v>
      </c>
      <c r="AN1124" s="90">
        <v>-1</v>
      </c>
      <c r="AQ1124" s="90">
        <v>373</v>
      </c>
      <c r="AR1124" s="90" t="s">
        <v>279</v>
      </c>
      <c r="AS1124" s="90" t="s">
        <v>403</v>
      </c>
      <c r="AT1124" s="90" t="s">
        <v>244</v>
      </c>
      <c r="AU1124" s="90">
        <v>4.0744790000000002</v>
      </c>
      <c r="AV1124" s="90">
        <v>24.519461824277101</v>
      </c>
      <c r="AW1124" s="90">
        <v>25.6017805510801</v>
      </c>
      <c r="AX1124" s="90">
        <v>0.2045212267</v>
      </c>
    </row>
    <row r="1125" spans="1:50" x14ac:dyDescent="0.25">
      <c r="A1125" s="102">
        <v>840000</v>
      </c>
      <c r="B1125" s="102">
        <v>2400000</v>
      </c>
      <c r="C1125" s="102">
        <v>2400000</v>
      </c>
      <c r="D1125" s="90" t="s">
        <v>374</v>
      </c>
      <c r="E1125" s="90" t="s">
        <v>68</v>
      </c>
      <c r="F1125" s="90" t="s">
        <v>375</v>
      </c>
      <c r="G1125" s="90" t="s">
        <v>376</v>
      </c>
      <c r="H1125" s="90">
        <v>0.59</v>
      </c>
      <c r="I1125" s="90">
        <v>0.64</v>
      </c>
      <c r="J1125" s="90" t="s">
        <v>244</v>
      </c>
      <c r="K1125" s="90">
        <v>1.24853718063E-3</v>
      </c>
      <c r="L1125" s="90">
        <v>3658.0058763699899</v>
      </c>
      <c r="M1125" s="90">
        <v>8.6960428537051406</v>
      </c>
      <c r="N1125" s="90">
        <v>1.42578221936369</v>
      </c>
      <c r="O1125" s="90">
        <v>1.085733282725E-2</v>
      </c>
      <c r="P1125" s="90">
        <v>1.78014211236E-3</v>
      </c>
      <c r="Q1125" s="90">
        <v>4.5671563436328997</v>
      </c>
      <c r="R1125" s="90">
        <v>1200</v>
      </c>
      <c r="S1125" s="90" t="s">
        <v>384</v>
      </c>
      <c r="T1125" s="90">
        <v>1200</v>
      </c>
      <c r="U1125" s="90" t="s">
        <v>378</v>
      </c>
      <c r="V1125" s="90" t="s">
        <v>244</v>
      </c>
      <c r="Z1125" s="90">
        <v>0</v>
      </c>
      <c r="AA1125" s="90">
        <v>1</v>
      </c>
      <c r="AB1125" s="90">
        <v>1.085733282725E-2</v>
      </c>
      <c r="AC1125" s="90">
        <v>1.78014211236E-3</v>
      </c>
      <c r="AD1125" s="90">
        <v>4.5671563436333402</v>
      </c>
      <c r="AF1125" s="90">
        <v>-1</v>
      </c>
      <c r="AG1125" s="90">
        <v>-1</v>
      </c>
      <c r="AH1125" s="90">
        <v>-1</v>
      </c>
      <c r="AI1125" s="90">
        <v>-1</v>
      </c>
      <c r="AJ1125" s="90">
        <v>0</v>
      </c>
      <c r="AM1125" s="90" t="s">
        <v>379</v>
      </c>
      <c r="AN1125" s="90">
        <v>-1</v>
      </c>
      <c r="AQ1125" s="90">
        <v>373</v>
      </c>
      <c r="AR1125" s="90" t="s">
        <v>279</v>
      </c>
      <c r="AS1125" s="90" t="s">
        <v>403</v>
      </c>
      <c r="AT1125" s="90" t="s">
        <v>244</v>
      </c>
      <c r="AU1125" s="90">
        <v>4.0744790000000002</v>
      </c>
      <c r="AV1125" s="90">
        <v>8.9986957609295803</v>
      </c>
      <c r="AW1125" s="90">
        <v>5.0526507080624699</v>
      </c>
      <c r="AX1125" s="90">
        <v>3.7041007999999999E-3</v>
      </c>
    </row>
    <row r="1126" spans="1:50" x14ac:dyDescent="0.25">
      <c r="A1126" s="102">
        <v>840000</v>
      </c>
      <c r="B1126" s="102">
        <v>2400000</v>
      </c>
      <c r="C1126" s="102">
        <v>2400000</v>
      </c>
      <c r="D1126" s="90" t="s">
        <v>374</v>
      </c>
      <c r="E1126" s="90" t="s">
        <v>68</v>
      </c>
      <c r="F1126" s="90" t="s">
        <v>375</v>
      </c>
      <c r="G1126" s="90" t="s">
        <v>376</v>
      </c>
      <c r="H1126" s="90">
        <v>0.59</v>
      </c>
      <c r="I1126" s="90">
        <v>0.64</v>
      </c>
      <c r="J1126" s="90" t="s">
        <v>244</v>
      </c>
      <c r="K1126" s="90">
        <v>8.5817621902400006E-3</v>
      </c>
      <c r="L1126" s="90">
        <v>3658.0058763699899</v>
      </c>
      <c r="M1126" s="90">
        <v>8.6960428537051406</v>
      </c>
      <c r="N1126" s="90">
        <v>1.42578221936369</v>
      </c>
      <c r="O1126" s="90">
        <v>7.4627371766629993E-2</v>
      </c>
      <c r="P1126" s="90">
        <v>1.223572394165E-2</v>
      </c>
      <c r="Q1126" s="90">
        <v>31.392136521507702</v>
      </c>
      <c r="R1126" s="90">
        <v>1210</v>
      </c>
      <c r="S1126" s="90" t="s">
        <v>385</v>
      </c>
      <c r="T1126" s="90">
        <v>1210</v>
      </c>
      <c r="U1126" s="90" t="s">
        <v>378</v>
      </c>
      <c r="V1126" s="90" t="s">
        <v>244</v>
      </c>
      <c r="Z1126" s="90">
        <v>0</v>
      </c>
      <c r="AA1126" s="90">
        <v>1</v>
      </c>
      <c r="AB1126" s="90">
        <v>7.4627371766629993E-2</v>
      </c>
      <c r="AC1126" s="90">
        <v>1.223572394165E-2</v>
      </c>
      <c r="AD1126" s="90">
        <v>226.67847044282101</v>
      </c>
      <c r="AF1126" s="90">
        <v>-1</v>
      </c>
      <c r="AG1126" s="90">
        <v>-1</v>
      </c>
      <c r="AH1126" s="90">
        <v>-1</v>
      </c>
      <c r="AI1126" s="90">
        <v>-1</v>
      </c>
      <c r="AJ1126" s="90">
        <v>0</v>
      </c>
      <c r="AM1126" s="90" t="s">
        <v>379</v>
      </c>
      <c r="AN1126" s="90">
        <v>-1</v>
      </c>
      <c r="AQ1126" s="90">
        <v>373</v>
      </c>
      <c r="AR1126" s="90" t="s">
        <v>279</v>
      </c>
      <c r="AS1126" s="90" t="s">
        <v>403</v>
      </c>
      <c r="AT1126" s="90" t="s">
        <v>244</v>
      </c>
      <c r="AU1126" s="90">
        <v>4.0744790000000002</v>
      </c>
      <c r="AV1126" s="90">
        <v>44.9889427533641</v>
      </c>
      <c r="AW1126" s="90">
        <v>34.729159435082501</v>
      </c>
      <c r="AX1126" s="90">
        <v>0.18384304169999999</v>
      </c>
    </row>
    <row r="1127" spans="1:50" x14ac:dyDescent="0.25">
      <c r="A1127" s="102">
        <v>840000</v>
      </c>
      <c r="B1127" s="102">
        <v>2400000</v>
      </c>
      <c r="C1127" s="102">
        <v>2400000</v>
      </c>
      <c r="D1127" s="90" t="s">
        <v>374</v>
      </c>
      <c r="E1127" s="90" t="s">
        <v>68</v>
      </c>
      <c r="F1127" s="90" t="s">
        <v>375</v>
      </c>
      <c r="G1127" s="90" t="s">
        <v>376</v>
      </c>
      <c r="H1127" s="90">
        <v>0.59</v>
      </c>
      <c r="I1127" s="90">
        <v>0.64</v>
      </c>
      <c r="J1127" s="90" t="s">
        <v>381</v>
      </c>
      <c r="K1127" s="90">
        <v>4.1457478179999997E-5</v>
      </c>
      <c r="L1127" s="90">
        <v>3658.0058763699899</v>
      </c>
      <c r="M1127" s="90">
        <v>8.6960428537051406</v>
      </c>
      <c r="N1127" s="90">
        <v>1.42578221936369</v>
      </c>
      <c r="O1127" s="90">
        <v>3.6051600686E-4</v>
      </c>
      <c r="P1127" s="90">
        <v>5.9109335250000001E-5</v>
      </c>
      <c r="Q1127" s="90">
        <v>0.15165169880557</v>
      </c>
      <c r="R1127" s="90">
        <v>1210</v>
      </c>
      <c r="S1127" s="90" t="s">
        <v>385</v>
      </c>
      <c r="T1127" s="90">
        <v>1210</v>
      </c>
      <c r="U1127" s="90" t="s">
        <v>382</v>
      </c>
      <c r="V1127" s="90" t="s">
        <v>381</v>
      </c>
      <c r="Z1127" s="90">
        <v>0</v>
      </c>
      <c r="AA1127" s="90">
        <v>1</v>
      </c>
      <c r="AB1127" s="90">
        <v>3.6051600686E-4</v>
      </c>
      <c r="AC1127" s="90">
        <v>5.9109335250000001E-5</v>
      </c>
      <c r="AD1127" s="90">
        <v>0.42739720511036999</v>
      </c>
      <c r="AF1127" s="90">
        <v>-1</v>
      </c>
      <c r="AG1127" s="90">
        <v>-1</v>
      </c>
      <c r="AH1127" s="90">
        <v>-1</v>
      </c>
      <c r="AI1127" s="90">
        <v>-1</v>
      </c>
      <c r="AJ1127" s="90">
        <v>0</v>
      </c>
      <c r="AM1127" s="90" t="s">
        <v>379</v>
      </c>
      <c r="AN1127" s="90">
        <v>-1</v>
      </c>
      <c r="AQ1127" s="90">
        <v>373</v>
      </c>
      <c r="AR1127" s="90" t="s">
        <v>279</v>
      </c>
      <c r="AS1127" s="90" t="s">
        <v>403</v>
      </c>
      <c r="AT1127" s="90" t="s">
        <v>244</v>
      </c>
      <c r="AU1127" s="90">
        <v>4.0744790000000002</v>
      </c>
      <c r="AV1127" s="90">
        <v>8.8425923403603193</v>
      </c>
      <c r="AW1127" s="90">
        <v>0.16777246183221001</v>
      </c>
      <c r="AX1127" s="90">
        <v>3.4663199999999998E-4</v>
      </c>
    </row>
    <row r="1128" spans="1:50" x14ac:dyDescent="0.25">
      <c r="A1128" s="102">
        <v>840000</v>
      </c>
      <c r="B1128" s="102">
        <v>2400000</v>
      </c>
      <c r="C1128" s="102">
        <v>2400000</v>
      </c>
      <c r="D1128" s="90" t="s">
        <v>374</v>
      </c>
      <c r="E1128" s="90" t="s">
        <v>68</v>
      </c>
      <c r="F1128" s="90" t="s">
        <v>375</v>
      </c>
      <c r="G1128" s="90" t="s">
        <v>376</v>
      </c>
      <c r="H1128" s="90">
        <v>0.59</v>
      </c>
      <c r="I1128" s="90">
        <v>0.64</v>
      </c>
      <c r="J1128" s="90" t="s">
        <v>244</v>
      </c>
      <c r="K1128" s="90">
        <v>1.7500682917160001E-2</v>
      </c>
      <c r="L1128" s="90">
        <v>3658.0058763699899</v>
      </c>
      <c r="M1128" s="90">
        <v>8.6960428537051406</v>
      </c>
      <c r="N1128" s="90">
        <v>1.42578221936369</v>
      </c>
      <c r="O1128" s="90">
        <v>0.15218668861675999</v>
      </c>
      <c r="P1128" s="90">
        <v>2.4952162530010001E-2</v>
      </c>
      <c r="Q1128" s="90">
        <v>64.017600951473796</v>
      </c>
      <c r="R1128" s="90">
        <v>1210</v>
      </c>
      <c r="S1128" s="90" t="s">
        <v>385</v>
      </c>
      <c r="T1128" s="90">
        <v>1210</v>
      </c>
      <c r="U1128" s="90" t="s">
        <v>378</v>
      </c>
      <c r="V1128" s="90" t="s">
        <v>244</v>
      </c>
      <c r="Z1128" s="90">
        <v>0</v>
      </c>
      <c r="AA1128" s="90">
        <v>1</v>
      </c>
      <c r="AB1128" s="90">
        <v>0.15218668861675999</v>
      </c>
      <c r="AC1128" s="90">
        <v>2.4952162530010001E-2</v>
      </c>
      <c r="AD1128" s="90">
        <v>64.587391176879294</v>
      </c>
      <c r="AF1128" s="90">
        <v>-1</v>
      </c>
      <c r="AG1128" s="90">
        <v>-1</v>
      </c>
      <c r="AH1128" s="90">
        <v>-1</v>
      </c>
      <c r="AI1128" s="90">
        <v>-1</v>
      </c>
      <c r="AJ1128" s="90">
        <v>0</v>
      </c>
      <c r="AM1128" s="90" t="s">
        <v>379</v>
      </c>
      <c r="AN1128" s="90">
        <v>-1</v>
      </c>
      <c r="AQ1128" s="90">
        <v>373</v>
      </c>
      <c r="AR1128" s="90" t="s">
        <v>279</v>
      </c>
      <c r="AS1128" s="90" t="s">
        <v>403</v>
      </c>
      <c r="AT1128" s="90" t="s">
        <v>244</v>
      </c>
      <c r="AU1128" s="90">
        <v>4.0744790000000002</v>
      </c>
      <c r="AV1128" s="90">
        <v>50.417767489867302</v>
      </c>
      <c r="AW1128" s="90">
        <v>70.822751059711095</v>
      </c>
      <c r="AX1128" s="90">
        <v>5.2382312399999999E-2</v>
      </c>
    </row>
    <row r="1129" spans="1:50" x14ac:dyDescent="0.25">
      <c r="A1129" s="102">
        <v>840000</v>
      </c>
      <c r="B1129" s="102">
        <v>2400000</v>
      </c>
      <c r="C1129" s="102">
        <v>2400000</v>
      </c>
      <c r="D1129" s="90" t="s">
        <v>374</v>
      </c>
      <c r="E1129" s="90" t="s">
        <v>68</v>
      </c>
      <c r="F1129" s="90" t="s">
        <v>375</v>
      </c>
      <c r="G1129" s="90" t="s">
        <v>376</v>
      </c>
      <c r="H1129" s="90">
        <v>0.59</v>
      </c>
      <c r="I1129" s="90">
        <v>0.64</v>
      </c>
      <c r="J1129" s="90" t="s">
        <v>381</v>
      </c>
      <c r="K1129" s="90">
        <v>3.9021607229999998E-5</v>
      </c>
      <c r="L1129" s="90">
        <v>3658.0058763699899</v>
      </c>
      <c r="M1129" s="90">
        <v>8.6960428537051406</v>
      </c>
      <c r="N1129" s="90">
        <v>1.42578221936369</v>
      </c>
      <c r="O1129" s="90">
        <v>3.3933356872000001E-4</v>
      </c>
      <c r="P1129" s="90">
        <v>5.5636313759999997E-5</v>
      </c>
      <c r="Q1129" s="90">
        <v>0.14274126856736999</v>
      </c>
      <c r="R1129" s="90">
        <v>1210</v>
      </c>
      <c r="S1129" s="90" t="s">
        <v>385</v>
      </c>
      <c r="T1129" s="90">
        <v>1210</v>
      </c>
      <c r="U1129" s="90" t="s">
        <v>382</v>
      </c>
      <c r="V1129" s="90" t="s">
        <v>381</v>
      </c>
      <c r="Z1129" s="90">
        <v>0</v>
      </c>
      <c r="AA1129" s="90">
        <v>1</v>
      </c>
      <c r="AB1129" s="90">
        <v>3.3933356872000001E-4</v>
      </c>
      <c r="AC1129" s="90">
        <v>5.5636313759999997E-5</v>
      </c>
      <c r="AD1129" s="90">
        <v>0.14274126856689001</v>
      </c>
      <c r="AF1129" s="90">
        <v>-1</v>
      </c>
      <c r="AG1129" s="90">
        <v>-1</v>
      </c>
      <c r="AH1129" s="90">
        <v>-1</v>
      </c>
      <c r="AI1129" s="90">
        <v>-1</v>
      </c>
      <c r="AJ1129" s="90">
        <v>0</v>
      </c>
      <c r="AM1129" s="90" t="s">
        <v>379</v>
      </c>
      <c r="AN1129" s="90">
        <v>-1</v>
      </c>
      <c r="AQ1129" s="90">
        <v>373</v>
      </c>
      <c r="AR1129" s="90" t="s">
        <v>279</v>
      </c>
      <c r="AS1129" s="90" t="s">
        <v>403</v>
      </c>
      <c r="AT1129" s="90" t="s">
        <v>244</v>
      </c>
      <c r="AU1129" s="90">
        <v>4.0744790000000002</v>
      </c>
      <c r="AV1129" s="90">
        <v>7.6005578111713499</v>
      </c>
      <c r="AW1129" s="90">
        <v>0.15791484184674001</v>
      </c>
      <c r="AX1129" s="90">
        <v>1.157675E-4</v>
      </c>
    </row>
    <row r="1130" spans="1:50" x14ac:dyDescent="0.25">
      <c r="A1130" s="102">
        <v>840000</v>
      </c>
      <c r="B1130" s="102">
        <v>2400000</v>
      </c>
      <c r="C1130" s="102">
        <v>2400000</v>
      </c>
      <c r="D1130" s="90" t="s">
        <v>374</v>
      </c>
      <c r="E1130" s="90" t="s">
        <v>68</v>
      </c>
      <c r="F1130" s="90" t="s">
        <v>375</v>
      </c>
      <c r="G1130" s="90" t="s">
        <v>376</v>
      </c>
      <c r="H1130" s="90">
        <v>0.59</v>
      </c>
      <c r="I1130" s="90">
        <v>0.64</v>
      </c>
      <c r="J1130" s="90" t="s">
        <v>244</v>
      </c>
      <c r="K1130" s="90">
        <v>1.22049308569E-3</v>
      </c>
      <c r="L1130" s="90">
        <v>3773.8140038065098</v>
      </c>
      <c r="M1130" s="90">
        <v>9.4768971225364407</v>
      </c>
      <c r="N1130" s="90">
        <v>1.6345837971214201</v>
      </c>
      <c r="O1130" s="90">
        <v>1.1566487411900001E-2</v>
      </c>
      <c r="P1130" s="90">
        <v>1.99499822237E-3</v>
      </c>
      <c r="Q1130" s="90">
        <v>4.6059138983485903</v>
      </c>
      <c r="R1130" s="90">
        <v>1390</v>
      </c>
      <c r="S1130" s="90" t="s">
        <v>402</v>
      </c>
      <c r="T1130" s="90">
        <v>1390</v>
      </c>
      <c r="U1130" s="90" t="s">
        <v>378</v>
      </c>
      <c r="V1130" s="90" t="s">
        <v>244</v>
      </c>
      <c r="Z1130" s="90">
        <v>0</v>
      </c>
      <c r="AA1130" s="90">
        <v>1</v>
      </c>
      <c r="AB1130" s="90">
        <v>1.1566487411900001E-2</v>
      </c>
      <c r="AC1130" s="90">
        <v>1.99499822237E-3</v>
      </c>
      <c r="AD1130" s="90">
        <v>1093.2968259244799</v>
      </c>
      <c r="AF1130" s="90">
        <v>-1</v>
      </c>
      <c r="AG1130" s="90">
        <v>-1</v>
      </c>
      <c r="AH1130" s="90">
        <v>-1</v>
      </c>
      <c r="AI1130" s="90">
        <v>-1</v>
      </c>
      <c r="AJ1130" s="90">
        <v>0</v>
      </c>
      <c r="AM1130" s="90" t="s">
        <v>379</v>
      </c>
      <c r="AN1130" s="90">
        <v>-1</v>
      </c>
      <c r="AQ1130" s="90">
        <v>373</v>
      </c>
      <c r="AR1130" s="90" t="s">
        <v>279</v>
      </c>
      <c r="AS1130" s="90" t="s">
        <v>403</v>
      </c>
      <c r="AT1130" s="90" t="s">
        <v>244</v>
      </c>
      <c r="AU1130" s="90">
        <v>4.0744790000000002</v>
      </c>
      <c r="AV1130" s="90">
        <v>14.6388123340853</v>
      </c>
      <c r="AW1130" s="90">
        <v>4.9391602823430301</v>
      </c>
      <c r="AX1130" s="90">
        <v>0.8866965336</v>
      </c>
    </row>
    <row r="1131" spans="1:50" x14ac:dyDescent="0.25">
      <c r="A1131" s="102">
        <v>840000</v>
      </c>
      <c r="B1131" s="102">
        <v>2400000</v>
      </c>
      <c r="C1131" s="102">
        <v>2400000</v>
      </c>
      <c r="D1131" s="90" t="s">
        <v>374</v>
      </c>
      <c r="E1131" s="90" t="s">
        <v>68</v>
      </c>
      <c r="F1131" s="90" t="s">
        <v>375</v>
      </c>
      <c r="G1131" s="90" t="s">
        <v>376</v>
      </c>
      <c r="H1131" s="90">
        <v>0.59</v>
      </c>
      <c r="I1131" s="90">
        <v>0.64</v>
      </c>
      <c r="J1131" s="90" t="s">
        <v>244</v>
      </c>
      <c r="K1131" s="90">
        <v>0.25983838916816998</v>
      </c>
      <c r="L1131" s="90">
        <v>3760.6698091599601</v>
      </c>
      <c r="M1131" s="90">
        <v>8.0017926262209595</v>
      </c>
      <c r="N1131" s="90">
        <v>1.17712454080462</v>
      </c>
      <c r="O1131" s="90">
        <v>2.07917290645499</v>
      </c>
      <c r="P1131" s="90">
        <v>0.30586214453298999</v>
      </c>
      <c r="Q1131" s="90">
        <v>977.16638540549297</v>
      </c>
      <c r="R1131" s="90">
        <v>1390</v>
      </c>
      <c r="S1131" s="90" t="s">
        <v>402</v>
      </c>
      <c r="T1131" s="90">
        <v>1390</v>
      </c>
      <c r="U1131" s="90" t="s">
        <v>378</v>
      </c>
      <c r="V1131" s="90" t="s">
        <v>244</v>
      </c>
      <c r="Z1131" s="90">
        <v>0</v>
      </c>
      <c r="AA1131" s="90">
        <v>1</v>
      </c>
      <c r="AB1131" s="90">
        <v>2.07917290645499</v>
      </c>
      <c r="AC1131" s="90">
        <v>0.30586214453298999</v>
      </c>
      <c r="AD1131" s="90">
        <v>982.10531030313598</v>
      </c>
      <c r="AF1131" s="90">
        <v>-1</v>
      </c>
      <c r="AG1131" s="90">
        <v>-1</v>
      </c>
      <c r="AH1131" s="90">
        <v>-1</v>
      </c>
      <c r="AI1131" s="90">
        <v>-1</v>
      </c>
      <c r="AJ1131" s="90">
        <v>0</v>
      </c>
      <c r="AM1131" s="90" t="s">
        <v>379</v>
      </c>
      <c r="AN1131" s="90">
        <v>-1</v>
      </c>
      <c r="AQ1131" s="90">
        <v>373</v>
      </c>
      <c r="AR1131" s="90" t="s">
        <v>279</v>
      </c>
      <c r="AS1131" s="90" t="s">
        <v>403</v>
      </c>
      <c r="AT1131" s="90" t="s">
        <v>244</v>
      </c>
      <c r="AU1131" s="90">
        <v>4.0744790000000002</v>
      </c>
      <c r="AV1131" s="90">
        <v>141.518504170109</v>
      </c>
      <c r="AW1131" s="90">
        <v>1051.5286539912699</v>
      </c>
      <c r="AX1131" s="90">
        <v>0.79651687780000002</v>
      </c>
    </row>
    <row r="1132" spans="1:50" x14ac:dyDescent="0.25">
      <c r="A1132" s="102">
        <v>840000</v>
      </c>
      <c r="B1132" s="102">
        <v>2400000</v>
      </c>
      <c r="C1132" s="102">
        <v>2400000</v>
      </c>
      <c r="D1132" s="90" t="s">
        <v>374</v>
      </c>
      <c r="E1132" s="90" t="s">
        <v>68</v>
      </c>
      <c r="F1132" s="90" t="s">
        <v>375</v>
      </c>
      <c r="G1132" s="90" t="s">
        <v>376</v>
      </c>
      <c r="H1132" s="90">
        <v>0.59</v>
      </c>
      <c r="I1132" s="90">
        <v>0.64</v>
      </c>
      <c r="J1132" s="90" t="s">
        <v>244</v>
      </c>
      <c r="K1132" s="90">
        <v>8.2775576887269997E-2</v>
      </c>
      <c r="L1132" s="90">
        <v>3760.6698091599601</v>
      </c>
      <c r="M1132" s="90">
        <v>8.0017926262209595</v>
      </c>
      <c r="N1132" s="90">
        <v>1.17712454080462</v>
      </c>
      <c r="O1132" s="90">
        <v>0.66235300076781001</v>
      </c>
      <c r="P1132" s="90">
        <v>9.7437162933269997E-2</v>
      </c>
      <c r="Q1132" s="90">
        <v>311.29161293578898</v>
      </c>
      <c r="R1132" s="90">
        <v>1210</v>
      </c>
      <c r="S1132" s="90" t="s">
        <v>385</v>
      </c>
      <c r="T1132" s="90">
        <v>1210</v>
      </c>
      <c r="U1132" s="90" t="s">
        <v>378</v>
      </c>
      <c r="V1132" s="90" t="s">
        <v>244</v>
      </c>
      <c r="Z1132" s="90">
        <v>0</v>
      </c>
      <c r="AA1132" s="90">
        <v>1</v>
      </c>
      <c r="AB1132" s="90">
        <v>0.66235300076781001</v>
      </c>
      <c r="AC1132" s="90">
        <v>9.7437162933269997E-2</v>
      </c>
      <c r="AD1132" s="90">
        <v>316.42704579168998</v>
      </c>
      <c r="AF1132" s="90">
        <v>-1</v>
      </c>
      <c r="AG1132" s="90">
        <v>-1</v>
      </c>
      <c r="AH1132" s="90">
        <v>-1</v>
      </c>
      <c r="AI1132" s="90">
        <v>-1</v>
      </c>
      <c r="AJ1132" s="90">
        <v>0</v>
      </c>
      <c r="AM1132" s="90" t="s">
        <v>379</v>
      </c>
      <c r="AN1132" s="90">
        <v>-1</v>
      </c>
      <c r="AQ1132" s="90">
        <v>373</v>
      </c>
      <c r="AR1132" s="90" t="s">
        <v>279</v>
      </c>
      <c r="AS1132" s="90" t="s">
        <v>403</v>
      </c>
      <c r="AT1132" s="90" t="s">
        <v>244</v>
      </c>
      <c r="AU1132" s="90">
        <v>4.0744790000000002</v>
      </c>
      <c r="AV1132" s="90">
        <v>79.939352327580494</v>
      </c>
      <c r="AW1132" s="90">
        <v>334.98087494414898</v>
      </c>
      <c r="AX1132" s="90">
        <v>0.25663182950000002</v>
      </c>
    </row>
    <row r="1133" spans="1:50" x14ac:dyDescent="0.25">
      <c r="A1133" s="102">
        <v>840000</v>
      </c>
      <c r="B1133" s="102">
        <v>2400000</v>
      </c>
      <c r="C1133" s="102">
        <v>2400000</v>
      </c>
      <c r="D1133" s="90" t="s">
        <v>374</v>
      </c>
      <c r="E1133" s="90" t="s">
        <v>68</v>
      </c>
      <c r="F1133" s="90" t="s">
        <v>375</v>
      </c>
      <c r="G1133" s="90" t="s">
        <v>376</v>
      </c>
      <c r="H1133" s="90">
        <v>0.59</v>
      </c>
      <c r="I1133" s="90">
        <v>0.64</v>
      </c>
      <c r="J1133" s="90" t="s">
        <v>244</v>
      </c>
      <c r="K1133" s="90">
        <v>9.6452791200880003E-2</v>
      </c>
      <c r="L1133" s="90">
        <v>3760.6698091599601</v>
      </c>
      <c r="M1133" s="90">
        <v>8.0017926262209595</v>
      </c>
      <c r="N1133" s="90">
        <v>1.17712454080462</v>
      </c>
      <c r="O1133" s="90">
        <v>0.77179523340968004</v>
      </c>
      <c r="P1133" s="90">
        <v>0.11353694755165999</v>
      </c>
      <c r="Q1133" s="90">
        <v>362.72709987838101</v>
      </c>
      <c r="R1133" s="90">
        <v>1210</v>
      </c>
      <c r="S1133" s="90" t="s">
        <v>385</v>
      </c>
      <c r="T1133" s="90">
        <v>1210</v>
      </c>
      <c r="U1133" s="90" t="s">
        <v>378</v>
      </c>
      <c r="V1133" s="90" t="s">
        <v>244</v>
      </c>
      <c r="Z1133" s="90">
        <v>0</v>
      </c>
      <c r="AA1133" s="90">
        <v>1</v>
      </c>
      <c r="AB1133" s="90">
        <v>0.77179523340968004</v>
      </c>
      <c r="AC1133" s="90">
        <v>0.11353694755165999</v>
      </c>
      <c r="AD1133" s="90">
        <v>362.72709987837999</v>
      </c>
      <c r="AF1133" s="90">
        <v>-1</v>
      </c>
      <c r="AG1133" s="90">
        <v>-1</v>
      </c>
      <c r="AH1133" s="90">
        <v>-1</v>
      </c>
      <c r="AI1133" s="90">
        <v>-1</v>
      </c>
      <c r="AJ1133" s="90">
        <v>0</v>
      </c>
      <c r="AM1133" s="90" t="s">
        <v>379</v>
      </c>
      <c r="AN1133" s="90">
        <v>-1</v>
      </c>
      <c r="AQ1133" s="90">
        <v>373</v>
      </c>
      <c r="AR1133" s="90" t="s">
        <v>279</v>
      </c>
      <c r="AS1133" s="90" t="s">
        <v>403</v>
      </c>
      <c r="AT1133" s="90" t="s">
        <v>244</v>
      </c>
      <c r="AU1133" s="90">
        <v>4.0744790000000002</v>
      </c>
      <c r="AV1133" s="90">
        <v>91.129057757851101</v>
      </c>
      <c r="AW1133" s="90">
        <v>390.33059752971002</v>
      </c>
      <c r="AX1133" s="90">
        <v>0.29418256279999999</v>
      </c>
    </row>
    <row r="1134" spans="1:50" x14ac:dyDescent="0.25">
      <c r="A1134" s="102">
        <v>840000</v>
      </c>
      <c r="B1134" s="102">
        <v>2400000</v>
      </c>
      <c r="C1134" s="102">
        <v>2400000</v>
      </c>
      <c r="D1134" s="90" t="s">
        <v>374</v>
      </c>
      <c r="E1134" s="90" t="s">
        <v>68</v>
      </c>
      <c r="F1134" s="90" t="s">
        <v>375</v>
      </c>
      <c r="G1134" s="90" t="s">
        <v>376</v>
      </c>
      <c r="H1134" s="90">
        <v>0.59</v>
      </c>
      <c r="I1134" s="90">
        <v>0.64</v>
      </c>
      <c r="J1134" s="90" t="s">
        <v>244</v>
      </c>
      <c r="K1134" s="90">
        <v>0.10008027850421</v>
      </c>
      <c r="L1134" s="90">
        <v>3760.6698091599601</v>
      </c>
      <c r="M1134" s="90">
        <v>8.0017926262209595</v>
      </c>
      <c r="N1134" s="90">
        <v>1.17712454080462</v>
      </c>
      <c r="O1134" s="90">
        <v>0.80082163456513999</v>
      </c>
      <c r="P1134" s="90">
        <v>0.11780695187787001</v>
      </c>
      <c r="Q1134" s="90">
        <v>376.36888186311</v>
      </c>
      <c r="R1134" s="90">
        <v>1210</v>
      </c>
      <c r="S1134" s="90" t="s">
        <v>385</v>
      </c>
      <c r="T1134" s="90">
        <v>1210</v>
      </c>
      <c r="U1134" s="90" t="s">
        <v>378</v>
      </c>
      <c r="V1134" s="90" t="s">
        <v>244</v>
      </c>
      <c r="Z1134" s="90">
        <v>0</v>
      </c>
      <c r="AA1134" s="90">
        <v>1</v>
      </c>
      <c r="AB1134" s="90">
        <v>0.80082163456513999</v>
      </c>
      <c r="AC1134" s="90">
        <v>0.11780695187787001</v>
      </c>
      <c r="AD1134" s="90">
        <v>376.36888186311</v>
      </c>
      <c r="AF1134" s="90">
        <v>-1</v>
      </c>
      <c r="AG1134" s="90">
        <v>-1</v>
      </c>
      <c r="AH1134" s="90">
        <v>-1</v>
      </c>
      <c r="AI1134" s="90">
        <v>-1</v>
      </c>
      <c r="AJ1134" s="90">
        <v>0</v>
      </c>
      <c r="AM1134" s="90" t="s">
        <v>379</v>
      </c>
      <c r="AN1134" s="90">
        <v>-1</v>
      </c>
      <c r="AQ1134" s="90">
        <v>373</v>
      </c>
      <c r="AR1134" s="90" t="s">
        <v>279</v>
      </c>
      <c r="AS1134" s="90" t="s">
        <v>403</v>
      </c>
      <c r="AT1134" s="90" t="s">
        <v>244</v>
      </c>
      <c r="AU1134" s="90">
        <v>4.0744790000000002</v>
      </c>
      <c r="AV1134" s="90">
        <v>92.075878430393999</v>
      </c>
      <c r="AW1134" s="90">
        <v>405.01051782034898</v>
      </c>
      <c r="AX1134" s="90">
        <v>0.3052464573</v>
      </c>
    </row>
    <row r="1135" spans="1:50" x14ac:dyDescent="0.25">
      <c r="A1135" s="102">
        <v>840000</v>
      </c>
      <c r="B1135" s="102">
        <v>2400000</v>
      </c>
      <c r="C1135" s="102">
        <v>2400000</v>
      </c>
      <c r="D1135" s="90" t="s">
        <v>374</v>
      </c>
      <c r="E1135" s="90" t="s">
        <v>68</v>
      </c>
      <c r="F1135" s="90" t="s">
        <v>375</v>
      </c>
      <c r="G1135" s="90" t="s">
        <v>376</v>
      </c>
      <c r="H1135" s="90">
        <v>0.59</v>
      </c>
      <c r="I1135" s="90">
        <v>0.64</v>
      </c>
      <c r="J1135" s="90" t="s">
        <v>244</v>
      </c>
      <c r="K1135" s="90">
        <v>7.5937544726479997E-2</v>
      </c>
      <c r="L1135" s="90">
        <v>3760.6698091599601</v>
      </c>
      <c r="M1135" s="90">
        <v>8.0017926262209595</v>
      </c>
      <c r="N1135" s="90">
        <v>1.17712454080462</v>
      </c>
      <c r="O1135" s="90">
        <v>0.60763648544572002</v>
      </c>
      <c r="P1135" s="90">
        <v>8.9387947465990006E-2</v>
      </c>
      <c r="Q1135" s="90">
        <v>285.57603183463402</v>
      </c>
      <c r="R1135" s="90">
        <v>1210</v>
      </c>
      <c r="S1135" s="90" t="s">
        <v>385</v>
      </c>
      <c r="T1135" s="90">
        <v>1210</v>
      </c>
      <c r="U1135" s="90" t="s">
        <v>378</v>
      </c>
      <c r="V1135" s="90" t="s">
        <v>244</v>
      </c>
      <c r="Z1135" s="90">
        <v>0</v>
      </c>
      <c r="AA1135" s="90">
        <v>1</v>
      </c>
      <c r="AB1135" s="90">
        <v>0.60763648544572002</v>
      </c>
      <c r="AC1135" s="90">
        <v>8.9387947465990006E-2</v>
      </c>
      <c r="AD1135" s="90">
        <v>285.57603183463402</v>
      </c>
      <c r="AF1135" s="90">
        <v>-1</v>
      </c>
      <c r="AG1135" s="90">
        <v>-1</v>
      </c>
      <c r="AH1135" s="90">
        <v>-1</v>
      </c>
      <c r="AI1135" s="90">
        <v>-1</v>
      </c>
      <c r="AJ1135" s="90">
        <v>0</v>
      </c>
      <c r="AM1135" s="90" t="s">
        <v>379</v>
      </c>
      <c r="AN1135" s="90">
        <v>-1</v>
      </c>
      <c r="AQ1135" s="90">
        <v>373</v>
      </c>
      <c r="AR1135" s="90" t="s">
        <v>279</v>
      </c>
      <c r="AS1135" s="90" t="s">
        <v>403</v>
      </c>
      <c r="AT1135" s="90" t="s">
        <v>244</v>
      </c>
      <c r="AU1135" s="90">
        <v>4.0744790000000002</v>
      </c>
      <c r="AV1135" s="90">
        <v>84.938198143385094</v>
      </c>
      <c r="AW1135" s="90">
        <v>307.308340577671</v>
      </c>
      <c r="AX1135" s="90">
        <v>0.23161073139999999</v>
      </c>
    </row>
    <row r="1136" spans="1:50" x14ac:dyDescent="0.25">
      <c r="A1136" s="102">
        <v>840000</v>
      </c>
      <c r="B1136" s="102">
        <v>2400000</v>
      </c>
      <c r="C1136" s="102">
        <v>2400000</v>
      </c>
      <c r="D1136" s="90" t="s">
        <v>374</v>
      </c>
      <c r="E1136" s="90" t="s">
        <v>68</v>
      </c>
      <c r="F1136" s="90" t="s">
        <v>375</v>
      </c>
      <c r="G1136" s="90" t="s">
        <v>376</v>
      </c>
      <c r="H1136" s="90">
        <v>0.59</v>
      </c>
      <c r="I1136" s="90">
        <v>0.64</v>
      </c>
      <c r="J1136" s="90" t="s">
        <v>244</v>
      </c>
      <c r="K1136" s="90">
        <v>0.18268681012308999</v>
      </c>
      <c r="L1136" s="90">
        <v>3629.7692340633598</v>
      </c>
      <c r="M1136" s="90">
        <v>8.6519783792635891</v>
      </c>
      <c r="N1136" s="90">
        <v>1.4197397070881399</v>
      </c>
      <c r="O1136" s="90">
        <v>1.58060233136165</v>
      </c>
      <c r="P1136" s="90">
        <v>0.25936771829303001</v>
      </c>
      <c r="Q1136" s="90">
        <v>663.11096285398503</v>
      </c>
      <c r="R1136" s="90">
        <v>1300</v>
      </c>
      <c r="S1136" s="90" t="s">
        <v>387</v>
      </c>
      <c r="T1136" s="90">
        <v>1300</v>
      </c>
      <c r="U1136" s="90" t="s">
        <v>378</v>
      </c>
      <c r="V1136" s="90" t="s">
        <v>244</v>
      </c>
      <c r="Z1136" s="90">
        <v>0</v>
      </c>
      <c r="AA1136" s="90">
        <v>1</v>
      </c>
      <c r="AB1136" s="90">
        <v>1.58060233136165</v>
      </c>
      <c r="AC1136" s="90">
        <v>0.25936771829303001</v>
      </c>
      <c r="AD1136" s="90">
        <v>663.11096285398503</v>
      </c>
      <c r="AF1136" s="90">
        <v>-1</v>
      </c>
      <c r="AG1136" s="90">
        <v>-1</v>
      </c>
      <c r="AH1136" s="90">
        <v>-1</v>
      </c>
      <c r="AI1136" s="90">
        <v>-1</v>
      </c>
      <c r="AJ1136" s="90">
        <v>0</v>
      </c>
      <c r="AM1136" s="90" t="s">
        <v>379</v>
      </c>
      <c r="AN1136" s="90">
        <v>-1</v>
      </c>
      <c r="AQ1136" s="90">
        <v>373</v>
      </c>
      <c r="AR1136" s="90" t="s">
        <v>279</v>
      </c>
      <c r="AS1136" s="90" t="s">
        <v>403</v>
      </c>
      <c r="AT1136" s="90" t="s">
        <v>244</v>
      </c>
      <c r="AU1136" s="90">
        <v>4.0744790000000002</v>
      </c>
      <c r="AV1136" s="90">
        <v>129.618603245451</v>
      </c>
      <c r="AW1136" s="90">
        <v>739.30729083441599</v>
      </c>
      <c r="AX1136" s="90">
        <v>0.5378028896</v>
      </c>
    </row>
    <row r="1137" spans="1:50" x14ac:dyDescent="0.25">
      <c r="A1137" s="102">
        <v>840000</v>
      </c>
      <c r="B1137" s="102">
        <v>2400000</v>
      </c>
      <c r="C1137" s="102">
        <v>2400000</v>
      </c>
      <c r="D1137" s="90" t="s">
        <v>374</v>
      </c>
      <c r="E1137" s="90" t="s">
        <v>68</v>
      </c>
      <c r="F1137" s="90" t="s">
        <v>375</v>
      </c>
      <c r="G1137" s="90" t="s">
        <v>376</v>
      </c>
      <c r="H1137" s="90">
        <v>0.59</v>
      </c>
      <c r="I1137" s="90">
        <v>0.64</v>
      </c>
      <c r="J1137" s="90" t="s">
        <v>381</v>
      </c>
      <c r="K1137" s="90">
        <v>3.7820955479999998E-5</v>
      </c>
      <c r="L1137" s="90">
        <v>3629.7692340633598</v>
      </c>
      <c r="M1137" s="90">
        <v>8.6519783792635891</v>
      </c>
      <c r="N1137" s="90">
        <v>1.4197397070881399</v>
      </c>
      <c r="O1137" s="90">
        <v>3.2722608908999999E-4</v>
      </c>
      <c r="P1137" s="90">
        <v>5.3695912250000001E-5</v>
      </c>
      <c r="Q1137" s="90">
        <v>0.13728134060418001</v>
      </c>
      <c r="R1137" s="90">
        <v>1300</v>
      </c>
      <c r="S1137" s="90" t="s">
        <v>387</v>
      </c>
      <c r="T1137" s="90">
        <v>1300</v>
      </c>
      <c r="U1137" s="90" t="s">
        <v>382</v>
      </c>
      <c r="V1137" s="90" t="s">
        <v>381</v>
      </c>
      <c r="Z1137" s="90">
        <v>0</v>
      </c>
      <c r="AA1137" s="90">
        <v>1</v>
      </c>
      <c r="AB1137" s="90">
        <v>3.2722608908999999E-4</v>
      </c>
      <c r="AC1137" s="90">
        <v>5.3695912250000001E-5</v>
      </c>
      <c r="AD1137" s="90">
        <v>0.13728134060552</v>
      </c>
      <c r="AF1137" s="90">
        <v>-1</v>
      </c>
      <c r="AG1137" s="90">
        <v>-1</v>
      </c>
      <c r="AH1137" s="90">
        <v>-1</v>
      </c>
      <c r="AI1137" s="90">
        <v>-1</v>
      </c>
      <c r="AJ1137" s="90">
        <v>0</v>
      </c>
      <c r="AM1137" s="90" t="s">
        <v>379</v>
      </c>
      <c r="AN1137" s="90">
        <v>-1</v>
      </c>
      <c r="AQ1137" s="90">
        <v>373</v>
      </c>
      <c r="AR1137" s="90" t="s">
        <v>279</v>
      </c>
      <c r="AS1137" s="90" t="s">
        <v>403</v>
      </c>
      <c r="AT1137" s="90" t="s">
        <v>244</v>
      </c>
      <c r="AU1137" s="90">
        <v>4.0744790000000002</v>
      </c>
      <c r="AV1137" s="90">
        <v>11.913770304243601</v>
      </c>
      <c r="AW1137" s="90">
        <v>0.15305597658702999</v>
      </c>
      <c r="AX1137" s="90">
        <v>1.1133930000000001E-4</v>
      </c>
    </row>
    <row r="1138" spans="1:50" x14ac:dyDescent="0.25">
      <c r="A1138" s="102">
        <v>840000</v>
      </c>
      <c r="B1138" s="102">
        <v>2400000</v>
      </c>
      <c r="C1138" s="102">
        <v>2400000</v>
      </c>
      <c r="D1138" s="90" t="s">
        <v>374</v>
      </c>
      <c r="E1138" s="90" t="s">
        <v>68</v>
      </c>
      <c r="F1138" s="90" t="s">
        <v>375</v>
      </c>
      <c r="G1138" s="90" t="s">
        <v>376</v>
      </c>
      <c r="H1138" s="90">
        <v>0.59</v>
      </c>
      <c r="I1138" s="90">
        <v>0.64</v>
      </c>
      <c r="J1138" s="90" t="s">
        <v>389</v>
      </c>
      <c r="K1138" s="90">
        <v>8.8740245001010007E-2</v>
      </c>
      <c r="L1138" s="90">
        <v>3629.7692340633598</v>
      </c>
      <c r="M1138" s="90">
        <v>8.6519783792635891</v>
      </c>
      <c r="N1138" s="90">
        <v>1.4197397070881399</v>
      </c>
      <c r="O1138" s="90">
        <v>0.76777868111935998</v>
      </c>
      <c r="P1138" s="90">
        <v>0.12598804944467001</v>
      </c>
      <c r="Q1138" s="90">
        <v>322.10661112794003</v>
      </c>
      <c r="R1138" s="90">
        <v>4340</v>
      </c>
      <c r="S1138" s="90" t="s">
        <v>404</v>
      </c>
      <c r="T1138" s="90">
        <v>4340</v>
      </c>
      <c r="U1138" s="90" t="s">
        <v>378</v>
      </c>
      <c r="V1138" s="90" t="s">
        <v>244</v>
      </c>
      <c r="Y1138" s="90" t="s">
        <v>389</v>
      </c>
      <c r="Z1138" s="90">
        <v>0</v>
      </c>
      <c r="AA1138" s="90">
        <v>1</v>
      </c>
      <c r="AB1138" s="90">
        <v>0.76777868111935998</v>
      </c>
      <c r="AC1138" s="90">
        <v>0.12598804944467001</v>
      </c>
      <c r="AD1138" s="90">
        <v>322.10661112793798</v>
      </c>
      <c r="AF1138" s="90">
        <v>-1</v>
      </c>
      <c r="AG1138" s="90">
        <v>-1</v>
      </c>
      <c r="AH1138" s="90">
        <v>-1</v>
      </c>
      <c r="AI1138" s="90">
        <v>-1</v>
      </c>
      <c r="AJ1138" s="90">
        <v>0</v>
      </c>
      <c r="AM1138" s="90" t="s">
        <v>379</v>
      </c>
      <c r="AN1138" s="90">
        <v>-1</v>
      </c>
      <c r="AQ1138" s="90">
        <v>373</v>
      </c>
      <c r="AR1138" s="90" t="s">
        <v>279</v>
      </c>
      <c r="AS1138" s="90" t="s">
        <v>403</v>
      </c>
      <c r="AT1138" s="90" t="s">
        <v>244</v>
      </c>
      <c r="AU1138" s="90">
        <v>4.0744790000000002</v>
      </c>
      <c r="AV1138" s="90">
        <v>114.44398532104</v>
      </c>
      <c r="AW1138" s="90">
        <v>359.11903040771699</v>
      </c>
      <c r="AX1138" s="90">
        <v>0.26123812740000002</v>
      </c>
    </row>
    <row r="1139" spans="1:50" x14ac:dyDescent="0.25">
      <c r="A1139" s="102">
        <v>840000</v>
      </c>
      <c r="B1139" s="102">
        <v>2400000</v>
      </c>
      <c r="C1139" s="102">
        <v>2400000</v>
      </c>
      <c r="D1139" s="90" t="s">
        <v>374</v>
      </c>
      <c r="E1139" s="90" t="s">
        <v>68</v>
      </c>
      <c r="F1139" s="90" t="s">
        <v>375</v>
      </c>
      <c r="G1139" s="90" t="s">
        <v>376</v>
      </c>
      <c r="H1139" s="90">
        <v>0.59</v>
      </c>
      <c r="I1139" s="90">
        <v>0.64</v>
      </c>
      <c r="J1139" s="90" t="s">
        <v>244</v>
      </c>
      <c r="K1139" s="90">
        <v>2.108494693024E-2</v>
      </c>
      <c r="L1139" s="90">
        <v>3629.7692340633598</v>
      </c>
      <c r="M1139" s="90">
        <v>8.6519783792635891</v>
      </c>
      <c r="N1139" s="90">
        <v>1.4197397070881399</v>
      </c>
      <c r="O1139" s="90">
        <v>0.18242650496839</v>
      </c>
      <c r="P1139" s="90">
        <v>2.9935136378709998E-2</v>
      </c>
      <c r="Q1139" s="90">
        <v>76.533491669258296</v>
      </c>
      <c r="R1139" s="90">
        <v>1200</v>
      </c>
      <c r="S1139" s="90" t="s">
        <v>384</v>
      </c>
      <c r="T1139" s="90">
        <v>1200</v>
      </c>
      <c r="U1139" s="90" t="s">
        <v>378</v>
      </c>
      <c r="V1139" s="90" t="s">
        <v>244</v>
      </c>
      <c r="Z1139" s="90">
        <v>0</v>
      </c>
      <c r="AA1139" s="90">
        <v>1</v>
      </c>
      <c r="AB1139" s="90">
        <v>0.18242650496839</v>
      </c>
      <c r="AC1139" s="90">
        <v>2.9935136378709998E-2</v>
      </c>
      <c r="AD1139" s="90">
        <v>76.533491669259007</v>
      </c>
      <c r="AF1139" s="90">
        <v>-1</v>
      </c>
      <c r="AG1139" s="90">
        <v>-1</v>
      </c>
      <c r="AH1139" s="90">
        <v>-1</v>
      </c>
      <c r="AI1139" s="90">
        <v>-1</v>
      </c>
      <c r="AJ1139" s="90">
        <v>0</v>
      </c>
      <c r="AM1139" s="90" t="s">
        <v>379</v>
      </c>
      <c r="AN1139" s="90">
        <v>-1</v>
      </c>
      <c r="AQ1139" s="90">
        <v>373</v>
      </c>
      <c r="AR1139" s="90" t="s">
        <v>279</v>
      </c>
      <c r="AS1139" s="90" t="s">
        <v>403</v>
      </c>
      <c r="AT1139" s="90" t="s">
        <v>244</v>
      </c>
      <c r="AU1139" s="90">
        <v>4.0744790000000002</v>
      </c>
      <c r="AV1139" s="90">
        <v>103.471937325681</v>
      </c>
      <c r="AW1139" s="90">
        <v>85.327752900621803</v>
      </c>
      <c r="AX1139" s="90">
        <v>6.2070958400000001E-2</v>
      </c>
    </row>
    <row r="1140" spans="1:50" x14ac:dyDescent="0.25">
      <c r="A1140" s="102">
        <v>840000</v>
      </c>
      <c r="B1140" s="102">
        <v>2400000</v>
      </c>
      <c r="C1140" s="102">
        <v>2400000</v>
      </c>
      <c r="D1140" s="90" t="s">
        <v>374</v>
      </c>
      <c r="E1140" s="90" t="s">
        <v>68</v>
      </c>
      <c r="F1140" s="90" t="s">
        <v>375</v>
      </c>
      <c r="G1140" s="90" t="s">
        <v>376</v>
      </c>
      <c r="H1140" s="90">
        <v>0.59</v>
      </c>
      <c r="I1140" s="90">
        <v>0.64</v>
      </c>
      <c r="J1140" s="90" t="s">
        <v>244</v>
      </c>
      <c r="K1140" s="90">
        <v>4.2632789570839998E-2</v>
      </c>
      <c r="L1140" s="90">
        <v>3629.7692340633598</v>
      </c>
      <c r="M1140" s="90">
        <v>8.6519783792635891</v>
      </c>
      <c r="N1140" s="90">
        <v>1.4197397070881399</v>
      </c>
      <c r="O1140" s="90">
        <v>0.36885797361467998</v>
      </c>
      <c r="P1140" s="90">
        <v>6.0527464177660001E-2</v>
      </c>
      <c r="Q1140" s="90">
        <v>154.747187946564</v>
      </c>
      <c r="R1140" s="90">
        <v>1210</v>
      </c>
      <c r="S1140" s="90" t="s">
        <v>385</v>
      </c>
      <c r="T1140" s="90">
        <v>1210</v>
      </c>
      <c r="U1140" s="90" t="s">
        <v>378</v>
      </c>
      <c r="V1140" s="90" t="s">
        <v>244</v>
      </c>
      <c r="Z1140" s="90">
        <v>0</v>
      </c>
      <c r="AA1140" s="90">
        <v>1</v>
      </c>
      <c r="AB1140" s="90">
        <v>0.36885797361467998</v>
      </c>
      <c r="AC1140" s="90">
        <v>6.0527464177660001E-2</v>
      </c>
      <c r="AD1140" s="90">
        <v>154.74718794656599</v>
      </c>
      <c r="AF1140" s="90">
        <v>-1</v>
      </c>
      <c r="AG1140" s="90">
        <v>-1</v>
      </c>
      <c r="AH1140" s="90">
        <v>-1</v>
      </c>
      <c r="AI1140" s="90">
        <v>-1</v>
      </c>
      <c r="AJ1140" s="90">
        <v>0</v>
      </c>
      <c r="AM1140" s="90" t="s">
        <v>379</v>
      </c>
      <c r="AN1140" s="90">
        <v>-1</v>
      </c>
      <c r="AQ1140" s="90">
        <v>373</v>
      </c>
      <c r="AR1140" s="90" t="s">
        <v>279</v>
      </c>
      <c r="AS1140" s="90" t="s">
        <v>403</v>
      </c>
      <c r="AT1140" s="90" t="s">
        <v>244</v>
      </c>
      <c r="AU1140" s="90">
        <v>4.0744790000000002</v>
      </c>
      <c r="AV1140" s="90">
        <v>75.038447177119494</v>
      </c>
      <c r="AW1140" s="90">
        <v>172.52877827961899</v>
      </c>
      <c r="AX1140" s="90">
        <v>0.1255046131</v>
      </c>
    </row>
    <row r="1141" spans="1:50" x14ac:dyDescent="0.25">
      <c r="A1141" s="102">
        <v>840000</v>
      </c>
      <c r="B1141" s="102">
        <v>2400000</v>
      </c>
      <c r="C1141" s="102">
        <v>2400000</v>
      </c>
      <c r="D1141" s="90" t="s">
        <v>374</v>
      </c>
      <c r="E1141" s="90" t="s">
        <v>68</v>
      </c>
      <c r="F1141" s="90" t="s">
        <v>375</v>
      </c>
      <c r="G1141" s="90" t="s">
        <v>376</v>
      </c>
      <c r="H1141" s="90">
        <v>0.59</v>
      </c>
      <c r="I1141" s="90">
        <v>0.64</v>
      </c>
      <c r="J1141" s="90" t="s">
        <v>381</v>
      </c>
      <c r="K1141" s="90">
        <v>1.2192862243E-4</v>
      </c>
      <c r="L1141" s="90">
        <v>3629.7692340633598</v>
      </c>
      <c r="M1141" s="90">
        <v>8.6519783792635891</v>
      </c>
      <c r="N1141" s="90">
        <v>1.4197397070881399</v>
      </c>
      <c r="O1141" s="90">
        <v>1.05492380507E-3</v>
      </c>
      <c r="P1141" s="90">
        <v>1.7310690669000001E-4</v>
      </c>
      <c r="Q1141" s="90">
        <v>0.44257276244813998</v>
      </c>
      <c r="R1141" s="90">
        <v>1210</v>
      </c>
      <c r="S1141" s="90" t="s">
        <v>385</v>
      </c>
      <c r="T1141" s="90">
        <v>1210</v>
      </c>
      <c r="U1141" s="90" t="s">
        <v>382</v>
      </c>
      <c r="V1141" s="90" t="s">
        <v>381</v>
      </c>
      <c r="Z1141" s="90">
        <v>0</v>
      </c>
      <c r="AA1141" s="90">
        <v>1</v>
      </c>
      <c r="AB1141" s="90">
        <v>1.05492380507E-3</v>
      </c>
      <c r="AC1141" s="90">
        <v>1.7310690669000001E-4</v>
      </c>
      <c r="AD1141" s="90">
        <v>0.44257276244693</v>
      </c>
      <c r="AF1141" s="90">
        <v>-1</v>
      </c>
      <c r="AG1141" s="90">
        <v>-1</v>
      </c>
      <c r="AH1141" s="90">
        <v>-1</v>
      </c>
      <c r="AI1141" s="90">
        <v>-1</v>
      </c>
      <c r="AJ1141" s="90">
        <v>0</v>
      </c>
      <c r="AM1141" s="90" t="s">
        <v>379</v>
      </c>
      <c r="AN1141" s="90">
        <v>-1</v>
      </c>
      <c r="AQ1141" s="90">
        <v>373</v>
      </c>
      <c r="AR1141" s="90" t="s">
        <v>279</v>
      </c>
      <c r="AS1141" s="90" t="s">
        <v>403</v>
      </c>
      <c r="AT1141" s="90" t="s">
        <v>244</v>
      </c>
      <c r="AU1141" s="90">
        <v>4.0744790000000002</v>
      </c>
      <c r="AV1141" s="90">
        <v>20.479402687750699</v>
      </c>
      <c r="AW1141" s="90">
        <v>0.49342762875388002</v>
      </c>
      <c r="AX1141" s="90">
        <v>3.5893980000000002E-4</v>
      </c>
    </row>
    <row r="1142" spans="1:50" x14ac:dyDescent="0.25">
      <c r="A1142" s="102">
        <v>840000</v>
      </c>
      <c r="B1142" s="102">
        <v>2400000</v>
      </c>
      <c r="C1142" s="102">
        <v>2400000</v>
      </c>
      <c r="D1142" s="90" t="s">
        <v>374</v>
      </c>
      <c r="E1142" s="90" t="s">
        <v>68</v>
      </c>
      <c r="F1142" s="90" t="s">
        <v>375</v>
      </c>
      <c r="G1142" s="90" t="s">
        <v>376</v>
      </c>
      <c r="H1142" s="90">
        <v>0.59</v>
      </c>
      <c r="I1142" s="90">
        <v>0.64</v>
      </c>
      <c r="J1142" s="90" t="s">
        <v>244</v>
      </c>
      <c r="K1142" s="90">
        <v>5.8610665719469997E-2</v>
      </c>
      <c r="L1142" s="90">
        <v>3629.7692340633598</v>
      </c>
      <c r="M1142" s="90">
        <v>8.6519783792635891</v>
      </c>
      <c r="N1142" s="90">
        <v>1.4197397070881399</v>
      </c>
      <c r="O1142" s="90">
        <v>0.50709821259912002</v>
      </c>
      <c r="P1142" s="90">
        <v>8.32118893808E-2</v>
      </c>
      <c r="Q1142" s="90">
        <v>212.74319121651499</v>
      </c>
      <c r="R1142" s="90">
        <v>1210</v>
      </c>
      <c r="S1142" s="90" t="s">
        <v>385</v>
      </c>
      <c r="T1142" s="90">
        <v>1210</v>
      </c>
      <c r="U1142" s="90" t="s">
        <v>378</v>
      </c>
      <c r="V1142" s="90" t="s">
        <v>244</v>
      </c>
      <c r="Z1142" s="90">
        <v>0</v>
      </c>
      <c r="AA1142" s="90">
        <v>1</v>
      </c>
      <c r="AB1142" s="90">
        <v>0.50709821259912002</v>
      </c>
      <c r="AC1142" s="90">
        <v>8.32118893808E-2</v>
      </c>
      <c r="AD1142" s="90">
        <v>212.74319121651399</v>
      </c>
      <c r="AF1142" s="90">
        <v>-1</v>
      </c>
      <c r="AG1142" s="90">
        <v>-1</v>
      </c>
      <c r="AH1142" s="90">
        <v>-1</v>
      </c>
      <c r="AI1142" s="90">
        <v>-1</v>
      </c>
      <c r="AJ1142" s="90">
        <v>0</v>
      </c>
      <c r="AM1142" s="90" t="s">
        <v>379</v>
      </c>
      <c r="AN1142" s="90">
        <v>-1</v>
      </c>
      <c r="AQ1142" s="90">
        <v>373</v>
      </c>
      <c r="AR1142" s="90" t="s">
        <v>279</v>
      </c>
      <c r="AS1142" s="90" t="s">
        <v>403</v>
      </c>
      <c r="AT1142" s="90" t="s">
        <v>244</v>
      </c>
      <c r="AU1142" s="90">
        <v>4.0744790000000002</v>
      </c>
      <c r="AV1142" s="90">
        <v>89.812799027060294</v>
      </c>
      <c r="AW1142" s="90">
        <v>237.188948987987</v>
      </c>
      <c r="AX1142" s="90">
        <v>0.1725411121</v>
      </c>
    </row>
    <row r="1143" spans="1:50" x14ac:dyDescent="0.25">
      <c r="A1143" s="102">
        <v>840000</v>
      </c>
      <c r="B1143" s="102">
        <v>2400000</v>
      </c>
      <c r="C1143" s="102">
        <v>2400000</v>
      </c>
      <c r="D1143" s="90" t="s">
        <v>374</v>
      </c>
      <c r="E1143" s="90" t="s">
        <v>68</v>
      </c>
      <c r="F1143" s="90" t="s">
        <v>375</v>
      </c>
      <c r="G1143" s="90" t="s">
        <v>376</v>
      </c>
      <c r="H1143" s="90">
        <v>0.59</v>
      </c>
      <c r="I1143" s="90">
        <v>0.64</v>
      </c>
      <c r="J1143" s="90" t="s">
        <v>381</v>
      </c>
      <c r="K1143" s="90">
        <v>2.0505849931999999E-4</v>
      </c>
      <c r="L1143" s="90">
        <v>3629.7692340633598</v>
      </c>
      <c r="M1143" s="90">
        <v>8.6519783792635891</v>
      </c>
      <c r="N1143" s="90">
        <v>1.4197397070881399</v>
      </c>
      <c r="O1143" s="90">
        <v>1.77416170265E-3</v>
      </c>
      <c r="P1143" s="90">
        <v>2.9112969376000002E-4</v>
      </c>
      <c r="Q1143" s="90">
        <v>0.74431503203671001</v>
      </c>
      <c r="R1143" s="90">
        <v>1210</v>
      </c>
      <c r="S1143" s="90" t="s">
        <v>385</v>
      </c>
      <c r="T1143" s="90">
        <v>1210</v>
      </c>
      <c r="U1143" s="90" t="s">
        <v>382</v>
      </c>
      <c r="V1143" s="90" t="s">
        <v>381</v>
      </c>
      <c r="Z1143" s="90">
        <v>0</v>
      </c>
      <c r="AA1143" s="90">
        <v>1</v>
      </c>
      <c r="AB1143" s="90">
        <v>1.77416170265E-3</v>
      </c>
      <c r="AC1143" s="90">
        <v>2.9112969376000002E-4</v>
      </c>
      <c r="AD1143" s="90">
        <v>0.74431503203836002</v>
      </c>
      <c r="AF1143" s="90">
        <v>-1</v>
      </c>
      <c r="AG1143" s="90">
        <v>-1</v>
      </c>
      <c r="AH1143" s="90">
        <v>-1</v>
      </c>
      <c r="AI1143" s="90">
        <v>-1</v>
      </c>
      <c r="AJ1143" s="90">
        <v>0</v>
      </c>
      <c r="AM1143" s="90" t="s">
        <v>379</v>
      </c>
      <c r="AN1143" s="90">
        <v>-1</v>
      </c>
      <c r="AQ1143" s="90">
        <v>373</v>
      </c>
      <c r="AR1143" s="90" t="s">
        <v>279</v>
      </c>
      <c r="AS1143" s="90" t="s">
        <v>403</v>
      </c>
      <c r="AT1143" s="90" t="s">
        <v>244</v>
      </c>
      <c r="AU1143" s="90">
        <v>4.0744790000000002</v>
      </c>
      <c r="AV1143" s="90">
        <v>28.0176588067228</v>
      </c>
      <c r="AW1143" s="90">
        <v>0.82984230496695999</v>
      </c>
      <c r="AX1143" s="90">
        <v>6.0366179999999997E-4</v>
      </c>
    </row>
    <row r="1144" spans="1:50" x14ac:dyDescent="0.25">
      <c r="A1144" s="102">
        <v>840000</v>
      </c>
      <c r="B1144" s="102">
        <v>2400000</v>
      </c>
      <c r="C1144" s="102">
        <v>2400000</v>
      </c>
      <c r="D1144" s="90" t="s">
        <v>374</v>
      </c>
      <c r="E1144" s="90" t="s">
        <v>68</v>
      </c>
      <c r="F1144" s="90" t="s">
        <v>375</v>
      </c>
      <c r="G1144" s="90" t="s">
        <v>376</v>
      </c>
      <c r="H1144" s="90">
        <v>0.59</v>
      </c>
      <c r="I1144" s="90">
        <v>0.64</v>
      </c>
      <c r="J1144" s="90" t="s">
        <v>244</v>
      </c>
      <c r="K1144" s="90">
        <v>5.6932628573440003E-2</v>
      </c>
      <c r="L1144" s="90">
        <v>3629.7692340633598</v>
      </c>
      <c r="M1144" s="90">
        <v>8.6519783792635891</v>
      </c>
      <c r="N1144" s="90">
        <v>1.4197397070881399</v>
      </c>
      <c r="O1144" s="90">
        <v>0.49257987149208998</v>
      </c>
      <c r="P1144" s="90">
        <v>8.0829513414619997E-2</v>
      </c>
      <c r="Q1144" s="90">
        <v>206.652303610247</v>
      </c>
      <c r="R1144" s="90">
        <v>1210</v>
      </c>
      <c r="S1144" s="90" t="s">
        <v>385</v>
      </c>
      <c r="T1144" s="90">
        <v>1210</v>
      </c>
      <c r="U1144" s="90" t="s">
        <v>378</v>
      </c>
      <c r="V1144" s="90" t="s">
        <v>244</v>
      </c>
      <c r="Z1144" s="90">
        <v>0</v>
      </c>
      <c r="AA1144" s="90">
        <v>1</v>
      </c>
      <c r="AB1144" s="90">
        <v>0.49257987149208998</v>
      </c>
      <c r="AC1144" s="90">
        <v>8.0829513414619997E-2</v>
      </c>
      <c r="AD1144" s="90">
        <v>206.65230361024601</v>
      </c>
      <c r="AF1144" s="90">
        <v>-1</v>
      </c>
      <c r="AG1144" s="90">
        <v>-1</v>
      </c>
      <c r="AH1144" s="90">
        <v>-1</v>
      </c>
      <c r="AI1144" s="90">
        <v>-1</v>
      </c>
      <c r="AJ1144" s="90">
        <v>0</v>
      </c>
      <c r="AM1144" s="90" t="s">
        <v>379</v>
      </c>
      <c r="AN1144" s="90">
        <v>-1</v>
      </c>
      <c r="AQ1144" s="90">
        <v>373</v>
      </c>
      <c r="AR1144" s="90" t="s">
        <v>279</v>
      </c>
      <c r="AS1144" s="90" t="s">
        <v>403</v>
      </c>
      <c r="AT1144" s="90" t="s">
        <v>244</v>
      </c>
      <c r="AU1144" s="90">
        <v>4.0744790000000002</v>
      </c>
      <c r="AV1144" s="90">
        <v>88.839685042546193</v>
      </c>
      <c r="AW1144" s="90">
        <v>230.39817358655799</v>
      </c>
      <c r="AX1144" s="90">
        <v>0.16760121950000001</v>
      </c>
    </row>
    <row r="1145" spans="1:50" x14ac:dyDescent="0.25">
      <c r="A1145" s="102">
        <v>840000</v>
      </c>
      <c r="B1145" s="102">
        <v>2400000</v>
      </c>
      <c r="C1145" s="102">
        <v>2400000</v>
      </c>
      <c r="D1145" s="90" t="s">
        <v>374</v>
      </c>
      <c r="E1145" s="90" t="s">
        <v>68</v>
      </c>
      <c r="F1145" s="90" t="s">
        <v>375</v>
      </c>
      <c r="G1145" s="90" t="s">
        <v>376</v>
      </c>
      <c r="H1145" s="90">
        <v>0.59</v>
      </c>
      <c r="I1145" s="90">
        <v>0.64</v>
      </c>
      <c r="J1145" s="90" t="s">
        <v>381</v>
      </c>
      <c r="K1145" s="90">
        <v>2.4917442590999999E-4</v>
      </c>
      <c r="L1145" s="90">
        <v>3629.7692340633598</v>
      </c>
      <c r="M1145" s="90">
        <v>8.6519783792635891</v>
      </c>
      <c r="N1145" s="90">
        <v>1.4197397070881399</v>
      </c>
      <c r="O1145" s="90">
        <v>2.1558517456999999E-3</v>
      </c>
      <c r="P1145" s="90">
        <v>3.5376282646000002E-4</v>
      </c>
      <c r="Q1145" s="90">
        <v>0.90444566511254998</v>
      </c>
      <c r="R1145" s="90">
        <v>1210</v>
      </c>
      <c r="S1145" s="90" t="s">
        <v>385</v>
      </c>
      <c r="T1145" s="90">
        <v>1210</v>
      </c>
      <c r="U1145" s="90" t="s">
        <v>382</v>
      </c>
      <c r="V1145" s="90" t="s">
        <v>381</v>
      </c>
      <c r="Z1145" s="90">
        <v>0</v>
      </c>
      <c r="AA1145" s="90">
        <v>1</v>
      </c>
      <c r="AB1145" s="90">
        <v>2.1558517456999999E-3</v>
      </c>
      <c r="AC1145" s="90">
        <v>3.5376282646000002E-4</v>
      </c>
      <c r="AD1145" s="90">
        <v>0.90444566511256996</v>
      </c>
      <c r="AF1145" s="90">
        <v>-1</v>
      </c>
      <c r="AG1145" s="90">
        <v>-1</v>
      </c>
      <c r="AH1145" s="90">
        <v>-1</v>
      </c>
      <c r="AI1145" s="90">
        <v>-1</v>
      </c>
      <c r="AJ1145" s="90">
        <v>0</v>
      </c>
      <c r="AM1145" s="90" t="s">
        <v>379</v>
      </c>
      <c r="AN1145" s="90">
        <v>-1</v>
      </c>
      <c r="AQ1145" s="90">
        <v>373</v>
      </c>
      <c r="AR1145" s="90" t="s">
        <v>279</v>
      </c>
      <c r="AS1145" s="90" t="s">
        <v>403</v>
      </c>
      <c r="AT1145" s="90" t="s">
        <v>244</v>
      </c>
      <c r="AU1145" s="90">
        <v>4.0744790000000002</v>
      </c>
      <c r="AV1145" s="90">
        <v>28.043844091865498</v>
      </c>
      <c r="AW1145" s="90">
        <v>1.00837312582411</v>
      </c>
      <c r="AX1145" s="90">
        <v>7.3353260000000005E-4</v>
      </c>
    </row>
    <row r="1146" spans="1:50" x14ac:dyDescent="0.25">
      <c r="A1146" s="102">
        <v>840000</v>
      </c>
      <c r="B1146" s="102">
        <v>2400000</v>
      </c>
      <c r="C1146" s="102">
        <v>2400000</v>
      </c>
      <c r="D1146" s="90" t="s">
        <v>374</v>
      </c>
      <c r="E1146" s="90" t="s">
        <v>68</v>
      </c>
      <c r="F1146" s="90" t="s">
        <v>375</v>
      </c>
      <c r="G1146" s="90" t="s">
        <v>376</v>
      </c>
      <c r="H1146" s="90">
        <v>0.59</v>
      </c>
      <c r="I1146" s="90">
        <v>0.64</v>
      </c>
      <c r="J1146" s="90" t="s">
        <v>244</v>
      </c>
      <c r="K1146" s="90">
        <v>4.8451543607469998E-2</v>
      </c>
      <c r="L1146" s="90">
        <v>3629.7692340633598</v>
      </c>
      <c r="M1146" s="90">
        <v>8.6519783792635891</v>
      </c>
      <c r="N1146" s="90">
        <v>1.4197397070881399</v>
      </c>
      <c r="O1146" s="90">
        <v>0.41920170773382998</v>
      </c>
      <c r="P1146" s="90">
        <v>6.8788580329239998E-2</v>
      </c>
      <c r="Q1146" s="90">
        <v>175.867922329295</v>
      </c>
      <c r="R1146" s="90">
        <v>1210</v>
      </c>
      <c r="S1146" s="90" t="s">
        <v>385</v>
      </c>
      <c r="T1146" s="90">
        <v>1210</v>
      </c>
      <c r="U1146" s="90" t="s">
        <v>378</v>
      </c>
      <c r="V1146" s="90" t="s">
        <v>244</v>
      </c>
      <c r="Z1146" s="90">
        <v>0</v>
      </c>
      <c r="AA1146" s="90">
        <v>1</v>
      </c>
      <c r="AB1146" s="90">
        <v>0.41920170773382998</v>
      </c>
      <c r="AC1146" s="90">
        <v>6.8788580329239998E-2</v>
      </c>
      <c r="AD1146" s="90">
        <v>175.867922329295</v>
      </c>
      <c r="AF1146" s="90">
        <v>-1</v>
      </c>
      <c r="AG1146" s="90">
        <v>-1</v>
      </c>
      <c r="AH1146" s="90">
        <v>-1</v>
      </c>
      <c r="AI1146" s="90">
        <v>-1</v>
      </c>
      <c r="AJ1146" s="90">
        <v>0</v>
      </c>
      <c r="AM1146" s="90" t="s">
        <v>379</v>
      </c>
      <c r="AN1146" s="90">
        <v>-1</v>
      </c>
      <c r="AQ1146" s="90">
        <v>373</v>
      </c>
      <c r="AR1146" s="90" t="s">
        <v>279</v>
      </c>
      <c r="AS1146" s="90" t="s">
        <v>403</v>
      </c>
      <c r="AT1146" s="90" t="s">
        <v>244</v>
      </c>
      <c r="AU1146" s="90">
        <v>4.0744790000000002</v>
      </c>
      <c r="AV1146" s="90">
        <v>68.565652227837603</v>
      </c>
      <c r="AW1146" s="90">
        <v>196.07644042310801</v>
      </c>
      <c r="AX1146" s="90">
        <v>0.14263416249999999</v>
      </c>
    </row>
    <row r="1147" spans="1:50" x14ac:dyDescent="0.25">
      <c r="A1147" s="102">
        <v>840000</v>
      </c>
      <c r="B1147" s="102">
        <v>2400000</v>
      </c>
      <c r="C1147" s="102">
        <v>2400000</v>
      </c>
      <c r="D1147" s="90" t="s">
        <v>374</v>
      </c>
      <c r="E1147" s="90" t="s">
        <v>68</v>
      </c>
      <c r="F1147" s="90" t="s">
        <v>375</v>
      </c>
      <c r="G1147" s="90" t="s">
        <v>376</v>
      </c>
      <c r="H1147" s="90">
        <v>0.59</v>
      </c>
      <c r="I1147" s="90">
        <v>0.64</v>
      </c>
      <c r="J1147" s="90" t="s">
        <v>381</v>
      </c>
      <c r="K1147" s="90">
        <v>2.1019078868999999E-4</v>
      </c>
      <c r="L1147" s="90">
        <v>3629.7692340633598</v>
      </c>
      <c r="M1147" s="90">
        <v>8.6519783792635891</v>
      </c>
      <c r="N1147" s="90">
        <v>1.4197397070881399</v>
      </c>
      <c r="O1147" s="90">
        <v>1.8185661593299999E-3</v>
      </c>
      <c r="P1147" s="90">
        <v>2.9841620877000001E-4</v>
      </c>
      <c r="Q1147" s="90">
        <v>0.76294405809951005</v>
      </c>
      <c r="R1147" s="90">
        <v>1210</v>
      </c>
      <c r="S1147" s="90" t="s">
        <v>385</v>
      </c>
      <c r="T1147" s="90">
        <v>1210</v>
      </c>
      <c r="U1147" s="90" t="s">
        <v>382</v>
      </c>
      <c r="V1147" s="90" t="s">
        <v>381</v>
      </c>
      <c r="Z1147" s="90">
        <v>0</v>
      </c>
      <c r="AA1147" s="90">
        <v>1</v>
      </c>
      <c r="AB1147" s="90">
        <v>1.8185661593299999E-3</v>
      </c>
      <c r="AC1147" s="90">
        <v>2.9841620877000001E-4</v>
      </c>
      <c r="AD1147" s="90">
        <v>0.76294405809897003</v>
      </c>
      <c r="AF1147" s="90">
        <v>-1</v>
      </c>
      <c r="AG1147" s="90">
        <v>-1</v>
      </c>
      <c r="AH1147" s="90">
        <v>-1</v>
      </c>
      <c r="AI1147" s="90">
        <v>-1</v>
      </c>
      <c r="AJ1147" s="90">
        <v>0</v>
      </c>
      <c r="AM1147" s="90" t="s">
        <v>379</v>
      </c>
      <c r="AN1147" s="90">
        <v>-1</v>
      </c>
      <c r="AQ1147" s="90">
        <v>373</v>
      </c>
      <c r="AR1147" s="90" t="s">
        <v>279</v>
      </c>
      <c r="AS1147" s="90" t="s">
        <v>403</v>
      </c>
      <c r="AT1147" s="90" t="s">
        <v>244</v>
      </c>
      <c r="AU1147" s="90">
        <v>4.0744790000000002</v>
      </c>
      <c r="AV1147" s="90">
        <v>23.970865688883698</v>
      </c>
      <c r="AW1147" s="90">
        <v>0.85061194317121003</v>
      </c>
      <c r="AX1147" s="90">
        <v>6.1877049999999999E-4</v>
      </c>
    </row>
    <row r="1148" spans="1:50" x14ac:dyDescent="0.25">
      <c r="A1148" s="102">
        <v>840000</v>
      </c>
      <c r="B1148" s="102">
        <v>2400000</v>
      </c>
      <c r="C1148" s="102">
        <v>2400000</v>
      </c>
      <c r="D1148" s="90" t="s">
        <v>374</v>
      </c>
      <c r="E1148" s="90" t="s">
        <v>68</v>
      </c>
      <c r="F1148" s="90" t="s">
        <v>375</v>
      </c>
      <c r="G1148" s="90" t="s">
        <v>376</v>
      </c>
      <c r="H1148" s="90">
        <v>0.59</v>
      </c>
      <c r="I1148" s="90">
        <v>0.64</v>
      </c>
      <c r="J1148" s="90" t="s">
        <v>244</v>
      </c>
      <c r="K1148" s="90">
        <v>7.9092566472300004E-3</v>
      </c>
      <c r="L1148" s="90">
        <v>3618.6125122257199</v>
      </c>
      <c r="M1148" s="90">
        <v>8.9028021953563101</v>
      </c>
      <c r="N1148" s="90">
        <v>1.5077956406829101</v>
      </c>
      <c r="O1148" s="90">
        <v>7.041454744266E-2</v>
      </c>
      <c r="P1148" s="90">
        <v>1.192554269374E-2</v>
      </c>
      <c r="Q1148" s="90">
        <v>28.620535066099801</v>
      </c>
      <c r="R1148" s="90">
        <v>1200</v>
      </c>
      <c r="S1148" s="90" t="s">
        <v>384</v>
      </c>
      <c r="T1148" s="90">
        <v>1200</v>
      </c>
      <c r="U1148" s="90" t="s">
        <v>378</v>
      </c>
      <c r="V1148" s="90" t="s">
        <v>244</v>
      </c>
      <c r="Z1148" s="90">
        <v>0</v>
      </c>
      <c r="AA1148" s="90">
        <v>1</v>
      </c>
      <c r="AB1148" s="90">
        <v>7.041454744266E-2</v>
      </c>
      <c r="AC1148" s="90">
        <v>1.192554269374E-2</v>
      </c>
      <c r="AD1148" s="90">
        <v>66.3891041419445</v>
      </c>
      <c r="AF1148" s="90">
        <v>-1</v>
      </c>
      <c r="AG1148" s="90">
        <v>-1</v>
      </c>
      <c r="AH1148" s="90">
        <v>-1</v>
      </c>
      <c r="AI1148" s="90">
        <v>-1</v>
      </c>
      <c r="AJ1148" s="90">
        <v>0</v>
      </c>
      <c r="AM1148" s="90" t="s">
        <v>379</v>
      </c>
      <c r="AN1148" s="90">
        <v>-1</v>
      </c>
      <c r="AQ1148" s="90">
        <v>373</v>
      </c>
      <c r="AR1148" s="90" t="s">
        <v>279</v>
      </c>
      <c r="AS1148" s="90" t="s">
        <v>403</v>
      </c>
      <c r="AT1148" s="90" t="s">
        <v>244</v>
      </c>
      <c r="AU1148" s="90">
        <v>4.0744790000000002</v>
      </c>
      <c r="AV1148" s="90">
        <v>25.698951257424898</v>
      </c>
      <c r="AW1148" s="90">
        <v>32.007626059283801</v>
      </c>
      <c r="AX1148" s="90">
        <v>5.3843555699999997E-2</v>
      </c>
    </row>
    <row r="1149" spans="1:50" x14ac:dyDescent="0.25">
      <c r="A1149" s="102">
        <v>840000</v>
      </c>
      <c r="B1149" s="102">
        <v>2400000</v>
      </c>
      <c r="C1149" s="102">
        <v>2400000</v>
      </c>
      <c r="D1149" s="90" t="s">
        <v>374</v>
      </c>
      <c r="E1149" s="90" t="s">
        <v>68</v>
      </c>
      <c r="F1149" s="90" t="s">
        <v>375</v>
      </c>
      <c r="G1149" s="90" t="s">
        <v>376</v>
      </c>
      <c r="H1149" s="90">
        <v>0.59</v>
      </c>
      <c r="I1149" s="90">
        <v>0.64</v>
      </c>
      <c r="J1149" s="90" t="s">
        <v>244</v>
      </c>
      <c r="K1149" s="90">
        <v>0.18218941620019</v>
      </c>
      <c r="L1149" s="90">
        <v>3618.6125122257199</v>
      </c>
      <c r="M1149" s="90">
        <v>8.9028021953563101</v>
      </c>
      <c r="N1149" s="90">
        <v>1.5077956406829101</v>
      </c>
      <c r="O1149" s="90">
        <v>1.6219963345177999</v>
      </c>
      <c r="P1149" s="90">
        <v>0.27470440752522002</v>
      </c>
      <c r="Q1149" s="90">
        <v>659.272901057132</v>
      </c>
      <c r="R1149" s="90">
        <v>1300</v>
      </c>
      <c r="S1149" s="90" t="s">
        <v>387</v>
      </c>
      <c r="T1149" s="90">
        <v>1300</v>
      </c>
      <c r="U1149" s="90" t="s">
        <v>378</v>
      </c>
      <c r="V1149" s="90" t="s">
        <v>244</v>
      </c>
      <c r="Z1149" s="90">
        <v>0</v>
      </c>
      <c r="AA1149" s="90">
        <v>1</v>
      </c>
      <c r="AB1149" s="90">
        <v>1.6219963345177999</v>
      </c>
      <c r="AC1149" s="90">
        <v>0.27470440752522002</v>
      </c>
      <c r="AD1149" s="90">
        <v>783.78818837516997</v>
      </c>
      <c r="AF1149" s="90">
        <v>-1</v>
      </c>
      <c r="AG1149" s="90">
        <v>-1</v>
      </c>
      <c r="AH1149" s="90">
        <v>-1</v>
      </c>
      <c r="AI1149" s="90">
        <v>-1</v>
      </c>
      <c r="AJ1149" s="90">
        <v>0</v>
      </c>
      <c r="AM1149" s="90" t="s">
        <v>379</v>
      </c>
      <c r="AN1149" s="90">
        <v>-1</v>
      </c>
      <c r="AQ1149" s="90">
        <v>373</v>
      </c>
      <c r="AR1149" s="90" t="s">
        <v>279</v>
      </c>
      <c r="AS1149" s="90" t="s">
        <v>403</v>
      </c>
      <c r="AT1149" s="90" t="s">
        <v>244</v>
      </c>
      <c r="AU1149" s="90">
        <v>4.0744790000000002</v>
      </c>
      <c r="AV1149" s="90">
        <v>227.75809358727199</v>
      </c>
      <c r="AW1149" s="90">
        <v>737.29440904307296</v>
      </c>
      <c r="AX1149" s="90">
        <v>0.6356757408</v>
      </c>
    </row>
    <row r="1150" spans="1:50" x14ac:dyDescent="0.25">
      <c r="A1150" s="102">
        <v>840000</v>
      </c>
      <c r="B1150" s="102">
        <v>2400000</v>
      </c>
      <c r="C1150" s="102">
        <v>2400000</v>
      </c>
      <c r="D1150" s="90" t="s">
        <v>374</v>
      </c>
      <c r="E1150" s="90" t="s">
        <v>68</v>
      </c>
      <c r="F1150" s="90" t="s">
        <v>375</v>
      </c>
      <c r="G1150" s="90" t="s">
        <v>376</v>
      </c>
      <c r="H1150" s="90">
        <v>0.59</v>
      </c>
      <c r="I1150" s="90">
        <v>0.64</v>
      </c>
      <c r="J1150" s="90" t="s">
        <v>381</v>
      </c>
      <c r="K1150" s="90">
        <v>1.20424609835E-3</v>
      </c>
      <c r="L1150" s="90">
        <v>3618.6125122257199</v>
      </c>
      <c r="M1150" s="90">
        <v>8.9028021953563101</v>
      </c>
      <c r="N1150" s="90">
        <v>1.5077956406829101</v>
      </c>
      <c r="O1150" s="90">
        <v>1.072116480822E-2</v>
      </c>
      <c r="P1150" s="90">
        <v>1.81575701741E-3</v>
      </c>
      <c r="Q1150" s="90">
        <v>4.3576999993208796</v>
      </c>
      <c r="R1150" s="90">
        <v>1300</v>
      </c>
      <c r="S1150" s="90" t="s">
        <v>387</v>
      </c>
      <c r="T1150" s="90">
        <v>1300</v>
      </c>
      <c r="U1150" s="90" t="s">
        <v>382</v>
      </c>
      <c r="V1150" s="90" t="s">
        <v>381</v>
      </c>
      <c r="Z1150" s="90">
        <v>0</v>
      </c>
      <c r="AA1150" s="90">
        <v>1</v>
      </c>
      <c r="AB1150" s="90">
        <v>1.072116480822E-2</v>
      </c>
      <c r="AC1150" s="90">
        <v>1.81575701741E-3</v>
      </c>
      <c r="AD1150" s="90">
        <v>4.95155318704174</v>
      </c>
      <c r="AF1150" s="90">
        <v>-1</v>
      </c>
      <c r="AG1150" s="90">
        <v>-1</v>
      </c>
      <c r="AH1150" s="90">
        <v>-1</v>
      </c>
      <c r="AI1150" s="90">
        <v>-1</v>
      </c>
      <c r="AJ1150" s="90">
        <v>0</v>
      </c>
      <c r="AM1150" s="90" t="s">
        <v>379</v>
      </c>
      <c r="AN1150" s="90">
        <v>-1</v>
      </c>
      <c r="AQ1150" s="90">
        <v>373</v>
      </c>
      <c r="AR1150" s="90" t="s">
        <v>279</v>
      </c>
      <c r="AS1150" s="90" t="s">
        <v>403</v>
      </c>
      <c r="AT1150" s="90" t="s">
        <v>244</v>
      </c>
      <c r="AU1150" s="90">
        <v>4.0744790000000002</v>
      </c>
      <c r="AV1150" s="90">
        <v>90.246662469555702</v>
      </c>
      <c r="AW1150" s="90">
        <v>4.8734110572951996</v>
      </c>
      <c r="AX1150" s="90">
        <v>4.0158581999999998E-3</v>
      </c>
    </row>
    <row r="1151" spans="1:50" x14ac:dyDescent="0.25">
      <c r="A1151" s="102">
        <v>840000</v>
      </c>
      <c r="B1151" s="102">
        <v>2400000</v>
      </c>
      <c r="C1151" s="102">
        <v>2400000</v>
      </c>
      <c r="D1151" s="90" t="s">
        <v>374</v>
      </c>
      <c r="E1151" s="90" t="s">
        <v>68</v>
      </c>
      <c r="F1151" s="90" t="s">
        <v>375</v>
      </c>
      <c r="G1151" s="90" t="s">
        <v>376</v>
      </c>
      <c r="H1151" s="90">
        <v>0.59</v>
      </c>
      <c r="I1151" s="90">
        <v>0.64</v>
      </c>
      <c r="J1151" s="90" t="s">
        <v>389</v>
      </c>
      <c r="K1151" s="90">
        <v>9.4271478051120003E-2</v>
      </c>
      <c r="L1151" s="90">
        <v>3618.6125122257199</v>
      </c>
      <c r="M1151" s="90">
        <v>8.9028021953563101</v>
      </c>
      <c r="N1151" s="90">
        <v>1.5077956406829101</v>
      </c>
      <c r="O1151" s="90">
        <v>0.83928032175302003</v>
      </c>
      <c r="P1151" s="90">
        <v>0.14214212364621001</v>
      </c>
      <c r="Q1151" s="90">
        <v>341.13195002180601</v>
      </c>
      <c r="R1151" s="90">
        <v>4340</v>
      </c>
      <c r="S1151" s="90" t="s">
        <v>404</v>
      </c>
      <c r="T1151" s="90">
        <v>4340</v>
      </c>
      <c r="U1151" s="90" t="s">
        <v>378</v>
      </c>
      <c r="V1151" s="90" t="s">
        <v>244</v>
      </c>
      <c r="Y1151" s="90" t="s">
        <v>389</v>
      </c>
      <c r="Z1151" s="90">
        <v>0</v>
      </c>
      <c r="AA1151" s="90">
        <v>1</v>
      </c>
      <c r="AB1151" s="90">
        <v>0.83928032175302003</v>
      </c>
      <c r="AC1151" s="90">
        <v>0.14214212364621001</v>
      </c>
      <c r="AD1151" s="90">
        <v>341.13195002180498</v>
      </c>
      <c r="AF1151" s="90">
        <v>-1</v>
      </c>
      <c r="AG1151" s="90">
        <v>-1</v>
      </c>
      <c r="AH1151" s="90">
        <v>-1</v>
      </c>
      <c r="AI1151" s="90">
        <v>-1</v>
      </c>
      <c r="AJ1151" s="90">
        <v>0</v>
      </c>
      <c r="AM1151" s="90" t="s">
        <v>379</v>
      </c>
      <c r="AN1151" s="90">
        <v>-1</v>
      </c>
      <c r="AQ1151" s="90">
        <v>373</v>
      </c>
      <c r="AR1151" s="90" t="s">
        <v>279</v>
      </c>
      <c r="AS1151" s="90" t="s">
        <v>403</v>
      </c>
      <c r="AT1151" s="90" t="s">
        <v>244</v>
      </c>
      <c r="AU1151" s="90">
        <v>4.0744790000000002</v>
      </c>
      <c r="AV1151" s="90">
        <v>102.777510039456</v>
      </c>
      <c r="AW1151" s="90">
        <v>381.50313640032698</v>
      </c>
      <c r="AX1151" s="90">
        <v>0.27666824820000002</v>
      </c>
    </row>
    <row r="1152" spans="1:50" x14ac:dyDescent="0.25">
      <c r="A1152" s="102">
        <v>840000</v>
      </c>
      <c r="B1152" s="102">
        <v>2400000</v>
      </c>
      <c r="C1152" s="102">
        <v>2400000</v>
      </c>
      <c r="D1152" s="90" t="s">
        <v>374</v>
      </c>
      <c r="E1152" s="90" t="s">
        <v>68</v>
      </c>
      <c r="F1152" s="90" t="s">
        <v>375</v>
      </c>
      <c r="G1152" s="90" t="s">
        <v>376</v>
      </c>
      <c r="H1152" s="90">
        <v>0.59</v>
      </c>
      <c r="I1152" s="90">
        <v>0.64</v>
      </c>
      <c r="J1152" s="90" t="s">
        <v>244</v>
      </c>
      <c r="K1152" s="90">
        <v>2.56124627369E-3</v>
      </c>
      <c r="L1152" s="90">
        <v>3618.6125122257199</v>
      </c>
      <c r="M1152" s="90">
        <v>8.9028021953563101</v>
      </c>
      <c r="N1152" s="90">
        <v>1.5077956406829101</v>
      </c>
      <c r="O1152" s="90">
        <v>2.2802268948329998E-2</v>
      </c>
      <c r="P1152" s="90">
        <v>3.8618359661900001E-3</v>
      </c>
      <c r="Q1152" s="90">
        <v>9.2681578128986999</v>
      </c>
      <c r="R1152" s="90">
        <v>1200</v>
      </c>
      <c r="S1152" s="90" t="s">
        <v>384</v>
      </c>
      <c r="T1152" s="90">
        <v>1200</v>
      </c>
      <c r="U1152" s="90" t="s">
        <v>378</v>
      </c>
      <c r="V1152" s="90" t="s">
        <v>244</v>
      </c>
      <c r="Z1152" s="90">
        <v>0</v>
      </c>
      <c r="AA1152" s="90">
        <v>1</v>
      </c>
      <c r="AB1152" s="90">
        <v>2.2802268948329998E-2</v>
      </c>
      <c r="AC1152" s="90">
        <v>3.8618359661900001E-3</v>
      </c>
      <c r="AD1152" s="90">
        <v>9.2681578128979094</v>
      </c>
      <c r="AF1152" s="90">
        <v>-1</v>
      </c>
      <c r="AG1152" s="90">
        <v>-1</v>
      </c>
      <c r="AH1152" s="90">
        <v>-1</v>
      </c>
      <c r="AI1152" s="90">
        <v>-1</v>
      </c>
      <c r="AJ1152" s="90">
        <v>0</v>
      </c>
      <c r="AM1152" s="90" t="s">
        <v>379</v>
      </c>
      <c r="AN1152" s="90">
        <v>-1</v>
      </c>
      <c r="AQ1152" s="90">
        <v>373</v>
      </c>
      <c r="AR1152" s="90" t="s">
        <v>279</v>
      </c>
      <c r="AS1152" s="90" t="s">
        <v>403</v>
      </c>
      <c r="AT1152" s="90" t="s">
        <v>244</v>
      </c>
      <c r="AU1152" s="90">
        <v>4.0744790000000002</v>
      </c>
      <c r="AV1152" s="90">
        <v>19.8597661273513</v>
      </c>
      <c r="AW1152" s="90">
        <v>10.3649959320659</v>
      </c>
      <c r="AX1152" s="90">
        <v>7.5167541000000001E-3</v>
      </c>
    </row>
    <row r="1153" spans="1:50" x14ac:dyDescent="0.25">
      <c r="A1153" s="102">
        <v>840000</v>
      </c>
      <c r="B1153" s="102">
        <v>2400000</v>
      </c>
      <c r="C1153" s="102">
        <v>2400000</v>
      </c>
      <c r="D1153" s="90" t="s">
        <v>374</v>
      </c>
      <c r="E1153" s="90" t="s">
        <v>68</v>
      </c>
      <c r="F1153" s="90" t="s">
        <v>375</v>
      </c>
      <c r="G1153" s="90" t="s">
        <v>376</v>
      </c>
      <c r="H1153" s="90">
        <v>0.59</v>
      </c>
      <c r="I1153" s="90">
        <v>0.64</v>
      </c>
      <c r="J1153" s="90" t="s">
        <v>244</v>
      </c>
      <c r="K1153" s="90">
        <v>8.0070380774279998E-2</v>
      </c>
      <c r="L1153" s="90">
        <v>3618.6125122257199</v>
      </c>
      <c r="M1153" s="90">
        <v>8.9028021953563101</v>
      </c>
      <c r="N1153" s="90">
        <v>1.5077956406829101</v>
      </c>
      <c r="O1153" s="90">
        <v>0.71285076174031003</v>
      </c>
      <c r="P1153" s="90">
        <v>0.12072977107928</v>
      </c>
      <c r="Q1153" s="90">
        <v>289.74368172850097</v>
      </c>
      <c r="R1153" s="90">
        <v>1210</v>
      </c>
      <c r="S1153" s="90" t="s">
        <v>385</v>
      </c>
      <c r="T1153" s="90">
        <v>1210</v>
      </c>
      <c r="U1153" s="90" t="s">
        <v>378</v>
      </c>
      <c r="V1153" s="90" t="s">
        <v>244</v>
      </c>
      <c r="Z1153" s="90">
        <v>0</v>
      </c>
      <c r="AA1153" s="90">
        <v>1</v>
      </c>
      <c r="AB1153" s="90">
        <v>0.71285076174031003</v>
      </c>
      <c r="AC1153" s="90">
        <v>0.12072977107928</v>
      </c>
      <c r="AD1153" s="90">
        <v>289.74368172850001</v>
      </c>
      <c r="AF1153" s="90">
        <v>-1</v>
      </c>
      <c r="AG1153" s="90">
        <v>-1</v>
      </c>
      <c r="AH1153" s="90">
        <v>-1</v>
      </c>
      <c r="AI1153" s="90">
        <v>-1</v>
      </c>
      <c r="AJ1153" s="90">
        <v>0</v>
      </c>
      <c r="AM1153" s="90" t="s">
        <v>379</v>
      </c>
      <c r="AN1153" s="90">
        <v>-1</v>
      </c>
      <c r="AQ1153" s="90">
        <v>373</v>
      </c>
      <c r="AR1153" s="90" t="s">
        <v>279</v>
      </c>
      <c r="AS1153" s="90" t="s">
        <v>403</v>
      </c>
      <c r="AT1153" s="90" t="s">
        <v>244</v>
      </c>
      <c r="AU1153" s="90">
        <v>4.0744790000000002</v>
      </c>
      <c r="AV1153" s="90">
        <v>73.183564758257901</v>
      </c>
      <c r="AW1153" s="90">
        <v>324.033334680422</v>
      </c>
      <c r="AX1153" s="90">
        <v>0.2349908205</v>
      </c>
    </row>
    <row r="1154" spans="1:50" x14ac:dyDescent="0.25">
      <c r="A1154" s="102">
        <v>840000</v>
      </c>
      <c r="B1154" s="102">
        <v>2400000</v>
      </c>
      <c r="C1154" s="102">
        <v>2400000</v>
      </c>
      <c r="D1154" s="90" t="s">
        <v>374</v>
      </c>
      <c r="E1154" s="90" t="s">
        <v>68</v>
      </c>
      <c r="F1154" s="90" t="s">
        <v>375</v>
      </c>
      <c r="G1154" s="90" t="s">
        <v>376</v>
      </c>
      <c r="H1154" s="90">
        <v>0.59</v>
      </c>
      <c r="I1154" s="90">
        <v>0.64</v>
      </c>
      <c r="J1154" s="90" t="s">
        <v>244</v>
      </c>
      <c r="K1154" s="90">
        <v>6.8704302676499997E-3</v>
      </c>
      <c r="L1154" s="90">
        <v>3618.6125122257199</v>
      </c>
      <c r="M1154" s="90">
        <v>8.9028021953563101</v>
      </c>
      <c r="N1154" s="90">
        <v>1.5077956406829101</v>
      </c>
      <c r="O1154" s="90">
        <v>6.1166081669919999E-2</v>
      </c>
      <c r="P1154" s="90">
        <v>1.035920480718E-2</v>
      </c>
      <c r="Q1154" s="90">
        <v>24.861424930910701</v>
      </c>
      <c r="R1154" s="90">
        <v>1210</v>
      </c>
      <c r="S1154" s="90" t="s">
        <v>385</v>
      </c>
      <c r="T1154" s="90">
        <v>1210</v>
      </c>
      <c r="U1154" s="90" t="s">
        <v>378</v>
      </c>
      <c r="V1154" s="90" t="s">
        <v>244</v>
      </c>
      <c r="Z1154" s="90">
        <v>0</v>
      </c>
      <c r="AA1154" s="90">
        <v>1</v>
      </c>
      <c r="AB1154" s="90">
        <v>6.1166081669919999E-2</v>
      </c>
      <c r="AC1154" s="90">
        <v>1.035920480718E-2</v>
      </c>
      <c r="AD1154" s="90">
        <v>24.861424930909301</v>
      </c>
      <c r="AF1154" s="90">
        <v>-1</v>
      </c>
      <c r="AG1154" s="90">
        <v>-1</v>
      </c>
      <c r="AH1154" s="90">
        <v>-1</v>
      </c>
      <c r="AI1154" s="90">
        <v>-1</v>
      </c>
      <c r="AJ1154" s="90">
        <v>0</v>
      </c>
      <c r="AM1154" s="90" t="s">
        <v>379</v>
      </c>
      <c r="AN1154" s="90">
        <v>-1</v>
      </c>
      <c r="AQ1154" s="90">
        <v>373</v>
      </c>
      <c r="AR1154" s="90" t="s">
        <v>279</v>
      </c>
      <c r="AS1154" s="90" t="s">
        <v>403</v>
      </c>
      <c r="AT1154" s="90" t="s">
        <v>244</v>
      </c>
      <c r="AU1154" s="90">
        <v>4.0744790000000002</v>
      </c>
      <c r="AV1154" s="90">
        <v>35.258683241355698</v>
      </c>
      <c r="AW1154" s="90">
        <v>27.8036448533095</v>
      </c>
      <c r="AX1154" s="90">
        <v>2.01633617E-2</v>
      </c>
    </row>
    <row r="1155" spans="1:50" x14ac:dyDescent="0.25">
      <c r="A1155" s="102">
        <v>840000</v>
      </c>
      <c r="B1155" s="102">
        <v>2400000</v>
      </c>
      <c r="C1155" s="102">
        <v>2400000</v>
      </c>
      <c r="D1155" s="90" t="s">
        <v>374</v>
      </c>
      <c r="E1155" s="90" t="s">
        <v>68</v>
      </c>
      <c r="F1155" s="90" t="s">
        <v>375</v>
      </c>
      <c r="G1155" s="90" t="s">
        <v>376</v>
      </c>
      <c r="H1155" s="90">
        <v>0.59</v>
      </c>
      <c r="I1155" s="90">
        <v>0.64</v>
      </c>
      <c r="J1155" s="90" t="s">
        <v>381</v>
      </c>
      <c r="K1155" s="90">
        <v>1.505721411E-5</v>
      </c>
      <c r="L1155" s="90">
        <v>3618.6125122257199</v>
      </c>
      <c r="M1155" s="90">
        <v>8.9028021953563101</v>
      </c>
      <c r="N1155" s="90">
        <v>1.5077956406829101</v>
      </c>
      <c r="O1155" s="90">
        <v>1.3405139883E-4</v>
      </c>
      <c r="P1155" s="90">
        <v>2.2703201789999999E-5</v>
      </c>
      <c r="Q1155" s="90">
        <v>5.4486223377699997E-2</v>
      </c>
      <c r="R1155" s="90">
        <v>1210</v>
      </c>
      <c r="S1155" s="90" t="s">
        <v>385</v>
      </c>
      <c r="T1155" s="90">
        <v>1210</v>
      </c>
      <c r="U1155" s="90" t="s">
        <v>382</v>
      </c>
      <c r="V1155" s="90" t="s">
        <v>381</v>
      </c>
      <c r="Z1155" s="90">
        <v>0</v>
      </c>
      <c r="AA1155" s="90">
        <v>1</v>
      </c>
      <c r="AB1155" s="90">
        <v>1.3405139883E-4</v>
      </c>
      <c r="AC1155" s="90">
        <v>2.2703201789999999E-5</v>
      </c>
      <c r="AD1155" s="90">
        <v>5.448622337747E-2</v>
      </c>
      <c r="AF1155" s="90">
        <v>-1</v>
      </c>
      <c r="AG1155" s="90">
        <v>-1</v>
      </c>
      <c r="AH1155" s="90">
        <v>-1</v>
      </c>
      <c r="AI1155" s="90">
        <v>-1</v>
      </c>
      <c r="AJ1155" s="90">
        <v>0</v>
      </c>
      <c r="AM1155" s="90" t="s">
        <v>379</v>
      </c>
      <c r="AN1155" s="90">
        <v>-1</v>
      </c>
      <c r="AQ1155" s="90">
        <v>373</v>
      </c>
      <c r="AR1155" s="90" t="s">
        <v>279</v>
      </c>
      <c r="AS1155" s="90" t="s">
        <v>403</v>
      </c>
      <c r="AT1155" s="90" t="s">
        <v>244</v>
      </c>
      <c r="AU1155" s="90">
        <v>4.0744790000000002</v>
      </c>
      <c r="AV1155" s="90">
        <v>4.1046844949349701</v>
      </c>
      <c r="AW1155" s="90">
        <v>6.0934383624240002E-2</v>
      </c>
      <c r="AX1155" s="90">
        <v>4.4190000000000002E-5</v>
      </c>
    </row>
    <row r="1156" spans="1:50" x14ac:dyDescent="0.25">
      <c r="A1156" s="102">
        <v>840000</v>
      </c>
      <c r="B1156" s="102">
        <v>2400000</v>
      </c>
      <c r="C1156" s="102">
        <v>2400000</v>
      </c>
      <c r="D1156" s="90" t="s">
        <v>374</v>
      </c>
      <c r="E1156" s="90" t="s">
        <v>68</v>
      </c>
      <c r="F1156" s="90" t="s">
        <v>375</v>
      </c>
      <c r="G1156" s="90" t="s">
        <v>376</v>
      </c>
      <c r="H1156" s="90">
        <v>0.59</v>
      </c>
      <c r="I1156" s="90">
        <v>0.64</v>
      </c>
      <c r="J1156" s="90" t="s">
        <v>244</v>
      </c>
      <c r="K1156" s="90">
        <v>5.3905353843939997E-2</v>
      </c>
      <c r="L1156" s="90">
        <v>3618.6125122257199</v>
      </c>
      <c r="M1156" s="90">
        <v>8.9028021953563101</v>
      </c>
      <c r="N1156" s="90">
        <v>1.5077956406829101</v>
      </c>
      <c r="O1156" s="90">
        <v>0.47990870254328</v>
      </c>
      <c r="P1156" s="90">
        <v>8.1278257535359999E-2</v>
      </c>
      <c r="Q1156" s="90">
        <v>195.062587895636</v>
      </c>
      <c r="R1156" s="90">
        <v>1210</v>
      </c>
      <c r="S1156" s="90" t="s">
        <v>385</v>
      </c>
      <c r="T1156" s="90">
        <v>1210</v>
      </c>
      <c r="U1156" s="90" t="s">
        <v>378</v>
      </c>
      <c r="V1156" s="90" t="s">
        <v>244</v>
      </c>
      <c r="Z1156" s="90">
        <v>0</v>
      </c>
      <c r="AA1156" s="90">
        <v>1</v>
      </c>
      <c r="AB1156" s="90">
        <v>0.47990870254328</v>
      </c>
      <c r="AC1156" s="90">
        <v>8.1278257535359999E-2</v>
      </c>
      <c r="AD1156" s="90">
        <v>195.06258789563699</v>
      </c>
      <c r="AF1156" s="90">
        <v>-1</v>
      </c>
      <c r="AG1156" s="90">
        <v>-1</v>
      </c>
      <c r="AH1156" s="90">
        <v>-1</v>
      </c>
      <c r="AI1156" s="90">
        <v>-1</v>
      </c>
      <c r="AJ1156" s="90">
        <v>0</v>
      </c>
      <c r="AM1156" s="90" t="s">
        <v>379</v>
      </c>
      <c r="AN1156" s="90">
        <v>-1</v>
      </c>
      <c r="AQ1156" s="90">
        <v>373</v>
      </c>
      <c r="AR1156" s="90" t="s">
        <v>279</v>
      </c>
      <c r="AS1156" s="90" t="s">
        <v>403</v>
      </c>
      <c r="AT1156" s="90" t="s">
        <v>244</v>
      </c>
      <c r="AU1156" s="90">
        <v>4.0744790000000002</v>
      </c>
      <c r="AV1156" s="90">
        <v>59.166284330353001</v>
      </c>
      <c r="AW1156" s="90">
        <v>218.14722740509399</v>
      </c>
      <c r="AX1156" s="90">
        <v>0.15820161220000001</v>
      </c>
    </row>
    <row r="1157" spans="1:50" x14ac:dyDescent="0.25">
      <c r="A1157" s="102">
        <v>840000</v>
      </c>
      <c r="B1157" s="102">
        <v>2400000</v>
      </c>
      <c r="C1157" s="102">
        <v>2400000</v>
      </c>
      <c r="D1157" s="90" t="s">
        <v>374</v>
      </c>
      <c r="E1157" s="90" t="s">
        <v>68</v>
      </c>
      <c r="F1157" s="90" t="s">
        <v>375</v>
      </c>
      <c r="G1157" s="90" t="s">
        <v>376</v>
      </c>
      <c r="H1157" s="90">
        <v>0.59</v>
      </c>
      <c r="I1157" s="90">
        <v>0.64</v>
      </c>
      <c r="J1157" s="90" t="s">
        <v>381</v>
      </c>
      <c r="K1157" s="102">
        <v>7.8586911129999992E-6</v>
      </c>
      <c r="L1157" s="90">
        <v>3618.6125122257199</v>
      </c>
      <c r="M1157" s="90">
        <v>8.9028021953563101</v>
      </c>
      <c r="N1157" s="90">
        <v>1.5077956406829101</v>
      </c>
      <c r="O1157" s="90">
        <v>6.9964372489999995E-5</v>
      </c>
      <c r="P1157" s="90">
        <v>1.18493002E-5</v>
      </c>
      <c r="Q1157" s="90">
        <v>2.8437557991210002E-2</v>
      </c>
      <c r="R1157" s="90">
        <v>1210</v>
      </c>
      <c r="S1157" s="90" t="s">
        <v>385</v>
      </c>
      <c r="T1157" s="90">
        <v>1210</v>
      </c>
      <c r="U1157" s="90" t="s">
        <v>382</v>
      </c>
      <c r="V1157" s="90" t="s">
        <v>381</v>
      </c>
      <c r="Z1157" s="90">
        <v>0</v>
      </c>
      <c r="AA1157" s="90">
        <v>1</v>
      </c>
      <c r="AB1157" s="90">
        <v>6.9964372489999995E-5</v>
      </c>
      <c r="AC1157" s="90">
        <v>1.18493002E-5</v>
      </c>
      <c r="AD1157" s="90">
        <v>2.8437557989600001E-2</v>
      </c>
      <c r="AF1157" s="90">
        <v>-1</v>
      </c>
      <c r="AG1157" s="90">
        <v>-1</v>
      </c>
      <c r="AH1157" s="90">
        <v>-1</v>
      </c>
      <c r="AI1157" s="90">
        <v>-1</v>
      </c>
      <c r="AJ1157" s="90">
        <v>0</v>
      </c>
      <c r="AM1157" s="90" t="s">
        <v>379</v>
      </c>
      <c r="AN1157" s="90">
        <v>-1</v>
      </c>
      <c r="AQ1157" s="90">
        <v>373</v>
      </c>
      <c r="AR1157" s="90" t="s">
        <v>279</v>
      </c>
      <c r="AS1157" s="90" t="s">
        <v>403</v>
      </c>
      <c r="AT1157" s="90" t="s">
        <v>244</v>
      </c>
      <c r="AU1157" s="90">
        <v>4.0744790000000002</v>
      </c>
      <c r="AV1157" s="90">
        <v>5.7366395072694898</v>
      </c>
      <c r="AW1157" s="90">
        <v>3.1802994600489999E-2</v>
      </c>
      <c r="AX1157" s="90">
        <v>2.3063700000000001E-5</v>
      </c>
    </row>
    <row r="1158" spans="1:50" x14ac:dyDescent="0.25">
      <c r="A1158" s="102">
        <v>840000</v>
      </c>
      <c r="B1158" s="102">
        <v>2400000</v>
      </c>
      <c r="C1158" s="102">
        <v>2400000</v>
      </c>
      <c r="D1158" s="90" t="s">
        <v>374</v>
      </c>
      <c r="E1158" s="90" t="s">
        <v>68</v>
      </c>
      <c r="F1158" s="90" t="s">
        <v>375</v>
      </c>
      <c r="G1158" s="90" t="s">
        <v>376</v>
      </c>
      <c r="H1158" s="90">
        <v>0.59</v>
      </c>
      <c r="I1158" s="90">
        <v>0.64</v>
      </c>
      <c r="J1158" s="90" t="s">
        <v>244</v>
      </c>
      <c r="K1158" s="90">
        <v>0.19598380778209001</v>
      </c>
      <c r="L1158" s="90">
        <v>3761.35678253276</v>
      </c>
      <c r="M1158" s="90">
        <v>8.7597005472687606</v>
      </c>
      <c r="N1158" s="90">
        <v>1.41947732791967</v>
      </c>
      <c r="O1158" s="90">
        <v>1.7167594682846401</v>
      </c>
      <c r="P1158" s="90">
        <v>0.27819457178605</v>
      </c>
      <c r="Q1158" s="90">
        <v>737.16502466778502</v>
      </c>
      <c r="R1158" s="90">
        <v>1390</v>
      </c>
      <c r="S1158" s="90" t="s">
        <v>402</v>
      </c>
      <c r="T1158" s="90">
        <v>1390</v>
      </c>
      <c r="U1158" s="90" t="s">
        <v>378</v>
      </c>
      <c r="V1158" s="90" t="s">
        <v>244</v>
      </c>
      <c r="Z1158" s="90">
        <v>0</v>
      </c>
      <c r="AA1158" s="90">
        <v>1</v>
      </c>
      <c r="AB1158" s="90">
        <v>1.7167594682846401</v>
      </c>
      <c r="AC1158" s="90">
        <v>0.27819457178605</v>
      </c>
      <c r="AD1158" s="90">
        <v>737.16502466778502</v>
      </c>
      <c r="AF1158" s="90">
        <v>-1</v>
      </c>
      <c r="AG1158" s="90">
        <v>-1</v>
      </c>
      <c r="AH1158" s="90">
        <v>-1</v>
      </c>
      <c r="AI1158" s="90">
        <v>-1</v>
      </c>
      <c r="AJ1158" s="90">
        <v>0</v>
      </c>
      <c r="AM1158" s="90" t="s">
        <v>379</v>
      </c>
      <c r="AN1158" s="90">
        <v>-1</v>
      </c>
      <c r="AQ1158" s="90">
        <v>373</v>
      </c>
      <c r="AR1158" s="90" t="s">
        <v>279</v>
      </c>
      <c r="AS1158" s="90" t="s">
        <v>403</v>
      </c>
      <c r="AT1158" s="90" t="s">
        <v>244</v>
      </c>
      <c r="AU1158" s="90">
        <v>4.0744790000000002</v>
      </c>
      <c r="AV1158" s="90">
        <v>120.799167843943</v>
      </c>
      <c r="AW1158" s="90">
        <v>793.11833120938195</v>
      </c>
      <c r="AX1158" s="90">
        <v>0.59786295590000005</v>
      </c>
    </row>
    <row r="1159" spans="1:50" x14ac:dyDescent="0.25">
      <c r="A1159" s="102">
        <v>840000</v>
      </c>
      <c r="B1159" s="102">
        <v>2400000</v>
      </c>
      <c r="C1159" s="102">
        <v>2400000</v>
      </c>
      <c r="D1159" s="90" t="s">
        <v>374</v>
      </c>
      <c r="E1159" s="90" t="s">
        <v>68</v>
      </c>
      <c r="F1159" s="90" t="s">
        <v>375</v>
      </c>
      <c r="G1159" s="90" t="s">
        <v>376</v>
      </c>
      <c r="H1159" s="90">
        <v>0.59</v>
      </c>
      <c r="I1159" s="90">
        <v>0.64</v>
      </c>
      <c r="J1159" s="90" t="s">
        <v>244</v>
      </c>
      <c r="K1159" s="90">
        <v>7.233945929834E-2</v>
      </c>
      <c r="L1159" s="90">
        <v>3761.35678253276</v>
      </c>
      <c r="M1159" s="90">
        <v>8.7597005472687606</v>
      </c>
      <c r="N1159" s="90">
        <v>1.41947732791967</v>
      </c>
      <c r="O1159" s="90">
        <v>0.63367200120485001</v>
      </c>
      <c r="P1159" s="90">
        <v>0.10268422238797</v>
      </c>
      <c r="Q1159" s="90">
        <v>272.09451587658998</v>
      </c>
      <c r="R1159" s="90">
        <v>1300</v>
      </c>
      <c r="S1159" s="90" t="s">
        <v>387</v>
      </c>
      <c r="T1159" s="90">
        <v>1300</v>
      </c>
      <c r="U1159" s="90" t="s">
        <v>378</v>
      </c>
      <c r="V1159" s="90" t="s">
        <v>244</v>
      </c>
      <c r="Z1159" s="90">
        <v>0</v>
      </c>
      <c r="AA1159" s="90">
        <v>1</v>
      </c>
      <c r="AB1159" s="90">
        <v>0.63367200120485001</v>
      </c>
      <c r="AC1159" s="90">
        <v>0.10268422238797</v>
      </c>
      <c r="AD1159" s="90">
        <v>546.262070062107</v>
      </c>
      <c r="AF1159" s="90">
        <v>-1</v>
      </c>
      <c r="AG1159" s="90">
        <v>-1</v>
      </c>
      <c r="AH1159" s="90">
        <v>-1</v>
      </c>
      <c r="AI1159" s="90">
        <v>-1</v>
      </c>
      <c r="AJ1159" s="90">
        <v>0</v>
      </c>
      <c r="AM1159" s="90" t="s">
        <v>379</v>
      </c>
      <c r="AN1159" s="90">
        <v>-1</v>
      </c>
      <c r="AQ1159" s="90">
        <v>373</v>
      </c>
      <c r="AR1159" s="90" t="s">
        <v>279</v>
      </c>
      <c r="AS1159" s="90" t="s">
        <v>403</v>
      </c>
      <c r="AT1159" s="90" t="s">
        <v>244</v>
      </c>
      <c r="AU1159" s="90">
        <v>4.0744790000000002</v>
      </c>
      <c r="AV1159" s="90">
        <v>115.045545247601</v>
      </c>
      <c r="AW1159" s="90">
        <v>292.74740545445701</v>
      </c>
      <c r="AX1159" s="90">
        <v>0.44303493109999997</v>
      </c>
    </row>
    <row r="1160" spans="1:50" x14ac:dyDescent="0.25">
      <c r="A1160" s="102">
        <v>840000</v>
      </c>
      <c r="B1160" s="102">
        <v>2400000</v>
      </c>
      <c r="C1160" s="102">
        <v>2400000</v>
      </c>
      <c r="D1160" s="90" t="s">
        <v>374</v>
      </c>
      <c r="E1160" s="90" t="s">
        <v>68</v>
      </c>
      <c r="F1160" s="90" t="s">
        <v>375</v>
      </c>
      <c r="G1160" s="90" t="s">
        <v>376</v>
      </c>
      <c r="H1160" s="90">
        <v>0.59</v>
      </c>
      <c r="I1160" s="90">
        <v>0.64</v>
      </c>
      <c r="J1160" s="90" t="s">
        <v>244</v>
      </c>
      <c r="K1160" s="90">
        <v>0.14445554223575999</v>
      </c>
      <c r="L1160" s="90">
        <v>3761.35678253276</v>
      </c>
      <c r="M1160" s="90">
        <v>8.7597005472687606</v>
      </c>
      <c r="N1160" s="90">
        <v>1.41947732791967</v>
      </c>
      <c r="O1160" s="90">
        <v>1.26538729237864</v>
      </c>
      <c r="P1160" s="90">
        <v>0.20505136709600999</v>
      </c>
      <c r="Q1160" s="90">
        <v>543.34883356294699</v>
      </c>
      <c r="R1160" s="90">
        <v>1210</v>
      </c>
      <c r="S1160" s="90" t="s">
        <v>385</v>
      </c>
      <c r="T1160" s="90">
        <v>1210</v>
      </c>
      <c r="U1160" s="90" t="s">
        <v>378</v>
      </c>
      <c r="V1160" s="90" t="s">
        <v>244</v>
      </c>
      <c r="Z1160" s="90">
        <v>0</v>
      </c>
      <c r="AA1160" s="90">
        <v>1</v>
      </c>
      <c r="AB1160" s="90">
        <v>1.26538729237864</v>
      </c>
      <c r="AC1160" s="90">
        <v>0.20505136709600999</v>
      </c>
      <c r="AD1160" s="90">
        <v>543.34883356294699</v>
      </c>
      <c r="AF1160" s="90">
        <v>-1</v>
      </c>
      <c r="AG1160" s="90">
        <v>-1</v>
      </c>
      <c r="AH1160" s="90">
        <v>-1</v>
      </c>
      <c r="AI1160" s="90">
        <v>-1</v>
      </c>
      <c r="AJ1160" s="90">
        <v>0</v>
      </c>
      <c r="AM1160" s="90" t="s">
        <v>379</v>
      </c>
      <c r="AN1160" s="90">
        <v>-1</v>
      </c>
      <c r="AQ1160" s="90">
        <v>373</v>
      </c>
      <c r="AR1160" s="90" t="s">
        <v>279</v>
      </c>
      <c r="AS1160" s="90" t="s">
        <v>403</v>
      </c>
      <c r="AT1160" s="90" t="s">
        <v>244</v>
      </c>
      <c r="AU1160" s="90">
        <v>4.0744790000000002</v>
      </c>
      <c r="AV1160" s="90">
        <v>104.333542483633</v>
      </c>
      <c r="AW1160" s="90">
        <v>584.59083884808501</v>
      </c>
      <c r="AX1160" s="90">
        <v>0.44067220889999997</v>
      </c>
    </row>
    <row r="1161" spans="1:50" x14ac:dyDescent="0.25">
      <c r="A1161" s="102">
        <v>840000</v>
      </c>
      <c r="B1161" s="102">
        <v>2400000</v>
      </c>
      <c r="C1161" s="102">
        <v>2400000</v>
      </c>
      <c r="D1161" s="90" t="s">
        <v>374</v>
      </c>
      <c r="E1161" s="90" t="s">
        <v>68</v>
      </c>
      <c r="F1161" s="90" t="s">
        <v>375</v>
      </c>
      <c r="G1161" s="90" t="s">
        <v>376</v>
      </c>
      <c r="H1161" s="90">
        <v>0.59</v>
      </c>
      <c r="I1161" s="90">
        <v>0.64</v>
      </c>
      <c r="J1161" s="90" t="s">
        <v>244</v>
      </c>
      <c r="K1161" s="90">
        <v>2.5777943088390001E-2</v>
      </c>
      <c r="L1161" s="90">
        <v>3761.35678253276</v>
      </c>
      <c r="M1161" s="90">
        <v>8.7597005472687606</v>
      </c>
      <c r="N1161" s="90">
        <v>1.41947732791967</v>
      </c>
      <c r="O1161" s="90">
        <v>0.22580706217883001</v>
      </c>
      <c r="P1161" s="90">
        <v>3.659120577437E-2</v>
      </c>
      <c r="Q1161" s="90">
        <v>96.960041075259397</v>
      </c>
      <c r="R1161" s="90">
        <v>1210</v>
      </c>
      <c r="S1161" s="90" t="s">
        <v>385</v>
      </c>
      <c r="T1161" s="90">
        <v>1210</v>
      </c>
      <c r="U1161" s="90" t="s">
        <v>378</v>
      </c>
      <c r="V1161" s="90" t="s">
        <v>244</v>
      </c>
      <c r="Z1161" s="90">
        <v>0</v>
      </c>
      <c r="AA1161" s="90">
        <v>1</v>
      </c>
      <c r="AB1161" s="90">
        <v>0.22580706217883001</v>
      </c>
      <c r="AC1161" s="90">
        <v>3.659120577437E-2</v>
      </c>
      <c r="AD1161" s="90">
        <v>96.960041075257905</v>
      </c>
      <c r="AF1161" s="90">
        <v>-1</v>
      </c>
      <c r="AG1161" s="90">
        <v>-1</v>
      </c>
      <c r="AH1161" s="90">
        <v>-1</v>
      </c>
      <c r="AI1161" s="90">
        <v>-1</v>
      </c>
      <c r="AJ1161" s="90">
        <v>0</v>
      </c>
      <c r="AM1161" s="90" t="s">
        <v>379</v>
      </c>
      <c r="AN1161" s="90">
        <v>-1</v>
      </c>
      <c r="AQ1161" s="90">
        <v>373</v>
      </c>
      <c r="AR1161" s="90" t="s">
        <v>279</v>
      </c>
      <c r="AS1161" s="90" t="s">
        <v>403</v>
      </c>
      <c r="AT1161" s="90" t="s">
        <v>244</v>
      </c>
      <c r="AU1161" s="90">
        <v>4.0744790000000002</v>
      </c>
      <c r="AV1161" s="90">
        <v>67.512398551240295</v>
      </c>
      <c r="AW1161" s="90">
        <v>104.319634543511</v>
      </c>
      <c r="AX1161" s="90">
        <v>7.8637502900000003E-2</v>
      </c>
    </row>
    <row r="1162" spans="1:50" x14ac:dyDescent="0.25">
      <c r="A1162" s="102">
        <v>840000</v>
      </c>
      <c r="B1162" s="102">
        <v>2400000</v>
      </c>
      <c r="C1162" s="102">
        <v>2400000</v>
      </c>
      <c r="D1162" s="90" t="s">
        <v>374</v>
      </c>
      <c r="E1162" s="90" t="s">
        <v>68</v>
      </c>
      <c r="F1162" s="90" t="s">
        <v>375</v>
      </c>
      <c r="G1162" s="90" t="s">
        <v>376</v>
      </c>
      <c r="H1162" s="90">
        <v>0.59</v>
      </c>
      <c r="I1162" s="90">
        <v>0.64</v>
      </c>
      <c r="J1162" s="90" t="s">
        <v>244</v>
      </c>
      <c r="K1162" s="90">
        <v>0.10334947220644</v>
      </c>
      <c r="L1162" s="90">
        <v>3761.35678253276</v>
      </c>
      <c r="M1162" s="90">
        <v>8.7597005472687606</v>
      </c>
      <c r="N1162" s="90">
        <v>1.41947732791967</v>
      </c>
      <c r="O1162" s="90">
        <v>0.90531042824675001</v>
      </c>
      <c r="P1162" s="90">
        <v>0.14670223264950999</v>
      </c>
      <c r="Q1162" s="90">
        <v>388.73423825490102</v>
      </c>
      <c r="R1162" s="90">
        <v>1210</v>
      </c>
      <c r="S1162" s="90" t="s">
        <v>385</v>
      </c>
      <c r="T1162" s="90">
        <v>1210</v>
      </c>
      <c r="U1162" s="90" t="s">
        <v>378</v>
      </c>
      <c r="V1162" s="90" t="s">
        <v>244</v>
      </c>
      <c r="Z1162" s="90">
        <v>0</v>
      </c>
      <c r="AA1162" s="90">
        <v>1</v>
      </c>
      <c r="AB1162" s="90">
        <v>0.90531042824675001</v>
      </c>
      <c r="AC1162" s="90">
        <v>0.14670223264950999</v>
      </c>
      <c r="AD1162" s="90">
        <v>388.73423825490102</v>
      </c>
      <c r="AF1162" s="90">
        <v>-1</v>
      </c>
      <c r="AG1162" s="90">
        <v>-1</v>
      </c>
      <c r="AH1162" s="90">
        <v>-1</v>
      </c>
      <c r="AI1162" s="90">
        <v>-1</v>
      </c>
      <c r="AJ1162" s="90">
        <v>0</v>
      </c>
      <c r="AM1162" s="90" t="s">
        <v>379</v>
      </c>
      <c r="AN1162" s="90">
        <v>-1</v>
      </c>
      <c r="AQ1162" s="90">
        <v>373</v>
      </c>
      <c r="AR1162" s="90" t="s">
        <v>279</v>
      </c>
      <c r="AS1162" s="90" t="s">
        <v>403</v>
      </c>
      <c r="AT1162" s="90" t="s">
        <v>244</v>
      </c>
      <c r="AU1162" s="90">
        <v>4.0744790000000002</v>
      </c>
      <c r="AV1162" s="90">
        <v>93.972997361425001</v>
      </c>
      <c r="AW1162" s="90">
        <v>418.240475350309</v>
      </c>
      <c r="AX1162" s="90">
        <v>0.31527513239999999</v>
      </c>
    </row>
    <row r="1163" spans="1:50" x14ac:dyDescent="0.25">
      <c r="A1163" s="102">
        <v>840000</v>
      </c>
      <c r="B1163" s="102">
        <v>2500000</v>
      </c>
      <c r="C1163" s="102">
        <v>2500000</v>
      </c>
      <c r="D1163" s="90" t="s">
        <v>374</v>
      </c>
      <c r="E1163" s="90" t="s">
        <v>68</v>
      </c>
      <c r="F1163" s="90" t="s">
        <v>375</v>
      </c>
      <c r="G1163" s="90" t="s">
        <v>376</v>
      </c>
      <c r="H1163" s="90">
        <v>0.59</v>
      </c>
      <c r="I1163" s="90">
        <v>0.64</v>
      </c>
      <c r="J1163" s="90" t="s">
        <v>244</v>
      </c>
      <c r="K1163" s="90">
        <v>0.30716249918998001</v>
      </c>
      <c r="L1163" s="90">
        <v>3782.56191348942</v>
      </c>
      <c r="M1163" s="90">
        <v>9.5830836593905993</v>
      </c>
      <c r="N1163" s="90">
        <v>1.6952882494625601</v>
      </c>
      <c r="O1163" s="90">
        <v>2.9435639267651599</v>
      </c>
      <c r="P1163" s="90">
        <v>0.52072897555233999</v>
      </c>
      <c r="Q1163" s="90">
        <v>1161.86117068827</v>
      </c>
      <c r="R1163" s="90">
        <v>1390</v>
      </c>
      <c r="S1163" s="90" t="s">
        <v>402</v>
      </c>
      <c r="T1163" s="90">
        <v>1390</v>
      </c>
      <c r="U1163" s="90" t="s">
        <v>378</v>
      </c>
      <c r="V1163" s="90" t="s">
        <v>244</v>
      </c>
      <c r="Z1163" s="90">
        <v>0</v>
      </c>
      <c r="AA1163" s="90">
        <v>1</v>
      </c>
      <c r="AB1163" s="90">
        <v>2.9435639267651599</v>
      </c>
      <c r="AC1163" s="90">
        <v>0.52072897555233999</v>
      </c>
      <c r="AD1163" s="90">
        <v>1191.0985619220801</v>
      </c>
      <c r="AF1163" s="90">
        <v>-1</v>
      </c>
      <c r="AG1163" s="90">
        <v>-1</v>
      </c>
      <c r="AH1163" s="90">
        <v>-1</v>
      </c>
      <c r="AI1163" s="90">
        <v>-1</v>
      </c>
      <c r="AJ1163" s="90">
        <v>0</v>
      </c>
      <c r="AM1163" s="90" t="s">
        <v>379</v>
      </c>
      <c r="AN1163" s="90">
        <v>-1</v>
      </c>
      <c r="AQ1163" s="90">
        <v>373</v>
      </c>
      <c r="AR1163" s="90" t="s">
        <v>279</v>
      </c>
      <c r="AS1163" s="90" t="s">
        <v>403</v>
      </c>
      <c r="AT1163" s="90" t="s">
        <v>244</v>
      </c>
      <c r="AU1163" s="90">
        <v>4.0744790000000002</v>
      </c>
      <c r="AV1163" s="90">
        <v>148.904095630222</v>
      </c>
      <c r="AW1163" s="90">
        <v>1243.04253256744</v>
      </c>
      <c r="AX1163" s="90">
        <v>0.96601667629999999</v>
      </c>
    </row>
    <row r="1164" spans="1:50" x14ac:dyDescent="0.25">
      <c r="A1164" s="102">
        <v>840000</v>
      </c>
      <c r="B1164" s="102">
        <v>2500000</v>
      </c>
      <c r="C1164" s="102">
        <v>2500000</v>
      </c>
      <c r="D1164" s="90" t="s">
        <v>374</v>
      </c>
      <c r="E1164" s="90" t="s">
        <v>68</v>
      </c>
      <c r="F1164" s="90" t="s">
        <v>375</v>
      </c>
      <c r="G1164" s="90" t="s">
        <v>376</v>
      </c>
      <c r="H1164" s="90">
        <v>0.59</v>
      </c>
      <c r="I1164" s="90">
        <v>0.64</v>
      </c>
      <c r="J1164" s="90" t="s">
        <v>381</v>
      </c>
      <c r="K1164" s="90">
        <v>3.5031942640489998E-2</v>
      </c>
      <c r="L1164" s="90">
        <v>3782.56191348942</v>
      </c>
      <c r="M1164" s="90">
        <v>9.5830836593905993</v>
      </c>
      <c r="N1164" s="90">
        <v>1.6952882494625601</v>
      </c>
      <c r="O1164" s="90">
        <v>0.33571403707483</v>
      </c>
      <c r="P1164" s="90">
        <v>5.938924071427E-2</v>
      </c>
      <c r="Q1164" s="90">
        <v>132.510491987482</v>
      </c>
      <c r="R1164" s="90">
        <v>1390</v>
      </c>
      <c r="S1164" s="90" t="s">
        <v>402</v>
      </c>
      <c r="T1164" s="90">
        <v>1390</v>
      </c>
      <c r="U1164" s="90" t="s">
        <v>382</v>
      </c>
      <c r="V1164" s="90" t="s">
        <v>381</v>
      </c>
      <c r="Z1164" s="90">
        <v>0</v>
      </c>
      <c r="AA1164" s="90">
        <v>1</v>
      </c>
      <c r="AB1164" s="90">
        <v>0.33571403707483</v>
      </c>
      <c r="AC1164" s="90">
        <v>5.938924071427E-2</v>
      </c>
      <c r="AD1164" s="90">
        <v>139.59794414314399</v>
      </c>
      <c r="AF1164" s="90">
        <v>-1</v>
      </c>
      <c r="AG1164" s="90">
        <v>-1</v>
      </c>
      <c r="AH1164" s="90">
        <v>-1</v>
      </c>
      <c r="AI1164" s="90">
        <v>-1</v>
      </c>
      <c r="AJ1164" s="90">
        <v>0</v>
      </c>
      <c r="AM1164" s="90" t="s">
        <v>379</v>
      </c>
      <c r="AN1164" s="90">
        <v>-1</v>
      </c>
      <c r="AQ1164" s="90">
        <v>373</v>
      </c>
      <c r="AR1164" s="90" t="s">
        <v>279</v>
      </c>
      <c r="AS1164" s="90" t="s">
        <v>403</v>
      </c>
      <c r="AT1164" s="90" t="s">
        <v>244</v>
      </c>
      <c r="AU1164" s="90">
        <v>4.0744790000000002</v>
      </c>
      <c r="AV1164" s="90">
        <v>101.874199959118</v>
      </c>
      <c r="AW1164" s="90">
        <v>141.769242063836</v>
      </c>
      <c r="AX1164" s="90">
        <v>0.1132181218</v>
      </c>
    </row>
    <row r="1165" spans="1:50" x14ac:dyDescent="0.25">
      <c r="A1165" s="102">
        <v>840000</v>
      </c>
      <c r="B1165" s="102">
        <v>2500000</v>
      </c>
      <c r="C1165" s="102">
        <v>2500000</v>
      </c>
      <c r="D1165" s="90" t="s">
        <v>374</v>
      </c>
      <c r="E1165" s="90" t="s">
        <v>68</v>
      </c>
      <c r="F1165" s="90" t="s">
        <v>375</v>
      </c>
      <c r="G1165" s="90" t="s">
        <v>376</v>
      </c>
      <c r="H1165" s="90">
        <v>0.59</v>
      </c>
      <c r="I1165" s="90">
        <v>0.64</v>
      </c>
      <c r="J1165" s="90" t="s">
        <v>381</v>
      </c>
      <c r="K1165" s="90">
        <v>7.625048420161E-2</v>
      </c>
      <c r="L1165" s="90">
        <v>3782.56191348942</v>
      </c>
      <c r="M1165" s="90">
        <v>9.5830836593905993</v>
      </c>
      <c r="N1165" s="90">
        <v>1.6952882494625601</v>
      </c>
      <c r="O1165" s="90">
        <v>0.73071476917311995</v>
      </c>
      <c r="P1165" s="90">
        <v>0.12926654988283001</v>
      </c>
      <c r="Q1165" s="90">
        <v>288.42217742615901</v>
      </c>
      <c r="R1165" s="90">
        <v>1300</v>
      </c>
      <c r="S1165" s="90" t="s">
        <v>387</v>
      </c>
      <c r="T1165" s="90">
        <v>1300</v>
      </c>
      <c r="U1165" s="90" t="s">
        <v>382</v>
      </c>
      <c r="V1165" s="90" t="s">
        <v>381</v>
      </c>
      <c r="Z1165" s="90">
        <v>0</v>
      </c>
      <c r="AA1165" s="90">
        <v>1</v>
      </c>
      <c r="AB1165" s="90">
        <v>0.73071476917311995</v>
      </c>
      <c r="AC1165" s="90">
        <v>0.12926654988283001</v>
      </c>
      <c r="AD1165" s="90">
        <v>735.94598253935305</v>
      </c>
      <c r="AF1165" s="90">
        <v>-1</v>
      </c>
      <c r="AG1165" s="90">
        <v>-1</v>
      </c>
      <c r="AH1165" s="90">
        <v>-1</v>
      </c>
      <c r="AI1165" s="90">
        <v>-1</v>
      </c>
      <c r="AJ1165" s="90">
        <v>0</v>
      </c>
      <c r="AM1165" s="90" t="s">
        <v>379</v>
      </c>
      <c r="AN1165" s="90">
        <v>-1</v>
      </c>
      <c r="AQ1165" s="90">
        <v>373</v>
      </c>
      <c r="AR1165" s="90" t="s">
        <v>279</v>
      </c>
      <c r="AS1165" s="90" t="s">
        <v>403</v>
      </c>
      <c r="AT1165" s="90" t="s">
        <v>244</v>
      </c>
      <c r="AU1165" s="90">
        <v>4.0744790000000002</v>
      </c>
      <c r="AV1165" s="90">
        <v>106.376224928959</v>
      </c>
      <c r="AW1165" s="90">
        <v>308.57476170242097</v>
      </c>
      <c r="AX1165" s="90">
        <v>0.5968742762</v>
      </c>
    </row>
    <row r="1166" spans="1:50" x14ac:dyDescent="0.25">
      <c r="A1166" s="102">
        <v>840000</v>
      </c>
      <c r="B1166" s="102">
        <v>2500000</v>
      </c>
      <c r="C1166" s="102">
        <v>2500000</v>
      </c>
      <c r="D1166" s="90" t="s">
        <v>374</v>
      </c>
      <c r="E1166" s="90" t="s">
        <v>68</v>
      </c>
      <c r="F1166" s="90" t="s">
        <v>375</v>
      </c>
      <c r="G1166" s="90" t="s">
        <v>376</v>
      </c>
      <c r="H1166" s="90">
        <v>0.59</v>
      </c>
      <c r="I1166" s="90">
        <v>0.64</v>
      </c>
      <c r="J1166" s="90" t="s">
        <v>244</v>
      </c>
      <c r="K1166" s="90">
        <v>2.4340030775299999E-3</v>
      </c>
      <c r="L1166" s="90">
        <v>3759.5042782194901</v>
      </c>
      <c r="M1166" s="90">
        <v>7.9930859852977703</v>
      </c>
      <c r="N1166" s="90">
        <v>1.17370814340202</v>
      </c>
      <c r="O1166" s="90">
        <v>1.9455195887229999E-2</v>
      </c>
      <c r="P1166" s="90">
        <v>2.8568092331699999E-3</v>
      </c>
      <c r="Q1166" s="90">
        <v>9.1506449831997703</v>
      </c>
      <c r="R1166" s="90">
        <v>1390</v>
      </c>
      <c r="S1166" s="90" t="s">
        <v>402</v>
      </c>
      <c r="T1166" s="90">
        <v>1390</v>
      </c>
      <c r="U1166" s="90" t="s">
        <v>378</v>
      </c>
      <c r="V1166" s="90" t="s">
        <v>244</v>
      </c>
      <c r="Z1166" s="90">
        <v>0</v>
      </c>
      <c r="AA1166" s="90">
        <v>1</v>
      </c>
      <c r="AB1166" s="90">
        <v>1.9455195887229999E-2</v>
      </c>
      <c r="AC1166" s="90">
        <v>2.8568092331699999E-3</v>
      </c>
      <c r="AD1166" s="90">
        <v>941.22325189261403</v>
      </c>
      <c r="AF1166" s="90">
        <v>-1</v>
      </c>
      <c r="AG1166" s="90">
        <v>-1</v>
      </c>
      <c r="AH1166" s="90">
        <v>-1</v>
      </c>
      <c r="AI1166" s="90">
        <v>-1</v>
      </c>
      <c r="AJ1166" s="90">
        <v>0</v>
      </c>
      <c r="AM1166" s="90" t="s">
        <v>379</v>
      </c>
      <c r="AN1166" s="90">
        <v>-1</v>
      </c>
      <c r="AQ1166" s="90">
        <v>373</v>
      </c>
      <c r="AR1166" s="90" t="s">
        <v>279</v>
      </c>
      <c r="AS1166" s="90" t="s">
        <v>403</v>
      </c>
      <c r="AT1166" s="90" t="s">
        <v>244</v>
      </c>
      <c r="AU1166" s="90">
        <v>4.0744790000000002</v>
      </c>
      <c r="AV1166" s="90">
        <v>27.360955277757899</v>
      </c>
      <c r="AW1166" s="90">
        <v>9.8500609864713304</v>
      </c>
      <c r="AX1166" s="90">
        <v>0.76336030160000001</v>
      </c>
    </row>
    <row r="1167" spans="1:50" x14ac:dyDescent="0.25">
      <c r="A1167" s="102">
        <v>840000</v>
      </c>
      <c r="B1167" s="102">
        <v>2500000</v>
      </c>
      <c r="C1167" s="102">
        <v>2500000</v>
      </c>
      <c r="D1167" s="90" t="s">
        <v>374</v>
      </c>
      <c r="E1167" s="90" t="s">
        <v>68</v>
      </c>
      <c r="F1167" s="90" t="s">
        <v>375</v>
      </c>
      <c r="G1167" s="90" t="s">
        <v>376</v>
      </c>
      <c r="H1167" s="90">
        <v>0.59</v>
      </c>
      <c r="I1167" s="90">
        <v>0.64</v>
      </c>
      <c r="J1167" s="90" t="s">
        <v>244</v>
      </c>
      <c r="K1167" s="90">
        <v>2.5820842574100001E-3</v>
      </c>
      <c r="L1167" s="90">
        <v>3759.5042782194901</v>
      </c>
      <c r="M1167" s="90">
        <v>7.9930859852977703</v>
      </c>
      <c r="N1167" s="90">
        <v>1.17370814340202</v>
      </c>
      <c r="O1167" s="90">
        <v>2.0638821490790001E-2</v>
      </c>
      <c r="P1167" s="90">
        <v>3.03061331987E-3</v>
      </c>
      <c r="Q1167" s="90">
        <v>9.70735681247114</v>
      </c>
      <c r="R1167" s="90">
        <v>1210</v>
      </c>
      <c r="S1167" s="90" t="s">
        <v>385</v>
      </c>
      <c r="T1167" s="90">
        <v>1210</v>
      </c>
      <c r="U1167" s="90" t="s">
        <v>378</v>
      </c>
      <c r="V1167" s="90" t="s">
        <v>244</v>
      </c>
      <c r="Z1167" s="90">
        <v>0</v>
      </c>
      <c r="AA1167" s="90">
        <v>1</v>
      </c>
      <c r="AB1167" s="90">
        <v>2.0638821490790001E-2</v>
      </c>
      <c r="AC1167" s="90">
        <v>3.03061331987E-3</v>
      </c>
      <c r="AD1167" s="90">
        <v>365.30709740207402</v>
      </c>
      <c r="AF1167" s="90">
        <v>-1</v>
      </c>
      <c r="AG1167" s="90">
        <v>-1</v>
      </c>
      <c r="AH1167" s="90">
        <v>-1</v>
      </c>
      <c r="AI1167" s="90">
        <v>-1</v>
      </c>
      <c r="AJ1167" s="90">
        <v>0</v>
      </c>
      <c r="AM1167" s="90" t="s">
        <v>379</v>
      </c>
      <c r="AN1167" s="90">
        <v>-1</v>
      </c>
      <c r="AQ1167" s="90">
        <v>373</v>
      </c>
      <c r="AR1167" s="90" t="s">
        <v>279</v>
      </c>
      <c r="AS1167" s="90" t="s">
        <v>403</v>
      </c>
      <c r="AT1167" s="90" t="s">
        <v>244</v>
      </c>
      <c r="AU1167" s="90">
        <v>4.0744790000000002</v>
      </c>
      <c r="AV1167" s="90">
        <v>20.518187462894701</v>
      </c>
      <c r="AW1167" s="90">
        <v>10.449324260294899</v>
      </c>
      <c r="AX1167" s="90">
        <v>0.29627501820000002</v>
      </c>
    </row>
    <row r="1168" spans="1:50" x14ac:dyDescent="0.25">
      <c r="A1168" s="102">
        <v>840000</v>
      </c>
      <c r="B1168" s="102">
        <v>2500000</v>
      </c>
      <c r="C1168" s="102">
        <v>2500000</v>
      </c>
      <c r="D1168" s="90" t="s">
        <v>374</v>
      </c>
      <c r="E1168" s="90" t="s">
        <v>68</v>
      </c>
      <c r="F1168" s="90" t="s">
        <v>375</v>
      </c>
      <c r="G1168" s="90" t="s">
        <v>376</v>
      </c>
      <c r="H1168" s="90">
        <v>0.59</v>
      </c>
      <c r="I1168" s="90">
        <v>0.64</v>
      </c>
      <c r="J1168" s="90" t="s">
        <v>244</v>
      </c>
      <c r="K1168" s="90">
        <v>5.2285549870200003E-3</v>
      </c>
      <c r="L1168" s="90">
        <v>3759.5042782194901</v>
      </c>
      <c r="M1168" s="90">
        <v>7.9930859852977703</v>
      </c>
      <c r="N1168" s="90">
        <v>1.17370814340202</v>
      </c>
      <c r="O1168" s="90">
        <v>4.1792289590109999E-2</v>
      </c>
      <c r="P1168" s="90">
        <v>6.1367975664900001E-3</v>
      </c>
      <c r="Q1168" s="90">
        <v>19.656774842611298</v>
      </c>
      <c r="R1168" s="90">
        <v>1210</v>
      </c>
      <c r="S1168" s="90" t="s">
        <v>385</v>
      </c>
      <c r="T1168" s="90">
        <v>1210</v>
      </c>
      <c r="U1168" s="90" t="s">
        <v>378</v>
      </c>
      <c r="V1168" s="90" t="s">
        <v>244</v>
      </c>
      <c r="Z1168" s="90">
        <v>0</v>
      </c>
      <c r="AA1168" s="90">
        <v>1</v>
      </c>
      <c r="AB1168" s="90">
        <v>4.1792289590109999E-2</v>
      </c>
      <c r="AC1168" s="90">
        <v>6.1367975664900001E-3</v>
      </c>
      <c r="AD1168" s="90">
        <v>47.637136485802003</v>
      </c>
      <c r="AF1168" s="90">
        <v>-1</v>
      </c>
      <c r="AG1168" s="90">
        <v>-1</v>
      </c>
      <c r="AH1168" s="90">
        <v>-1</v>
      </c>
      <c r="AI1168" s="90">
        <v>-1</v>
      </c>
      <c r="AJ1168" s="90">
        <v>0</v>
      </c>
      <c r="AM1168" s="90" t="s">
        <v>379</v>
      </c>
      <c r="AN1168" s="90">
        <v>-1</v>
      </c>
      <c r="AQ1168" s="90">
        <v>373</v>
      </c>
      <c r="AR1168" s="90" t="s">
        <v>279</v>
      </c>
      <c r="AS1168" s="90" t="s">
        <v>403</v>
      </c>
      <c r="AT1168" s="90" t="s">
        <v>244</v>
      </c>
      <c r="AU1168" s="90">
        <v>4.0744790000000002</v>
      </c>
      <c r="AV1168" s="90">
        <v>39.724939701967202</v>
      </c>
      <c r="AW1168" s="90">
        <v>21.1592113290979</v>
      </c>
      <c r="AX1168" s="90">
        <v>3.8635147199999997E-2</v>
      </c>
    </row>
    <row r="1169" spans="1:50" x14ac:dyDescent="0.25">
      <c r="A1169" s="102">
        <v>830000</v>
      </c>
      <c r="B1169" s="102">
        <v>2400000</v>
      </c>
      <c r="C1169" s="102">
        <v>2400000</v>
      </c>
      <c r="D1169" s="90" t="s">
        <v>374</v>
      </c>
      <c r="E1169" s="90" t="s">
        <v>68</v>
      </c>
      <c r="F1169" s="90" t="s">
        <v>375</v>
      </c>
      <c r="G1169" s="90" t="s">
        <v>376</v>
      </c>
      <c r="H1169" s="90">
        <v>0.59</v>
      </c>
      <c r="I1169" s="90">
        <v>0.64</v>
      </c>
      <c r="J1169" s="90" t="s">
        <v>244</v>
      </c>
      <c r="K1169" s="90">
        <v>4.259516965448E-2</v>
      </c>
      <c r="L1169" s="90">
        <v>3704.3297820909402</v>
      </c>
      <c r="M1169" s="90">
        <v>9.2335187263772802</v>
      </c>
      <c r="N1169" s="90">
        <v>1.3579933179922801</v>
      </c>
      <c r="O1169" s="90">
        <v>0.39330329665788999</v>
      </c>
      <c r="P1169" s="90">
        <v>5.7843955769529998E-2</v>
      </c>
      <c r="Q1169" s="90">
        <v>157.78655552432099</v>
      </c>
      <c r="R1169" s="90">
        <v>1210</v>
      </c>
      <c r="S1169" s="90" t="s">
        <v>385</v>
      </c>
      <c r="T1169" s="90">
        <v>1210</v>
      </c>
      <c r="U1169" s="90" t="s">
        <v>378</v>
      </c>
      <c r="V1169" s="90" t="s">
        <v>244</v>
      </c>
      <c r="Z1169" s="90">
        <v>0</v>
      </c>
      <c r="AA1169" s="90">
        <v>1</v>
      </c>
      <c r="AB1169" s="90">
        <v>0.39330329665788999</v>
      </c>
      <c r="AC1169" s="90">
        <v>5.7843955769529998E-2</v>
      </c>
      <c r="AD1169" s="90">
        <v>657.66926280814198</v>
      </c>
      <c r="AF1169" s="90">
        <v>-1</v>
      </c>
      <c r="AG1169" s="90">
        <v>-1</v>
      </c>
      <c r="AH1169" s="90">
        <v>-1</v>
      </c>
      <c r="AI1169" s="90">
        <v>-1</v>
      </c>
      <c r="AJ1169" s="90">
        <v>0</v>
      </c>
      <c r="AM1169" s="90" t="s">
        <v>379</v>
      </c>
      <c r="AN1169" s="90">
        <v>-1</v>
      </c>
      <c r="AQ1169" s="90">
        <v>374</v>
      </c>
      <c r="AR1169" s="90" t="s">
        <v>281</v>
      </c>
      <c r="AS1169" s="90" t="s">
        <v>282</v>
      </c>
      <c r="AT1169" s="90" t="s">
        <v>244</v>
      </c>
      <c r="AU1169" s="90">
        <v>5.6539809999999999</v>
      </c>
      <c r="AV1169" s="90">
        <v>68.198086421595903</v>
      </c>
      <c r="AW1169" s="90">
        <v>172.37653587946801</v>
      </c>
      <c r="AX1169" s="90">
        <v>0.53338950750000003</v>
      </c>
    </row>
    <row r="1170" spans="1:50" x14ac:dyDescent="0.25">
      <c r="A1170" s="102">
        <v>830000</v>
      </c>
      <c r="B1170" s="102">
        <v>2400000</v>
      </c>
      <c r="C1170" s="102">
        <v>2400000</v>
      </c>
      <c r="D1170" s="90" t="s">
        <v>374</v>
      </c>
      <c r="E1170" s="90" t="s">
        <v>68</v>
      </c>
      <c r="F1170" s="90" t="s">
        <v>375</v>
      </c>
      <c r="G1170" s="90" t="s">
        <v>376</v>
      </c>
      <c r="H1170" s="90">
        <v>0.59</v>
      </c>
      <c r="I1170" s="90">
        <v>0.64</v>
      </c>
      <c r="J1170" s="90" t="s">
        <v>244</v>
      </c>
      <c r="K1170" s="90">
        <v>6.993733415483E-2</v>
      </c>
      <c r="L1170" s="90">
        <v>3702.4202548427202</v>
      </c>
      <c r="M1170" s="90">
        <v>9.2289276646262692</v>
      </c>
      <c r="N1170" s="90">
        <v>1.3573238323050001</v>
      </c>
      <c r="O1170" s="90">
        <v>0.64544659797171999</v>
      </c>
      <c r="P1170" s="90">
        <v>9.4927610416219999E-2</v>
      </c>
      <c r="Q1170" s="90">
        <v>258.93740254454599</v>
      </c>
      <c r="R1170" s="90">
        <v>1210</v>
      </c>
      <c r="S1170" s="90" t="s">
        <v>385</v>
      </c>
      <c r="T1170" s="90">
        <v>1210</v>
      </c>
      <c r="U1170" s="90" t="s">
        <v>378</v>
      </c>
      <c r="V1170" s="90" t="s">
        <v>244</v>
      </c>
      <c r="Z1170" s="90">
        <v>0</v>
      </c>
      <c r="AA1170" s="90">
        <v>1</v>
      </c>
      <c r="AB1170" s="90">
        <v>0.64544659797171999</v>
      </c>
      <c r="AC1170" s="90">
        <v>9.4927610416219999E-2</v>
      </c>
      <c r="AD1170" s="90">
        <v>665.29911211771798</v>
      </c>
      <c r="AF1170" s="90">
        <v>-1</v>
      </c>
      <c r="AG1170" s="90">
        <v>-1</v>
      </c>
      <c r="AH1170" s="90">
        <v>-1</v>
      </c>
      <c r="AI1170" s="90">
        <v>-1</v>
      </c>
      <c r="AJ1170" s="90">
        <v>0</v>
      </c>
      <c r="AM1170" s="90" t="s">
        <v>379</v>
      </c>
      <c r="AN1170" s="90">
        <v>-1</v>
      </c>
      <c r="AQ1170" s="90">
        <v>374</v>
      </c>
      <c r="AR1170" s="90" t="s">
        <v>281</v>
      </c>
      <c r="AS1170" s="90" t="s">
        <v>282</v>
      </c>
      <c r="AT1170" s="90" t="s">
        <v>244</v>
      </c>
      <c r="AU1170" s="90">
        <v>5.6539809999999999</v>
      </c>
      <c r="AV1170" s="90">
        <v>68.333517271507901</v>
      </c>
      <c r="AW1170" s="90">
        <v>283.02634989001001</v>
      </c>
      <c r="AX1170" s="90">
        <v>0.53957754430000004</v>
      </c>
    </row>
    <row r="1171" spans="1:50" x14ac:dyDescent="0.25">
      <c r="A1171" s="102">
        <v>830000</v>
      </c>
      <c r="B1171" s="102">
        <v>2400000</v>
      </c>
      <c r="C1171" s="102">
        <v>2400000</v>
      </c>
      <c r="D1171" s="90" t="s">
        <v>374</v>
      </c>
      <c r="E1171" s="90" t="s">
        <v>68</v>
      </c>
      <c r="F1171" s="90" t="s">
        <v>375</v>
      </c>
      <c r="G1171" s="90" t="s">
        <v>376</v>
      </c>
      <c r="H1171" s="90">
        <v>0.59</v>
      </c>
      <c r="I1171" s="90">
        <v>0.64</v>
      </c>
      <c r="J1171" s="90" t="s">
        <v>244</v>
      </c>
      <c r="K1171" s="90">
        <v>0.10751219000517</v>
      </c>
      <c r="L1171" s="90">
        <v>3702.4202548427202</v>
      </c>
      <c r="M1171" s="90">
        <v>9.2289276646262692</v>
      </c>
      <c r="N1171" s="90">
        <v>1.3573238323050001</v>
      </c>
      <c r="O1171" s="90">
        <v>0.99222222462329002</v>
      </c>
      <c r="P1171" s="90">
        <v>0.14592885775732001</v>
      </c>
      <c r="Q1171" s="90">
        <v>398.05530991765198</v>
      </c>
      <c r="R1171" s="90">
        <v>1210</v>
      </c>
      <c r="S1171" s="90" t="s">
        <v>385</v>
      </c>
      <c r="T1171" s="90">
        <v>1210</v>
      </c>
      <c r="U1171" s="90" t="s">
        <v>378</v>
      </c>
      <c r="V1171" s="90" t="s">
        <v>244</v>
      </c>
      <c r="Z1171" s="90">
        <v>0</v>
      </c>
      <c r="AA1171" s="90">
        <v>1</v>
      </c>
      <c r="AB1171" s="90">
        <v>0.99222222462329002</v>
      </c>
      <c r="AC1171" s="90">
        <v>0.14592885775732001</v>
      </c>
      <c r="AD1171" s="90">
        <v>539.77660060278697</v>
      </c>
      <c r="AF1171" s="90">
        <v>-1</v>
      </c>
      <c r="AG1171" s="90">
        <v>-1</v>
      </c>
      <c r="AH1171" s="90">
        <v>-1</v>
      </c>
      <c r="AI1171" s="90">
        <v>-1</v>
      </c>
      <c r="AJ1171" s="90">
        <v>0</v>
      </c>
      <c r="AM1171" s="90" t="s">
        <v>379</v>
      </c>
      <c r="AN1171" s="90">
        <v>-1</v>
      </c>
      <c r="AQ1171" s="90">
        <v>374</v>
      </c>
      <c r="AR1171" s="90" t="s">
        <v>281</v>
      </c>
      <c r="AS1171" s="90" t="s">
        <v>282</v>
      </c>
      <c r="AT1171" s="90" t="s">
        <v>244</v>
      </c>
      <c r="AU1171" s="90">
        <v>5.6539809999999999</v>
      </c>
      <c r="AV1171" s="90">
        <v>83.545234292596305</v>
      </c>
      <c r="AW1171" s="90">
        <v>435.08639660872097</v>
      </c>
      <c r="AX1171" s="90">
        <v>0.43777502080000003</v>
      </c>
    </row>
    <row r="1172" spans="1:50" x14ac:dyDescent="0.25">
      <c r="A1172" s="102">
        <v>830000</v>
      </c>
      <c r="B1172" s="102">
        <v>2400000</v>
      </c>
      <c r="C1172" s="102">
        <v>2400000</v>
      </c>
      <c r="D1172" s="90" t="s">
        <v>374</v>
      </c>
      <c r="E1172" s="90" t="s">
        <v>68</v>
      </c>
      <c r="F1172" s="90" t="s">
        <v>375</v>
      </c>
      <c r="G1172" s="90" t="s">
        <v>376</v>
      </c>
      <c r="H1172" s="90">
        <v>0.59</v>
      </c>
      <c r="I1172" s="90">
        <v>0.64</v>
      </c>
      <c r="J1172" s="90" t="s">
        <v>244</v>
      </c>
      <c r="K1172" s="90">
        <v>3.3191439138800002E-2</v>
      </c>
      <c r="L1172" s="90">
        <v>3760.8852341686002</v>
      </c>
      <c r="M1172" s="90">
        <v>10.7699511152847</v>
      </c>
      <c r="N1172" s="90">
        <v>1.4723322428641199</v>
      </c>
      <c r="O1172" s="90">
        <v>0.35747017697082001</v>
      </c>
      <c r="P1172" s="90">
        <v>4.8868826031110001E-2</v>
      </c>
      <c r="Q1172" s="90">
        <v>124.829193357918</v>
      </c>
      <c r="R1172" s="90">
        <v>1400</v>
      </c>
      <c r="S1172" s="90" t="s">
        <v>324</v>
      </c>
      <c r="T1172" s="90">
        <v>1400</v>
      </c>
      <c r="U1172" s="90" t="s">
        <v>378</v>
      </c>
      <c r="V1172" s="90" t="s">
        <v>244</v>
      </c>
      <c r="Z1172" s="90">
        <v>0</v>
      </c>
      <c r="AA1172" s="90">
        <v>1</v>
      </c>
      <c r="AB1172" s="90">
        <v>0.35747017697082001</v>
      </c>
      <c r="AC1172" s="90">
        <v>4.8868826031110001E-2</v>
      </c>
      <c r="AD1172" s="90">
        <v>345.10770525359101</v>
      </c>
      <c r="AF1172" s="90">
        <v>-1</v>
      </c>
      <c r="AG1172" s="90">
        <v>-1</v>
      </c>
      <c r="AH1172" s="90">
        <v>-1</v>
      </c>
      <c r="AI1172" s="90">
        <v>-1</v>
      </c>
      <c r="AJ1172" s="90">
        <v>0</v>
      </c>
      <c r="AM1172" s="90" t="s">
        <v>379</v>
      </c>
      <c r="AN1172" s="90">
        <v>-1</v>
      </c>
      <c r="AQ1172" s="90">
        <v>374</v>
      </c>
      <c r="AR1172" s="90" t="s">
        <v>281</v>
      </c>
      <c r="AS1172" s="90" t="s">
        <v>282</v>
      </c>
      <c r="AT1172" s="90" t="s">
        <v>244</v>
      </c>
      <c r="AU1172" s="90">
        <v>5.6539809999999999</v>
      </c>
      <c r="AV1172" s="90">
        <v>51.090455825961101</v>
      </c>
      <c r="AW1172" s="90">
        <v>134.32098864755099</v>
      </c>
      <c r="AX1172" s="90">
        <v>0.27989270500000002</v>
      </c>
    </row>
    <row r="1173" spans="1:50" x14ac:dyDescent="0.25">
      <c r="A1173" s="102">
        <v>830000</v>
      </c>
      <c r="B1173" s="102">
        <v>2400000</v>
      </c>
      <c r="C1173" s="102">
        <v>2400000</v>
      </c>
      <c r="D1173" s="90" t="s">
        <v>374</v>
      </c>
      <c r="E1173" s="90" t="s">
        <v>68</v>
      </c>
      <c r="F1173" s="90" t="s">
        <v>375</v>
      </c>
      <c r="G1173" s="90" t="s">
        <v>376</v>
      </c>
      <c r="H1173" s="90">
        <v>0.59</v>
      </c>
      <c r="I1173" s="90">
        <v>0.64</v>
      </c>
      <c r="J1173" s="90" t="s">
        <v>244</v>
      </c>
      <c r="K1173" s="90">
        <v>0.10018825663714</v>
      </c>
      <c r="L1173" s="90">
        <v>3760.8852341686002</v>
      </c>
      <c r="M1173" s="90">
        <v>10.7699511152847</v>
      </c>
      <c r="N1173" s="90">
        <v>1.4723322428641199</v>
      </c>
      <c r="O1173" s="90">
        <v>1.0790226263076199</v>
      </c>
      <c r="P1173" s="90">
        <v>0.14751040060321</v>
      </c>
      <c r="Q1173" s="90">
        <v>376.79653502372202</v>
      </c>
      <c r="R1173" s="90">
        <v>1450</v>
      </c>
      <c r="S1173" s="90" t="s">
        <v>391</v>
      </c>
      <c r="T1173" s="90">
        <v>1450</v>
      </c>
      <c r="U1173" s="90" t="s">
        <v>378</v>
      </c>
      <c r="V1173" s="90" t="s">
        <v>244</v>
      </c>
      <c r="Z1173" s="90">
        <v>0</v>
      </c>
      <c r="AA1173" s="90">
        <v>1</v>
      </c>
      <c r="AB1173" s="90">
        <v>1.0790226263076199</v>
      </c>
      <c r="AC1173" s="90">
        <v>0.14751040060321</v>
      </c>
      <c r="AD1173" s="90">
        <v>1136.0916326397701</v>
      </c>
      <c r="AF1173" s="90">
        <v>-1</v>
      </c>
      <c r="AG1173" s="90">
        <v>-1</v>
      </c>
      <c r="AH1173" s="90">
        <v>-1</v>
      </c>
      <c r="AI1173" s="90">
        <v>-1</v>
      </c>
      <c r="AJ1173" s="90">
        <v>0</v>
      </c>
      <c r="AM1173" s="90" t="s">
        <v>379</v>
      </c>
      <c r="AN1173" s="90">
        <v>-1</v>
      </c>
      <c r="AQ1173" s="90">
        <v>374</v>
      </c>
      <c r="AR1173" s="90" t="s">
        <v>281</v>
      </c>
      <c r="AS1173" s="90" t="s">
        <v>282</v>
      </c>
      <c r="AT1173" s="90" t="s">
        <v>244</v>
      </c>
      <c r="AU1173" s="90">
        <v>5.6539809999999999</v>
      </c>
      <c r="AV1173" s="90">
        <v>81.395040254073805</v>
      </c>
      <c r="AW1173" s="90">
        <v>405.447489821077</v>
      </c>
      <c r="AX1173" s="90">
        <v>0.92140440599999995</v>
      </c>
    </row>
    <row r="1174" spans="1:50" x14ac:dyDescent="0.25">
      <c r="A1174" s="102">
        <v>830000</v>
      </c>
      <c r="B1174" s="102">
        <v>2400000</v>
      </c>
      <c r="C1174" s="102">
        <v>2400000</v>
      </c>
      <c r="D1174" s="90" t="s">
        <v>374</v>
      </c>
      <c r="E1174" s="90" t="s">
        <v>68</v>
      </c>
      <c r="F1174" s="90" t="s">
        <v>375</v>
      </c>
      <c r="G1174" s="90" t="s">
        <v>376</v>
      </c>
      <c r="H1174" s="90">
        <v>0.59</v>
      </c>
      <c r="I1174" s="90">
        <v>0.64</v>
      </c>
      <c r="J1174" s="90" t="s">
        <v>244</v>
      </c>
      <c r="K1174" s="90">
        <v>8.7186162164719999E-2</v>
      </c>
      <c r="L1174" s="90">
        <v>3760.8852341686002</v>
      </c>
      <c r="M1174" s="90">
        <v>10.7699511152847</v>
      </c>
      <c r="N1174" s="90">
        <v>1.4723322428641199</v>
      </c>
      <c r="O1174" s="90">
        <v>0.93899070444338995</v>
      </c>
      <c r="P1174" s="90">
        <v>0.12836699768670001</v>
      </c>
      <c r="Q1174" s="90">
        <v>327.897149909147</v>
      </c>
      <c r="R1174" s="90">
        <v>1210</v>
      </c>
      <c r="S1174" s="90" t="s">
        <v>385</v>
      </c>
      <c r="T1174" s="90">
        <v>1210</v>
      </c>
      <c r="U1174" s="90" t="s">
        <v>378</v>
      </c>
      <c r="V1174" s="90" t="s">
        <v>244</v>
      </c>
      <c r="Z1174" s="90">
        <v>0</v>
      </c>
      <c r="AA1174" s="90">
        <v>1</v>
      </c>
      <c r="AB1174" s="90">
        <v>0.93899070444338995</v>
      </c>
      <c r="AC1174" s="90">
        <v>0.12836699768670001</v>
      </c>
      <c r="AD1174" s="90">
        <v>397.717671094563</v>
      </c>
      <c r="AF1174" s="90">
        <v>-1</v>
      </c>
      <c r="AG1174" s="90">
        <v>-1</v>
      </c>
      <c r="AH1174" s="90">
        <v>-1</v>
      </c>
      <c r="AI1174" s="90">
        <v>-1</v>
      </c>
      <c r="AJ1174" s="90">
        <v>0</v>
      </c>
      <c r="AM1174" s="90" t="s">
        <v>379</v>
      </c>
      <c r="AN1174" s="90">
        <v>-1</v>
      </c>
      <c r="AQ1174" s="90">
        <v>374</v>
      </c>
      <c r="AR1174" s="90" t="s">
        <v>281</v>
      </c>
      <c r="AS1174" s="90" t="s">
        <v>282</v>
      </c>
      <c r="AT1174" s="90" t="s">
        <v>244</v>
      </c>
      <c r="AU1174" s="90">
        <v>5.6539809999999999</v>
      </c>
      <c r="AV1174" s="90">
        <v>75.196660128574194</v>
      </c>
      <c r="AW1174" s="90">
        <v>352.82988030073</v>
      </c>
      <c r="AX1174" s="90">
        <v>0.322560966</v>
      </c>
    </row>
    <row r="1175" spans="1:50" x14ac:dyDescent="0.25">
      <c r="A1175" s="102">
        <v>830000</v>
      </c>
      <c r="B1175" s="102">
        <v>2400000</v>
      </c>
      <c r="C1175" s="102">
        <v>2400000</v>
      </c>
      <c r="D1175" s="90" t="s">
        <v>374</v>
      </c>
      <c r="E1175" s="90" t="s">
        <v>68</v>
      </c>
      <c r="F1175" s="90" t="s">
        <v>375</v>
      </c>
      <c r="G1175" s="90" t="s">
        <v>376</v>
      </c>
      <c r="H1175" s="90">
        <v>0.59</v>
      </c>
      <c r="I1175" s="90">
        <v>0.64</v>
      </c>
      <c r="J1175" s="90" t="s">
        <v>244</v>
      </c>
      <c r="K1175" s="90">
        <v>1.0637057792599999E-3</v>
      </c>
      <c r="L1175" s="90">
        <v>3758.1299554347202</v>
      </c>
      <c r="M1175" s="90">
        <v>10.6998943003032</v>
      </c>
      <c r="N1175" s="90">
        <v>1.4670580481095601</v>
      </c>
      <c r="O1175" s="90">
        <v>1.13815394048E-2</v>
      </c>
      <c r="P1175" s="90">
        <v>1.5605181242900001E-3</v>
      </c>
      <c r="Q1175" s="90">
        <v>3.9975445528398601</v>
      </c>
      <c r="R1175" s="90">
        <v>1200</v>
      </c>
      <c r="S1175" s="90" t="s">
        <v>384</v>
      </c>
      <c r="T1175" s="90">
        <v>1200</v>
      </c>
      <c r="U1175" s="90" t="s">
        <v>378</v>
      </c>
      <c r="V1175" s="90" t="s">
        <v>244</v>
      </c>
      <c r="Z1175" s="90">
        <v>0</v>
      </c>
      <c r="AA1175" s="90">
        <v>1</v>
      </c>
      <c r="AB1175" s="90">
        <v>1.13815394048E-2</v>
      </c>
      <c r="AC1175" s="90">
        <v>1.5605181242900001E-3</v>
      </c>
      <c r="AD1175" s="90">
        <v>3.9975445528401199</v>
      </c>
      <c r="AF1175" s="90">
        <v>-1</v>
      </c>
      <c r="AG1175" s="90">
        <v>-1</v>
      </c>
      <c r="AH1175" s="90">
        <v>-1</v>
      </c>
      <c r="AI1175" s="90">
        <v>-1</v>
      </c>
      <c r="AJ1175" s="90">
        <v>0</v>
      </c>
      <c r="AM1175" s="90" t="s">
        <v>379</v>
      </c>
      <c r="AN1175" s="90">
        <v>-1</v>
      </c>
      <c r="AQ1175" s="90">
        <v>374</v>
      </c>
      <c r="AR1175" s="90" t="s">
        <v>281</v>
      </c>
      <c r="AS1175" s="90" t="s">
        <v>282</v>
      </c>
      <c r="AT1175" s="90" t="s">
        <v>244</v>
      </c>
      <c r="AU1175" s="90">
        <v>5.6539809999999999</v>
      </c>
      <c r="AV1175" s="90">
        <v>9.9557857589422998</v>
      </c>
      <c r="AW1175" s="90">
        <v>4.30466456437905</v>
      </c>
      <c r="AX1175" s="90">
        <v>3.2421286000000001E-3</v>
      </c>
    </row>
    <row r="1176" spans="1:50" x14ac:dyDescent="0.25">
      <c r="A1176" s="102">
        <v>830000</v>
      </c>
      <c r="B1176" s="102">
        <v>2400000</v>
      </c>
      <c r="C1176" s="102">
        <v>2400000</v>
      </c>
      <c r="D1176" s="90" t="s">
        <v>374</v>
      </c>
      <c r="E1176" s="90" t="s">
        <v>68</v>
      </c>
      <c r="F1176" s="90" t="s">
        <v>375</v>
      </c>
      <c r="G1176" s="90" t="s">
        <v>376</v>
      </c>
      <c r="H1176" s="90">
        <v>0.59</v>
      </c>
      <c r="I1176" s="90">
        <v>0.64</v>
      </c>
      <c r="J1176" s="90" t="s">
        <v>244</v>
      </c>
      <c r="K1176" s="90">
        <v>0.14638513842674</v>
      </c>
      <c r="L1176" s="90">
        <v>3758.1299554347202</v>
      </c>
      <c r="M1176" s="90">
        <v>10.6998943003032</v>
      </c>
      <c r="N1176" s="90">
        <v>1.4670580481095601</v>
      </c>
      <c r="O1176" s="90">
        <v>1.5663055083013999</v>
      </c>
      <c r="P1176" s="90">
        <v>0.21475549545257999</v>
      </c>
      <c r="Q1176" s="90">
        <v>550.13437375199703</v>
      </c>
      <c r="R1176" s="90">
        <v>1400</v>
      </c>
      <c r="S1176" s="90" t="s">
        <v>324</v>
      </c>
      <c r="T1176" s="90">
        <v>1400</v>
      </c>
      <c r="U1176" s="90" t="s">
        <v>378</v>
      </c>
      <c r="V1176" s="90" t="s">
        <v>244</v>
      </c>
      <c r="Z1176" s="90">
        <v>0</v>
      </c>
      <c r="AA1176" s="90">
        <v>1</v>
      </c>
      <c r="AB1176" s="90">
        <v>1.5663055083013999</v>
      </c>
      <c r="AC1176" s="90">
        <v>0.21475549545257999</v>
      </c>
      <c r="AD1176" s="90">
        <v>563.44991158954701</v>
      </c>
      <c r="AF1176" s="90">
        <v>-1</v>
      </c>
      <c r="AG1176" s="90">
        <v>-1</v>
      </c>
      <c r="AH1176" s="90">
        <v>-1</v>
      </c>
      <c r="AI1176" s="90">
        <v>-1</v>
      </c>
      <c r="AJ1176" s="90">
        <v>0</v>
      </c>
      <c r="AM1176" s="90" t="s">
        <v>379</v>
      </c>
      <c r="AN1176" s="90">
        <v>-1</v>
      </c>
      <c r="AQ1176" s="90">
        <v>374</v>
      </c>
      <c r="AR1176" s="90" t="s">
        <v>281</v>
      </c>
      <c r="AS1176" s="90" t="s">
        <v>282</v>
      </c>
      <c r="AT1176" s="90" t="s">
        <v>244</v>
      </c>
      <c r="AU1176" s="90">
        <v>5.6539809999999999</v>
      </c>
      <c r="AV1176" s="90">
        <v>157.135511164012</v>
      </c>
      <c r="AW1176" s="90">
        <v>592.39963758617205</v>
      </c>
      <c r="AX1176" s="90">
        <v>0.4569747864</v>
      </c>
    </row>
    <row r="1177" spans="1:50" x14ac:dyDescent="0.25">
      <c r="A1177" s="102">
        <v>830000</v>
      </c>
      <c r="B1177" s="102">
        <v>2400000</v>
      </c>
      <c r="C1177" s="102">
        <v>2400000</v>
      </c>
      <c r="D1177" s="90" t="s">
        <v>374</v>
      </c>
      <c r="E1177" s="90" t="s">
        <v>68</v>
      </c>
      <c r="F1177" s="90" t="s">
        <v>375</v>
      </c>
      <c r="G1177" s="90" t="s">
        <v>376</v>
      </c>
      <c r="H1177" s="90">
        <v>0.59</v>
      </c>
      <c r="I1177" s="90">
        <v>0.64</v>
      </c>
      <c r="J1177" s="90" t="s">
        <v>244</v>
      </c>
      <c r="K1177" s="90">
        <v>0.21767816387471001</v>
      </c>
      <c r="L1177" s="90">
        <v>3758.1299554347202</v>
      </c>
      <c r="M1177" s="90">
        <v>10.6998943003032</v>
      </c>
      <c r="N1177" s="90">
        <v>1.4670580481095601</v>
      </c>
      <c r="O1177" s="90">
        <v>2.3291333449435201</v>
      </c>
      <c r="P1177" s="90">
        <v>0.31934650221011002</v>
      </c>
      <c r="Q1177" s="90">
        <v>818.06282830158705</v>
      </c>
      <c r="R1177" s="90">
        <v>1450</v>
      </c>
      <c r="S1177" s="90" t="s">
        <v>391</v>
      </c>
      <c r="T1177" s="90">
        <v>1450</v>
      </c>
      <c r="U1177" s="90" t="s">
        <v>378</v>
      </c>
      <c r="V1177" s="90" t="s">
        <v>244</v>
      </c>
      <c r="Z1177" s="90">
        <v>0</v>
      </c>
      <c r="AA1177" s="90">
        <v>1</v>
      </c>
      <c r="AB1177" s="90">
        <v>2.3291333449435201</v>
      </c>
      <c r="AC1177" s="90">
        <v>0.31934650221011002</v>
      </c>
      <c r="AD1177" s="90">
        <v>850.10961950773003</v>
      </c>
      <c r="AF1177" s="90">
        <v>-1</v>
      </c>
      <c r="AG1177" s="90">
        <v>-1</v>
      </c>
      <c r="AH1177" s="90">
        <v>-1</v>
      </c>
      <c r="AI1177" s="90">
        <v>-1</v>
      </c>
      <c r="AJ1177" s="90">
        <v>0</v>
      </c>
      <c r="AM1177" s="90" t="s">
        <v>379</v>
      </c>
      <c r="AN1177" s="90">
        <v>-1</v>
      </c>
      <c r="AQ1177" s="90">
        <v>374</v>
      </c>
      <c r="AR1177" s="90" t="s">
        <v>281</v>
      </c>
      <c r="AS1177" s="90" t="s">
        <v>282</v>
      </c>
      <c r="AT1177" s="90" t="s">
        <v>244</v>
      </c>
      <c r="AU1177" s="90">
        <v>5.6539809999999999</v>
      </c>
      <c r="AV1177" s="90">
        <v>123.960284402756</v>
      </c>
      <c r="AW1177" s="90">
        <v>880.91227549262101</v>
      </c>
      <c r="AX1177" s="90">
        <v>0.68946441160000005</v>
      </c>
    </row>
    <row r="1178" spans="1:50" x14ac:dyDescent="0.25">
      <c r="A1178" s="102">
        <v>830000</v>
      </c>
      <c r="B1178" s="102">
        <v>2400000</v>
      </c>
      <c r="C1178" s="102">
        <v>2400000</v>
      </c>
      <c r="D1178" s="90" t="s">
        <v>374</v>
      </c>
      <c r="E1178" s="90" t="s">
        <v>68</v>
      </c>
      <c r="F1178" s="90" t="s">
        <v>375</v>
      </c>
      <c r="G1178" s="90" t="s">
        <v>376</v>
      </c>
      <c r="H1178" s="90">
        <v>0.59</v>
      </c>
      <c r="I1178" s="90">
        <v>0.64</v>
      </c>
      <c r="J1178" s="90" t="s">
        <v>244</v>
      </c>
      <c r="K1178" s="90">
        <v>4.5614035202709999E-2</v>
      </c>
      <c r="L1178" s="90">
        <v>3758.1299554347202</v>
      </c>
      <c r="M1178" s="90">
        <v>10.6998943003032</v>
      </c>
      <c r="N1178" s="90">
        <v>1.4670580481095601</v>
      </c>
      <c r="O1178" s="90">
        <v>0.48806535527937001</v>
      </c>
      <c r="P1178" s="90">
        <v>6.6918437450890003E-2</v>
      </c>
      <c r="Q1178" s="90">
        <v>171.42347208358001</v>
      </c>
      <c r="R1178" s="90">
        <v>1210</v>
      </c>
      <c r="S1178" s="90" t="s">
        <v>385</v>
      </c>
      <c r="T1178" s="90">
        <v>1210</v>
      </c>
      <c r="U1178" s="90" t="s">
        <v>378</v>
      </c>
      <c r="V1178" s="90" t="s">
        <v>244</v>
      </c>
      <c r="Z1178" s="90">
        <v>0</v>
      </c>
      <c r="AA1178" s="90">
        <v>1</v>
      </c>
      <c r="AB1178" s="90">
        <v>0.48806535527937001</v>
      </c>
      <c r="AC1178" s="90">
        <v>6.6918437450890003E-2</v>
      </c>
      <c r="AD1178" s="90">
        <v>171.42347208357899</v>
      </c>
      <c r="AF1178" s="90">
        <v>-1</v>
      </c>
      <c r="AG1178" s="90">
        <v>-1</v>
      </c>
      <c r="AH1178" s="90">
        <v>-1</v>
      </c>
      <c r="AI1178" s="90">
        <v>-1</v>
      </c>
      <c r="AJ1178" s="90">
        <v>0</v>
      </c>
      <c r="AM1178" s="90" t="s">
        <v>379</v>
      </c>
      <c r="AN1178" s="90">
        <v>-1</v>
      </c>
      <c r="AQ1178" s="90">
        <v>374</v>
      </c>
      <c r="AR1178" s="90" t="s">
        <v>281</v>
      </c>
      <c r="AS1178" s="90" t="s">
        <v>282</v>
      </c>
      <c r="AT1178" s="90" t="s">
        <v>244</v>
      </c>
      <c r="AU1178" s="90">
        <v>5.6539809999999999</v>
      </c>
      <c r="AV1178" s="90">
        <v>66.402464041576494</v>
      </c>
      <c r="AW1178" s="90">
        <v>184.59345131168899</v>
      </c>
      <c r="AX1178" s="90">
        <v>0.13902958000000001</v>
      </c>
    </row>
    <row r="1179" spans="1:50" x14ac:dyDescent="0.25">
      <c r="A1179" s="102">
        <v>830000</v>
      </c>
      <c r="B1179" s="102">
        <v>2400000</v>
      </c>
      <c r="C1179" s="102">
        <v>2400000</v>
      </c>
      <c r="D1179" s="90" t="s">
        <v>374</v>
      </c>
      <c r="E1179" s="90" t="s">
        <v>68</v>
      </c>
      <c r="F1179" s="90" t="s">
        <v>375</v>
      </c>
      <c r="G1179" s="90" t="s">
        <v>376</v>
      </c>
      <c r="H1179" s="90">
        <v>0.59</v>
      </c>
      <c r="I1179" s="90">
        <v>0.64</v>
      </c>
      <c r="J1179" s="90" t="s">
        <v>244</v>
      </c>
      <c r="K1179" s="90">
        <v>0.17896862312921</v>
      </c>
      <c r="L1179" s="90">
        <v>3758.1299554347202</v>
      </c>
      <c r="M1179" s="90">
        <v>10.6998943003032</v>
      </c>
      <c r="N1179" s="90">
        <v>1.4670580481095601</v>
      </c>
      <c r="O1179" s="90">
        <v>1.91494535055344</v>
      </c>
      <c r="P1179" s="90">
        <v>0.26255735892080001</v>
      </c>
      <c r="Q1179" s="90">
        <v>672.58734366482099</v>
      </c>
      <c r="R1179" s="90">
        <v>1210</v>
      </c>
      <c r="S1179" s="90" t="s">
        <v>385</v>
      </c>
      <c r="T1179" s="90">
        <v>1210</v>
      </c>
      <c r="U1179" s="90" t="s">
        <v>378</v>
      </c>
      <c r="V1179" s="90" t="s">
        <v>244</v>
      </c>
      <c r="Z1179" s="90">
        <v>0</v>
      </c>
      <c r="AA1179" s="90">
        <v>1</v>
      </c>
      <c r="AB1179" s="90">
        <v>1.91494535055344</v>
      </c>
      <c r="AC1179" s="90">
        <v>0.26255735892080001</v>
      </c>
      <c r="AD1179" s="90">
        <v>672.58734366482099</v>
      </c>
      <c r="AF1179" s="90">
        <v>-1</v>
      </c>
      <c r="AG1179" s="90">
        <v>-1</v>
      </c>
      <c r="AH1179" s="90">
        <v>-1</v>
      </c>
      <c r="AI1179" s="90">
        <v>-1</v>
      </c>
      <c r="AJ1179" s="90">
        <v>0</v>
      </c>
      <c r="AM1179" s="90" t="s">
        <v>379</v>
      </c>
      <c r="AN1179" s="90">
        <v>-1</v>
      </c>
      <c r="AQ1179" s="90">
        <v>374</v>
      </c>
      <c r="AR1179" s="90" t="s">
        <v>281</v>
      </c>
      <c r="AS1179" s="90" t="s">
        <v>282</v>
      </c>
      <c r="AT1179" s="90" t="s">
        <v>244</v>
      </c>
      <c r="AU1179" s="90">
        <v>5.6539809999999999</v>
      </c>
      <c r="AV1179" s="90">
        <v>121.527328654264</v>
      </c>
      <c r="AW1179" s="90">
        <v>724.26032191855995</v>
      </c>
      <c r="AX1179" s="90">
        <v>0.54548851880000004</v>
      </c>
    </row>
    <row r="1180" spans="1:50" x14ac:dyDescent="0.25">
      <c r="A1180" s="102">
        <v>830000</v>
      </c>
      <c r="B1180" s="102">
        <v>2400000</v>
      </c>
      <c r="C1180" s="102">
        <v>2400000</v>
      </c>
      <c r="D1180" s="90" t="s">
        <v>374</v>
      </c>
      <c r="E1180" s="90" t="s">
        <v>68</v>
      </c>
      <c r="F1180" s="90" t="s">
        <v>375</v>
      </c>
      <c r="G1180" s="90" t="s">
        <v>376</v>
      </c>
      <c r="H1180" s="90">
        <v>0.59</v>
      </c>
      <c r="I1180" s="90">
        <v>0.64</v>
      </c>
      <c r="J1180" s="90" t="s">
        <v>244</v>
      </c>
      <c r="K1180" s="90">
        <v>1.598333477447E-2</v>
      </c>
      <c r="L1180" s="90">
        <v>3758.1299554347202</v>
      </c>
      <c r="M1180" s="90">
        <v>10.6998943003032</v>
      </c>
      <c r="N1180" s="90">
        <v>1.4670580481095601</v>
      </c>
      <c r="O1180" s="90">
        <v>0.17101999265319001</v>
      </c>
      <c r="P1180" s="90">
        <v>2.3448479916510001E-2</v>
      </c>
      <c r="Q1180" s="90">
        <v>60.0674492036771</v>
      </c>
      <c r="R1180" s="90">
        <v>1210</v>
      </c>
      <c r="S1180" s="90" t="s">
        <v>385</v>
      </c>
      <c r="T1180" s="90">
        <v>1210</v>
      </c>
      <c r="U1180" s="90" t="s">
        <v>378</v>
      </c>
      <c r="V1180" s="90" t="s">
        <v>244</v>
      </c>
      <c r="Z1180" s="90">
        <v>0</v>
      </c>
      <c r="AA1180" s="90">
        <v>1</v>
      </c>
      <c r="AB1180" s="90">
        <v>0.17101999265319001</v>
      </c>
      <c r="AC1180" s="90">
        <v>2.3448479916510001E-2</v>
      </c>
      <c r="AD1180" s="90">
        <v>60.067449203676397</v>
      </c>
      <c r="AF1180" s="90">
        <v>-1</v>
      </c>
      <c r="AG1180" s="90">
        <v>-1</v>
      </c>
      <c r="AH1180" s="90">
        <v>-1</v>
      </c>
      <c r="AI1180" s="90">
        <v>-1</v>
      </c>
      <c r="AJ1180" s="90">
        <v>0</v>
      </c>
      <c r="AM1180" s="90" t="s">
        <v>379</v>
      </c>
      <c r="AN1180" s="90">
        <v>-1</v>
      </c>
      <c r="AQ1180" s="90">
        <v>374</v>
      </c>
      <c r="AR1180" s="90" t="s">
        <v>281</v>
      </c>
      <c r="AS1180" s="90" t="s">
        <v>282</v>
      </c>
      <c r="AT1180" s="90" t="s">
        <v>244</v>
      </c>
      <c r="AU1180" s="90">
        <v>5.6539809999999999</v>
      </c>
      <c r="AV1180" s="90">
        <v>45.449665246438698</v>
      </c>
      <c r="AW1180" s="90">
        <v>64.682260983432201</v>
      </c>
      <c r="AX1180" s="90">
        <v>4.8716503799999998E-2</v>
      </c>
    </row>
    <row r="1181" spans="1:50" x14ac:dyDescent="0.25">
      <c r="A1181" s="102">
        <v>830000</v>
      </c>
      <c r="B1181" s="102">
        <v>2400000</v>
      </c>
      <c r="C1181" s="102">
        <v>2400000</v>
      </c>
      <c r="D1181" s="90" t="s">
        <v>374</v>
      </c>
      <c r="E1181" s="90" t="s">
        <v>68</v>
      </c>
      <c r="F1181" s="90" t="s">
        <v>375</v>
      </c>
      <c r="G1181" s="90" t="s">
        <v>376</v>
      </c>
      <c r="H1181" s="90">
        <v>0.59</v>
      </c>
      <c r="I1181" s="90">
        <v>0.64</v>
      </c>
      <c r="J1181" s="90" t="s">
        <v>244</v>
      </c>
      <c r="K1181" s="102">
        <v>1.501586957E-6</v>
      </c>
      <c r="L1181" s="90">
        <v>3783.8090208048302</v>
      </c>
      <c r="M1181" s="90">
        <v>11.6254551144582</v>
      </c>
      <c r="N1181" s="90">
        <v>1.53485638481041</v>
      </c>
      <c r="O1181" s="90">
        <v>1.745663176E-5</v>
      </c>
      <c r="P1181" s="102">
        <v>2.3047203282989999E-6</v>
      </c>
      <c r="Q1181" s="90">
        <v>5.68171827341E-3</v>
      </c>
      <c r="R1181" s="90">
        <v>1450</v>
      </c>
      <c r="S1181" s="90" t="s">
        <v>391</v>
      </c>
      <c r="T1181" s="90">
        <v>1450</v>
      </c>
      <c r="U1181" s="90" t="s">
        <v>378</v>
      </c>
      <c r="V1181" s="90" t="s">
        <v>244</v>
      </c>
      <c r="Z1181" s="90">
        <v>0</v>
      </c>
      <c r="AA1181" s="90">
        <v>1</v>
      </c>
      <c r="AB1181" s="90">
        <v>1.745663176E-5</v>
      </c>
      <c r="AC1181" s="102">
        <v>2.3047203282989999E-6</v>
      </c>
      <c r="AD1181" s="90">
        <v>2337.4989289734299</v>
      </c>
      <c r="AF1181" s="90">
        <v>-1</v>
      </c>
      <c r="AG1181" s="90">
        <v>-1</v>
      </c>
      <c r="AH1181" s="90">
        <v>-1</v>
      </c>
      <c r="AI1181" s="90">
        <v>-1</v>
      </c>
      <c r="AJ1181" s="90">
        <v>0</v>
      </c>
      <c r="AM1181" s="90" t="s">
        <v>379</v>
      </c>
      <c r="AN1181" s="90">
        <v>-1</v>
      </c>
      <c r="AQ1181" s="90">
        <v>374</v>
      </c>
      <c r="AR1181" s="90" t="s">
        <v>281</v>
      </c>
      <c r="AS1181" s="90" t="s">
        <v>282</v>
      </c>
      <c r="AT1181" s="90" t="s">
        <v>244</v>
      </c>
      <c r="AU1181" s="90">
        <v>5.6539809999999999</v>
      </c>
      <c r="AV1181" s="90">
        <v>1.4327773725056401</v>
      </c>
      <c r="AW1181" s="90">
        <v>6.0767068194299998E-3</v>
      </c>
      <c r="AX1181" s="90">
        <v>1.8957817752999999</v>
      </c>
    </row>
    <row r="1182" spans="1:50" x14ac:dyDescent="0.25">
      <c r="A1182" s="102">
        <v>830000</v>
      </c>
      <c r="B1182" s="102">
        <v>2400000</v>
      </c>
      <c r="C1182" s="102">
        <v>2400000</v>
      </c>
      <c r="D1182" s="90" t="s">
        <v>374</v>
      </c>
      <c r="E1182" s="90" t="s">
        <v>68</v>
      </c>
      <c r="F1182" s="90" t="s">
        <v>375</v>
      </c>
      <c r="G1182" s="90" t="s">
        <v>376</v>
      </c>
      <c r="H1182" s="90">
        <v>0.59</v>
      </c>
      <c r="I1182" s="90">
        <v>0.64</v>
      </c>
      <c r="J1182" s="90" t="s">
        <v>244</v>
      </c>
      <c r="K1182" s="90">
        <v>0.25190378009057002</v>
      </c>
      <c r="L1182" s="90">
        <v>3703.5659744618602</v>
      </c>
      <c r="M1182" s="90">
        <v>9.23168230834826</v>
      </c>
      <c r="N1182" s="90">
        <v>1.35772552464825</v>
      </c>
      <c r="O1182" s="90">
        <v>2.3254956700681602</v>
      </c>
      <c r="P1182" s="90">
        <v>0.34201619198434002</v>
      </c>
      <c r="Q1182" s="90">
        <v>932.942268781758</v>
      </c>
      <c r="R1182" s="90">
        <v>1210</v>
      </c>
      <c r="S1182" s="90" t="s">
        <v>385</v>
      </c>
      <c r="T1182" s="90">
        <v>1210</v>
      </c>
      <c r="U1182" s="90" t="s">
        <v>378</v>
      </c>
      <c r="V1182" s="90" t="s">
        <v>244</v>
      </c>
      <c r="Z1182" s="90">
        <v>0</v>
      </c>
      <c r="AA1182" s="90">
        <v>1</v>
      </c>
      <c r="AB1182" s="90">
        <v>2.3254956700681602</v>
      </c>
      <c r="AC1182" s="90">
        <v>0.34201619198434002</v>
      </c>
      <c r="AD1182" s="90">
        <v>1525.68160799768</v>
      </c>
      <c r="AF1182" s="90">
        <v>-1</v>
      </c>
      <c r="AG1182" s="90">
        <v>-1</v>
      </c>
      <c r="AH1182" s="90">
        <v>-1</v>
      </c>
      <c r="AI1182" s="90">
        <v>-1</v>
      </c>
      <c r="AJ1182" s="90">
        <v>0</v>
      </c>
      <c r="AM1182" s="90" t="s">
        <v>379</v>
      </c>
      <c r="AN1182" s="90">
        <v>-1</v>
      </c>
      <c r="AQ1182" s="90">
        <v>374</v>
      </c>
      <c r="AR1182" s="90" t="s">
        <v>281</v>
      </c>
      <c r="AS1182" s="90" t="s">
        <v>282</v>
      </c>
      <c r="AT1182" s="90" t="s">
        <v>244</v>
      </c>
      <c r="AU1182" s="90">
        <v>5.6539809999999999</v>
      </c>
      <c r="AV1182" s="90">
        <v>127.42736535167001</v>
      </c>
      <c r="AW1182" s="90">
        <v>1019.41843028635</v>
      </c>
      <c r="AX1182" s="90">
        <v>1.2373735669000001</v>
      </c>
    </row>
    <row r="1183" spans="1:50" x14ac:dyDescent="0.25">
      <c r="A1183" s="102">
        <v>830000</v>
      </c>
      <c r="B1183" s="102">
        <v>2400000</v>
      </c>
      <c r="C1183" s="102">
        <v>2400000</v>
      </c>
      <c r="D1183" s="90" t="s">
        <v>374</v>
      </c>
      <c r="E1183" s="90" t="s">
        <v>68</v>
      </c>
      <c r="F1183" s="90" t="s">
        <v>375</v>
      </c>
      <c r="G1183" s="90" t="s">
        <v>376</v>
      </c>
      <c r="H1183" s="90">
        <v>0.59</v>
      </c>
      <c r="I1183" s="90">
        <v>0.64</v>
      </c>
      <c r="J1183" s="90" t="s">
        <v>244</v>
      </c>
      <c r="K1183" s="90">
        <v>9.3452559460100004E-2</v>
      </c>
      <c r="L1183" s="90">
        <v>3703.5659744618602</v>
      </c>
      <c r="M1183" s="90">
        <v>9.23168230834826</v>
      </c>
      <c r="N1183" s="90">
        <v>1.35772552464825</v>
      </c>
      <c r="O1183" s="90">
        <v>0.86272433983767005</v>
      </c>
      <c r="P1183" s="90">
        <v>0.12688292532268</v>
      </c>
      <c r="Q1183" s="90">
        <v>346.10771944280299</v>
      </c>
      <c r="R1183" s="90">
        <v>1210</v>
      </c>
      <c r="S1183" s="90" t="s">
        <v>385</v>
      </c>
      <c r="T1183" s="90">
        <v>1210</v>
      </c>
      <c r="U1183" s="90" t="s">
        <v>378</v>
      </c>
      <c r="V1183" s="90" t="s">
        <v>244</v>
      </c>
      <c r="Z1183" s="90">
        <v>0</v>
      </c>
      <c r="AA1183" s="90">
        <v>1</v>
      </c>
      <c r="AB1183" s="90">
        <v>0.86272433983767005</v>
      </c>
      <c r="AC1183" s="90">
        <v>0.12688292532268</v>
      </c>
      <c r="AD1183" s="90">
        <v>369.565257808772</v>
      </c>
      <c r="AF1183" s="90">
        <v>-1</v>
      </c>
      <c r="AG1183" s="90">
        <v>-1</v>
      </c>
      <c r="AH1183" s="90">
        <v>-1</v>
      </c>
      <c r="AI1183" s="90">
        <v>-1</v>
      </c>
      <c r="AJ1183" s="90">
        <v>0</v>
      </c>
      <c r="AM1183" s="90" t="s">
        <v>379</v>
      </c>
      <c r="AN1183" s="90">
        <v>-1</v>
      </c>
      <c r="AQ1183" s="90">
        <v>374</v>
      </c>
      <c r="AR1183" s="90" t="s">
        <v>281</v>
      </c>
      <c r="AS1183" s="90" t="s">
        <v>282</v>
      </c>
      <c r="AT1183" s="90" t="s">
        <v>244</v>
      </c>
      <c r="AU1183" s="90">
        <v>5.6539809999999999</v>
      </c>
      <c r="AV1183" s="90">
        <v>87.006565375380404</v>
      </c>
      <c r="AW1183" s="90">
        <v>378.18909044082801</v>
      </c>
      <c r="AX1183" s="90">
        <v>0.299728514</v>
      </c>
    </row>
    <row r="1184" spans="1:50" x14ac:dyDescent="0.25">
      <c r="A1184" s="102">
        <v>830000</v>
      </c>
      <c r="B1184" s="102">
        <v>2400000</v>
      </c>
      <c r="C1184" s="102">
        <v>2400000</v>
      </c>
      <c r="D1184" s="90" t="s">
        <v>374</v>
      </c>
      <c r="E1184" s="90" t="s">
        <v>68</v>
      </c>
      <c r="F1184" s="90" t="s">
        <v>375</v>
      </c>
      <c r="G1184" s="90" t="s">
        <v>376</v>
      </c>
      <c r="H1184" s="90">
        <v>0.59</v>
      </c>
      <c r="I1184" s="90">
        <v>0.64</v>
      </c>
      <c r="J1184" s="90" t="s">
        <v>244</v>
      </c>
      <c r="K1184" s="90">
        <v>1.7406306636689999E-2</v>
      </c>
      <c r="L1184" s="90">
        <v>3703.5659744618602</v>
      </c>
      <c r="M1184" s="90">
        <v>9.23168230834826</v>
      </c>
      <c r="N1184" s="90">
        <v>1.35772552464825</v>
      </c>
      <c r="O1184" s="90">
        <v>0.16068949303162</v>
      </c>
      <c r="P1184" s="90">
        <v>2.363298681049E-2</v>
      </c>
      <c r="Q1184" s="90">
        <v>64.465405000698397</v>
      </c>
      <c r="R1184" s="90">
        <v>1210</v>
      </c>
      <c r="S1184" s="90" t="s">
        <v>385</v>
      </c>
      <c r="T1184" s="90">
        <v>1210</v>
      </c>
      <c r="U1184" s="90" t="s">
        <v>378</v>
      </c>
      <c r="V1184" s="90" t="s">
        <v>244</v>
      </c>
      <c r="Z1184" s="90">
        <v>0</v>
      </c>
      <c r="AA1184" s="90">
        <v>1</v>
      </c>
      <c r="AB1184" s="90">
        <v>0.16068949303162</v>
      </c>
      <c r="AC1184" s="90">
        <v>2.363298681049E-2</v>
      </c>
      <c r="AD1184" s="90">
        <v>116.466245018736</v>
      </c>
      <c r="AF1184" s="90">
        <v>-1</v>
      </c>
      <c r="AG1184" s="90">
        <v>-1</v>
      </c>
      <c r="AH1184" s="90">
        <v>-1</v>
      </c>
      <c r="AI1184" s="90">
        <v>-1</v>
      </c>
      <c r="AJ1184" s="90">
        <v>0</v>
      </c>
      <c r="AM1184" s="90" t="s">
        <v>379</v>
      </c>
      <c r="AN1184" s="90">
        <v>-1</v>
      </c>
      <c r="AQ1184" s="90">
        <v>374</v>
      </c>
      <c r="AR1184" s="90" t="s">
        <v>281</v>
      </c>
      <c r="AS1184" s="90" t="s">
        <v>282</v>
      </c>
      <c r="AT1184" s="90" t="s">
        <v>244</v>
      </c>
      <c r="AU1184" s="90">
        <v>5.6539809999999999</v>
      </c>
      <c r="AV1184" s="90">
        <v>37.934386582725402</v>
      </c>
      <c r="AW1184" s="90">
        <v>70.440823802954696</v>
      </c>
      <c r="AX1184" s="90">
        <v>9.4457619600000001E-2</v>
      </c>
    </row>
    <row r="1185" spans="1:50" x14ac:dyDescent="0.25">
      <c r="A1185" s="102">
        <v>830000</v>
      </c>
      <c r="B1185" s="102">
        <v>2400000</v>
      </c>
      <c r="C1185" s="102">
        <v>2400000</v>
      </c>
      <c r="D1185" s="90" t="s">
        <v>374</v>
      </c>
      <c r="E1185" s="90" t="s">
        <v>68</v>
      </c>
      <c r="F1185" s="90" t="s">
        <v>375</v>
      </c>
      <c r="G1185" s="90" t="s">
        <v>376</v>
      </c>
      <c r="H1185" s="90">
        <v>0.59</v>
      </c>
      <c r="I1185" s="90">
        <v>0.64</v>
      </c>
      <c r="J1185" s="90" t="s">
        <v>244</v>
      </c>
      <c r="K1185" s="90">
        <v>2.0284608601280001E-2</v>
      </c>
      <c r="L1185" s="90">
        <v>3703.5659744618602</v>
      </c>
      <c r="M1185" s="90">
        <v>9.23168230834826</v>
      </c>
      <c r="N1185" s="90">
        <v>1.35772552464825</v>
      </c>
      <c r="O1185" s="90">
        <v>0.18726106235623</v>
      </c>
      <c r="P1185" s="90">
        <v>2.754093085546E-2</v>
      </c>
      <c r="Q1185" s="90">
        <v>75.125386220988105</v>
      </c>
      <c r="R1185" s="90">
        <v>1210</v>
      </c>
      <c r="S1185" s="90" t="s">
        <v>385</v>
      </c>
      <c r="T1185" s="90">
        <v>1210</v>
      </c>
      <c r="U1185" s="90" t="s">
        <v>378</v>
      </c>
      <c r="V1185" s="90" t="s">
        <v>244</v>
      </c>
      <c r="Z1185" s="90">
        <v>0</v>
      </c>
      <c r="AA1185" s="90">
        <v>1</v>
      </c>
      <c r="AB1185" s="90">
        <v>0.18726106235623</v>
      </c>
      <c r="AC1185" s="90">
        <v>2.754093085546E-2</v>
      </c>
      <c r="AD1185" s="90">
        <v>75.125386220988801</v>
      </c>
      <c r="AF1185" s="90">
        <v>-1</v>
      </c>
      <c r="AG1185" s="90">
        <v>-1</v>
      </c>
      <c r="AH1185" s="90">
        <v>-1</v>
      </c>
      <c r="AI1185" s="90">
        <v>-1</v>
      </c>
      <c r="AJ1185" s="90">
        <v>0</v>
      </c>
      <c r="AM1185" s="90" t="s">
        <v>379</v>
      </c>
      <c r="AN1185" s="90">
        <v>-1</v>
      </c>
      <c r="AQ1185" s="90">
        <v>374</v>
      </c>
      <c r="AR1185" s="90" t="s">
        <v>281</v>
      </c>
      <c r="AS1185" s="90" t="s">
        <v>282</v>
      </c>
      <c r="AT1185" s="90" t="s">
        <v>244</v>
      </c>
      <c r="AU1185" s="90">
        <v>5.6539809999999999</v>
      </c>
      <c r="AV1185" s="90">
        <v>45.847410930623099</v>
      </c>
      <c r="AW1185" s="90">
        <v>82.088898593973298</v>
      </c>
      <c r="AX1185" s="90">
        <v>6.0928942600000001E-2</v>
      </c>
    </row>
    <row r="1186" spans="1:50" x14ac:dyDescent="0.25">
      <c r="A1186" s="102">
        <v>830000</v>
      </c>
      <c r="B1186" s="102">
        <v>2400000</v>
      </c>
      <c r="C1186" s="102">
        <v>2500000</v>
      </c>
      <c r="D1186" s="90" t="s">
        <v>374</v>
      </c>
      <c r="E1186" s="90" t="s">
        <v>68</v>
      </c>
      <c r="F1186" s="90" t="s">
        <v>375</v>
      </c>
      <c r="G1186" s="90" t="s">
        <v>376</v>
      </c>
      <c r="H1186" s="90">
        <v>0.59</v>
      </c>
      <c r="I1186" s="90">
        <v>0.64</v>
      </c>
      <c r="J1186" s="90" t="s">
        <v>244</v>
      </c>
      <c r="K1186" s="90">
        <v>7.2732087029180006E-2</v>
      </c>
      <c r="L1186" s="90">
        <v>3755.9533178683901</v>
      </c>
      <c r="M1186" s="90">
        <v>10.6608373855219</v>
      </c>
      <c r="N1186" s="90">
        <v>1.4639972397383201</v>
      </c>
      <c r="O1186" s="90">
        <v>0.77538495252781003</v>
      </c>
      <c r="P1186" s="90">
        <v>0.10647957465114</v>
      </c>
      <c r="Q1186" s="90">
        <v>273.17832359277497</v>
      </c>
      <c r="R1186" s="90">
        <v>1200</v>
      </c>
      <c r="S1186" s="90" t="s">
        <v>384</v>
      </c>
      <c r="T1186" s="90">
        <v>1200</v>
      </c>
      <c r="U1186" s="90" t="s">
        <v>378</v>
      </c>
      <c r="V1186" s="90" t="s">
        <v>244</v>
      </c>
      <c r="Z1186" s="90">
        <v>0</v>
      </c>
      <c r="AA1186" s="90">
        <v>1</v>
      </c>
      <c r="AB1186" s="90">
        <v>0.77538495252781003</v>
      </c>
      <c r="AC1186" s="90">
        <v>0.10647957465114</v>
      </c>
      <c r="AD1186" s="90">
        <v>552.88571894847803</v>
      </c>
      <c r="AF1186" s="90">
        <v>-1</v>
      </c>
      <c r="AG1186" s="90">
        <v>-1</v>
      </c>
      <c r="AH1186" s="90">
        <v>-1</v>
      </c>
      <c r="AI1186" s="90">
        <v>-1</v>
      </c>
      <c r="AJ1186" s="90">
        <v>0</v>
      </c>
      <c r="AM1186" s="90" t="s">
        <v>379</v>
      </c>
      <c r="AN1186" s="90">
        <v>-1</v>
      </c>
      <c r="AQ1186" s="90">
        <v>374</v>
      </c>
      <c r="AR1186" s="90" t="s">
        <v>281</v>
      </c>
      <c r="AS1186" s="90" t="s">
        <v>282</v>
      </c>
      <c r="AT1186" s="90" t="s">
        <v>244</v>
      </c>
      <c r="AU1186" s="90">
        <v>5.6539809999999999</v>
      </c>
      <c r="AV1186" s="90">
        <v>90.477048105390793</v>
      </c>
      <c r="AW1186" s="90">
        <v>294.33631350862998</v>
      </c>
      <c r="AX1186" s="90">
        <v>0.44840690909999997</v>
      </c>
    </row>
    <row r="1187" spans="1:50" x14ac:dyDescent="0.25">
      <c r="A1187" s="102">
        <v>830000</v>
      </c>
      <c r="B1187" s="102">
        <v>2400000</v>
      </c>
      <c r="C1187" s="102">
        <v>2500000</v>
      </c>
      <c r="D1187" s="90" t="s">
        <v>374</v>
      </c>
      <c r="E1187" s="90" t="s">
        <v>68</v>
      </c>
      <c r="F1187" s="90" t="s">
        <v>375</v>
      </c>
      <c r="G1187" s="90" t="s">
        <v>376</v>
      </c>
      <c r="H1187" s="90">
        <v>0.59</v>
      </c>
      <c r="I1187" s="90">
        <v>0.64</v>
      </c>
      <c r="J1187" s="90" t="s">
        <v>244</v>
      </c>
      <c r="K1187" s="90">
        <v>6.8299524838179998E-2</v>
      </c>
      <c r="L1187" s="90">
        <v>3755.9533178683901</v>
      </c>
      <c r="M1187" s="90">
        <v>10.6608373855219</v>
      </c>
      <c r="N1187" s="90">
        <v>1.4639972397383201</v>
      </c>
      <c r="O1187" s="90">
        <v>0.72813012780826003</v>
      </c>
      <c r="P1187" s="90">
        <v>9.9990315838530006E-2</v>
      </c>
      <c r="Q1187" s="90">
        <v>256.52982692479998</v>
      </c>
      <c r="R1187" s="90">
        <v>1400</v>
      </c>
      <c r="S1187" s="90" t="s">
        <v>324</v>
      </c>
      <c r="T1187" s="90">
        <v>1400</v>
      </c>
      <c r="U1187" s="90" t="s">
        <v>378</v>
      </c>
      <c r="V1187" s="90" t="s">
        <v>244</v>
      </c>
      <c r="Z1187" s="90">
        <v>0</v>
      </c>
      <c r="AA1187" s="90">
        <v>1</v>
      </c>
      <c r="AB1187" s="90">
        <v>0.72813012780826003</v>
      </c>
      <c r="AC1187" s="90">
        <v>9.9990315838530006E-2</v>
      </c>
      <c r="AD1187" s="90">
        <v>265.17371144785</v>
      </c>
      <c r="AF1187" s="90">
        <v>-1</v>
      </c>
      <c r="AG1187" s="90">
        <v>-1</v>
      </c>
      <c r="AH1187" s="90">
        <v>-1</v>
      </c>
      <c r="AI1187" s="90">
        <v>-1</v>
      </c>
      <c r="AJ1187" s="90">
        <v>0</v>
      </c>
      <c r="AM1187" s="90" t="s">
        <v>379</v>
      </c>
      <c r="AN1187" s="90">
        <v>-1</v>
      </c>
      <c r="AQ1187" s="90">
        <v>374</v>
      </c>
      <c r="AR1187" s="90" t="s">
        <v>281</v>
      </c>
      <c r="AS1187" s="90" t="s">
        <v>282</v>
      </c>
      <c r="AT1187" s="90" t="s">
        <v>244</v>
      </c>
      <c r="AU1187" s="90">
        <v>5.6539809999999999</v>
      </c>
      <c r="AV1187" s="90">
        <v>105.558509455982</v>
      </c>
      <c r="AW1187" s="90">
        <v>276.398370738263</v>
      </c>
      <c r="AX1187" s="90">
        <v>0.2150638373</v>
      </c>
    </row>
    <row r="1188" spans="1:50" x14ac:dyDescent="0.25">
      <c r="A1188" s="102">
        <v>830000</v>
      </c>
      <c r="B1188" s="102">
        <v>2400000</v>
      </c>
      <c r="C1188" s="102">
        <v>2500000</v>
      </c>
      <c r="D1188" s="90" t="s">
        <v>374</v>
      </c>
      <c r="E1188" s="90" t="s">
        <v>68</v>
      </c>
      <c r="F1188" s="90" t="s">
        <v>375</v>
      </c>
      <c r="G1188" s="90" t="s">
        <v>376</v>
      </c>
      <c r="H1188" s="90">
        <v>0.59</v>
      </c>
      <c r="I1188" s="90">
        <v>0.64</v>
      </c>
      <c r="J1188" s="90" t="s">
        <v>244</v>
      </c>
      <c r="K1188" s="90">
        <v>5.213187777001E-2</v>
      </c>
      <c r="L1188" s="90">
        <v>3755.9533178683901</v>
      </c>
      <c r="M1188" s="90">
        <v>10.6608373855219</v>
      </c>
      <c r="N1188" s="90">
        <v>1.4639972397383201</v>
      </c>
      <c r="O1188" s="90">
        <v>0.55576947150806999</v>
      </c>
      <c r="P1188" s="90">
        <v>7.6320925157680006E-2</v>
      </c>
      <c r="Q1188" s="90">
        <v>195.804899277012</v>
      </c>
      <c r="R1188" s="90">
        <v>1210</v>
      </c>
      <c r="S1188" s="90" t="s">
        <v>385</v>
      </c>
      <c r="T1188" s="90">
        <v>1210</v>
      </c>
      <c r="U1188" s="90" t="s">
        <v>378</v>
      </c>
      <c r="V1188" s="90" t="s">
        <v>244</v>
      </c>
      <c r="Z1188" s="90">
        <v>0</v>
      </c>
      <c r="AA1188" s="90">
        <v>1</v>
      </c>
      <c r="AB1188" s="90">
        <v>0.55576947150806999</v>
      </c>
      <c r="AC1188" s="90">
        <v>7.6320925157680006E-2</v>
      </c>
      <c r="AD1188" s="90">
        <v>227.60278151195399</v>
      </c>
      <c r="AF1188" s="90">
        <v>-1</v>
      </c>
      <c r="AG1188" s="90">
        <v>-1</v>
      </c>
      <c r="AH1188" s="90">
        <v>-1</v>
      </c>
      <c r="AI1188" s="90">
        <v>-1</v>
      </c>
      <c r="AJ1188" s="90">
        <v>0</v>
      </c>
      <c r="AM1188" s="90" t="s">
        <v>379</v>
      </c>
      <c r="AN1188" s="90">
        <v>-1</v>
      </c>
      <c r="AQ1188" s="90">
        <v>374</v>
      </c>
      <c r="AR1188" s="90" t="s">
        <v>281</v>
      </c>
      <c r="AS1188" s="90" t="s">
        <v>282</v>
      </c>
      <c r="AT1188" s="90" t="s">
        <v>244</v>
      </c>
      <c r="AU1188" s="90">
        <v>5.6539809999999999</v>
      </c>
      <c r="AV1188" s="90">
        <v>72.568544496695793</v>
      </c>
      <c r="AW1188" s="90">
        <v>210.97022436537301</v>
      </c>
      <c r="AX1188" s="90">
        <v>0.18459268570000001</v>
      </c>
    </row>
    <row r="1189" spans="1:50" x14ac:dyDescent="0.25">
      <c r="A1189" s="102">
        <v>830000</v>
      </c>
      <c r="B1189" s="102">
        <v>2400000</v>
      </c>
      <c r="C1189" s="102">
        <v>2500000</v>
      </c>
      <c r="D1189" s="90" t="s">
        <v>374</v>
      </c>
      <c r="E1189" s="90" t="s">
        <v>68</v>
      </c>
      <c r="F1189" s="90" t="s">
        <v>375</v>
      </c>
      <c r="G1189" s="90" t="s">
        <v>376</v>
      </c>
      <c r="H1189" s="90">
        <v>0.59</v>
      </c>
      <c r="I1189" s="90">
        <v>0.64</v>
      </c>
      <c r="J1189" s="90" t="s">
        <v>244</v>
      </c>
      <c r="K1189" s="90">
        <v>1.595719446057E-2</v>
      </c>
      <c r="L1189" s="90">
        <v>3755.9533178683901</v>
      </c>
      <c r="M1189" s="90">
        <v>10.6608373855219</v>
      </c>
      <c r="N1189" s="90">
        <v>1.4639972397383201</v>
      </c>
      <c r="O1189" s="90">
        <v>0.17011705527335</v>
      </c>
      <c r="P1189" s="90">
        <v>2.3361288644250001E-2</v>
      </c>
      <c r="Q1189" s="90">
        <v>59.9344774780715</v>
      </c>
      <c r="R1189" s="90">
        <v>1210</v>
      </c>
      <c r="S1189" s="90" t="s">
        <v>385</v>
      </c>
      <c r="T1189" s="90">
        <v>1210</v>
      </c>
      <c r="U1189" s="90" t="s">
        <v>378</v>
      </c>
      <c r="V1189" s="90" t="s">
        <v>244</v>
      </c>
      <c r="Z1189" s="90">
        <v>0</v>
      </c>
      <c r="AA1189" s="90">
        <v>1</v>
      </c>
      <c r="AB1189" s="90">
        <v>0.17011705527335</v>
      </c>
      <c r="AC1189" s="90">
        <v>2.3361288644250001E-2</v>
      </c>
      <c r="AD1189" s="90">
        <v>162.31516595486801</v>
      </c>
      <c r="AF1189" s="90">
        <v>-1</v>
      </c>
      <c r="AG1189" s="90">
        <v>-1</v>
      </c>
      <c r="AH1189" s="90">
        <v>-1</v>
      </c>
      <c r="AI1189" s="90">
        <v>-1</v>
      </c>
      <c r="AJ1189" s="90">
        <v>0</v>
      </c>
      <c r="AM1189" s="90" t="s">
        <v>379</v>
      </c>
      <c r="AN1189" s="90">
        <v>-1</v>
      </c>
      <c r="AQ1189" s="90">
        <v>374</v>
      </c>
      <c r="AR1189" s="90" t="s">
        <v>281</v>
      </c>
      <c r="AS1189" s="90" t="s">
        <v>282</v>
      </c>
      <c r="AT1189" s="90" t="s">
        <v>244</v>
      </c>
      <c r="AU1189" s="90">
        <v>5.6539809999999999</v>
      </c>
      <c r="AV1189" s="90">
        <v>46.396681357793199</v>
      </c>
      <c r="AW1189" s="90">
        <v>64.5764748862657</v>
      </c>
      <c r="AX1189" s="90">
        <v>0.13164247039999999</v>
      </c>
    </row>
    <row r="1190" spans="1:50" x14ac:dyDescent="0.25">
      <c r="A1190" s="102">
        <v>830000</v>
      </c>
      <c r="B1190" s="102">
        <v>2400000</v>
      </c>
      <c r="C1190" s="102">
        <v>2500000</v>
      </c>
      <c r="D1190" s="90" t="s">
        <v>374</v>
      </c>
      <c r="E1190" s="90" t="s">
        <v>68</v>
      </c>
      <c r="F1190" s="90" t="s">
        <v>375</v>
      </c>
      <c r="G1190" s="90" t="s">
        <v>376</v>
      </c>
      <c r="H1190" s="90">
        <v>0.59</v>
      </c>
      <c r="I1190" s="90">
        <v>0.64</v>
      </c>
      <c r="J1190" s="90" t="s">
        <v>244</v>
      </c>
      <c r="K1190" s="90">
        <v>0.27137899906703999</v>
      </c>
      <c r="L1190" s="90">
        <v>3755.9533178683901</v>
      </c>
      <c r="M1190" s="90">
        <v>10.6608373855219</v>
      </c>
      <c r="N1190" s="90">
        <v>1.4639972397383201</v>
      </c>
      <c r="O1190" s="90">
        <v>2.89312737889948</v>
      </c>
      <c r="P1190" s="90">
        <v>0.39729810555709999</v>
      </c>
      <c r="Q1190" s="90">
        <v>1019.28685194567</v>
      </c>
      <c r="R1190" s="90">
        <v>1410</v>
      </c>
      <c r="S1190" s="90" t="s">
        <v>325</v>
      </c>
      <c r="T1190" s="90">
        <v>1410</v>
      </c>
      <c r="U1190" s="90" t="s">
        <v>378</v>
      </c>
      <c r="V1190" s="90" t="s">
        <v>244</v>
      </c>
      <c r="Z1190" s="90">
        <v>0</v>
      </c>
      <c r="AA1190" s="90">
        <v>1</v>
      </c>
      <c r="AB1190" s="90">
        <v>2.89312737889948</v>
      </c>
      <c r="AC1190" s="90">
        <v>0.39729810555709999</v>
      </c>
      <c r="AD1190" s="90">
        <v>1112.3133157715599</v>
      </c>
      <c r="AF1190" s="90">
        <v>-1</v>
      </c>
      <c r="AG1190" s="90">
        <v>-1</v>
      </c>
      <c r="AH1190" s="90">
        <v>-1</v>
      </c>
      <c r="AI1190" s="90">
        <v>-1</v>
      </c>
      <c r="AJ1190" s="90">
        <v>0</v>
      </c>
      <c r="AM1190" s="90" t="s">
        <v>379</v>
      </c>
      <c r="AN1190" s="90">
        <v>-1</v>
      </c>
      <c r="AQ1190" s="90">
        <v>374</v>
      </c>
      <c r="AR1190" s="90" t="s">
        <v>281</v>
      </c>
      <c r="AS1190" s="90" t="s">
        <v>282</v>
      </c>
      <c r="AT1190" s="90" t="s">
        <v>244</v>
      </c>
      <c r="AU1190" s="90">
        <v>5.6539809999999999</v>
      </c>
      <c r="AV1190" s="90">
        <v>133.08303864739</v>
      </c>
      <c r="AW1190" s="90">
        <v>1098.23184527895</v>
      </c>
      <c r="AX1190" s="90">
        <v>0.90211947749999999</v>
      </c>
    </row>
    <row r="1191" spans="1:50" x14ac:dyDescent="0.25">
      <c r="A1191" s="102">
        <v>830000</v>
      </c>
      <c r="B1191" s="102">
        <v>2400000</v>
      </c>
      <c r="C1191" s="102">
        <v>2500000</v>
      </c>
      <c r="D1191" s="90" t="s">
        <v>374</v>
      </c>
      <c r="E1191" s="90" t="s">
        <v>68</v>
      </c>
      <c r="F1191" s="90" t="s">
        <v>375</v>
      </c>
      <c r="G1191" s="90" t="s">
        <v>376</v>
      </c>
      <c r="H1191" s="90">
        <v>0.59</v>
      </c>
      <c r="I1191" s="90">
        <v>0.64</v>
      </c>
      <c r="J1191" s="90" t="s">
        <v>244</v>
      </c>
      <c r="K1191" s="90">
        <v>1.325702250792E-2</v>
      </c>
      <c r="L1191" s="90">
        <v>3643.8667555897</v>
      </c>
      <c r="M1191" s="90">
        <v>10.257181101883599</v>
      </c>
      <c r="N1191" s="90">
        <v>1.4163915456398199</v>
      </c>
      <c r="O1191" s="90">
        <v>0.13597968073557001</v>
      </c>
      <c r="P1191" s="90">
        <v>1.877713460058E-2</v>
      </c>
      <c r="Q1191" s="90">
        <v>48.306823594746902</v>
      </c>
      <c r="R1191" s="90">
        <v>1210</v>
      </c>
      <c r="S1191" s="90" t="s">
        <v>385</v>
      </c>
      <c r="T1191" s="90">
        <v>1210</v>
      </c>
      <c r="U1191" s="90" t="s">
        <v>378</v>
      </c>
      <c r="V1191" s="90" t="s">
        <v>244</v>
      </c>
      <c r="Z1191" s="90">
        <v>0</v>
      </c>
      <c r="AA1191" s="90">
        <v>1</v>
      </c>
      <c r="AB1191" s="90">
        <v>0.13597968073557001</v>
      </c>
      <c r="AC1191" s="90">
        <v>1.877713460058E-2</v>
      </c>
      <c r="AD1191" s="90">
        <v>546.78489647704998</v>
      </c>
      <c r="AF1191" s="90">
        <v>-1</v>
      </c>
      <c r="AG1191" s="90">
        <v>-1</v>
      </c>
      <c r="AH1191" s="90">
        <v>-1</v>
      </c>
      <c r="AI1191" s="90">
        <v>-1</v>
      </c>
      <c r="AJ1191" s="90">
        <v>0</v>
      </c>
      <c r="AM1191" s="90" t="s">
        <v>379</v>
      </c>
      <c r="AN1191" s="90">
        <v>-1</v>
      </c>
      <c r="AQ1191" s="90">
        <v>374</v>
      </c>
      <c r="AR1191" s="90" t="s">
        <v>281</v>
      </c>
      <c r="AS1191" s="90" t="s">
        <v>282</v>
      </c>
      <c r="AT1191" s="90" t="s">
        <v>244</v>
      </c>
      <c r="AU1191" s="90">
        <v>5.6539809999999999</v>
      </c>
      <c r="AV1191" s="90">
        <v>32.9078458810135</v>
      </c>
      <c r="AW1191" s="90">
        <v>53.649266678113896</v>
      </c>
      <c r="AX1191" s="90">
        <v>0.44345895899999999</v>
      </c>
    </row>
    <row r="1192" spans="1:50" x14ac:dyDescent="0.25">
      <c r="A1192" s="102">
        <v>830000</v>
      </c>
      <c r="B1192" s="102">
        <v>2400000</v>
      </c>
      <c r="C1192" s="102">
        <v>2500000</v>
      </c>
      <c r="D1192" s="90" t="s">
        <v>374</v>
      </c>
      <c r="E1192" s="90" t="s">
        <v>68</v>
      </c>
      <c r="F1192" s="90" t="s">
        <v>375</v>
      </c>
      <c r="G1192" s="90" t="s">
        <v>376</v>
      </c>
      <c r="H1192" s="90">
        <v>0.59</v>
      </c>
      <c r="I1192" s="90">
        <v>0.64</v>
      </c>
      <c r="J1192" s="90" t="s">
        <v>244</v>
      </c>
      <c r="K1192" s="90">
        <v>0.10030083584337</v>
      </c>
      <c r="L1192" s="90">
        <v>3643.8667555897</v>
      </c>
      <c r="M1192" s="90">
        <v>10.257181101883599</v>
      </c>
      <c r="N1192" s="90">
        <v>1.4163915456398199</v>
      </c>
      <c r="O1192" s="90">
        <v>1.02880383791576</v>
      </c>
      <c r="P1192" s="90">
        <v>0.14206525590915001</v>
      </c>
      <c r="Q1192" s="90">
        <v>365.48288128751898</v>
      </c>
      <c r="R1192" s="90">
        <v>1410</v>
      </c>
      <c r="S1192" s="90" t="s">
        <v>325</v>
      </c>
      <c r="T1192" s="90">
        <v>1410</v>
      </c>
      <c r="U1192" s="90" t="s">
        <v>378</v>
      </c>
      <c r="V1192" s="90" t="s">
        <v>244</v>
      </c>
      <c r="Z1192" s="90">
        <v>0</v>
      </c>
      <c r="AA1192" s="90">
        <v>1</v>
      </c>
      <c r="AB1192" s="90">
        <v>1.02880383791576</v>
      </c>
      <c r="AC1192" s="90">
        <v>0.14206525590915001</v>
      </c>
      <c r="AD1192" s="90">
        <v>1167.9600242965601</v>
      </c>
      <c r="AF1192" s="90">
        <v>-1</v>
      </c>
      <c r="AG1192" s="90">
        <v>-1</v>
      </c>
      <c r="AH1192" s="90">
        <v>-1</v>
      </c>
      <c r="AI1192" s="90">
        <v>-1</v>
      </c>
      <c r="AJ1192" s="90">
        <v>0</v>
      </c>
      <c r="AM1192" s="90" t="s">
        <v>379</v>
      </c>
      <c r="AN1192" s="90">
        <v>-1</v>
      </c>
      <c r="AQ1192" s="90">
        <v>374</v>
      </c>
      <c r="AR1192" s="90" t="s">
        <v>281</v>
      </c>
      <c r="AS1192" s="90" t="s">
        <v>282</v>
      </c>
      <c r="AT1192" s="90" t="s">
        <v>244</v>
      </c>
      <c r="AU1192" s="90">
        <v>5.6539809999999999</v>
      </c>
      <c r="AV1192" s="90">
        <v>83.714672222058795</v>
      </c>
      <c r="AW1192" s="90">
        <v>405.90308170483502</v>
      </c>
      <c r="AX1192" s="90">
        <v>0.94725062800000004</v>
      </c>
    </row>
    <row r="1193" spans="1:50" x14ac:dyDescent="0.25">
      <c r="A1193" s="102">
        <v>840000</v>
      </c>
      <c r="B1193" s="102">
        <v>2400000</v>
      </c>
      <c r="C1193" s="102">
        <v>2400000</v>
      </c>
      <c r="D1193" s="90" t="s">
        <v>374</v>
      </c>
      <c r="E1193" s="90" t="s">
        <v>68</v>
      </c>
      <c r="F1193" s="90" t="s">
        <v>375</v>
      </c>
      <c r="G1193" s="90" t="s">
        <v>376</v>
      </c>
      <c r="H1193" s="90">
        <v>0.59</v>
      </c>
      <c r="I1193" s="90">
        <v>0.64</v>
      </c>
      <c r="J1193" s="90" t="s">
        <v>244</v>
      </c>
      <c r="K1193" s="90">
        <v>3.5120687729999999E-5</v>
      </c>
      <c r="L1193" s="90">
        <v>3782.1091691373299</v>
      </c>
      <c r="M1193" s="90">
        <v>11.6204057133546</v>
      </c>
      <c r="N1193" s="90">
        <v>1.53418801912293</v>
      </c>
      <c r="O1193" s="90">
        <v>4.0811664042E-4</v>
      </c>
      <c r="P1193" s="90">
        <v>5.3881738340000001E-5</v>
      </c>
      <c r="Q1193" s="90">
        <v>0.13283027511272999</v>
      </c>
      <c r="R1193" s="90">
        <v>1400</v>
      </c>
      <c r="S1193" s="90" t="s">
        <v>324</v>
      </c>
      <c r="T1193" s="90">
        <v>1400</v>
      </c>
      <c r="U1193" s="90" t="s">
        <v>378</v>
      </c>
      <c r="V1193" s="90" t="s">
        <v>244</v>
      </c>
      <c r="Z1193" s="90">
        <v>0</v>
      </c>
      <c r="AA1193" s="90">
        <v>1</v>
      </c>
      <c r="AB1193" s="90">
        <v>4.0811664042E-4</v>
      </c>
      <c r="AC1193" s="90">
        <v>5.3881738340000001E-5</v>
      </c>
      <c r="AD1193" s="90">
        <v>401.131261116269</v>
      </c>
      <c r="AF1193" s="90">
        <v>-1</v>
      </c>
      <c r="AG1193" s="90">
        <v>-1</v>
      </c>
      <c r="AH1193" s="90">
        <v>-1</v>
      </c>
      <c r="AI1193" s="90">
        <v>-1</v>
      </c>
      <c r="AJ1193" s="90">
        <v>0</v>
      </c>
      <c r="AM1193" s="90" t="s">
        <v>379</v>
      </c>
      <c r="AN1193" s="90">
        <v>-1</v>
      </c>
      <c r="AQ1193" s="90">
        <v>374</v>
      </c>
      <c r="AR1193" s="90" t="s">
        <v>281</v>
      </c>
      <c r="AS1193" s="90" t="s">
        <v>282</v>
      </c>
      <c r="AT1193" s="90" t="s">
        <v>244</v>
      </c>
      <c r="AU1193" s="90">
        <v>5.6539809999999999</v>
      </c>
      <c r="AV1193" s="90">
        <v>3.0419885308712602</v>
      </c>
      <c r="AW1193" s="90">
        <v>0.14212838072402001</v>
      </c>
      <c r="AX1193" s="90">
        <v>0.32532949</v>
      </c>
    </row>
    <row r="1194" spans="1:50" x14ac:dyDescent="0.25">
      <c r="A1194" s="102">
        <v>840000</v>
      </c>
      <c r="B1194" s="102">
        <v>2400000</v>
      </c>
      <c r="C1194" s="102">
        <v>2400000</v>
      </c>
      <c r="D1194" s="90" t="s">
        <v>374</v>
      </c>
      <c r="E1194" s="90" t="s">
        <v>68</v>
      </c>
      <c r="F1194" s="90" t="s">
        <v>375</v>
      </c>
      <c r="G1194" s="90" t="s">
        <v>376</v>
      </c>
      <c r="H1194" s="90">
        <v>0.59</v>
      </c>
      <c r="I1194" s="90">
        <v>0.64</v>
      </c>
      <c r="J1194" s="90" t="s">
        <v>381</v>
      </c>
      <c r="K1194" s="90">
        <v>5.2759389653600003E-3</v>
      </c>
      <c r="L1194" s="90">
        <v>3782.1091691373299</v>
      </c>
      <c r="M1194" s="90">
        <v>11.6204057133546</v>
      </c>
      <c r="N1194" s="90">
        <v>1.53418801912293</v>
      </c>
      <c r="O1194" s="90">
        <v>6.1308551296420002E-2</v>
      </c>
      <c r="P1194" s="90">
        <v>8.0942823502800007E-3</v>
      </c>
      <c r="Q1194" s="90">
        <v>19.954177136712101</v>
      </c>
      <c r="R1194" s="90">
        <v>1400</v>
      </c>
      <c r="S1194" s="90" t="s">
        <v>324</v>
      </c>
      <c r="T1194" s="90">
        <v>1400</v>
      </c>
      <c r="U1194" s="90" t="s">
        <v>382</v>
      </c>
      <c r="V1194" s="90" t="s">
        <v>381</v>
      </c>
      <c r="Z1194" s="90">
        <v>0</v>
      </c>
      <c r="AA1194" s="90">
        <v>1</v>
      </c>
      <c r="AB1194" s="90">
        <v>6.1308551296420002E-2</v>
      </c>
      <c r="AC1194" s="90">
        <v>8.0942823502800007E-3</v>
      </c>
      <c r="AD1194" s="90">
        <v>169.967796311618</v>
      </c>
      <c r="AF1194" s="90">
        <v>-1</v>
      </c>
      <c r="AG1194" s="90">
        <v>-1</v>
      </c>
      <c r="AH1194" s="90">
        <v>-1</v>
      </c>
      <c r="AI1194" s="90">
        <v>-1</v>
      </c>
      <c r="AJ1194" s="90">
        <v>0</v>
      </c>
      <c r="AM1194" s="90" t="s">
        <v>379</v>
      </c>
      <c r="AN1194" s="90">
        <v>-1</v>
      </c>
      <c r="AQ1194" s="90">
        <v>374</v>
      </c>
      <c r="AR1194" s="90" t="s">
        <v>281</v>
      </c>
      <c r="AS1194" s="90" t="s">
        <v>282</v>
      </c>
      <c r="AT1194" s="90" t="s">
        <v>244</v>
      </c>
      <c r="AU1194" s="90">
        <v>5.6539809999999999</v>
      </c>
      <c r="AV1194" s="90">
        <v>18.352315166480999</v>
      </c>
      <c r="AW1194" s="90">
        <v>21.350967486173701</v>
      </c>
      <c r="AX1194" s="90">
        <v>0.1378489832</v>
      </c>
    </row>
    <row r="1195" spans="1:50" x14ac:dyDescent="0.25">
      <c r="A1195" s="102">
        <v>840000</v>
      </c>
      <c r="B1195" s="102">
        <v>2400000</v>
      </c>
      <c r="C1195" s="102">
        <v>2400000</v>
      </c>
      <c r="D1195" s="90" t="s">
        <v>374</v>
      </c>
      <c r="E1195" s="90" t="s">
        <v>68</v>
      </c>
      <c r="F1195" s="90" t="s">
        <v>375</v>
      </c>
      <c r="G1195" s="90" t="s">
        <v>376</v>
      </c>
      <c r="H1195" s="90">
        <v>0.59</v>
      </c>
      <c r="I1195" s="90">
        <v>0.64</v>
      </c>
      <c r="J1195" s="90" t="s">
        <v>381</v>
      </c>
      <c r="K1195" s="90">
        <v>5.2557563559000003E-4</v>
      </c>
      <c r="L1195" s="90">
        <v>3724.5547691608899</v>
      </c>
      <c r="M1195" s="90">
        <v>8.1072001934389402</v>
      </c>
      <c r="N1195" s="90">
        <v>1.08242589716147</v>
      </c>
      <c r="O1195" s="90">
        <v>4.26094689459E-3</v>
      </c>
      <c r="P1195" s="90">
        <v>5.6889667888000001E-4</v>
      </c>
      <c r="Q1195" s="90">
        <v>1.9575352401250199</v>
      </c>
      <c r="R1195" s="90">
        <v>1400</v>
      </c>
      <c r="S1195" s="90" t="s">
        <v>324</v>
      </c>
      <c r="T1195" s="90">
        <v>1400</v>
      </c>
      <c r="U1195" s="90" t="s">
        <v>382</v>
      </c>
      <c r="V1195" s="90" t="s">
        <v>381</v>
      </c>
      <c r="Z1195" s="90">
        <v>0</v>
      </c>
      <c r="AA1195" s="90">
        <v>1</v>
      </c>
      <c r="AB1195" s="90">
        <v>4.26094689459E-3</v>
      </c>
      <c r="AC1195" s="90">
        <v>5.6889667888000001E-4</v>
      </c>
      <c r="AD1195" s="90">
        <v>1.95753524012381</v>
      </c>
      <c r="AF1195" s="90">
        <v>-1</v>
      </c>
      <c r="AG1195" s="90">
        <v>-1</v>
      </c>
      <c r="AH1195" s="90">
        <v>-1</v>
      </c>
      <c r="AI1195" s="90">
        <v>-1</v>
      </c>
      <c r="AJ1195" s="90">
        <v>0</v>
      </c>
      <c r="AM1195" s="90" t="s">
        <v>379</v>
      </c>
      <c r="AN1195" s="90">
        <v>-1</v>
      </c>
      <c r="AQ1195" s="90">
        <v>374</v>
      </c>
      <c r="AR1195" s="90" t="s">
        <v>281</v>
      </c>
      <c r="AS1195" s="90" t="s">
        <v>282</v>
      </c>
      <c r="AT1195" s="90" t="s">
        <v>244</v>
      </c>
      <c r="AU1195" s="90">
        <v>5.6539809999999999</v>
      </c>
      <c r="AV1195" s="90">
        <v>23.542145143664101</v>
      </c>
      <c r="AW1195" s="90">
        <v>2.1269291363794598</v>
      </c>
      <c r="AX1195" s="90">
        <v>1.5876198E-3</v>
      </c>
    </row>
    <row r="1196" spans="1:50" x14ac:dyDescent="0.25">
      <c r="A1196" s="102">
        <v>840000</v>
      </c>
      <c r="B1196" s="102">
        <v>2400000</v>
      </c>
      <c r="C1196" s="102">
        <v>2400000</v>
      </c>
      <c r="D1196" s="90" t="s">
        <v>374</v>
      </c>
      <c r="E1196" s="90" t="s">
        <v>68</v>
      </c>
      <c r="F1196" s="90" t="s">
        <v>375</v>
      </c>
      <c r="G1196" s="90" t="s">
        <v>376</v>
      </c>
      <c r="H1196" s="90">
        <v>0.59</v>
      </c>
      <c r="I1196" s="90">
        <v>0.64</v>
      </c>
      <c r="J1196" s="90" t="s">
        <v>381</v>
      </c>
      <c r="K1196" s="90">
        <v>0.10055417213376</v>
      </c>
      <c r="L1196" s="90">
        <v>3724.5547691608899</v>
      </c>
      <c r="M1196" s="90">
        <v>8.1072001934389402</v>
      </c>
      <c r="N1196" s="90">
        <v>1.08242589716147</v>
      </c>
      <c r="O1196" s="90">
        <v>0.81521280377396999</v>
      </c>
      <c r="P1196" s="90">
        <v>0.10884243998522</v>
      </c>
      <c r="Q1196" s="90">
        <v>374.51952137985103</v>
      </c>
      <c r="R1196" s="90">
        <v>8140</v>
      </c>
      <c r="S1196" s="90" t="s">
        <v>386</v>
      </c>
      <c r="T1196" s="90">
        <v>8140</v>
      </c>
      <c r="U1196" s="90" t="s">
        <v>382</v>
      </c>
      <c r="V1196" s="90" t="s">
        <v>381</v>
      </c>
      <c r="Z1196" s="90">
        <v>0</v>
      </c>
      <c r="AA1196" s="90">
        <v>1</v>
      </c>
      <c r="AB1196" s="90">
        <v>0.81521280377396999</v>
      </c>
      <c r="AC1196" s="90">
        <v>0.10884243998522</v>
      </c>
      <c r="AD1196" s="90">
        <v>977.42905566511604</v>
      </c>
      <c r="AF1196" s="90">
        <v>-1</v>
      </c>
      <c r="AG1196" s="90">
        <v>-1</v>
      </c>
      <c r="AH1196" s="90">
        <v>-1</v>
      </c>
      <c r="AI1196" s="90">
        <v>-1</v>
      </c>
      <c r="AJ1196" s="90">
        <v>0</v>
      </c>
      <c r="AM1196" s="90" t="s">
        <v>379</v>
      </c>
      <c r="AN1196" s="90">
        <v>-1</v>
      </c>
      <c r="AQ1196" s="90">
        <v>374</v>
      </c>
      <c r="AR1196" s="90" t="s">
        <v>281</v>
      </c>
      <c r="AS1196" s="90" t="s">
        <v>282</v>
      </c>
      <c r="AT1196" s="90" t="s">
        <v>244</v>
      </c>
      <c r="AU1196" s="90">
        <v>5.6539809999999999</v>
      </c>
      <c r="AV1196" s="90">
        <v>116.065185203059</v>
      </c>
      <c r="AW1196" s="90">
        <v>406.928297298654</v>
      </c>
      <c r="AX1196" s="90">
        <v>0.79272429489999996</v>
      </c>
    </row>
    <row r="1197" spans="1:50" x14ac:dyDescent="0.25">
      <c r="A1197" s="102">
        <v>840000</v>
      </c>
      <c r="B1197" s="102">
        <v>2400000</v>
      </c>
      <c r="C1197" s="102">
        <v>2400000</v>
      </c>
      <c r="D1197" s="90" t="s">
        <v>374</v>
      </c>
      <c r="E1197" s="90" t="s">
        <v>68</v>
      </c>
      <c r="F1197" s="90" t="s">
        <v>375</v>
      </c>
      <c r="G1197" s="90" t="s">
        <v>376</v>
      </c>
      <c r="H1197" s="90">
        <v>0.59</v>
      </c>
      <c r="I1197" s="90">
        <v>0.64</v>
      </c>
      <c r="J1197" s="90" t="s">
        <v>244</v>
      </c>
      <c r="K1197" s="90">
        <v>6.9656622305999997E-4</v>
      </c>
      <c r="L1197" s="90">
        <v>3760.8852341686002</v>
      </c>
      <c r="M1197" s="90">
        <v>10.7699511152847</v>
      </c>
      <c r="N1197" s="90">
        <v>1.4723322428641199</v>
      </c>
      <c r="O1197" s="90">
        <v>7.5019841709200001E-3</v>
      </c>
      <c r="P1197" s="90">
        <v>1.0255769095000001E-3</v>
      </c>
      <c r="Q1197" s="90">
        <v>2.6197056229307099</v>
      </c>
      <c r="R1197" s="90">
        <v>1450</v>
      </c>
      <c r="S1197" s="90" t="s">
        <v>391</v>
      </c>
      <c r="T1197" s="90">
        <v>1450</v>
      </c>
      <c r="U1197" s="90" t="s">
        <v>378</v>
      </c>
      <c r="V1197" s="90" t="s">
        <v>244</v>
      </c>
      <c r="Z1197" s="90">
        <v>0</v>
      </c>
      <c r="AA1197" s="90">
        <v>1</v>
      </c>
      <c r="AB1197" s="90">
        <v>7.5019841709200001E-3</v>
      </c>
      <c r="AC1197" s="90">
        <v>1.0255769095000001E-3</v>
      </c>
      <c r="AD1197" s="90">
        <v>1136.0916326397701</v>
      </c>
      <c r="AF1197" s="90">
        <v>-1</v>
      </c>
      <c r="AG1197" s="90">
        <v>-1</v>
      </c>
      <c r="AH1197" s="90">
        <v>-1</v>
      </c>
      <c r="AI1197" s="90">
        <v>-1</v>
      </c>
      <c r="AJ1197" s="90">
        <v>0</v>
      </c>
      <c r="AM1197" s="90" t="s">
        <v>379</v>
      </c>
      <c r="AN1197" s="90">
        <v>-1</v>
      </c>
      <c r="AQ1197" s="90">
        <v>374</v>
      </c>
      <c r="AR1197" s="90" t="s">
        <v>281</v>
      </c>
      <c r="AS1197" s="90" t="s">
        <v>282</v>
      </c>
      <c r="AT1197" s="90" t="s">
        <v>244</v>
      </c>
      <c r="AU1197" s="90">
        <v>5.6539809999999999</v>
      </c>
      <c r="AV1197" s="90">
        <v>30.851299650825901</v>
      </c>
      <c r="AW1197" s="90">
        <v>2.81890349342097</v>
      </c>
      <c r="AX1197" s="90">
        <v>0.92140440599999995</v>
      </c>
    </row>
    <row r="1198" spans="1:50" x14ac:dyDescent="0.25">
      <c r="A1198" s="102">
        <v>840000</v>
      </c>
      <c r="B1198" s="102">
        <v>2400000</v>
      </c>
      <c r="C1198" s="102">
        <v>2400000</v>
      </c>
      <c r="D1198" s="90" t="s">
        <v>374</v>
      </c>
      <c r="E1198" s="90" t="s">
        <v>68</v>
      </c>
      <c r="F1198" s="90" t="s">
        <v>375</v>
      </c>
      <c r="G1198" s="90" t="s">
        <v>376</v>
      </c>
      <c r="H1198" s="90">
        <v>0.59</v>
      </c>
      <c r="I1198" s="90">
        <v>0.64</v>
      </c>
      <c r="J1198" s="90" t="s">
        <v>244</v>
      </c>
      <c r="K1198" s="90">
        <v>3.54312862584E-3</v>
      </c>
      <c r="L1198" s="90">
        <v>3758.1299554347202</v>
      </c>
      <c r="M1198" s="90">
        <v>10.6998943003032</v>
      </c>
      <c r="N1198" s="90">
        <v>1.4670580481095601</v>
      </c>
      <c r="O1198" s="90">
        <v>3.791110178887E-2</v>
      </c>
      <c r="P1198" s="90">
        <v>5.1979753660200004E-3</v>
      </c>
      <c r="Q1198" s="90">
        <v>13.315537824731299</v>
      </c>
      <c r="R1198" s="90">
        <v>1400</v>
      </c>
      <c r="S1198" s="90" t="s">
        <v>324</v>
      </c>
      <c r="T1198" s="90">
        <v>1400</v>
      </c>
      <c r="U1198" s="90" t="s">
        <v>378</v>
      </c>
      <c r="V1198" s="90" t="s">
        <v>244</v>
      </c>
      <c r="Z1198" s="90">
        <v>0</v>
      </c>
      <c r="AA1198" s="90">
        <v>1</v>
      </c>
      <c r="AB1198" s="90">
        <v>3.791110178887E-2</v>
      </c>
      <c r="AC1198" s="90">
        <v>5.1979753660200004E-3</v>
      </c>
      <c r="AD1198" s="90">
        <v>563.44991158954701</v>
      </c>
      <c r="AF1198" s="90">
        <v>-1</v>
      </c>
      <c r="AG1198" s="90">
        <v>-1</v>
      </c>
      <c r="AH1198" s="90">
        <v>-1</v>
      </c>
      <c r="AI1198" s="90">
        <v>-1</v>
      </c>
      <c r="AJ1198" s="90">
        <v>0</v>
      </c>
      <c r="AM1198" s="90" t="s">
        <v>379</v>
      </c>
      <c r="AN1198" s="90">
        <v>-1</v>
      </c>
      <c r="AQ1198" s="90">
        <v>374</v>
      </c>
      <c r="AR1198" s="90" t="s">
        <v>281</v>
      </c>
      <c r="AS1198" s="90" t="s">
        <v>282</v>
      </c>
      <c r="AT1198" s="90" t="s">
        <v>244</v>
      </c>
      <c r="AU1198" s="90">
        <v>5.6539809999999999</v>
      </c>
      <c r="AV1198" s="90">
        <v>22.506509922705799</v>
      </c>
      <c r="AW1198" s="90">
        <v>14.3385328348754</v>
      </c>
      <c r="AX1198" s="90">
        <v>0.4569747864</v>
      </c>
    </row>
    <row r="1199" spans="1:50" x14ac:dyDescent="0.25">
      <c r="A1199" s="102">
        <v>840000</v>
      </c>
      <c r="B1199" s="102">
        <v>2400000</v>
      </c>
      <c r="C1199" s="102">
        <v>2400000</v>
      </c>
      <c r="D1199" s="90" t="s">
        <v>374</v>
      </c>
      <c r="E1199" s="90" t="s">
        <v>68</v>
      </c>
      <c r="F1199" s="90" t="s">
        <v>375</v>
      </c>
      <c r="G1199" s="90" t="s">
        <v>376</v>
      </c>
      <c r="H1199" s="90">
        <v>0.59</v>
      </c>
      <c r="I1199" s="90">
        <v>0.64</v>
      </c>
      <c r="J1199" s="90" t="s">
        <v>244</v>
      </c>
      <c r="K1199" s="90">
        <v>8.5273238549400006E-3</v>
      </c>
      <c r="L1199" s="90">
        <v>3758.1299554347202</v>
      </c>
      <c r="M1199" s="90">
        <v>10.6998943003032</v>
      </c>
      <c r="N1199" s="90">
        <v>1.4670580481095601</v>
      </c>
      <c r="O1199" s="90">
        <v>9.1241463912360002E-2</v>
      </c>
      <c r="P1199" s="90">
        <v>1.2510079090229999E-2</v>
      </c>
      <c r="Q1199" s="90">
        <v>32.0467912189618</v>
      </c>
      <c r="R1199" s="90">
        <v>1450</v>
      </c>
      <c r="S1199" s="90" t="s">
        <v>391</v>
      </c>
      <c r="T1199" s="90">
        <v>1450</v>
      </c>
      <c r="U1199" s="90" t="s">
        <v>378</v>
      </c>
      <c r="V1199" s="90" t="s">
        <v>244</v>
      </c>
      <c r="Z1199" s="90">
        <v>0</v>
      </c>
      <c r="AA1199" s="90">
        <v>1</v>
      </c>
      <c r="AB1199" s="90">
        <v>9.1241463912360002E-2</v>
      </c>
      <c r="AC1199" s="90">
        <v>1.2510079090229999E-2</v>
      </c>
      <c r="AD1199" s="90">
        <v>850.10961950773003</v>
      </c>
      <c r="AF1199" s="90">
        <v>-1</v>
      </c>
      <c r="AG1199" s="90">
        <v>-1</v>
      </c>
      <c r="AH1199" s="90">
        <v>-1</v>
      </c>
      <c r="AI1199" s="90">
        <v>-1</v>
      </c>
      <c r="AJ1199" s="90">
        <v>0</v>
      </c>
      <c r="AM1199" s="90" t="s">
        <v>379</v>
      </c>
      <c r="AN1199" s="90">
        <v>-1</v>
      </c>
      <c r="AQ1199" s="90">
        <v>374</v>
      </c>
      <c r="AR1199" s="90" t="s">
        <v>281</v>
      </c>
      <c r="AS1199" s="90" t="s">
        <v>282</v>
      </c>
      <c r="AT1199" s="90" t="s">
        <v>244</v>
      </c>
      <c r="AU1199" s="90">
        <v>5.6539809999999999</v>
      </c>
      <c r="AV1199" s="90">
        <v>82.1551031025528</v>
      </c>
      <c r="AW1199" s="90">
        <v>34.508855308270498</v>
      </c>
      <c r="AX1199" s="90">
        <v>0.68946441160000005</v>
      </c>
    </row>
    <row r="1200" spans="1:50" x14ac:dyDescent="0.25">
      <c r="A1200" s="102">
        <v>840000</v>
      </c>
      <c r="B1200" s="102">
        <v>2400000</v>
      </c>
      <c r="C1200" s="102">
        <v>2400000</v>
      </c>
      <c r="D1200" s="90" t="s">
        <v>374</v>
      </c>
      <c r="E1200" s="90" t="s">
        <v>68</v>
      </c>
      <c r="F1200" s="90" t="s">
        <v>375</v>
      </c>
      <c r="G1200" s="90" t="s">
        <v>376</v>
      </c>
      <c r="H1200" s="90">
        <v>0.59</v>
      </c>
      <c r="I1200" s="90">
        <v>0.64</v>
      </c>
      <c r="J1200" s="90" t="s">
        <v>244</v>
      </c>
      <c r="K1200" s="90">
        <v>2.1454629676200001E-3</v>
      </c>
      <c r="L1200" s="90">
        <v>3781.8716354419298</v>
      </c>
      <c r="M1200" s="90">
        <v>11.579550042135599</v>
      </c>
      <c r="N1200" s="90">
        <v>1.5286200724267101</v>
      </c>
      <c r="O1200" s="90">
        <v>2.4843495797149999E-2</v>
      </c>
      <c r="P1200" s="90">
        <v>3.2795977569500001E-3</v>
      </c>
      <c r="Q1200" s="90">
        <v>8.1138655421482895</v>
      </c>
      <c r="R1200" s="90">
        <v>1400</v>
      </c>
      <c r="S1200" s="90" t="s">
        <v>324</v>
      </c>
      <c r="T1200" s="90">
        <v>1400</v>
      </c>
      <c r="U1200" s="90" t="s">
        <v>378</v>
      </c>
      <c r="V1200" s="90" t="s">
        <v>244</v>
      </c>
      <c r="Z1200" s="90">
        <v>0</v>
      </c>
      <c r="AA1200" s="90">
        <v>1</v>
      </c>
      <c r="AB1200" s="90">
        <v>2.4843495797149999E-2</v>
      </c>
      <c r="AC1200" s="90">
        <v>3.2795977569500001E-3</v>
      </c>
      <c r="AD1200" s="90">
        <v>8.1138655421491208</v>
      </c>
      <c r="AF1200" s="90">
        <v>-1</v>
      </c>
      <c r="AG1200" s="90">
        <v>-1</v>
      </c>
      <c r="AH1200" s="90">
        <v>-1</v>
      </c>
      <c r="AI1200" s="90">
        <v>-1</v>
      </c>
      <c r="AJ1200" s="90">
        <v>0</v>
      </c>
      <c r="AM1200" s="90" t="s">
        <v>379</v>
      </c>
      <c r="AN1200" s="90">
        <v>-1</v>
      </c>
      <c r="AQ1200" s="90">
        <v>374</v>
      </c>
      <c r="AR1200" s="90" t="s">
        <v>281</v>
      </c>
      <c r="AS1200" s="90" t="s">
        <v>282</v>
      </c>
      <c r="AT1200" s="90" t="s">
        <v>244</v>
      </c>
      <c r="AU1200" s="90">
        <v>5.6539809999999999</v>
      </c>
      <c r="AV1200" s="90">
        <v>100.369383924863</v>
      </c>
      <c r="AW1200" s="90">
        <v>8.6823805895514194</v>
      </c>
      <c r="AX1200" s="90">
        <v>6.5805884000000002E-3</v>
      </c>
    </row>
    <row r="1201" spans="1:50" x14ac:dyDescent="0.25">
      <c r="A1201" s="102">
        <v>840000</v>
      </c>
      <c r="B1201" s="102">
        <v>2400000</v>
      </c>
      <c r="C1201" s="102">
        <v>2400000</v>
      </c>
      <c r="D1201" s="90" t="s">
        <v>374</v>
      </c>
      <c r="E1201" s="90" t="s">
        <v>68</v>
      </c>
      <c r="F1201" s="90" t="s">
        <v>375</v>
      </c>
      <c r="G1201" s="90" t="s">
        <v>376</v>
      </c>
      <c r="H1201" s="90">
        <v>0.59</v>
      </c>
      <c r="I1201" s="90">
        <v>0.64</v>
      </c>
      <c r="J1201" s="90" t="s">
        <v>381</v>
      </c>
      <c r="K1201" s="90">
        <v>8.1572203335150001E-2</v>
      </c>
      <c r="L1201" s="90">
        <v>3781.8716354419298</v>
      </c>
      <c r="M1201" s="90">
        <v>11.579550042135599</v>
      </c>
      <c r="N1201" s="90">
        <v>1.5286200724267101</v>
      </c>
      <c r="O1201" s="90">
        <v>0.94456941056669996</v>
      </c>
      <c r="P1201" s="90">
        <v>0.12469290737019</v>
      </c>
      <c r="Q1201" s="90">
        <v>308.49560203372801</v>
      </c>
      <c r="R1201" s="90">
        <v>1400</v>
      </c>
      <c r="S1201" s="90" t="s">
        <v>324</v>
      </c>
      <c r="T1201" s="90">
        <v>1400</v>
      </c>
      <c r="U1201" s="90" t="s">
        <v>382</v>
      </c>
      <c r="V1201" s="90" t="s">
        <v>381</v>
      </c>
      <c r="Z1201" s="90">
        <v>0</v>
      </c>
      <c r="AA1201" s="90">
        <v>1</v>
      </c>
      <c r="AB1201" s="90">
        <v>0.94456941056669996</v>
      </c>
      <c r="AC1201" s="90">
        <v>0.12469290737019</v>
      </c>
      <c r="AD1201" s="90">
        <v>308.49560203372903</v>
      </c>
      <c r="AF1201" s="90">
        <v>-1</v>
      </c>
      <c r="AG1201" s="90">
        <v>-1</v>
      </c>
      <c r="AH1201" s="90">
        <v>-1</v>
      </c>
      <c r="AI1201" s="90">
        <v>-1</v>
      </c>
      <c r="AJ1201" s="90">
        <v>0</v>
      </c>
      <c r="AM1201" s="90" t="s">
        <v>379</v>
      </c>
      <c r="AN1201" s="90">
        <v>-1</v>
      </c>
      <c r="AQ1201" s="90">
        <v>374</v>
      </c>
      <c r="AR1201" s="90" t="s">
        <v>281</v>
      </c>
      <c r="AS1201" s="90" t="s">
        <v>282</v>
      </c>
      <c r="AT1201" s="90" t="s">
        <v>244</v>
      </c>
      <c r="AU1201" s="90">
        <v>5.6539809999999999</v>
      </c>
      <c r="AV1201" s="90">
        <v>112.71699787134899</v>
      </c>
      <c r="AW1201" s="90">
        <v>330.11099495619499</v>
      </c>
      <c r="AX1201" s="90">
        <v>0.25019919060000001</v>
      </c>
    </row>
    <row r="1202" spans="1:50" x14ac:dyDescent="0.25">
      <c r="A1202" s="102">
        <v>840000</v>
      </c>
      <c r="B1202" s="102">
        <v>2400000</v>
      </c>
      <c r="C1202" s="102">
        <v>2400000</v>
      </c>
      <c r="D1202" s="90" t="s">
        <v>374</v>
      </c>
      <c r="E1202" s="90" t="s">
        <v>68</v>
      </c>
      <c r="F1202" s="90" t="s">
        <v>375</v>
      </c>
      <c r="G1202" s="90" t="s">
        <v>376</v>
      </c>
      <c r="H1202" s="90">
        <v>0.59</v>
      </c>
      <c r="I1202" s="90">
        <v>0.64</v>
      </c>
      <c r="J1202" s="90" t="s">
        <v>381</v>
      </c>
      <c r="K1202" s="90">
        <v>8.7400388222400004E-3</v>
      </c>
      <c r="L1202" s="90">
        <v>3781.8716354419298</v>
      </c>
      <c r="M1202" s="90">
        <v>11.579550042135599</v>
      </c>
      <c r="N1202" s="90">
        <v>1.5286200724267101</v>
      </c>
      <c r="O1202" s="90">
        <v>0.10120571691234</v>
      </c>
      <c r="P1202" s="90">
        <v>1.3360198777459999E-2</v>
      </c>
      <c r="Q1202" s="90">
        <v>33.053704914494602</v>
      </c>
      <c r="R1202" s="90">
        <v>8140</v>
      </c>
      <c r="S1202" s="90" t="s">
        <v>386</v>
      </c>
      <c r="T1202" s="90">
        <v>8140</v>
      </c>
      <c r="U1202" s="90" t="s">
        <v>382</v>
      </c>
      <c r="V1202" s="90" t="s">
        <v>381</v>
      </c>
      <c r="Z1202" s="90">
        <v>0</v>
      </c>
      <c r="AA1202" s="90">
        <v>1</v>
      </c>
      <c r="AB1202" s="90">
        <v>0.10120571691234</v>
      </c>
      <c r="AC1202" s="90">
        <v>1.3360198777459999E-2</v>
      </c>
      <c r="AD1202" s="90">
        <v>33.0537049144964</v>
      </c>
      <c r="AF1202" s="90">
        <v>-1</v>
      </c>
      <c r="AG1202" s="90">
        <v>-1</v>
      </c>
      <c r="AH1202" s="90">
        <v>-1</v>
      </c>
      <c r="AI1202" s="90">
        <v>-1</v>
      </c>
      <c r="AJ1202" s="90">
        <v>0</v>
      </c>
      <c r="AM1202" s="90" t="s">
        <v>379</v>
      </c>
      <c r="AN1202" s="90">
        <v>-1</v>
      </c>
      <c r="AQ1202" s="90">
        <v>374</v>
      </c>
      <c r="AR1202" s="90" t="s">
        <v>281</v>
      </c>
      <c r="AS1202" s="90" t="s">
        <v>282</v>
      </c>
      <c r="AT1202" s="90" t="s">
        <v>244</v>
      </c>
      <c r="AU1202" s="90">
        <v>5.6539809999999999</v>
      </c>
      <c r="AV1202" s="90">
        <v>101.96529761782701</v>
      </c>
      <c r="AW1202" s="90">
        <v>35.369682239813201</v>
      </c>
      <c r="AX1202" s="90">
        <v>2.6807546599999999E-2</v>
      </c>
    </row>
    <row r="1203" spans="1:50" x14ac:dyDescent="0.25">
      <c r="A1203" s="102">
        <v>840000</v>
      </c>
      <c r="B1203" s="102">
        <v>2400000</v>
      </c>
      <c r="C1203" s="102">
        <v>2400000</v>
      </c>
      <c r="D1203" s="90" t="s">
        <v>374</v>
      </c>
      <c r="E1203" s="90" t="s">
        <v>68</v>
      </c>
      <c r="F1203" s="90" t="s">
        <v>375</v>
      </c>
      <c r="G1203" s="90" t="s">
        <v>376</v>
      </c>
      <c r="H1203" s="90">
        <v>0.59</v>
      </c>
      <c r="I1203" s="90">
        <v>0.64</v>
      </c>
      <c r="J1203" s="90" t="s">
        <v>244</v>
      </c>
      <c r="K1203" s="90">
        <v>0.47742420324753998</v>
      </c>
      <c r="L1203" s="90">
        <v>3781.8716354419298</v>
      </c>
      <c r="M1203" s="90">
        <v>11.579550042135599</v>
      </c>
      <c r="N1203" s="90">
        <v>1.5286200724267101</v>
      </c>
      <c r="O1203" s="90">
        <v>5.5283574528316697</v>
      </c>
      <c r="P1203" s="90">
        <v>0.72980022014652002</v>
      </c>
      <c r="Q1203" s="90">
        <v>1805.5570523353499</v>
      </c>
      <c r="R1203" s="90">
        <v>1410</v>
      </c>
      <c r="S1203" s="90" t="s">
        <v>325</v>
      </c>
      <c r="T1203" s="90">
        <v>1410</v>
      </c>
      <c r="U1203" s="90" t="s">
        <v>378</v>
      </c>
      <c r="V1203" s="90" t="s">
        <v>244</v>
      </c>
      <c r="Z1203" s="90">
        <v>0</v>
      </c>
      <c r="AA1203" s="90">
        <v>1</v>
      </c>
      <c r="AB1203" s="90">
        <v>5.5283574528316697</v>
      </c>
      <c r="AC1203" s="90">
        <v>0.72980022014652002</v>
      </c>
      <c r="AD1203" s="90">
        <v>1986.6389106970901</v>
      </c>
      <c r="AF1203" s="90">
        <v>-1</v>
      </c>
      <c r="AG1203" s="90">
        <v>-1</v>
      </c>
      <c r="AH1203" s="90">
        <v>-1</v>
      </c>
      <c r="AI1203" s="90">
        <v>-1</v>
      </c>
      <c r="AJ1203" s="90">
        <v>0</v>
      </c>
      <c r="AM1203" s="90" t="s">
        <v>379</v>
      </c>
      <c r="AN1203" s="90">
        <v>-1</v>
      </c>
      <c r="AQ1203" s="90">
        <v>374</v>
      </c>
      <c r="AR1203" s="90" t="s">
        <v>281</v>
      </c>
      <c r="AS1203" s="90" t="s">
        <v>282</v>
      </c>
      <c r="AT1203" s="90" t="s">
        <v>244</v>
      </c>
      <c r="AU1203" s="90">
        <v>5.6539809999999999</v>
      </c>
      <c r="AV1203" s="90">
        <v>175.07354506348901</v>
      </c>
      <c r="AW1203" s="90">
        <v>1932.0672031215199</v>
      </c>
      <c r="AX1203" s="90">
        <v>1.6112237719</v>
      </c>
    </row>
    <row r="1204" spans="1:50" x14ac:dyDescent="0.25">
      <c r="A1204" s="102">
        <v>840000</v>
      </c>
      <c r="B1204" s="102">
        <v>2400000</v>
      </c>
      <c r="C1204" s="102">
        <v>2400000</v>
      </c>
      <c r="D1204" s="90" t="s">
        <v>374</v>
      </c>
      <c r="E1204" s="90" t="s">
        <v>68</v>
      </c>
      <c r="F1204" s="90" t="s">
        <v>375</v>
      </c>
      <c r="G1204" s="90" t="s">
        <v>376</v>
      </c>
      <c r="H1204" s="90">
        <v>0.59</v>
      </c>
      <c r="I1204" s="90">
        <v>0.64</v>
      </c>
      <c r="J1204" s="90" t="s">
        <v>244</v>
      </c>
      <c r="K1204" s="90">
        <v>7.8372097874010005E-2</v>
      </c>
      <c r="L1204" s="90">
        <v>3782.1091691373299</v>
      </c>
      <c r="M1204" s="90">
        <v>11.6204057133546</v>
      </c>
      <c r="N1204" s="90">
        <v>1.53418801912293</v>
      </c>
      <c r="O1204" s="90">
        <v>0.91071557390281999</v>
      </c>
      <c r="P1204" s="90">
        <v>0.12023753359184</v>
      </c>
      <c r="Q1204" s="90">
        <v>296.41182997385198</v>
      </c>
      <c r="R1204" s="90">
        <v>1400</v>
      </c>
      <c r="S1204" s="90" t="s">
        <v>324</v>
      </c>
      <c r="T1204" s="90">
        <v>1400</v>
      </c>
      <c r="U1204" s="90" t="s">
        <v>378</v>
      </c>
      <c r="V1204" s="90" t="s">
        <v>244</v>
      </c>
      <c r="Z1204" s="90">
        <v>0</v>
      </c>
      <c r="AA1204" s="90">
        <v>1</v>
      </c>
      <c r="AB1204" s="90">
        <v>0.91071557390281999</v>
      </c>
      <c r="AC1204" s="90">
        <v>0.12023753359184</v>
      </c>
      <c r="AD1204" s="90">
        <v>296.41182997385198</v>
      </c>
      <c r="AF1204" s="90">
        <v>-1</v>
      </c>
      <c r="AG1204" s="90">
        <v>-1</v>
      </c>
      <c r="AH1204" s="90">
        <v>-1</v>
      </c>
      <c r="AI1204" s="90">
        <v>-1</v>
      </c>
      <c r="AJ1204" s="90">
        <v>0</v>
      </c>
      <c r="AM1204" s="90" t="s">
        <v>379</v>
      </c>
      <c r="AN1204" s="90">
        <v>-1</v>
      </c>
      <c r="AQ1204" s="90">
        <v>374</v>
      </c>
      <c r="AR1204" s="90" t="s">
        <v>281</v>
      </c>
      <c r="AS1204" s="90" t="s">
        <v>282</v>
      </c>
      <c r="AT1204" s="90" t="s">
        <v>244</v>
      </c>
      <c r="AU1204" s="90">
        <v>5.6539809999999999</v>
      </c>
      <c r="AV1204" s="90">
        <v>112.705094993532</v>
      </c>
      <c r="AW1204" s="90">
        <v>317.16062761843199</v>
      </c>
      <c r="AX1204" s="90">
        <v>0.2403988889</v>
      </c>
    </row>
    <row r="1205" spans="1:50" x14ac:dyDescent="0.25">
      <c r="A1205" s="102">
        <v>840000</v>
      </c>
      <c r="B1205" s="102">
        <v>2400000</v>
      </c>
      <c r="C1205" s="102">
        <v>2400000</v>
      </c>
      <c r="D1205" s="90" t="s">
        <v>374</v>
      </c>
      <c r="E1205" s="90" t="s">
        <v>68</v>
      </c>
      <c r="F1205" s="90" t="s">
        <v>375</v>
      </c>
      <c r="G1205" s="90" t="s">
        <v>376</v>
      </c>
      <c r="H1205" s="90">
        <v>0.59</v>
      </c>
      <c r="I1205" s="90">
        <v>0.64</v>
      </c>
      <c r="J1205" s="90" t="s">
        <v>244</v>
      </c>
      <c r="K1205" s="90">
        <v>0.53939135579388997</v>
      </c>
      <c r="L1205" s="90">
        <v>3782.1091691373299</v>
      </c>
      <c r="M1205" s="90">
        <v>11.6204057133546</v>
      </c>
      <c r="N1205" s="90">
        <v>1.53418801912293</v>
      </c>
      <c r="O1205" s="90">
        <v>6.2679463926014796</v>
      </c>
      <c r="P1205" s="90">
        <v>0.82752775567746995</v>
      </c>
      <c r="Q1205" s="90">
        <v>2040.0369925015</v>
      </c>
      <c r="R1205" s="90">
        <v>1410</v>
      </c>
      <c r="S1205" s="90" t="s">
        <v>325</v>
      </c>
      <c r="T1205" s="90">
        <v>1410</v>
      </c>
      <c r="U1205" s="90" t="s">
        <v>378</v>
      </c>
      <c r="V1205" s="90" t="s">
        <v>244</v>
      </c>
      <c r="Z1205" s="90">
        <v>0</v>
      </c>
      <c r="AA1205" s="90">
        <v>1</v>
      </c>
      <c r="AB1205" s="90">
        <v>6.2679463926014796</v>
      </c>
      <c r="AC1205" s="90">
        <v>0.82752775567746995</v>
      </c>
      <c r="AD1205" s="90">
        <v>2040.0369925015</v>
      </c>
      <c r="AF1205" s="90">
        <v>-1</v>
      </c>
      <c r="AG1205" s="90">
        <v>-1</v>
      </c>
      <c r="AH1205" s="90">
        <v>-1</v>
      </c>
      <c r="AI1205" s="90">
        <v>-1</v>
      </c>
      <c r="AJ1205" s="90">
        <v>0</v>
      </c>
      <c r="AM1205" s="90" t="s">
        <v>379</v>
      </c>
      <c r="AN1205" s="90">
        <v>-1</v>
      </c>
      <c r="AQ1205" s="90">
        <v>374</v>
      </c>
      <c r="AR1205" s="90" t="s">
        <v>281</v>
      </c>
      <c r="AS1205" s="90" t="s">
        <v>282</v>
      </c>
      <c r="AT1205" s="90" t="s">
        <v>244</v>
      </c>
      <c r="AU1205" s="90">
        <v>5.6539809999999999</v>
      </c>
      <c r="AV1205" s="90">
        <v>187.332244784057</v>
      </c>
      <c r="AW1205" s="90">
        <v>2182.8393723815602</v>
      </c>
      <c r="AX1205" s="90">
        <v>1.6545312186000001</v>
      </c>
    </row>
    <row r="1206" spans="1:50" x14ac:dyDescent="0.25">
      <c r="A1206" s="102">
        <v>840000</v>
      </c>
      <c r="B1206" s="102">
        <v>2400000</v>
      </c>
      <c r="C1206" s="102">
        <v>2400000</v>
      </c>
      <c r="D1206" s="90" t="s">
        <v>374</v>
      </c>
      <c r="E1206" s="90" t="s">
        <v>68</v>
      </c>
      <c r="F1206" s="90" t="s">
        <v>375</v>
      </c>
      <c r="G1206" s="90" t="s">
        <v>376</v>
      </c>
      <c r="H1206" s="90">
        <v>0.59</v>
      </c>
      <c r="I1206" s="90">
        <v>0.64</v>
      </c>
      <c r="J1206" s="90" t="s">
        <v>381</v>
      </c>
      <c r="K1206" s="90">
        <v>3.8371460621069997E-2</v>
      </c>
      <c r="L1206" s="90">
        <v>3774.46272523159</v>
      </c>
      <c r="M1206" s="90">
        <v>10.6418536584173</v>
      </c>
      <c r="N1206" s="90">
        <v>1.4008455664980699</v>
      </c>
      <c r="O1206" s="90">
        <v>0.40834346858916998</v>
      </c>
      <c r="P1206" s="90">
        <v>5.3752490491080003E-2</v>
      </c>
      <c r="Q1206" s="90">
        <v>144.83164782692799</v>
      </c>
      <c r="R1206" s="90">
        <v>8140</v>
      </c>
      <c r="S1206" s="90" t="s">
        <v>386</v>
      </c>
      <c r="T1206" s="90">
        <v>8140</v>
      </c>
      <c r="U1206" s="90" t="s">
        <v>382</v>
      </c>
      <c r="V1206" s="90" t="s">
        <v>381</v>
      </c>
      <c r="Z1206" s="90">
        <v>0</v>
      </c>
      <c r="AA1206" s="90">
        <v>1</v>
      </c>
      <c r="AB1206" s="90">
        <v>0.40834346858916998</v>
      </c>
      <c r="AC1206" s="90">
        <v>5.3752490491080003E-2</v>
      </c>
      <c r="AD1206" s="90">
        <v>786.01381358088497</v>
      </c>
      <c r="AF1206" s="90">
        <v>-1</v>
      </c>
      <c r="AG1206" s="90">
        <v>-1</v>
      </c>
      <c r="AH1206" s="90">
        <v>-1</v>
      </c>
      <c r="AI1206" s="90">
        <v>-1</v>
      </c>
      <c r="AJ1206" s="90">
        <v>0</v>
      </c>
      <c r="AM1206" s="90" t="s">
        <v>379</v>
      </c>
      <c r="AN1206" s="90">
        <v>-1</v>
      </c>
      <c r="AQ1206" s="90">
        <v>374</v>
      </c>
      <c r="AR1206" s="90" t="s">
        <v>281</v>
      </c>
      <c r="AS1206" s="90" t="s">
        <v>282</v>
      </c>
      <c r="AT1206" s="90" t="s">
        <v>244</v>
      </c>
      <c r="AU1206" s="90">
        <v>5.6539809999999999</v>
      </c>
      <c r="AV1206" s="90">
        <v>106.275710194751</v>
      </c>
      <c r="AW1206" s="90">
        <v>155.283791851252</v>
      </c>
      <c r="AX1206" s="90">
        <v>0.63748078959999999</v>
      </c>
    </row>
    <row r="1207" spans="1:50" x14ac:dyDescent="0.25">
      <c r="A1207" s="102">
        <v>840000</v>
      </c>
      <c r="B1207" s="102">
        <v>2400000</v>
      </c>
      <c r="C1207" s="102">
        <v>2400000</v>
      </c>
      <c r="D1207" s="90" t="s">
        <v>374</v>
      </c>
      <c r="E1207" s="90" t="s">
        <v>68</v>
      </c>
      <c r="F1207" s="90" t="s">
        <v>375</v>
      </c>
      <c r="G1207" s="90" t="s">
        <v>376</v>
      </c>
      <c r="H1207" s="90">
        <v>0.59</v>
      </c>
      <c r="I1207" s="90">
        <v>0.64</v>
      </c>
      <c r="J1207" s="90" t="s">
        <v>244</v>
      </c>
      <c r="K1207" s="90">
        <v>0.12731611169095</v>
      </c>
      <c r="L1207" s="90">
        <v>3783.8090208048302</v>
      </c>
      <c r="M1207" s="90">
        <v>11.6254551144582</v>
      </c>
      <c r="N1207" s="90">
        <v>1.53485638481041</v>
      </c>
      <c r="O1207" s="90">
        <v>1.4801077418105499</v>
      </c>
      <c r="P1207" s="90">
        <v>0.19541194691809</v>
      </c>
      <c r="Q1207" s="90">
        <v>481.73985191003101</v>
      </c>
      <c r="R1207" s="90">
        <v>1450</v>
      </c>
      <c r="S1207" s="90" t="s">
        <v>391</v>
      </c>
      <c r="T1207" s="90">
        <v>1450</v>
      </c>
      <c r="U1207" s="90" t="s">
        <v>378</v>
      </c>
      <c r="V1207" s="90" t="s">
        <v>244</v>
      </c>
      <c r="Z1207" s="90">
        <v>0</v>
      </c>
      <c r="AA1207" s="90">
        <v>1</v>
      </c>
      <c r="AB1207" s="90">
        <v>1.4801077418105499</v>
      </c>
      <c r="AC1207" s="90">
        <v>0.19541194691809</v>
      </c>
      <c r="AD1207" s="90">
        <v>2337.4989289734299</v>
      </c>
      <c r="AF1207" s="90">
        <v>-1</v>
      </c>
      <c r="AG1207" s="90">
        <v>-1</v>
      </c>
      <c r="AH1207" s="90">
        <v>-1</v>
      </c>
      <c r="AI1207" s="90">
        <v>-1</v>
      </c>
      <c r="AJ1207" s="90">
        <v>0</v>
      </c>
      <c r="AM1207" s="90" t="s">
        <v>379</v>
      </c>
      <c r="AN1207" s="90">
        <v>-1</v>
      </c>
      <c r="AQ1207" s="90">
        <v>374</v>
      </c>
      <c r="AR1207" s="90" t="s">
        <v>281</v>
      </c>
      <c r="AS1207" s="90" t="s">
        <v>282</v>
      </c>
      <c r="AT1207" s="90" t="s">
        <v>244</v>
      </c>
      <c r="AU1207" s="90">
        <v>5.6539809999999999</v>
      </c>
      <c r="AV1207" s="90">
        <v>121.02366313856101</v>
      </c>
      <c r="AW1207" s="90">
        <v>515.23002427153801</v>
      </c>
      <c r="AX1207" s="90">
        <v>1.8957817752999999</v>
      </c>
    </row>
    <row r="1208" spans="1:50" x14ac:dyDescent="0.25">
      <c r="A1208" s="102">
        <v>840000</v>
      </c>
      <c r="B1208" s="102">
        <v>2400000</v>
      </c>
      <c r="C1208" s="102">
        <v>2400000</v>
      </c>
      <c r="D1208" s="90" t="s">
        <v>374</v>
      </c>
      <c r="E1208" s="90" t="s">
        <v>68</v>
      </c>
      <c r="F1208" s="90" t="s">
        <v>375</v>
      </c>
      <c r="G1208" s="90" t="s">
        <v>376</v>
      </c>
      <c r="H1208" s="90">
        <v>0.59</v>
      </c>
      <c r="I1208" s="90">
        <v>0.64</v>
      </c>
      <c r="J1208" s="90" t="s">
        <v>381</v>
      </c>
      <c r="K1208" s="90">
        <v>4.9863011619000002E-4</v>
      </c>
      <c r="L1208" s="90">
        <v>3724.5902340310099</v>
      </c>
      <c r="M1208" s="90">
        <v>8.1031414486942204</v>
      </c>
      <c r="N1208" s="90">
        <v>1.0815343837899101</v>
      </c>
      <c r="O1208" s="90">
        <v>4.0404703621299996E-3</v>
      </c>
      <c r="P1208" s="90">
        <v>5.3928561546000005E-4</v>
      </c>
      <c r="Q1208" s="90">
        <v>1.85719286118854</v>
      </c>
      <c r="R1208" s="90">
        <v>1400</v>
      </c>
      <c r="S1208" s="90" t="s">
        <v>324</v>
      </c>
      <c r="T1208" s="90">
        <v>1400</v>
      </c>
      <c r="U1208" s="90" t="s">
        <v>382</v>
      </c>
      <c r="V1208" s="90" t="s">
        <v>381</v>
      </c>
      <c r="Z1208" s="90">
        <v>0</v>
      </c>
      <c r="AA1208" s="90">
        <v>1</v>
      </c>
      <c r="AB1208" s="90">
        <v>4.0404703621299996E-3</v>
      </c>
      <c r="AC1208" s="90">
        <v>5.3928561546000005E-4</v>
      </c>
      <c r="AD1208" s="90">
        <v>60.367873091993403</v>
      </c>
      <c r="AF1208" s="90">
        <v>-1</v>
      </c>
      <c r="AG1208" s="90">
        <v>-1</v>
      </c>
      <c r="AH1208" s="90">
        <v>-1</v>
      </c>
      <c r="AI1208" s="90">
        <v>-1</v>
      </c>
      <c r="AJ1208" s="90">
        <v>0</v>
      </c>
      <c r="AM1208" s="90" t="s">
        <v>379</v>
      </c>
      <c r="AN1208" s="90">
        <v>-1</v>
      </c>
      <c r="AQ1208" s="90">
        <v>374</v>
      </c>
      <c r="AR1208" s="90" t="s">
        <v>281</v>
      </c>
      <c r="AS1208" s="90" t="s">
        <v>282</v>
      </c>
      <c r="AT1208" s="90" t="s">
        <v>244</v>
      </c>
      <c r="AU1208" s="90">
        <v>5.6539809999999999</v>
      </c>
      <c r="AV1208" s="90">
        <v>10.0563273796435</v>
      </c>
      <c r="AW1208" s="90">
        <v>2.0178844881417399</v>
      </c>
      <c r="AX1208" s="90">
        <v>4.8960156599999999E-2</v>
      </c>
    </row>
    <row r="1209" spans="1:50" x14ac:dyDescent="0.25">
      <c r="A1209" s="102">
        <v>840000</v>
      </c>
      <c r="B1209" s="102">
        <v>2400000</v>
      </c>
      <c r="C1209" s="102">
        <v>2400000</v>
      </c>
      <c r="D1209" s="90" t="s">
        <v>374</v>
      </c>
      <c r="E1209" s="90" t="s">
        <v>68</v>
      </c>
      <c r="F1209" s="90" t="s">
        <v>375</v>
      </c>
      <c r="G1209" s="90" t="s">
        <v>376</v>
      </c>
      <c r="H1209" s="90">
        <v>0.59</v>
      </c>
      <c r="I1209" s="90">
        <v>0.64</v>
      </c>
      <c r="J1209" s="90" t="s">
        <v>381</v>
      </c>
      <c r="K1209" s="90">
        <v>1.008702253066E-2</v>
      </c>
      <c r="L1209" s="90">
        <v>3724.5902340310099</v>
      </c>
      <c r="M1209" s="90">
        <v>8.1031414486942204</v>
      </c>
      <c r="N1209" s="90">
        <v>1.0815343837899101</v>
      </c>
      <c r="O1209" s="90">
        <v>8.1736570362140007E-2</v>
      </c>
      <c r="P1209" s="90">
        <v>1.090946169697E-2</v>
      </c>
      <c r="Q1209" s="90">
        <v>37.570025608165601</v>
      </c>
      <c r="R1209" s="90">
        <v>8140</v>
      </c>
      <c r="S1209" s="90" t="s">
        <v>386</v>
      </c>
      <c r="T1209" s="90">
        <v>8140</v>
      </c>
      <c r="U1209" s="90" t="s">
        <v>382</v>
      </c>
      <c r="V1209" s="90" t="s">
        <v>381</v>
      </c>
      <c r="Z1209" s="90">
        <v>0</v>
      </c>
      <c r="AA1209" s="90">
        <v>1</v>
      </c>
      <c r="AB1209" s="90">
        <v>8.1736570362140007E-2</v>
      </c>
      <c r="AC1209" s="90">
        <v>1.090946169697E-2</v>
      </c>
      <c r="AD1209" s="90">
        <v>998.96236710378298</v>
      </c>
      <c r="AF1209" s="90">
        <v>-1</v>
      </c>
      <c r="AG1209" s="90">
        <v>-1</v>
      </c>
      <c r="AH1209" s="90">
        <v>-1</v>
      </c>
      <c r="AI1209" s="90">
        <v>-1</v>
      </c>
      <c r="AJ1209" s="90">
        <v>0</v>
      </c>
      <c r="AM1209" s="90" t="s">
        <v>379</v>
      </c>
      <c r="AN1209" s="90">
        <v>-1</v>
      </c>
      <c r="AQ1209" s="90">
        <v>374</v>
      </c>
      <c r="AR1209" s="90" t="s">
        <v>281</v>
      </c>
      <c r="AS1209" s="90" t="s">
        <v>282</v>
      </c>
      <c r="AT1209" s="90" t="s">
        <v>244</v>
      </c>
      <c r="AU1209" s="90">
        <v>5.6539809999999999</v>
      </c>
      <c r="AV1209" s="90">
        <v>27.198996134420302</v>
      </c>
      <c r="AW1209" s="90">
        <v>40.820731911114699</v>
      </c>
      <c r="AX1209" s="90">
        <v>0.81018845669999995</v>
      </c>
    </row>
    <row r="1210" spans="1:50" x14ac:dyDescent="0.25">
      <c r="A1210" s="102">
        <v>840000</v>
      </c>
      <c r="B1210" s="102">
        <v>2400000</v>
      </c>
      <c r="C1210" s="102">
        <v>2400000</v>
      </c>
      <c r="D1210" s="90" t="s">
        <v>374</v>
      </c>
      <c r="E1210" s="90" t="s">
        <v>68</v>
      </c>
      <c r="F1210" s="90" t="s">
        <v>375</v>
      </c>
      <c r="G1210" s="90" t="s">
        <v>376</v>
      </c>
      <c r="H1210" s="90">
        <v>0.59</v>
      </c>
      <c r="I1210" s="90">
        <v>0.64</v>
      </c>
      <c r="J1210" s="90" t="s">
        <v>381</v>
      </c>
      <c r="K1210" s="90">
        <v>2.39801993196E-3</v>
      </c>
      <c r="L1210" s="90">
        <v>3776.3353987987098</v>
      </c>
      <c r="M1210" s="90">
        <v>10.7516417475435</v>
      </c>
      <c r="N1210" s="90">
        <v>1.4157952348805301</v>
      </c>
      <c r="O1210" s="90">
        <v>2.578265121191E-2</v>
      </c>
      <c r="P1210" s="90">
        <v>3.39510519281E-3</v>
      </c>
      <c r="Q1210" s="90">
        <v>9.0557275560892094</v>
      </c>
      <c r="R1210" s="90">
        <v>8140</v>
      </c>
      <c r="S1210" s="90" t="s">
        <v>386</v>
      </c>
      <c r="T1210" s="90">
        <v>8140</v>
      </c>
      <c r="U1210" s="90" t="s">
        <v>382</v>
      </c>
      <c r="V1210" s="90" t="s">
        <v>381</v>
      </c>
      <c r="Z1210" s="90">
        <v>0</v>
      </c>
      <c r="AA1210" s="90">
        <v>1</v>
      </c>
      <c r="AB1210" s="90">
        <v>2.578265121191E-2</v>
      </c>
      <c r="AC1210" s="90">
        <v>3.39510519281E-3</v>
      </c>
      <c r="AD1210" s="90">
        <v>700.37633038001502</v>
      </c>
      <c r="AF1210" s="90">
        <v>-1</v>
      </c>
      <c r="AG1210" s="90">
        <v>-1</v>
      </c>
      <c r="AH1210" s="90">
        <v>-1</v>
      </c>
      <c r="AI1210" s="90">
        <v>-1</v>
      </c>
      <c r="AJ1210" s="90">
        <v>0</v>
      </c>
      <c r="AM1210" s="90" t="s">
        <v>379</v>
      </c>
      <c r="AN1210" s="90">
        <v>-1</v>
      </c>
      <c r="AQ1210" s="90">
        <v>374</v>
      </c>
      <c r="AR1210" s="90" t="s">
        <v>281</v>
      </c>
      <c r="AS1210" s="90" t="s">
        <v>282</v>
      </c>
      <c r="AT1210" s="90" t="s">
        <v>244</v>
      </c>
      <c r="AU1210" s="90">
        <v>5.6539809999999999</v>
      </c>
      <c r="AV1210" s="90">
        <v>14.880290389072201</v>
      </c>
      <c r="AW1210" s="90">
        <v>9.7044423626996004</v>
      </c>
      <c r="AX1210" s="90">
        <v>0.56802622089999999</v>
      </c>
    </row>
    <row r="1211" spans="1:50" x14ac:dyDescent="0.25">
      <c r="A1211" s="102">
        <v>840000</v>
      </c>
      <c r="B1211" s="102">
        <v>2400000</v>
      </c>
      <c r="C1211" s="102">
        <v>2400000</v>
      </c>
      <c r="D1211" s="90" t="s">
        <v>374</v>
      </c>
      <c r="E1211" s="90" t="s">
        <v>68</v>
      </c>
      <c r="F1211" s="90" t="s">
        <v>375</v>
      </c>
      <c r="G1211" s="90" t="s">
        <v>376</v>
      </c>
      <c r="H1211" s="90">
        <v>0.59</v>
      </c>
      <c r="I1211" s="90">
        <v>0.64</v>
      </c>
      <c r="J1211" s="90" t="s">
        <v>381</v>
      </c>
      <c r="K1211" s="90">
        <v>6.9725604184370002E-2</v>
      </c>
      <c r="L1211" s="90">
        <v>3773.50880480261</v>
      </c>
      <c r="M1211" s="90">
        <v>10.5118458581266</v>
      </c>
      <c r="N1211" s="90">
        <v>1.3831271150873501</v>
      </c>
      <c r="O1211" s="90">
        <v>0.73294480355090996</v>
      </c>
      <c r="P1211" s="90">
        <v>9.643937376325E-2</v>
      </c>
      <c r="Q1211" s="90">
        <v>263.11018130992397</v>
      </c>
      <c r="R1211" s="90">
        <v>8140</v>
      </c>
      <c r="S1211" s="90" t="s">
        <v>386</v>
      </c>
      <c r="T1211" s="90">
        <v>8140</v>
      </c>
      <c r="U1211" s="90" t="s">
        <v>382</v>
      </c>
      <c r="V1211" s="90" t="s">
        <v>381</v>
      </c>
      <c r="Z1211" s="90">
        <v>0</v>
      </c>
      <c r="AA1211" s="90">
        <v>1</v>
      </c>
      <c r="AB1211" s="90">
        <v>0.73294480355090996</v>
      </c>
      <c r="AC1211" s="90">
        <v>9.643937376325E-2</v>
      </c>
      <c r="AD1211" s="90">
        <v>890.49505133160403</v>
      </c>
      <c r="AF1211" s="90">
        <v>-1</v>
      </c>
      <c r="AG1211" s="90">
        <v>-1</v>
      </c>
      <c r="AH1211" s="90">
        <v>-1</v>
      </c>
      <c r="AI1211" s="90">
        <v>-1</v>
      </c>
      <c r="AJ1211" s="90">
        <v>0</v>
      </c>
      <c r="AM1211" s="90" t="s">
        <v>379</v>
      </c>
      <c r="AN1211" s="90">
        <v>-1</v>
      </c>
      <c r="AQ1211" s="90">
        <v>374</v>
      </c>
      <c r="AR1211" s="90" t="s">
        <v>281</v>
      </c>
      <c r="AS1211" s="90" t="s">
        <v>282</v>
      </c>
      <c r="AT1211" s="90" t="s">
        <v>244</v>
      </c>
      <c r="AU1211" s="90">
        <v>5.6539809999999999</v>
      </c>
      <c r="AV1211" s="90">
        <v>111.351138878255</v>
      </c>
      <c r="AW1211" s="90">
        <v>282.16950909926197</v>
      </c>
      <c r="AX1211" s="90">
        <v>0.72221820869999998</v>
      </c>
    </row>
    <row r="1212" spans="1:50" x14ac:dyDescent="0.25">
      <c r="A1212" s="102">
        <v>840000</v>
      </c>
      <c r="B1212" s="102">
        <v>2400000</v>
      </c>
      <c r="C1212" s="102">
        <v>2400000</v>
      </c>
      <c r="D1212" s="90" t="s">
        <v>374</v>
      </c>
      <c r="E1212" s="90" t="s">
        <v>68</v>
      </c>
      <c r="F1212" s="90" t="s">
        <v>375</v>
      </c>
      <c r="G1212" s="90" t="s">
        <v>376</v>
      </c>
      <c r="H1212" s="90">
        <v>0.59</v>
      </c>
      <c r="I1212" s="90">
        <v>0.64</v>
      </c>
      <c r="J1212" s="90" t="s">
        <v>244</v>
      </c>
      <c r="K1212" s="90">
        <v>4.1710682680399999E-3</v>
      </c>
      <c r="L1212" s="90">
        <v>3781.4657523627202</v>
      </c>
      <c r="M1212" s="90">
        <v>11.211659378571699</v>
      </c>
      <c r="N1212" s="90">
        <v>1.47846289516623</v>
      </c>
      <c r="O1212" s="90">
        <v>4.6764596666090001E-2</v>
      </c>
      <c r="P1212" s="90">
        <v>6.1667696675100003E-3</v>
      </c>
      <c r="Q1212" s="90">
        <v>15.772751806379</v>
      </c>
      <c r="R1212" s="90">
        <v>1450</v>
      </c>
      <c r="S1212" s="90" t="s">
        <v>391</v>
      </c>
      <c r="T1212" s="90">
        <v>1450</v>
      </c>
      <c r="U1212" s="90" t="s">
        <v>378</v>
      </c>
      <c r="V1212" s="90" t="s">
        <v>244</v>
      </c>
      <c r="Z1212" s="90">
        <v>0</v>
      </c>
      <c r="AA1212" s="90">
        <v>1</v>
      </c>
      <c r="AB1212" s="90">
        <v>4.6764596666090001E-2</v>
      </c>
      <c r="AC1212" s="90">
        <v>6.1667696675100003E-3</v>
      </c>
      <c r="AD1212" s="90">
        <v>1779.6626758668101</v>
      </c>
      <c r="AF1212" s="90">
        <v>-1</v>
      </c>
      <c r="AG1212" s="90">
        <v>-1</v>
      </c>
      <c r="AH1212" s="90">
        <v>-1</v>
      </c>
      <c r="AI1212" s="90">
        <v>-1</v>
      </c>
      <c r="AJ1212" s="90">
        <v>0</v>
      </c>
      <c r="AM1212" s="90" t="s">
        <v>379</v>
      </c>
      <c r="AN1212" s="90">
        <v>-1</v>
      </c>
      <c r="AQ1212" s="90">
        <v>374</v>
      </c>
      <c r="AR1212" s="90" t="s">
        <v>281</v>
      </c>
      <c r="AS1212" s="90" t="s">
        <v>282</v>
      </c>
      <c r="AT1212" s="90" t="s">
        <v>244</v>
      </c>
      <c r="AU1212" s="90">
        <v>5.6539809999999999</v>
      </c>
      <c r="AV1212" s="90">
        <v>23.424676870584801</v>
      </c>
      <c r="AW1212" s="90">
        <v>16.879714408808201</v>
      </c>
      <c r="AX1212" s="90">
        <v>1.4433598344</v>
      </c>
    </row>
    <row r="1213" spans="1:50" x14ac:dyDescent="0.25">
      <c r="A1213" s="102">
        <v>840000</v>
      </c>
      <c r="B1213" s="102">
        <v>2400000</v>
      </c>
      <c r="C1213" s="102">
        <v>2400000</v>
      </c>
      <c r="D1213" s="90" t="s">
        <v>374</v>
      </c>
      <c r="E1213" s="90" t="s">
        <v>68</v>
      </c>
      <c r="F1213" s="90" t="s">
        <v>375</v>
      </c>
      <c r="G1213" s="90" t="s">
        <v>376</v>
      </c>
      <c r="H1213" s="90">
        <v>0.59</v>
      </c>
      <c r="I1213" s="90">
        <v>0.64</v>
      </c>
      <c r="J1213" s="90" t="s">
        <v>244</v>
      </c>
      <c r="K1213" s="90">
        <v>7.8329125672799996E-2</v>
      </c>
      <c r="L1213" s="90">
        <v>3781.2318427149698</v>
      </c>
      <c r="M1213" s="90">
        <v>11.4678244406386</v>
      </c>
      <c r="N1213" s="90">
        <v>1.51339376336706</v>
      </c>
      <c r="O1213" s="90">
        <v>0.89826466180444997</v>
      </c>
      <c r="P1213" s="90">
        <v>0.11854281028321</v>
      </c>
      <c r="Q1213" s="90">
        <v>296.18058420603199</v>
      </c>
      <c r="R1213" s="90">
        <v>1400</v>
      </c>
      <c r="S1213" s="90" t="s">
        <v>324</v>
      </c>
      <c r="T1213" s="90">
        <v>1400</v>
      </c>
      <c r="U1213" s="90" t="s">
        <v>378</v>
      </c>
      <c r="V1213" s="90" t="s">
        <v>244</v>
      </c>
      <c r="Z1213" s="90">
        <v>0</v>
      </c>
      <c r="AA1213" s="90">
        <v>1</v>
      </c>
      <c r="AB1213" s="90">
        <v>0.89826466180444997</v>
      </c>
      <c r="AC1213" s="90">
        <v>0.11854281028321</v>
      </c>
      <c r="AD1213" s="90">
        <v>296.18058420603199</v>
      </c>
      <c r="AF1213" s="90">
        <v>-1</v>
      </c>
      <c r="AG1213" s="90">
        <v>-1</v>
      </c>
      <c r="AH1213" s="90">
        <v>-1</v>
      </c>
      <c r="AI1213" s="90">
        <v>-1</v>
      </c>
      <c r="AJ1213" s="90">
        <v>0</v>
      </c>
      <c r="AM1213" s="90" t="s">
        <v>379</v>
      </c>
      <c r="AN1213" s="90">
        <v>-1</v>
      </c>
      <c r="AQ1213" s="90">
        <v>374</v>
      </c>
      <c r="AR1213" s="90" t="s">
        <v>281</v>
      </c>
      <c r="AS1213" s="90" t="s">
        <v>282</v>
      </c>
      <c r="AT1213" s="90" t="s">
        <v>244</v>
      </c>
      <c r="AU1213" s="90">
        <v>5.6539809999999999</v>
      </c>
      <c r="AV1213" s="90">
        <v>180.59953825431199</v>
      </c>
      <c r="AW1213" s="90">
        <v>316.98672528996599</v>
      </c>
      <c r="AX1213" s="90">
        <v>0.24021134159999999</v>
      </c>
    </row>
    <row r="1214" spans="1:50" x14ac:dyDescent="0.25">
      <c r="A1214" s="102">
        <v>840000</v>
      </c>
      <c r="B1214" s="102">
        <v>2400000</v>
      </c>
      <c r="C1214" s="102">
        <v>2400000</v>
      </c>
      <c r="D1214" s="90" t="s">
        <v>374</v>
      </c>
      <c r="E1214" s="90" t="s">
        <v>68</v>
      </c>
      <c r="F1214" s="90" t="s">
        <v>375</v>
      </c>
      <c r="G1214" s="90" t="s">
        <v>376</v>
      </c>
      <c r="H1214" s="90">
        <v>0.59</v>
      </c>
      <c r="I1214" s="90">
        <v>0.64</v>
      </c>
      <c r="J1214" s="90" t="s">
        <v>381</v>
      </c>
      <c r="K1214" s="90">
        <v>7.1928941767760005E-2</v>
      </c>
      <c r="L1214" s="90">
        <v>3781.2318427149698</v>
      </c>
      <c r="M1214" s="90">
        <v>11.4678244406386</v>
      </c>
      <c r="N1214" s="90">
        <v>1.51339376336706</v>
      </c>
      <c r="O1214" s="90">
        <v>0.82486847639367999</v>
      </c>
      <c r="P1214" s="90">
        <v>0.10885681187693</v>
      </c>
      <c r="Q1214" s="90">
        <v>271.980005025075</v>
      </c>
      <c r="R1214" s="90">
        <v>1400</v>
      </c>
      <c r="S1214" s="90" t="s">
        <v>324</v>
      </c>
      <c r="T1214" s="90">
        <v>1400</v>
      </c>
      <c r="U1214" s="90" t="s">
        <v>382</v>
      </c>
      <c r="V1214" s="90" t="s">
        <v>381</v>
      </c>
      <c r="Z1214" s="90">
        <v>0</v>
      </c>
      <c r="AA1214" s="90">
        <v>1</v>
      </c>
      <c r="AB1214" s="90">
        <v>0.82486847639367999</v>
      </c>
      <c r="AC1214" s="90">
        <v>0.10885681187693</v>
      </c>
      <c r="AD1214" s="90">
        <v>271.98000502507603</v>
      </c>
      <c r="AF1214" s="90">
        <v>-1</v>
      </c>
      <c r="AG1214" s="90">
        <v>-1</v>
      </c>
      <c r="AH1214" s="90">
        <v>-1</v>
      </c>
      <c r="AI1214" s="90">
        <v>-1</v>
      </c>
      <c r="AJ1214" s="90">
        <v>0</v>
      </c>
      <c r="AM1214" s="90" t="s">
        <v>379</v>
      </c>
      <c r="AN1214" s="90">
        <v>-1</v>
      </c>
      <c r="AQ1214" s="90">
        <v>374</v>
      </c>
      <c r="AR1214" s="90" t="s">
        <v>281</v>
      </c>
      <c r="AS1214" s="90" t="s">
        <v>282</v>
      </c>
      <c r="AT1214" s="90" t="s">
        <v>244</v>
      </c>
      <c r="AU1214" s="90">
        <v>5.6539809999999999</v>
      </c>
      <c r="AV1214" s="90">
        <v>112.393345786296</v>
      </c>
      <c r="AW1214" s="90">
        <v>291.086099949328</v>
      </c>
      <c r="AX1214" s="90">
        <v>0.22058394570000001</v>
      </c>
    </row>
    <row r="1215" spans="1:50" x14ac:dyDescent="0.25">
      <c r="A1215" s="102">
        <v>840000</v>
      </c>
      <c r="B1215" s="102">
        <v>2400000</v>
      </c>
      <c r="C1215" s="102">
        <v>2400000</v>
      </c>
      <c r="D1215" s="90" t="s">
        <v>374</v>
      </c>
      <c r="E1215" s="90" t="s">
        <v>68</v>
      </c>
      <c r="F1215" s="90" t="s">
        <v>375</v>
      </c>
      <c r="G1215" s="90" t="s">
        <v>376</v>
      </c>
      <c r="H1215" s="90">
        <v>0.59</v>
      </c>
      <c r="I1215" s="90">
        <v>0.64</v>
      </c>
      <c r="J1215" s="90" t="s">
        <v>381</v>
      </c>
      <c r="K1215" s="90">
        <v>3.2646203798430001E-2</v>
      </c>
      <c r="L1215" s="90">
        <v>3781.2318427149698</v>
      </c>
      <c r="M1215" s="90">
        <v>11.4678244406386</v>
      </c>
      <c r="N1215" s="90">
        <v>1.51339376336706</v>
      </c>
      <c r="O1215" s="90">
        <v>0.37438093381375998</v>
      </c>
      <c r="P1215" s="90">
        <v>4.9406561226160002E-2</v>
      </c>
      <c r="Q1215" s="90">
        <v>123.44286534640401</v>
      </c>
      <c r="R1215" s="90">
        <v>8140</v>
      </c>
      <c r="S1215" s="90" t="s">
        <v>386</v>
      </c>
      <c r="T1215" s="90">
        <v>8140</v>
      </c>
      <c r="U1215" s="90" t="s">
        <v>382</v>
      </c>
      <c r="V1215" s="90" t="s">
        <v>381</v>
      </c>
      <c r="Z1215" s="90">
        <v>0</v>
      </c>
      <c r="AA1215" s="90">
        <v>1</v>
      </c>
      <c r="AB1215" s="90">
        <v>0.37438093381375998</v>
      </c>
      <c r="AC1215" s="90">
        <v>4.9406561226160002E-2</v>
      </c>
      <c r="AD1215" s="90">
        <v>123.442865346405</v>
      </c>
      <c r="AF1215" s="90">
        <v>-1</v>
      </c>
      <c r="AG1215" s="90">
        <v>-1</v>
      </c>
      <c r="AH1215" s="90">
        <v>-1</v>
      </c>
      <c r="AI1215" s="90">
        <v>-1</v>
      </c>
      <c r="AJ1215" s="90">
        <v>0</v>
      </c>
      <c r="AM1215" s="90" t="s">
        <v>379</v>
      </c>
      <c r="AN1215" s="90">
        <v>-1</v>
      </c>
      <c r="AQ1215" s="90">
        <v>374</v>
      </c>
      <c r="AR1215" s="90" t="s">
        <v>281</v>
      </c>
      <c r="AS1215" s="90" t="s">
        <v>282</v>
      </c>
      <c r="AT1215" s="90" t="s">
        <v>244</v>
      </c>
      <c r="AU1215" s="90">
        <v>5.6539809999999999</v>
      </c>
      <c r="AV1215" s="90">
        <v>105.169354865695</v>
      </c>
      <c r="AW1215" s="90">
        <v>132.114499508676</v>
      </c>
      <c r="AX1215" s="90">
        <v>0.10011586810000001</v>
      </c>
    </row>
    <row r="1216" spans="1:50" x14ac:dyDescent="0.25">
      <c r="A1216" s="102">
        <v>840000</v>
      </c>
      <c r="B1216" s="102">
        <v>2400000</v>
      </c>
      <c r="C1216" s="102">
        <v>2400000</v>
      </c>
      <c r="D1216" s="90" t="s">
        <v>374</v>
      </c>
      <c r="E1216" s="90" t="s">
        <v>68</v>
      </c>
      <c r="F1216" s="90" t="s">
        <v>375</v>
      </c>
      <c r="G1216" s="90" t="s">
        <v>376</v>
      </c>
      <c r="H1216" s="90">
        <v>0.59</v>
      </c>
      <c r="I1216" s="90">
        <v>0.64</v>
      </c>
      <c r="J1216" s="90" t="s">
        <v>244</v>
      </c>
      <c r="K1216" s="90">
        <v>0.43485918256697997</v>
      </c>
      <c r="L1216" s="90">
        <v>3781.2318427149698</v>
      </c>
      <c r="M1216" s="90">
        <v>11.4678244406386</v>
      </c>
      <c r="N1216" s="90">
        <v>1.51339376336706</v>
      </c>
      <c r="O1216" s="90">
        <v>4.9868887620778404</v>
      </c>
      <c r="P1216" s="90">
        <v>0.65811317483977005</v>
      </c>
      <c r="Q1216" s="90">
        <v>1644.3033882192899</v>
      </c>
      <c r="R1216" s="90">
        <v>1410</v>
      </c>
      <c r="S1216" s="90" t="s">
        <v>325</v>
      </c>
      <c r="T1216" s="90">
        <v>1410</v>
      </c>
      <c r="U1216" s="90" t="s">
        <v>378</v>
      </c>
      <c r="V1216" s="90" t="s">
        <v>244</v>
      </c>
      <c r="Z1216" s="90">
        <v>0</v>
      </c>
      <c r="AA1216" s="90">
        <v>1</v>
      </c>
      <c r="AB1216" s="90">
        <v>4.9868887620778404</v>
      </c>
      <c r="AC1216" s="90">
        <v>0.65811317483977005</v>
      </c>
      <c r="AD1216" s="90">
        <v>1644.3033882192899</v>
      </c>
      <c r="AF1216" s="90">
        <v>-1</v>
      </c>
      <c r="AG1216" s="90">
        <v>-1</v>
      </c>
      <c r="AH1216" s="90">
        <v>-1</v>
      </c>
      <c r="AI1216" s="90">
        <v>-1</v>
      </c>
      <c r="AJ1216" s="90">
        <v>0</v>
      </c>
      <c r="AM1216" s="90" t="s">
        <v>379</v>
      </c>
      <c r="AN1216" s="90">
        <v>-1</v>
      </c>
      <c r="AQ1216" s="90">
        <v>374</v>
      </c>
      <c r="AR1216" s="90" t="s">
        <v>281</v>
      </c>
      <c r="AS1216" s="90" t="s">
        <v>282</v>
      </c>
      <c r="AT1216" s="90" t="s">
        <v>244</v>
      </c>
      <c r="AU1216" s="90">
        <v>5.6539809999999999</v>
      </c>
      <c r="AV1216" s="90">
        <v>167.848450872206</v>
      </c>
      <c r="AW1216" s="90">
        <v>1759.8126758108201</v>
      </c>
      <c r="AX1216" s="90">
        <v>1.3335793902999999</v>
      </c>
    </row>
    <row r="1217" spans="1:50" x14ac:dyDescent="0.25">
      <c r="A1217" s="102">
        <v>840000</v>
      </c>
      <c r="B1217" s="102">
        <v>2400000</v>
      </c>
      <c r="C1217" s="102">
        <v>2500000</v>
      </c>
      <c r="D1217" s="90" t="s">
        <v>374</v>
      </c>
      <c r="E1217" s="90" t="s">
        <v>68</v>
      </c>
      <c r="F1217" s="90" t="s">
        <v>375</v>
      </c>
      <c r="G1217" s="90" t="s">
        <v>376</v>
      </c>
      <c r="H1217" s="90">
        <v>0.59</v>
      </c>
      <c r="I1217" s="90">
        <v>0.64</v>
      </c>
      <c r="J1217" s="90" t="s">
        <v>244</v>
      </c>
      <c r="K1217" s="90">
        <v>2.3013823079799998E-3</v>
      </c>
      <c r="L1217" s="90">
        <v>3755.9533178683901</v>
      </c>
      <c r="M1217" s="90">
        <v>10.6608373855219</v>
      </c>
      <c r="N1217" s="90">
        <v>1.4639972397383201</v>
      </c>
      <c r="O1217" s="90">
        <v>2.4534662547320001E-2</v>
      </c>
      <c r="P1217" s="90">
        <v>3.3692173464700001E-3</v>
      </c>
      <c r="Q1217" s="90">
        <v>8.6438845153523705</v>
      </c>
      <c r="R1217" s="90">
        <v>1400</v>
      </c>
      <c r="S1217" s="90" t="s">
        <v>324</v>
      </c>
      <c r="T1217" s="90">
        <v>1400</v>
      </c>
      <c r="U1217" s="90" t="s">
        <v>378</v>
      </c>
      <c r="V1217" s="90" t="s">
        <v>244</v>
      </c>
      <c r="Z1217" s="90">
        <v>0</v>
      </c>
      <c r="AA1217" s="90">
        <v>1</v>
      </c>
      <c r="AB1217" s="90">
        <v>2.4534662547320001E-2</v>
      </c>
      <c r="AC1217" s="90">
        <v>3.3692173464700001E-3</v>
      </c>
      <c r="AD1217" s="90">
        <v>265.17371144785</v>
      </c>
      <c r="AF1217" s="90">
        <v>-1</v>
      </c>
      <c r="AG1217" s="90">
        <v>-1</v>
      </c>
      <c r="AH1217" s="90">
        <v>-1</v>
      </c>
      <c r="AI1217" s="90">
        <v>-1</v>
      </c>
      <c r="AJ1217" s="90">
        <v>0</v>
      </c>
      <c r="AM1217" s="90" t="s">
        <v>379</v>
      </c>
      <c r="AN1217" s="90">
        <v>-1</v>
      </c>
      <c r="AQ1217" s="90">
        <v>374</v>
      </c>
      <c r="AR1217" s="90" t="s">
        <v>281</v>
      </c>
      <c r="AS1217" s="90" t="s">
        <v>282</v>
      </c>
      <c r="AT1217" s="90" t="s">
        <v>244</v>
      </c>
      <c r="AU1217" s="90">
        <v>5.6539809999999999</v>
      </c>
      <c r="AV1217" s="90">
        <v>14.5793238808666</v>
      </c>
      <c r="AW1217" s="90">
        <v>9.3133637734579207</v>
      </c>
      <c r="AX1217" s="90">
        <v>0.2150638373</v>
      </c>
    </row>
    <row r="1218" spans="1:50" x14ac:dyDescent="0.25">
      <c r="A1218" s="102">
        <v>840000</v>
      </c>
      <c r="B1218" s="102">
        <v>2400000</v>
      </c>
      <c r="C1218" s="102">
        <v>2500000</v>
      </c>
      <c r="D1218" s="90" t="s">
        <v>374</v>
      </c>
      <c r="E1218" s="90" t="s">
        <v>68</v>
      </c>
      <c r="F1218" s="90" t="s">
        <v>375</v>
      </c>
      <c r="G1218" s="90" t="s">
        <v>376</v>
      </c>
      <c r="H1218" s="90">
        <v>0.59</v>
      </c>
      <c r="I1218" s="90">
        <v>0.64</v>
      </c>
      <c r="J1218" s="90" t="s">
        <v>244</v>
      </c>
      <c r="K1218" s="90">
        <v>2.476773696601E-2</v>
      </c>
      <c r="L1218" s="90">
        <v>3755.9533178683901</v>
      </c>
      <c r="M1218" s="90">
        <v>10.6608373855219</v>
      </c>
      <c r="N1218" s="90">
        <v>1.4639972397383201</v>
      </c>
      <c r="O1218" s="90">
        <v>0.26404481620202003</v>
      </c>
      <c r="P1218" s="90">
        <v>3.6259898552799999E-2</v>
      </c>
      <c r="Q1218" s="90">
        <v>93.026463833580706</v>
      </c>
      <c r="R1218" s="90">
        <v>1410</v>
      </c>
      <c r="S1218" s="90" t="s">
        <v>325</v>
      </c>
      <c r="T1218" s="90">
        <v>1410</v>
      </c>
      <c r="U1218" s="90" t="s">
        <v>378</v>
      </c>
      <c r="V1218" s="90" t="s">
        <v>244</v>
      </c>
      <c r="Z1218" s="90">
        <v>0</v>
      </c>
      <c r="AA1218" s="90">
        <v>1</v>
      </c>
      <c r="AB1218" s="90">
        <v>0.26404481620202003</v>
      </c>
      <c r="AC1218" s="90">
        <v>3.6259898552799999E-2</v>
      </c>
      <c r="AD1218" s="90">
        <v>1112.3133157715599</v>
      </c>
      <c r="AF1218" s="90">
        <v>-1</v>
      </c>
      <c r="AG1218" s="90">
        <v>-1</v>
      </c>
      <c r="AH1218" s="90">
        <v>-1</v>
      </c>
      <c r="AI1218" s="90">
        <v>-1</v>
      </c>
      <c r="AJ1218" s="90">
        <v>0</v>
      </c>
      <c r="AM1218" s="90" t="s">
        <v>379</v>
      </c>
      <c r="AN1218" s="90">
        <v>-1</v>
      </c>
      <c r="AQ1218" s="90">
        <v>374</v>
      </c>
      <c r="AR1218" s="90" t="s">
        <v>281</v>
      </c>
      <c r="AS1218" s="90" t="s">
        <v>282</v>
      </c>
      <c r="AT1218" s="90" t="s">
        <v>244</v>
      </c>
      <c r="AU1218" s="90">
        <v>5.6539809999999999</v>
      </c>
      <c r="AV1218" s="90">
        <v>93.258886653811302</v>
      </c>
      <c r="AW1218" s="90">
        <v>100.231475409216</v>
      </c>
      <c r="AX1218" s="90">
        <v>0.90211947749999999</v>
      </c>
    </row>
    <row r="1219" spans="1:50" x14ac:dyDescent="0.25">
      <c r="A1219" s="102">
        <v>840000</v>
      </c>
      <c r="B1219" s="102">
        <v>2400000</v>
      </c>
      <c r="C1219" s="102">
        <v>2500000</v>
      </c>
      <c r="D1219" s="90" t="s">
        <v>374</v>
      </c>
      <c r="E1219" s="90" t="s">
        <v>68</v>
      </c>
      <c r="F1219" s="90" t="s">
        <v>375</v>
      </c>
      <c r="G1219" s="90" t="s">
        <v>376</v>
      </c>
      <c r="H1219" s="90">
        <v>0.59</v>
      </c>
      <c r="I1219" s="90">
        <v>0.64</v>
      </c>
      <c r="J1219" s="90" t="s">
        <v>244</v>
      </c>
      <c r="K1219" s="90">
        <v>0.34560441250735002</v>
      </c>
      <c r="L1219" s="90">
        <v>3780.52060040059</v>
      </c>
      <c r="M1219" s="90">
        <v>11.558518110403501</v>
      </c>
      <c r="N1219" s="90">
        <v>1.52967414833229</v>
      </c>
      <c r="O1219" s="90">
        <v>3.9946748610016298</v>
      </c>
      <c r="P1219" s="90">
        <v>0.52866213536206996</v>
      </c>
      <c r="Q1219" s="90">
        <v>1306.5646010733999</v>
      </c>
      <c r="R1219" s="90">
        <v>1410</v>
      </c>
      <c r="S1219" s="90" t="s">
        <v>325</v>
      </c>
      <c r="T1219" s="90">
        <v>1410</v>
      </c>
      <c r="U1219" s="90" t="s">
        <v>378</v>
      </c>
      <c r="V1219" s="90" t="s">
        <v>244</v>
      </c>
      <c r="Z1219" s="90">
        <v>0</v>
      </c>
      <c r="AA1219" s="90">
        <v>1</v>
      </c>
      <c r="AB1219" s="90">
        <v>3.9946748610016298</v>
      </c>
      <c r="AC1219" s="90">
        <v>0.52866213536206996</v>
      </c>
      <c r="AD1219" s="90">
        <v>2274.0610253446498</v>
      </c>
      <c r="AF1219" s="90">
        <v>-1</v>
      </c>
      <c r="AG1219" s="90">
        <v>-1</v>
      </c>
      <c r="AH1219" s="90">
        <v>-1</v>
      </c>
      <c r="AI1219" s="90">
        <v>-1</v>
      </c>
      <c r="AJ1219" s="90">
        <v>0</v>
      </c>
      <c r="AM1219" s="90" t="s">
        <v>379</v>
      </c>
      <c r="AN1219" s="90">
        <v>-1</v>
      </c>
      <c r="AQ1219" s="90">
        <v>374</v>
      </c>
      <c r="AR1219" s="90" t="s">
        <v>281</v>
      </c>
      <c r="AS1219" s="90" t="s">
        <v>282</v>
      </c>
      <c r="AT1219" s="90" t="s">
        <v>244</v>
      </c>
      <c r="AU1219" s="90">
        <v>5.6539809999999999</v>
      </c>
      <c r="AV1219" s="90">
        <v>158.03811840496701</v>
      </c>
      <c r="AW1219" s="90">
        <v>1398.61143636517</v>
      </c>
      <c r="AX1219" s="90">
        <v>1.8443317318000001</v>
      </c>
    </row>
    <row r="1220" spans="1:50" x14ac:dyDescent="0.25">
      <c r="A1220" s="102">
        <v>840000</v>
      </c>
      <c r="B1220" s="102">
        <v>2400000</v>
      </c>
      <c r="C1220" s="102">
        <v>2500000</v>
      </c>
      <c r="D1220" s="90" t="s">
        <v>374</v>
      </c>
      <c r="E1220" s="90" t="s">
        <v>68</v>
      </c>
      <c r="F1220" s="90" t="s">
        <v>375</v>
      </c>
      <c r="G1220" s="90" t="s">
        <v>376</v>
      </c>
      <c r="H1220" s="90">
        <v>0.59</v>
      </c>
      <c r="I1220" s="90">
        <v>0.64</v>
      </c>
      <c r="J1220" s="90" t="s">
        <v>244</v>
      </c>
      <c r="K1220" s="90">
        <v>7.2688351864429998E-2</v>
      </c>
      <c r="L1220" s="90">
        <v>3781.58062557526</v>
      </c>
      <c r="M1220" s="90">
        <v>11.350942464772301</v>
      </c>
      <c r="N1220" s="90">
        <v>1.4974528204359101</v>
      </c>
      <c r="O1220" s="90">
        <v>0.82508129987231005</v>
      </c>
      <c r="P1220" s="90">
        <v>0.10884737751223</v>
      </c>
      <c r="Q1220" s="90">
        <v>274.87686311554103</v>
      </c>
      <c r="R1220" s="90">
        <v>1400</v>
      </c>
      <c r="S1220" s="90" t="s">
        <v>324</v>
      </c>
      <c r="T1220" s="90">
        <v>1400</v>
      </c>
      <c r="U1220" s="90" t="s">
        <v>378</v>
      </c>
      <c r="V1220" s="90" t="s">
        <v>244</v>
      </c>
      <c r="Z1220" s="90">
        <v>0</v>
      </c>
      <c r="AA1220" s="90">
        <v>1</v>
      </c>
      <c r="AB1220" s="90">
        <v>0.82508129987231005</v>
      </c>
      <c r="AC1220" s="90">
        <v>0.10884737751223</v>
      </c>
      <c r="AD1220" s="90">
        <v>287.78989085125198</v>
      </c>
      <c r="AF1220" s="90">
        <v>-1</v>
      </c>
      <c r="AG1220" s="90">
        <v>-1</v>
      </c>
      <c r="AH1220" s="90">
        <v>-1</v>
      </c>
      <c r="AI1220" s="90">
        <v>-1</v>
      </c>
      <c r="AJ1220" s="90">
        <v>0</v>
      </c>
      <c r="AM1220" s="90" t="s">
        <v>379</v>
      </c>
      <c r="AN1220" s="90">
        <v>-1</v>
      </c>
      <c r="AQ1220" s="90">
        <v>374</v>
      </c>
      <c r="AR1220" s="90" t="s">
        <v>281</v>
      </c>
      <c r="AS1220" s="90" t="s">
        <v>282</v>
      </c>
      <c r="AT1220" s="90" t="s">
        <v>244</v>
      </c>
      <c r="AU1220" s="90">
        <v>5.6539809999999999</v>
      </c>
      <c r="AV1220" s="90">
        <v>93.7730908546949</v>
      </c>
      <c r="AW1220" s="90">
        <v>294.15932357625701</v>
      </c>
      <c r="AX1220" s="90">
        <v>0.2334062375</v>
      </c>
    </row>
    <row r="1221" spans="1:50" x14ac:dyDescent="0.25">
      <c r="A1221" s="102">
        <v>840000</v>
      </c>
      <c r="B1221" s="102">
        <v>2400000</v>
      </c>
      <c r="C1221" s="102">
        <v>2500000</v>
      </c>
      <c r="D1221" s="90" t="s">
        <v>374</v>
      </c>
      <c r="E1221" s="90" t="s">
        <v>68</v>
      </c>
      <c r="F1221" s="90" t="s">
        <v>375</v>
      </c>
      <c r="G1221" s="90" t="s">
        <v>376</v>
      </c>
      <c r="H1221" s="90">
        <v>0.59</v>
      </c>
      <c r="I1221" s="90">
        <v>0.64</v>
      </c>
      <c r="J1221" s="90" t="s">
        <v>381</v>
      </c>
      <c r="K1221" s="90">
        <v>6.7169075508899997E-3</v>
      </c>
      <c r="L1221" s="90">
        <v>3781.58062557526</v>
      </c>
      <c r="M1221" s="90">
        <v>11.350942464772301</v>
      </c>
      <c r="N1221" s="90">
        <v>1.4974528204359101</v>
      </c>
      <c r="O1221" s="90">
        <v>7.624323115145E-2</v>
      </c>
      <c r="P1221" s="90">
        <v>1.00582521567E-2</v>
      </c>
      <c r="Q1221" s="90">
        <v>25.400527458259798</v>
      </c>
      <c r="R1221" s="90">
        <v>1400</v>
      </c>
      <c r="S1221" s="90" t="s">
        <v>324</v>
      </c>
      <c r="T1221" s="90">
        <v>1400</v>
      </c>
      <c r="U1221" s="90" t="s">
        <v>382</v>
      </c>
      <c r="V1221" s="90" t="s">
        <v>381</v>
      </c>
      <c r="Z1221" s="90">
        <v>0</v>
      </c>
      <c r="AA1221" s="90">
        <v>1</v>
      </c>
      <c r="AB1221" s="90">
        <v>7.624323115145E-2</v>
      </c>
      <c r="AC1221" s="90">
        <v>1.00582521567E-2</v>
      </c>
      <c r="AD1221" s="90">
        <v>275.17529655226099</v>
      </c>
      <c r="AF1221" s="90">
        <v>-1</v>
      </c>
      <c r="AG1221" s="90">
        <v>-1</v>
      </c>
      <c r="AH1221" s="90">
        <v>-1</v>
      </c>
      <c r="AI1221" s="90">
        <v>-1</v>
      </c>
      <c r="AJ1221" s="90">
        <v>0</v>
      </c>
      <c r="AM1221" s="90" t="s">
        <v>379</v>
      </c>
      <c r="AN1221" s="90">
        <v>-1</v>
      </c>
      <c r="AQ1221" s="90">
        <v>374</v>
      </c>
      <c r="AR1221" s="90" t="s">
        <v>281</v>
      </c>
      <c r="AS1221" s="90" t="s">
        <v>282</v>
      </c>
      <c r="AT1221" s="90" t="s">
        <v>244</v>
      </c>
      <c r="AU1221" s="90">
        <v>5.6539809999999999</v>
      </c>
      <c r="AV1221" s="90">
        <v>21.1404890097348</v>
      </c>
      <c r="AW1221" s="90">
        <v>27.182360461020998</v>
      </c>
      <c r="AX1221" s="90">
        <v>0.22317542300000001</v>
      </c>
    </row>
    <row r="1222" spans="1:50" x14ac:dyDescent="0.25">
      <c r="A1222" s="102">
        <v>840000</v>
      </c>
      <c r="B1222" s="102">
        <v>2400000</v>
      </c>
      <c r="C1222" s="102">
        <v>2500000</v>
      </c>
      <c r="D1222" s="90" t="s">
        <v>374</v>
      </c>
      <c r="E1222" s="90" t="s">
        <v>68</v>
      </c>
      <c r="F1222" s="90" t="s">
        <v>375</v>
      </c>
      <c r="G1222" s="90" t="s">
        <v>376</v>
      </c>
      <c r="H1222" s="90">
        <v>0.59</v>
      </c>
      <c r="I1222" s="90">
        <v>0.64</v>
      </c>
      <c r="J1222" s="90" t="s">
        <v>381</v>
      </c>
      <c r="K1222" s="90">
        <v>4.8615917457900002E-3</v>
      </c>
      <c r="L1222" s="90">
        <v>3781.58062557526</v>
      </c>
      <c r="M1222" s="90">
        <v>11.350942464772301</v>
      </c>
      <c r="N1222" s="90">
        <v>1.4974528204359101</v>
      </c>
      <c r="O1222" s="90">
        <v>5.518364819372E-2</v>
      </c>
      <c r="P1222" s="90">
        <v>7.2800042715400002E-3</v>
      </c>
      <c r="Q1222" s="90">
        <v>18.384501155351099</v>
      </c>
      <c r="R1222" s="90">
        <v>8140</v>
      </c>
      <c r="S1222" s="90" t="s">
        <v>386</v>
      </c>
      <c r="T1222" s="90">
        <v>8140</v>
      </c>
      <c r="U1222" s="90" t="s">
        <v>382</v>
      </c>
      <c r="V1222" s="90" t="s">
        <v>381</v>
      </c>
      <c r="Z1222" s="90">
        <v>0</v>
      </c>
      <c r="AA1222" s="90">
        <v>1</v>
      </c>
      <c r="AB1222" s="90">
        <v>5.518364819372E-2</v>
      </c>
      <c r="AC1222" s="90">
        <v>7.2800042715400002E-3</v>
      </c>
      <c r="AD1222" s="90">
        <v>220.455815540039</v>
      </c>
      <c r="AF1222" s="90">
        <v>-1</v>
      </c>
      <c r="AG1222" s="90">
        <v>-1</v>
      </c>
      <c r="AH1222" s="90">
        <v>-1</v>
      </c>
      <c r="AI1222" s="90">
        <v>-1</v>
      </c>
      <c r="AJ1222" s="90">
        <v>0</v>
      </c>
      <c r="AM1222" s="90" t="s">
        <v>379</v>
      </c>
      <c r="AN1222" s="90">
        <v>-1</v>
      </c>
      <c r="AQ1222" s="90">
        <v>374</v>
      </c>
      <c r="AR1222" s="90" t="s">
        <v>281</v>
      </c>
      <c r="AS1222" s="90" t="s">
        <v>282</v>
      </c>
      <c r="AT1222" s="90" t="s">
        <v>244</v>
      </c>
      <c r="AU1222" s="90">
        <v>5.6539809999999999</v>
      </c>
      <c r="AV1222" s="90">
        <v>18.065989823471401</v>
      </c>
      <c r="AW1222" s="90">
        <v>19.674163779554799</v>
      </c>
      <c r="AX1222" s="90">
        <v>0.17879628189999999</v>
      </c>
    </row>
    <row r="1223" spans="1:50" x14ac:dyDescent="0.25">
      <c r="A1223" s="102">
        <v>840000</v>
      </c>
      <c r="B1223" s="102">
        <v>2400000</v>
      </c>
      <c r="C1223" s="102">
        <v>2500000</v>
      </c>
      <c r="D1223" s="90" t="s">
        <v>374</v>
      </c>
      <c r="E1223" s="90" t="s">
        <v>68</v>
      </c>
      <c r="F1223" s="90" t="s">
        <v>375</v>
      </c>
      <c r="G1223" s="90" t="s">
        <v>376</v>
      </c>
      <c r="H1223" s="90">
        <v>0.59</v>
      </c>
      <c r="I1223" s="90">
        <v>0.64</v>
      </c>
      <c r="J1223" s="90" t="s">
        <v>244</v>
      </c>
      <c r="K1223" s="90">
        <v>0.26127129688949002</v>
      </c>
      <c r="L1223" s="90">
        <v>3781.58062557526</v>
      </c>
      <c r="M1223" s="90">
        <v>11.350942464772301</v>
      </c>
      <c r="N1223" s="90">
        <v>1.4974528204359101</v>
      </c>
      <c r="O1223" s="90">
        <v>2.9656754586890601</v>
      </c>
      <c r="P1223" s="90">
        <v>0.39124144042610998</v>
      </c>
      <c r="Q1223" s="90">
        <v>988.01847433622095</v>
      </c>
      <c r="R1223" s="90">
        <v>1450</v>
      </c>
      <c r="S1223" s="90" t="s">
        <v>391</v>
      </c>
      <c r="T1223" s="90">
        <v>1450</v>
      </c>
      <c r="U1223" s="90" t="s">
        <v>378</v>
      </c>
      <c r="V1223" s="90" t="s">
        <v>244</v>
      </c>
      <c r="Z1223" s="90">
        <v>0</v>
      </c>
      <c r="AA1223" s="90">
        <v>1</v>
      </c>
      <c r="AB1223" s="90">
        <v>2.9656754586890601</v>
      </c>
      <c r="AC1223" s="90">
        <v>0.39124144042610998</v>
      </c>
      <c r="AD1223" s="90">
        <v>1552.70130498359</v>
      </c>
      <c r="AF1223" s="90">
        <v>-1</v>
      </c>
      <c r="AG1223" s="90">
        <v>-1</v>
      </c>
      <c r="AH1223" s="90">
        <v>-1</v>
      </c>
      <c r="AI1223" s="90">
        <v>-1</v>
      </c>
      <c r="AJ1223" s="90">
        <v>0</v>
      </c>
      <c r="AM1223" s="90" t="s">
        <v>379</v>
      </c>
      <c r="AN1223" s="90">
        <v>-1</v>
      </c>
      <c r="AQ1223" s="90">
        <v>374</v>
      </c>
      <c r="AR1223" s="90" t="s">
        <v>281</v>
      </c>
      <c r="AS1223" s="90" t="s">
        <v>282</v>
      </c>
      <c r="AT1223" s="90" t="s">
        <v>244</v>
      </c>
      <c r="AU1223" s="90">
        <v>5.6539809999999999</v>
      </c>
      <c r="AV1223" s="90">
        <v>140.29832468844799</v>
      </c>
      <c r="AW1223" s="90">
        <v>1057.3274258060101</v>
      </c>
      <c r="AX1223" s="90">
        <v>1.2592873520000001</v>
      </c>
    </row>
    <row r="1224" spans="1:50" x14ac:dyDescent="0.25">
      <c r="A1224" s="102">
        <v>840000</v>
      </c>
      <c r="B1224" s="102">
        <v>2400000</v>
      </c>
      <c r="C1224" s="102">
        <v>2500000</v>
      </c>
      <c r="D1224" s="90" t="s">
        <v>374</v>
      </c>
      <c r="E1224" s="90" t="s">
        <v>68</v>
      </c>
      <c r="F1224" s="90" t="s">
        <v>375</v>
      </c>
      <c r="G1224" s="90" t="s">
        <v>376</v>
      </c>
      <c r="H1224" s="90">
        <v>0.59</v>
      </c>
      <c r="I1224" s="90">
        <v>0.64</v>
      </c>
      <c r="J1224" s="90" t="s">
        <v>244</v>
      </c>
      <c r="K1224" s="90">
        <v>1.517528319903E-2</v>
      </c>
      <c r="L1224" s="90">
        <v>3643.8667555897</v>
      </c>
      <c r="M1224" s="90">
        <v>10.257181101883599</v>
      </c>
      <c r="N1224" s="90">
        <v>1.4163915456398199</v>
      </c>
      <c r="O1224" s="90">
        <v>0.15565562804488001</v>
      </c>
      <c r="P1224" s="90">
        <v>2.1494142825799999E-2</v>
      </c>
      <c r="Q1224" s="90">
        <v>55.296709955626199</v>
      </c>
      <c r="R1224" s="90">
        <v>1410</v>
      </c>
      <c r="S1224" s="90" t="s">
        <v>325</v>
      </c>
      <c r="T1224" s="90">
        <v>1410</v>
      </c>
      <c r="U1224" s="90" t="s">
        <v>378</v>
      </c>
      <c r="V1224" s="90" t="s">
        <v>244</v>
      </c>
      <c r="Z1224" s="90">
        <v>0</v>
      </c>
      <c r="AA1224" s="90">
        <v>1</v>
      </c>
      <c r="AB1224" s="90">
        <v>0.15565562804488001</v>
      </c>
      <c r="AC1224" s="90">
        <v>2.1494142825799999E-2</v>
      </c>
      <c r="AD1224" s="90">
        <v>1167.9600242965601</v>
      </c>
      <c r="AF1224" s="90">
        <v>-1</v>
      </c>
      <c r="AG1224" s="90">
        <v>-1</v>
      </c>
      <c r="AH1224" s="90">
        <v>-1</v>
      </c>
      <c r="AI1224" s="90">
        <v>-1</v>
      </c>
      <c r="AJ1224" s="90">
        <v>0</v>
      </c>
      <c r="AM1224" s="90" t="s">
        <v>379</v>
      </c>
      <c r="AN1224" s="90">
        <v>-1</v>
      </c>
      <c r="AQ1224" s="90">
        <v>374</v>
      </c>
      <c r="AR1224" s="90" t="s">
        <v>281</v>
      </c>
      <c r="AS1224" s="90" t="s">
        <v>282</v>
      </c>
      <c r="AT1224" s="90" t="s">
        <v>244</v>
      </c>
      <c r="AU1224" s="90">
        <v>5.6539809999999999</v>
      </c>
      <c r="AV1224" s="90">
        <v>46.5834242129567</v>
      </c>
      <c r="AW1224" s="90">
        <v>61.412192275757398</v>
      </c>
      <c r="AX1224" s="90">
        <v>0.94725062800000004</v>
      </c>
    </row>
    <row r="1225" spans="1:50" x14ac:dyDescent="0.25">
      <c r="A1225" s="102">
        <v>840000</v>
      </c>
      <c r="B1225" s="102">
        <v>2500000</v>
      </c>
      <c r="C1225" s="102">
        <v>2500000</v>
      </c>
      <c r="D1225" s="90" t="s">
        <v>374</v>
      </c>
      <c r="E1225" s="90" t="s">
        <v>68</v>
      </c>
      <c r="F1225" s="90" t="s">
        <v>375</v>
      </c>
      <c r="G1225" s="90" t="s">
        <v>376</v>
      </c>
      <c r="H1225" s="90">
        <v>0.59</v>
      </c>
      <c r="I1225" s="90">
        <v>0.64</v>
      </c>
      <c r="J1225" s="90" t="s">
        <v>244</v>
      </c>
      <c r="K1225" s="90">
        <v>0.11062643771373</v>
      </c>
      <c r="L1225" s="90">
        <v>3783.1290786606401</v>
      </c>
      <c r="M1225" s="90">
        <v>11.6234353517301</v>
      </c>
      <c r="N1225" s="90">
        <v>1.5345890382112199</v>
      </c>
      <c r="O1225" s="90">
        <v>1.2858592469577801</v>
      </c>
      <c r="P1225" s="90">
        <v>0.16976611865185001</v>
      </c>
      <c r="Q1225" s="90">
        <v>418.51409338346298</v>
      </c>
      <c r="R1225" s="90">
        <v>1400</v>
      </c>
      <c r="S1225" s="90" t="s">
        <v>324</v>
      </c>
      <c r="T1225" s="90">
        <v>1400</v>
      </c>
      <c r="U1225" s="90" t="s">
        <v>378</v>
      </c>
      <c r="V1225" s="90" t="s">
        <v>244</v>
      </c>
      <c r="Z1225" s="90">
        <v>0</v>
      </c>
      <c r="AA1225" s="90">
        <v>1</v>
      </c>
      <c r="AB1225" s="90">
        <v>1.2858592469577801</v>
      </c>
      <c r="AC1225" s="90">
        <v>0.16976611865185001</v>
      </c>
      <c r="AD1225" s="90">
        <v>418.51409338346298</v>
      </c>
      <c r="AF1225" s="90">
        <v>-1</v>
      </c>
      <c r="AG1225" s="90">
        <v>-1</v>
      </c>
      <c r="AH1225" s="90">
        <v>-1</v>
      </c>
      <c r="AI1225" s="90">
        <v>-1</v>
      </c>
      <c r="AJ1225" s="90">
        <v>0</v>
      </c>
      <c r="AM1225" s="90" t="s">
        <v>379</v>
      </c>
      <c r="AN1225" s="90">
        <v>-1</v>
      </c>
      <c r="AQ1225" s="90">
        <v>374</v>
      </c>
      <c r="AR1225" s="90" t="s">
        <v>281</v>
      </c>
      <c r="AS1225" s="90" t="s">
        <v>282</v>
      </c>
      <c r="AT1225" s="90" t="s">
        <v>244</v>
      </c>
      <c r="AU1225" s="90">
        <v>5.6539809999999999</v>
      </c>
      <c r="AV1225" s="90">
        <v>117.933873565497</v>
      </c>
      <c r="AW1225" s="90">
        <v>447.68930994905497</v>
      </c>
      <c r="AX1225" s="90">
        <v>0.33942748859999999</v>
      </c>
    </row>
    <row r="1226" spans="1:50" x14ac:dyDescent="0.25">
      <c r="A1226" s="102">
        <v>840000</v>
      </c>
      <c r="B1226" s="102">
        <v>2500000</v>
      </c>
      <c r="C1226" s="102">
        <v>2500000</v>
      </c>
      <c r="D1226" s="90" t="s">
        <v>374</v>
      </c>
      <c r="E1226" s="90" t="s">
        <v>68</v>
      </c>
      <c r="F1226" s="90" t="s">
        <v>375</v>
      </c>
      <c r="G1226" s="90" t="s">
        <v>376</v>
      </c>
      <c r="H1226" s="90">
        <v>0.59</v>
      </c>
      <c r="I1226" s="90">
        <v>0.64</v>
      </c>
      <c r="J1226" s="90" t="s">
        <v>244</v>
      </c>
      <c r="K1226" s="90">
        <v>0.50713701590814997</v>
      </c>
      <c r="L1226" s="90">
        <v>3783.1290786606401</v>
      </c>
      <c r="M1226" s="90">
        <v>11.6234353517301</v>
      </c>
      <c r="N1226" s="90">
        <v>1.5345890382112199</v>
      </c>
      <c r="O1226" s="90">
        <v>5.8946743188777697</v>
      </c>
      <c r="P1226" s="90">
        <v>0.77824690548380004</v>
      </c>
      <c r="Q1226" s="90">
        <v>1918.56479174731</v>
      </c>
      <c r="R1226" s="90">
        <v>1450</v>
      </c>
      <c r="S1226" s="90" t="s">
        <v>391</v>
      </c>
      <c r="T1226" s="90">
        <v>1450</v>
      </c>
      <c r="U1226" s="90" t="s">
        <v>378</v>
      </c>
      <c r="V1226" s="90" t="s">
        <v>244</v>
      </c>
      <c r="Z1226" s="90">
        <v>0</v>
      </c>
      <c r="AA1226" s="90">
        <v>1</v>
      </c>
      <c r="AB1226" s="90">
        <v>5.8946743188777697</v>
      </c>
      <c r="AC1226" s="90">
        <v>0.77824690548380004</v>
      </c>
      <c r="AD1226" s="90">
        <v>1918.56479174731</v>
      </c>
      <c r="AF1226" s="90">
        <v>-1</v>
      </c>
      <c r="AG1226" s="90">
        <v>-1</v>
      </c>
      <c r="AH1226" s="90">
        <v>-1</v>
      </c>
      <c r="AI1226" s="90">
        <v>-1</v>
      </c>
      <c r="AJ1226" s="90">
        <v>0</v>
      </c>
      <c r="AM1226" s="90" t="s">
        <v>379</v>
      </c>
      <c r="AN1226" s="90">
        <v>-1</v>
      </c>
      <c r="AQ1226" s="90">
        <v>374</v>
      </c>
      <c r="AR1226" s="90" t="s">
        <v>281</v>
      </c>
      <c r="AS1226" s="90" t="s">
        <v>282</v>
      </c>
      <c r="AT1226" s="90" t="s">
        <v>244</v>
      </c>
      <c r="AU1226" s="90">
        <v>5.6539809999999999</v>
      </c>
      <c r="AV1226" s="90">
        <v>182.118728762122</v>
      </c>
      <c r="AW1226" s="90">
        <v>2052.3106898646802</v>
      </c>
      <c r="AX1226" s="90">
        <v>1.5560136186</v>
      </c>
    </row>
    <row r="1227" spans="1:50" x14ac:dyDescent="0.25">
      <c r="A1227" s="102">
        <v>840000</v>
      </c>
      <c r="B1227" s="102">
        <v>2500000</v>
      </c>
      <c r="C1227" s="102">
        <v>2500000</v>
      </c>
      <c r="D1227" s="90" t="s">
        <v>374</v>
      </c>
      <c r="E1227" s="90" t="s">
        <v>68</v>
      </c>
      <c r="F1227" s="90" t="s">
        <v>375</v>
      </c>
      <c r="G1227" s="90" t="s">
        <v>376</v>
      </c>
      <c r="H1227" s="90">
        <v>0.59</v>
      </c>
      <c r="I1227" s="90">
        <v>0.64</v>
      </c>
      <c r="J1227" s="90" t="s">
        <v>244</v>
      </c>
      <c r="K1227" s="90">
        <v>7.4609383869000002E-4</v>
      </c>
      <c r="L1227" s="90">
        <v>3782.0297623923402</v>
      </c>
      <c r="M1227" s="90">
        <v>11.606796577064999</v>
      </c>
      <c r="N1227" s="90">
        <v>1.5323333199976701</v>
      </c>
      <c r="O1227" s="90">
        <v>8.6597594130800003E-3</v>
      </c>
      <c r="P1227" s="90">
        <v>1.1432644488699999E-3</v>
      </c>
      <c r="Q1227" s="90">
        <v>2.8217491034669102</v>
      </c>
      <c r="R1227" s="90">
        <v>1400</v>
      </c>
      <c r="S1227" s="90" t="s">
        <v>324</v>
      </c>
      <c r="T1227" s="90">
        <v>1400</v>
      </c>
      <c r="U1227" s="90" t="s">
        <v>378</v>
      </c>
      <c r="V1227" s="90" t="s">
        <v>244</v>
      </c>
      <c r="Z1227" s="90">
        <v>0</v>
      </c>
      <c r="AA1227" s="90">
        <v>1</v>
      </c>
      <c r="AB1227" s="90">
        <v>8.6597594130800003E-3</v>
      </c>
      <c r="AC1227" s="90">
        <v>1.1432644488699999E-3</v>
      </c>
      <c r="AD1227" s="90">
        <v>268.36139527567002</v>
      </c>
      <c r="AF1227" s="90">
        <v>-1</v>
      </c>
      <c r="AG1227" s="90">
        <v>-1</v>
      </c>
      <c r="AH1227" s="90">
        <v>-1</v>
      </c>
      <c r="AI1227" s="90">
        <v>-1</v>
      </c>
      <c r="AJ1227" s="90">
        <v>0</v>
      </c>
      <c r="AM1227" s="90" t="s">
        <v>379</v>
      </c>
      <c r="AN1227" s="90">
        <v>-1</v>
      </c>
      <c r="AQ1227" s="90">
        <v>374</v>
      </c>
      <c r="AR1227" s="90" t="s">
        <v>281</v>
      </c>
      <c r="AS1227" s="90" t="s">
        <v>282</v>
      </c>
      <c r="AT1227" s="90" t="s">
        <v>244</v>
      </c>
      <c r="AU1227" s="90">
        <v>5.6539809999999999</v>
      </c>
      <c r="AV1227" s="90">
        <v>35.587831984028803</v>
      </c>
      <c r="AW1227" s="90">
        <v>3.0193346428212702</v>
      </c>
      <c r="AX1227" s="90">
        <v>0.21764914460000001</v>
      </c>
    </row>
    <row r="1228" spans="1:50" x14ac:dyDescent="0.25">
      <c r="A1228" s="102">
        <v>840000</v>
      </c>
      <c r="B1228" s="102">
        <v>2500000</v>
      </c>
      <c r="C1228" s="102">
        <v>2500000</v>
      </c>
      <c r="D1228" s="90" t="s">
        <v>374</v>
      </c>
      <c r="E1228" s="90" t="s">
        <v>68</v>
      </c>
      <c r="F1228" s="90" t="s">
        <v>375</v>
      </c>
      <c r="G1228" s="90" t="s">
        <v>376</v>
      </c>
      <c r="H1228" s="90">
        <v>0.59</v>
      </c>
      <c r="I1228" s="90">
        <v>0.64</v>
      </c>
      <c r="J1228" s="90" t="s">
        <v>381</v>
      </c>
      <c r="K1228" s="90">
        <v>5.6700088694110001E-2</v>
      </c>
      <c r="L1228" s="90">
        <v>3782.0297623923402</v>
      </c>
      <c r="M1228" s="90">
        <v>11.606796577064999</v>
      </c>
      <c r="N1228" s="90">
        <v>1.5323333199976701</v>
      </c>
      <c r="O1228" s="90">
        <v>0.65810639537415005</v>
      </c>
      <c r="P1228" s="90">
        <v>8.6883435152809996E-2</v>
      </c>
      <c r="Q1228" s="90">
        <v>214.44142297143199</v>
      </c>
      <c r="R1228" s="90">
        <v>1400</v>
      </c>
      <c r="S1228" s="90" t="s">
        <v>324</v>
      </c>
      <c r="T1228" s="90">
        <v>1400</v>
      </c>
      <c r="U1228" s="90" t="s">
        <v>382</v>
      </c>
      <c r="V1228" s="90" t="s">
        <v>381</v>
      </c>
      <c r="Z1228" s="90">
        <v>0</v>
      </c>
      <c r="AA1228" s="90">
        <v>1</v>
      </c>
      <c r="AB1228" s="90">
        <v>0.65810639537415005</v>
      </c>
      <c r="AC1228" s="90">
        <v>8.6883435152809996E-2</v>
      </c>
      <c r="AD1228" s="90">
        <v>278.56824430954498</v>
      </c>
      <c r="AF1228" s="90">
        <v>-1</v>
      </c>
      <c r="AG1228" s="90">
        <v>-1</v>
      </c>
      <c r="AH1228" s="90">
        <v>-1</v>
      </c>
      <c r="AI1228" s="90">
        <v>-1</v>
      </c>
      <c r="AJ1228" s="90">
        <v>0</v>
      </c>
      <c r="AM1228" s="90" t="s">
        <v>379</v>
      </c>
      <c r="AN1228" s="90">
        <v>-1</v>
      </c>
      <c r="AQ1228" s="90">
        <v>374</v>
      </c>
      <c r="AR1228" s="90" t="s">
        <v>281</v>
      </c>
      <c r="AS1228" s="90" t="s">
        <v>282</v>
      </c>
      <c r="AT1228" s="90" t="s">
        <v>244</v>
      </c>
      <c r="AU1228" s="90">
        <v>5.6539809999999999</v>
      </c>
      <c r="AV1228" s="90">
        <v>112.56202449377</v>
      </c>
      <c r="AW1228" s="90">
        <v>229.457118082432</v>
      </c>
      <c r="AX1228" s="90">
        <v>0.2259272054</v>
      </c>
    </row>
    <row r="1229" spans="1:50" x14ac:dyDescent="0.25">
      <c r="A1229" s="102">
        <v>840000</v>
      </c>
      <c r="B1229" s="102">
        <v>2500000</v>
      </c>
      <c r="C1229" s="102">
        <v>2500000</v>
      </c>
      <c r="D1229" s="90" t="s">
        <v>374</v>
      </c>
      <c r="E1229" s="90" t="s">
        <v>68</v>
      </c>
      <c r="F1229" s="90" t="s">
        <v>375</v>
      </c>
      <c r="G1229" s="90" t="s">
        <v>376</v>
      </c>
      <c r="H1229" s="90">
        <v>0.59</v>
      </c>
      <c r="I1229" s="90">
        <v>0.64</v>
      </c>
      <c r="J1229" s="90" t="s">
        <v>381</v>
      </c>
      <c r="K1229" s="90">
        <v>2.9109005299300002E-3</v>
      </c>
      <c r="L1229" s="90">
        <v>3782.0297623923402</v>
      </c>
      <c r="M1229" s="90">
        <v>11.606796577064999</v>
      </c>
      <c r="N1229" s="90">
        <v>1.5323333199976701</v>
      </c>
      <c r="O1229" s="90">
        <v>3.3786230306979997E-2</v>
      </c>
      <c r="P1229" s="90">
        <v>4.4604698732099999E-3</v>
      </c>
      <c r="Q1229" s="90">
        <v>11.0091124395626</v>
      </c>
      <c r="R1229" s="90">
        <v>8140</v>
      </c>
      <c r="S1229" s="90" t="s">
        <v>386</v>
      </c>
      <c r="T1229" s="90">
        <v>8140</v>
      </c>
      <c r="U1229" s="90" t="s">
        <v>382</v>
      </c>
      <c r="V1229" s="90" t="s">
        <v>381</v>
      </c>
      <c r="Z1229" s="90">
        <v>0</v>
      </c>
      <c r="AA1229" s="90">
        <v>1</v>
      </c>
      <c r="AB1229" s="90">
        <v>3.3786230306979997E-2</v>
      </c>
      <c r="AC1229" s="90">
        <v>4.4604698732099999E-3</v>
      </c>
      <c r="AD1229" s="90">
        <v>11.009112439562299</v>
      </c>
      <c r="AF1229" s="90">
        <v>-1</v>
      </c>
      <c r="AG1229" s="90">
        <v>-1</v>
      </c>
      <c r="AH1229" s="90">
        <v>-1</v>
      </c>
      <c r="AI1229" s="90">
        <v>-1</v>
      </c>
      <c r="AJ1229" s="90">
        <v>0</v>
      </c>
      <c r="AM1229" s="90" t="s">
        <v>379</v>
      </c>
      <c r="AN1229" s="90">
        <v>-1</v>
      </c>
      <c r="AQ1229" s="90">
        <v>374</v>
      </c>
      <c r="AR1229" s="90" t="s">
        <v>281</v>
      </c>
      <c r="AS1229" s="90" t="s">
        <v>282</v>
      </c>
      <c r="AT1229" s="90" t="s">
        <v>244</v>
      </c>
      <c r="AU1229" s="90">
        <v>5.6539809999999999</v>
      </c>
      <c r="AV1229" s="90">
        <v>77.269961394896796</v>
      </c>
      <c r="AW1229" s="90">
        <v>11.779996504518399</v>
      </c>
      <c r="AX1229" s="90">
        <v>8.9287206000000004E-3</v>
      </c>
    </row>
    <row r="1230" spans="1:50" x14ac:dyDescent="0.25">
      <c r="A1230" s="102">
        <v>840000</v>
      </c>
      <c r="B1230" s="102">
        <v>2500000</v>
      </c>
      <c r="C1230" s="102">
        <v>2500000</v>
      </c>
      <c r="D1230" s="90" t="s">
        <v>374</v>
      </c>
      <c r="E1230" s="90" t="s">
        <v>68</v>
      </c>
      <c r="F1230" s="90" t="s">
        <v>375</v>
      </c>
      <c r="G1230" s="90" t="s">
        <v>376</v>
      </c>
      <c r="H1230" s="90">
        <v>0.59</v>
      </c>
      <c r="I1230" s="90">
        <v>0.64</v>
      </c>
      <c r="J1230" s="90" t="s">
        <v>244</v>
      </c>
      <c r="K1230" s="90">
        <v>4.1450865976820003E-2</v>
      </c>
      <c r="L1230" s="90">
        <v>3782.0297623923402</v>
      </c>
      <c r="M1230" s="90">
        <v>11.606796577064999</v>
      </c>
      <c r="N1230" s="90">
        <v>1.5323333199976701</v>
      </c>
      <c r="O1230" s="90">
        <v>0.48111176933616001</v>
      </c>
      <c r="P1230" s="90">
        <v>6.3516543079040005E-2</v>
      </c>
      <c r="Q1230" s="90">
        <v>156.76840880127699</v>
      </c>
      <c r="R1230" s="90">
        <v>1410</v>
      </c>
      <c r="S1230" s="90" t="s">
        <v>325</v>
      </c>
      <c r="T1230" s="90">
        <v>1410</v>
      </c>
      <c r="U1230" s="90" t="s">
        <v>378</v>
      </c>
      <c r="V1230" s="90" t="s">
        <v>244</v>
      </c>
      <c r="Z1230" s="90">
        <v>0</v>
      </c>
      <c r="AA1230" s="90">
        <v>1</v>
      </c>
      <c r="AB1230" s="90">
        <v>0.48111176933616001</v>
      </c>
      <c r="AC1230" s="90">
        <v>6.3516543079040005E-2</v>
      </c>
      <c r="AD1230" s="90">
        <v>606.64710383142199</v>
      </c>
      <c r="AF1230" s="90">
        <v>-1</v>
      </c>
      <c r="AG1230" s="90">
        <v>-1</v>
      </c>
      <c r="AH1230" s="90">
        <v>-1</v>
      </c>
      <c r="AI1230" s="90">
        <v>-1</v>
      </c>
      <c r="AJ1230" s="90">
        <v>0</v>
      </c>
      <c r="AM1230" s="90" t="s">
        <v>379</v>
      </c>
      <c r="AN1230" s="90">
        <v>-1</v>
      </c>
      <c r="AQ1230" s="90">
        <v>374</v>
      </c>
      <c r="AR1230" s="90" t="s">
        <v>281</v>
      </c>
      <c r="AS1230" s="90" t="s">
        <v>282</v>
      </c>
      <c r="AT1230" s="90" t="s">
        <v>244</v>
      </c>
      <c r="AU1230" s="90">
        <v>5.6539809999999999</v>
      </c>
      <c r="AV1230" s="90">
        <v>62.017992804846699</v>
      </c>
      <c r="AW1230" s="90">
        <v>167.745703192343</v>
      </c>
      <c r="AX1230" s="90">
        <v>0.49200900549999999</v>
      </c>
    </row>
    <row r="1231" spans="1:50" x14ac:dyDescent="0.25">
      <c r="A1231" s="102">
        <v>840000</v>
      </c>
      <c r="B1231" s="102">
        <v>2500000</v>
      </c>
      <c r="C1231" s="102">
        <v>2500000</v>
      </c>
      <c r="D1231" s="90" t="s">
        <v>374</v>
      </c>
      <c r="E1231" s="90" t="s">
        <v>68</v>
      </c>
      <c r="F1231" s="90" t="s">
        <v>375</v>
      </c>
      <c r="G1231" s="90" t="s">
        <v>376</v>
      </c>
      <c r="H1231" s="90">
        <v>0.59</v>
      </c>
      <c r="I1231" s="90">
        <v>0.64</v>
      </c>
      <c r="J1231" s="90" t="s">
        <v>244</v>
      </c>
      <c r="K1231" s="90">
        <v>4.7787276124000003E-4</v>
      </c>
      <c r="L1231" s="90">
        <v>3782.0297623923402</v>
      </c>
      <c r="M1231" s="90">
        <v>11.606796577064999</v>
      </c>
      <c r="N1231" s="90">
        <v>1.5323333199976701</v>
      </c>
      <c r="O1231" s="90">
        <v>5.5465719294499997E-3</v>
      </c>
      <c r="P1231" s="90">
        <v>7.3226035477000004E-4</v>
      </c>
      <c r="Q1231" s="90">
        <v>1.80732900565385</v>
      </c>
      <c r="R1231" s="90">
        <v>1430</v>
      </c>
      <c r="S1231" s="90" t="s">
        <v>326</v>
      </c>
      <c r="T1231" s="90">
        <v>1430</v>
      </c>
      <c r="U1231" s="90" t="s">
        <v>378</v>
      </c>
      <c r="V1231" s="90" t="s">
        <v>244</v>
      </c>
      <c r="Z1231" s="90">
        <v>0</v>
      </c>
      <c r="AA1231" s="90">
        <v>1</v>
      </c>
      <c r="AB1231" s="90">
        <v>5.5465719294499997E-3</v>
      </c>
      <c r="AC1231" s="90">
        <v>7.3226035477000004E-4</v>
      </c>
      <c r="AD1231" s="90">
        <v>1171.8139128174601</v>
      </c>
      <c r="AF1231" s="90">
        <v>-1</v>
      </c>
      <c r="AG1231" s="90">
        <v>-1</v>
      </c>
      <c r="AH1231" s="90">
        <v>-1</v>
      </c>
      <c r="AI1231" s="90">
        <v>-1</v>
      </c>
      <c r="AJ1231" s="90">
        <v>0</v>
      </c>
      <c r="AM1231" s="90" t="s">
        <v>379</v>
      </c>
      <c r="AN1231" s="90">
        <v>-1</v>
      </c>
      <c r="AQ1231" s="90">
        <v>374</v>
      </c>
      <c r="AR1231" s="90" t="s">
        <v>281</v>
      </c>
      <c r="AS1231" s="90" t="s">
        <v>282</v>
      </c>
      <c r="AT1231" s="90" t="s">
        <v>244</v>
      </c>
      <c r="AU1231" s="90">
        <v>5.6539809999999999</v>
      </c>
      <c r="AV1231" s="90">
        <v>6.7882012539698602</v>
      </c>
      <c r="AW1231" s="90">
        <v>1.93388245292144</v>
      </c>
      <c r="AX1231" s="90">
        <v>0.95037624720000002</v>
      </c>
    </row>
    <row r="1232" spans="1:50" x14ac:dyDescent="0.25">
      <c r="A1232" s="102">
        <v>830000</v>
      </c>
      <c r="B1232" s="102">
        <v>1400000</v>
      </c>
      <c r="C1232" s="102">
        <v>1400000</v>
      </c>
      <c r="D1232" s="90" t="s">
        <v>374</v>
      </c>
      <c r="E1232" s="90" t="s">
        <v>68</v>
      </c>
      <c r="F1232" s="90" t="s">
        <v>375</v>
      </c>
      <c r="G1232" s="90" t="s">
        <v>376</v>
      </c>
      <c r="H1232" s="90">
        <v>0.59</v>
      </c>
      <c r="I1232" s="90">
        <v>0.64</v>
      </c>
      <c r="J1232" s="90" t="s">
        <v>244</v>
      </c>
      <c r="K1232" s="90">
        <v>6.3736787075420007E-2</v>
      </c>
      <c r="L1232" s="90">
        <v>3688.82269287901</v>
      </c>
      <c r="M1232" s="90">
        <v>10.525515615222901</v>
      </c>
      <c r="N1232" s="90">
        <v>1.9529015761409201</v>
      </c>
      <c r="O1232" s="90">
        <v>0.67086254762647002</v>
      </c>
      <c r="P1232" s="90">
        <v>0.12447167193774</v>
      </c>
      <c r="Q1232" s="90">
        <v>235.113706535007</v>
      </c>
      <c r="R1232" s="90">
        <v>1750</v>
      </c>
      <c r="S1232" s="90" t="s">
        <v>377</v>
      </c>
      <c r="T1232" s="90">
        <v>1750</v>
      </c>
      <c r="U1232" s="90" t="s">
        <v>378</v>
      </c>
      <c r="V1232" s="90" t="s">
        <v>244</v>
      </c>
      <c r="Z1232" s="90">
        <v>0</v>
      </c>
      <c r="AA1232" s="90">
        <v>1</v>
      </c>
      <c r="AB1232" s="90">
        <v>0.67086254762647002</v>
      </c>
      <c r="AC1232" s="90">
        <v>0.12447167193774</v>
      </c>
      <c r="AD1232" s="90">
        <v>235.113706535007</v>
      </c>
      <c r="AF1232" s="90">
        <v>-1</v>
      </c>
      <c r="AG1232" s="90">
        <v>-1</v>
      </c>
      <c r="AH1232" s="90">
        <v>-1</v>
      </c>
      <c r="AI1232" s="90">
        <v>-1</v>
      </c>
      <c r="AJ1232" s="90">
        <v>0</v>
      </c>
      <c r="AM1232" s="90" t="s">
        <v>379</v>
      </c>
      <c r="AN1232" s="90">
        <v>-1</v>
      </c>
      <c r="AQ1232" s="90">
        <v>357</v>
      </c>
      <c r="AR1232" s="90" t="s">
        <v>405</v>
      </c>
      <c r="AS1232" s="90" t="s">
        <v>406</v>
      </c>
      <c r="AT1232" s="90" t="s">
        <v>244</v>
      </c>
      <c r="AU1232" s="90">
        <v>122.34610000000001</v>
      </c>
      <c r="AV1232" s="90">
        <v>83.557402559577298</v>
      </c>
      <c r="AW1232" s="90">
        <v>257.93362611930399</v>
      </c>
      <c r="AX1232" s="90">
        <v>0.19068427130000001</v>
      </c>
    </row>
    <row r="1233" spans="1:50" x14ac:dyDescent="0.25">
      <c r="A1233" s="102">
        <v>830000</v>
      </c>
      <c r="B1233" s="102">
        <v>1400000</v>
      </c>
      <c r="C1233" s="102">
        <v>1400000</v>
      </c>
      <c r="D1233" s="90" t="s">
        <v>374</v>
      </c>
      <c r="E1233" s="90" t="s">
        <v>68</v>
      </c>
      <c r="F1233" s="90" t="s">
        <v>375</v>
      </c>
      <c r="G1233" s="90" t="s">
        <v>376</v>
      </c>
      <c r="H1233" s="90">
        <v>0.59</v>
      </c>
      <c r="I1233" s="90">
        <v>0.64</v>
      </c>
      <c r="J1233" s="90" t="s">
        <v>244</v>
      </c>
      <c r="K1233" s="90">
        <v>4.9733428766049997E-2</v>
      </c>
      <c r="L1233" s="90">
        <v>3693.3901165391999</v>
      </c>
      <c r="M1233" s="90">
        <v>10.730568170938801</v>
      </c>
      <c r="N1233" s="90">
        <v>2.0287099410404599</v>
      </c>
      <c r="O1233" s="90">
        <v>0.53366794774867998</v>
      </c>
      <c r="P1233" s="90">
        <v>0.10089470133972001</v>
      </c>
      <c r="Q1233" s="90">
        <v>183.684954266153</v>
      </c>
      <c r="R1233" s="90">
        <v>1750</v>
      </c>
      <c r="S1233" s="90" t="s">
        <v>377</v>
      </c>
      <c r="T1233" s="90">
        <v>1750</v>
      </c>
      <c r="U1233" s="90" t="s">
        <v>378</v>
      </c>
      <c r="V1233" s="90" t="s">
        <v>244</v>
      </c>
      <c r="Z1233" s="90">
        <v>0</v>
      </c>
      <c r="AA1233" s="90">
        <v>1</v>
      </c>
      <c r="AB1233" s="90">
        <v>0.53366794774867998</v>
      </c>
      <c r="AC1233" s="90">
        <v>0.10089470133972001</v>
      </c>
      <c r="AD1233" s="90">
        <v>190.13156431773601</v>
      </c>
      <c r="AF1233" s="90">
        <v>-1</v>
      </c>
      <c r="AG1233" s="90">
        <v>-1</v>
      </c>
      <c r="AH1233" s="90">
        <v>-1</v>
      </c>
      <c r="AI1233" s="90">
        <v>-1</v>
      </c>
      <c r="AJ1233" s="90">
        <v>0</v>
      </c>
      <c r="AM1233" s="90" t="s">
        <v>379</v>
      </c>
      <c r="AN1233" s="90">
        <v>-1</v>
      </c>
      <c r="AQ1233" s="90">
        <v>357</v>
      </c>
      <c r="AR1233" s="90" t="s">
        <v>405</v>
      </c>
      <c r="AS1233" s="90" t="s">
        <v>406</v>
      </c>
      <c r="AT1233" s="90" t="s">
        <v>244</v>
      </c>
      <c r="AU1233" s="90">
        <v>122.34610000000001</v>
      </c>
      <c r="AV1233" s="90">
        <v>102.544534650484</v>
      </c>
      <c r="AW1233" s="90">
        <v>201.264045609883</v>
      </c>
      <c r="AX1233" s="90">
        <v>0.1542024042</v>
      </c>
    </row>
    <row r="1234" spans="1:50" x14ac:dyDescent="0.25">
      <c r="A1234" s="102">
        <v>830000</v>
      </c>
      <c r="B1234" s="102">
        <v>1400000</v>
      </c>
      <c r="C1234" s="102">
        <v>1400000</v>
      </c>
      <c r="D1234" s="90" t="s">
        <v>374</v>
      </c>
      <c r="E1234" s="90" t="s">
        <v>68</v>
      </c>
      <c r="F1234" s="90" t="s">
        <v>375</v>
      </c>
      <c r="G1234" s="90" t="s">
        <v>376</v>
      </c>
      <c r="H1234" s="90">
        <v>0.59</v>
      </c>
      <c r="I1234" s="90">
        <v>0.64</v>
      </c>
      <c r="J1234" s="90" t="s">
        <v>244</v>
      </c>
      <c r="K1234" s="90">
        <v>0.22600735991741</v>
      </c>
      <c r="L1234" s="90">
        <v>3711.6344683201401</v>
      </c>
      <c r="M1234" s="90">
        <v>9.3419405300623204</v>
      </c>
      <c r="N1234" s="90">
        <v>1.2463148326812701</v>
      </c>
      <c r="O1234" s="90">
        <v>2.1113473157048799</v>
      </c>
      <c r="P1234" s="90">
        <v>0.28167632496021</v>
      </c>
      <c r="Q1234" s="90">
        <v>838.85670716351399</v>
      </c>
      <c r="R1234" s="90">
        <v>1750</v>
      </c>
      <c r="S1234" s="90" t="s">
        <v>377</v>
      </c>
      <c r="T1234" s="90">
        <v>1750</v>
      </c>
      <c r="U1234" s="90" t="s">
        <v>378</v>
      </c>
      <c r="V1234" s="90" t="s">
        <v>244</v>
      </c>
      <c r="Z1234" s="90">
        <v>0</v>
      </c>
      <c r="AA1234" s="90">
        <v>1</v>
      </c>
      <c r="AB1234" s="90">
        <v>2.1113473157048799</v>
      </c>
      <c r="AC1234" s="90">
        <v>0.28167632496021</v>
      </c>
      <c r="AD1234" s="90">
        <v>907.71757981444398</v>
      </c>
      <c r="AF1234" s="90">
        <v>-1</v>
      </c>
      <c r="AG1234" s="90">
        <v>-1</v>
      </c>
      <c r="AH1234" s="90">
        <v>-1</v>
      </c>
      <c r="AI1234" s="90">
        <v>-1</v>
      </c>
      <c r="AJ1234" s="90">
        <v>0</v>
      </c>
      <c r="AM1234" s="90" t="s">
        <v>379</v>
      </c>
      <c r="AN1234" s="90">
        <v>-1</v>
      </c>
      <c r="AQ1234" s="90">
        <v>357</v>
      </c>
      <c r="AR1234" s="90" t="s">
        <v>405</v>
      </c>
      <c r="AS1234" s="90" t="s">
        <v>406</v>
      </c>
      <c r="AT1234" s="90" t="s">
        <v>244</v>
      </c>
      <c r="AU1234" s="90">
        <v>122.34610000000001</v>
      </c>
      <c r="AV1234" s="90">
        <v>131.91993057664499</v>
      </c>
      <c r="AW1234" s="90">
        <v>914.61933599146005</v>
      </c>
      <c r="AX1234" s="90">
        <v>0.73618619610000002</v>
      </c>
    </row>
    <row r="1235" spans="1:50" x14ac:dyDescent="0.25">
      <c r="A1235" s="102">
        <v>830000</v>
      </c>
      <c r="B1235" s="102">
        <v>1400000</v>
      </c>
      <c r="C1235" s="102">
        <v>1400000</v>
      </c>
      <c r="D1235" s="90" t="s">
        <v>374</v>
      </c>
      <c r="E1235" s="90" t="s">
        <v>68</v>
      </c>
      <c r="F1235" s="90" t="s">
        <v>375</v>
      </c>
      <c r="G1235" s="90" t="s">
        <v>376</v>
      </c>
      <c r="H1235" s="90">
        <v>0.59</v>
      </c>
      <c r="I1235" s="90">
        <v>0.64</v>
      </c>
      <c r="J1235" s="90" t="s">
        <v>244</v>
      </c>
      <c r="K1235" s="90">
        <v>0.18861528764145</v>
      </c>
      <c r="L1235" s="90">
        <v>3695.6535633538101</v>
      </c>
      <c r="M1235" s="90">
        <v>9.4867124968976295</v>
      </c>
      <c r="N1235" s="90">
        <v>1.25624546124614</v>
      </c>
      <c r="O1235" s="90">
        <v>1.7893390063741199</v>
      </c>
      <c r="P1235" s="90">
        <v>0.23694709902121</v>
      </c>
      <c r="Q1235" s="90">
        <v>697.05675987514496</v>
      </c>
      <c r="R1235" s="90">
        <v>1750</v>
      </c>
      <c r="S1235" s="90" t="s">
        <v>377</v>
      </c>
      <c r="T1235" s="90">
        <v>1750</v>
      </c>
      <c r="U1235" s="90" t="s">
        <v>378</v>
      </c>
      <c r="V1235" s="90" t="s">
        <v>244</v>
      </c>
      <c r="Z1235" s="90">
        <v>0</v>
      </c>
      <c r="AA1235" s="90">
        <v>1</v>
      </c>
      <c r="AB1235" s="90">
        <v>1.7893390063741199</v>
      </c>
      <c r="AC1235" s="90">
        <v>0.23694709902121</v>
      </c>
      <c r="AD1235" s="90">
        <v>697.05675987514496</v>
      </c>
      <c r="AF1235" s="90">
        <v>-1</v>
      </c>
      <c r="AG1235" s="90">
        <v>-1</v>
      </c>
      <c r="AH1235" s="90">
        <v>-1</v>
      </c>
      <c r="AI1235" s="90">
        <v>-1</v>
      </c>
      <c r="AJ1235" s="90">
        <v>0</v>
      </c>
      <c r="AM1235" s="90" t="s">
        <v>379</v>
      </c>
      <c r="AN1235" s="90">
        <v>-1</v>
      </c>
      <c r="AQ1235" s="90">
        <v>357</v>
      </c>
      <c r="AR1235" s="90" t="s">
        <v>405</v>
      </c>
      <c r="AS1235" s="90" t="s">
        <v>406</v>
      </c>
      <c r="AT1235" s="90" t="s">
        <v>244</v>
      </c>
      <c r="AU1235" s="90">
        <v>122.34610000000001</v>
      </c>
      <c r="AV1235" s="90">
        <v>114.080522449965</v>
      </c>
      <c r="AW1235" s="90">
        <v>763.29898815464196</v>
      </c>
      <c r="AX1235" s="90">
        <v>0.56533394960000005</v>
      </c>
    </row>
    <row r="1236" spans="1:50" x14ac:dyDescent="0.25">
      <c r="A1236" s="102">
        <v>830000</v>
      </c>
      <c r="B1236" s="102">
        <v>2400000</v>
      </c>
      <c r="C1236" s="102">
        <v>2400000</v>
      </c>
      <c r="D1236" s="90" t="s">
        <v>374</v>
      </c>
      <c r="E1236" s="90" t="s">
        <v>68</v>
      </c>
      <c r="F1236" s="90" t="s">
        <v>375</v>
      </c>
      <c r="G1236" s="90" t="s">
        <v>376</v>
      </c>
      <c r="H1236" s="90">
        <v>0.59</v>
      </c>
      <c r="I1236" s="90">
        <v>0.64</v>
      </c>
      <c r="J1236" s="90" t="s">
        <v>244</v>
      </c>
      <c r="K1236" s="90">
        <v>0.11998378117010999</v>
      </c>
      <c r="L1236" s="90">
        <v>3814.5536575197698</v>
      </c>
      <c r="M1236" s="90">
        <v>9.7382504591805503</v>
      </c>
      <c r="N1236" s="90">
        <v>1.30532463298901</v>
      </c>
      <c r="O1236" s="90">
        <v>1.1684321120740999</v>
      </c>
      <c r="P1236" s="90">
        <v>0.15661778512051</v>
      </c>
      <c r="Q1236" s="90">
        <v>457.68457130551798</v>
      </c>
      <c r="R1236" s="90">
        <v>1400</v>
      </c>
      <c r="S1236" s="90" t="s">
        <v>324</v>
      </c>
      <c r="T1236" s="90">
        <v>1400</v>
      </c>
      <c r="U1236" s="90" t="s">
        <v>378</v>
      </c>
      <c r="V1236" s="90" t="s">
        <v>244</v>
      </c>
      <c r="Z1236" s="90">
        <v>0</v>
      </c>
      <c r="AA1236" s="90">
        <v>1</v>
      </c>
      <c r="AB1236" s="90">
        <v>1.1684321120740999</v>
      </c>
      <c r="AC1236" s="90">
        <v>0.15661778512051</v>
      </c>
      <c r="AD1236" s="90">
        <v>533.83624176624403</v>
      </c>
      <c r="AF1236" s="90">
        <v>-1</v>
      </c>
      <c r="AG1236" s="90">
        <v>-1</v>
      </c>
      <c r="AH1236" s="90">
        <v>-1</v>
      </c>
      <c r="AI1236" s="90">
        <v>-1</v>
      </c>
      <c r="AJ1236" s="90">
        <v>0</v>
      </c>
      <c r="AM1236" s="90" t="s">
        <v>379</v>
      </c>
      <c r="AN1236" s="90">
        <v>-1</v>
      </c>
      <c r="AQ1236" s="90">
        <v>357</v>
      </c>
      <c r="AR1236" s="90" t="s">
        <v>405</v>
      </c>
      <c r="AS1236" s="90" t="s">
        <v>406</v>
      </c>
      <c r="AT1236" s="90" t="s">
        <v>244</v>
      </c>
      <c r="AU1236" s="90">
        <v>122.34610000000001</v>
      </c>
      <c r="AV1236" s="90">
        <v>108.917107278058</v>
      </c>
      <c r="AW1236" s="90">
        <v>485.557135412121</v>
      </c>
      <c r="AX1236" s="90">
        <v>0.43295721149999999</v>
      </c>
    </row>
    <row r="1237" spans="1:50" x14ac:dyDescent="0.25">
      <c r="A1237" s="102">
        <v>830000</v>
      </c>
      <c r="B1237" s="102">
        <v>2400000</v>
      </c>
      <c r="C1237" s="102">
        <v>2400000</v>
      </c>
      <c r="D1237" s="90" t="s">
        <v>374</v>
      </c>
      <c r="E1237" s="90" t="s">
        <v>68</v>
      </c>
      <c r="F1237" s="90" t="s">
        <v>375</v>
      </c>
      <c r="G1237" s="90" t="s">
        <v>376</v>
      </c>
      <c r="H1237" s="90">
        <v>0.59</v>
      </c>
      <c r="I1237" s="90">
        <v>0.64</v>
      </c>
      <c r="J1237" s="90" t="s">
        <v>244</v>
      </c>
      <c r="K1237" s="90">
        <v>6.0174163634600002E-3</v>
      </c>
      <c r="L1237" s="90">
        <v>3814.5536575197698</v>
      </c>
      <c r="M1237" s="90">
        <v>9.7382504591805503</v>
      </c>
      <c r="N1237" s="90">
        <v>1.30532463298901</v>
      </c>
      <c r="O1237" s="90">
        <v>5.8599107664630001E-2</v>
      </c>
      <c r="P1237" s="90">
        <v>7.85468180618E-3</v>
      </c>
      <c r="Q1237" s="90">
        <v>22.95375759809</v>
      </c>
      <c r="R1237" s="90">
        <v>1410</v>
      </c>
      <c r="S1237" s="90" t="s">
        <v>325</v>
      </c>
      <c r="T1237" s="90">
        <v>1410</v>
      </c>
      <c r="U1237" s="90" t="s">
        <v>378</v>
      </c>
      <c r="V1237" s="90" t="s">
        <v>244</v>
      </c>
      <c r="Z1237" s="90">
        <v>0</v>
      </c>
      <c r="AA1237" s="90">
        <v>1</v>
      </c>
      <c r="AB1237" s="90">
        <v>5.8599107664630001E-2</v>
      </c>
      <c r="AC1237" s="90">
        <v>7.85468180618E-3</v>
      </c>
      <c r="AD1237" s="90">
        <v>22.953757598091201</v>
      </c>
      <c r="AF1237" s="90">
        <v>-1</v>
      </c>
      <c r="AG1237" s="90">
        <v>-1</v>
      </c>
      <c r="AH1237" s="90">
        <v>-1</v>
      </c>
      <c r="AI1237" s="90">
        <v>-1</v>
      </c>
      <c r="AJ1237" s="90">
        <v>0</v>
      </c>
      <c r="AM1237" s="90" t="s">
        <v>379</v>
      </c>
      <c r="AN1237" s="90">
        <v>-1</v>
      </c>
      <c r="AQ1237" s="90">
        <v>357</v>
      </c>
      <c r="AR1237" s="90" t="s">
        <v>405</v>
      </c>
      <c r="AS1237" s="90" t="s">
        <v>406</v>
      </c>
      <c r="AT1237" s="90" t="s">
        <v>244</v>
      </c>
      <c r="AU1237" s="90">
        <v>122.34610000000001</v>
      </c>
      <c r="AV1237" s="90">
        <v>90.975859881976007</v>
      </c>
      <c r="AW1237" s="90">
        <v>24.351620056760598</v>
      </c>
      <c r="AX1237" s="90">
        <v>1.8616186199999999E-2</v>
      </c>
    </row>
    <row r="1238" spans="1:50" x14ac:dyDescent="0.25">
      <c r="A1238" s="102">
        <v>830000</v>
      </c>
      <c r="B1238" s="102">
        <v>2400000</v>
      </c>
      <c r="C1238" s="102">
        <v>2400000</v>
      </c>
      <c r="D1238" s="90" t="s">
        <v>374</v>
      </c>
      <c r="E1238" s="90" t="s">
        <v>68</v>
      </c>
      <c r="F1238" s="90" t="s">
        <v>375</v>
      </c>
      <c r="G1238" s="90" t="s">
        <v>376</v>
      </c>
      <c r="H1238" s="90">
        <v>0.59</v>
      </c>
      <c r="I1238" s="90">
        <v>0.64</v>
      </c>
      <c r="J1238" s="90" t="s">
        <v>244</v>
      </c>
      <c r="K1238" s="90">
        <v>0.32954015195045</v>
      </c>
      <c r="L1238" s="90">
        <v>3814.5536575197698</v>
      </c>
      <c r="M1238" s="90">
        <v>9.7382504591805503</v>
      </c>
      <c r="N1238" s="90">
        <v>1.30532463298901</v>
      </c>
      <c r="O1238" s="90">
        <v>3.2091445360499198</v>
      </c>
      <c r="P1238" s="90">
        <v>0.43015687789986001</v>
      </c>
      <c r="Q1238" s="90">
        <v>1257.0485919222201</v>
      </c>
      <c r="R1238" s="90">
        <v>1410</v>
      </c>
      <c r="S1238" s="90" t="s">
        <v>325</v>
      </c>
      <c r="T1238" s="90">
        <v>1410</v>
      </c>
      <c r="U1238" s="90" t="s">
        <v>378</v>
      </c>
      <c r="V1238" s="90" t="s">
        <v>244</v>
      </c>
      <c r="Z1238" s="90">
        <v>0</v>
      </c>
      <c r="AA1238" s="90">
        <v>1</v>
      </c>
      <c r="AB1238" s="90">
        <v>3.2091445360499198</v>
      </c>
      <c r="AC1238" s="90">
        <v>0.43015687789986001</v>
      </c>
      <c r="AD1238" s="90">
        <v>1427.24298250896</v>
      </c>
      <c r="AF1238" s="90">
        <v>-1</v>
      </c>
      <c r="AG1238" s="90">
        <v>-1</v>
      </c>
      <c r="AH1238" s="90">
        <v>-1</v>
      </c>
      <c r="AI1238" s="90">
        <v>-1</v>
      </c>
      <c r="AJ1238" s="90">
        <v>0</v>
      </c>
      <c r="AM1238" s="90" t="s">
        <v>379</v>
      </c>
      <c r="AN1238" s="90">
        <v>-1</v>
      </c>
      <c r="AQ1238" s="90">
        <v>357</v>
      </c>
      <c r="AR1238" s="90" t="s">
        <v>405</v>
      </c>
      <c r="AS1238" s="90" t="s">
        <v>406</v>
      </c>
      <c r="AT1238" s="90" t="s">
        <v>244</v>
      </c>
      <c r="AU1238" s="90">
        <v>122.34610000000001</v>
      </c>
      <c r="AV1238" s="90">
        <v>146.390937503798</v>
      </c>
      <c r="AW1238" s="90">
        <v>1333.60168035936</v>
      </c>
      <c r="AX1238" s="90">
        <v>1.1575368877000001</v>
      </c>
    </row>
    <row r="1239" spans="1:50" x14ac:dyDescent="0.25">
      <c r="A1239" s="102">
        <v>830000</v>
      </c>
      <c r="B1239" s="102">
        <v>2400000</v>
      </c>
      <c r="C1239" s="102">
        <v>2400000</v>
      </c>
      <c r="D1239" s="90" t="s">
        <v>374</v>
      </c>
      <c r="E1239" s="90" t="s">
        <v>68</v>
      </c>
      <c r="F1239" s="90" t="s">
        <v>375</v>
      </c>
      <c r="G1239" s="90" t="s">
        <v>376</v>
      </c>
      <c r="H1239" s="90">
        <v>0.59</v>
      </c>
      <c r="I1239" s="90">
        <v>0.64</v>
      </c>
      <c r="J1239" s="90" t="s">
        <v>244</v>
      </c>
      <c r="K1239" s="90">
        <v>9.7641531110159996E-2</v>
      </c>
      <c r="L1239" s="90">
        <v>3814.5536575197698</v>
      </c>
      <c r="M1239" s="90">
        <v>9.7382504591805503</v>
      </c>
      <c r="N1239" s="90">
        <v>1.30532463298901</v>
      </c>
      <c r="O1239" s="90">
        <v>0.95085768516864999</v>
      </c>
      <c r="P1239" s="90">
        <v>0.12745389576086</v>
      </c>
      <c r="Q1239" s="90">
        <v>372.45885962211003</v>
      </c>
      <c r="R1239" s="90">
        <v>1450</v>
      </c>
      <c r="S1239" s="90" t="s">
        <v>391</v>
      </c>
      <c r="T1239" s="90">
        <v>1450</v>
      </c>
      <c r="U1239" s="90" t="s">
        <v>378</v>
      </c>
      <c r="V1239" s="90" t="s">
        <v>244</v>
      </c>
      <c r="Z1239" s="90">
        <v>0</v>
      </c>
      <c r="AA1239" s="90">
        <v>1</v>
      </c>
      <c r="AB1239" s="90">
        <v>0.95085768516864999</v>
      </c>
      <c r="AC1239" s="90">
        <v>0.12745389576086</v>
      </c>
      <c r="AD1239" s="90">
        <v>372.45885962211202</v>
      </c>
      <c r="AF1239" s="90">
        <v>-1</v>
      </c>
      <c r="AG1239" s="90">
        <v>-1</v>
      </c>
      <c r="AH1239" s="90">
        <v>-1</v>
      </c>
      <c r="AI1239" s="90">
        <v>-1</v>
      </c>
      <c r="AJ1239" s="90">
        <v>0</v>
      </c>
      <c r="AM1239" s="90" t="s">
        <v>379</v>
      </c>
      <c r="AN1239" s="90">
        <v>-1</v>
      </c>
      <c r="AQ1239" s="90">
        <v>357</v>
      </c>
      <c r="AR1239" s="90" t="s">
        <v>405</v>
      </c>
      <c r="AS1239" s="90" t="s">
        <v>406</v>
      </c>
      <c r="AT1239" s="90" t="s">
        <v>244</v>
      </c>
      <c r="AU1239" s="90">
        <v>122.34610000000001</v>
      </c>
      <c r="AV1239" s="90">
        <v>97.071752095330694</v>
      </c>
      <c r="AW1239" s="90">
        <v>395.14125726614202</v>
      </c>
      <c r="AX1239" s="90">
        <v>0.30207531189999998</v>
      </c>
    </row>
    <row r="1240" spans="1:50" x14ac:dyDescent="0.25">
      <c r="A1240" s="102">
        <v>830000</v>
      </c>
      <c r="B1240" s="102">
        <v>2400000</v>
      </c>
      <c r="C1240" s="102">
        <v>2400000</v>
      </c>
      <c r="D1240" s="90" t="s">
        <v>374</v>
      </c>
      <c r="E1240" s="90" t="s">
        <v>68</v>
      </c>
      <c r="F1240" s="90" t="s">
        <v>375</v>
      </c>
      <c r="G1240" s="90" t="s">
        <v>376</v>
      </c>
      <c r="H1240" s="90">
        <v>0.59</v>
      </c>
      <c r="I1240" s="90">
        <v>0.64</v>
      </c>
      <c r="J1240" s="90" t="s">
        <v>244</v>
      </c>
      <c r="K1240" s="90">
        <v>7.6253779979000005E-4</v>
      </c>
      <c r="L1240" s="90">
        <v>3811.3396671840001</v>
      </c>
      <c r="M1240" s="90">
        <v>9.6314439814663295</v>
      </c>
      <c r="N1240" s="90">
        <v>1.34660469972349</v>
      </c>
      <c r="O1240" s="90">
        <v>7.3443401024399996E-3</v>
      </c>
      <c r="P1240" s="90">
        <v>1.0268369849100001E-3</v>
      </c>
      <c r="Q1240" s="90">
        <v>2.9062905640744598</v>
      </c>
      <c r="R1240" s="90">
        <v>1400</v>
      </c>
      <c r="S1240" s="90" t="s">
        <v>324</v>
      </c>
      <c r="T1240" s="90">
        <v>1400</v>
      </c>
      <c r="U1240" s="90" t="s">
        <v>378</v>
      </c>
      <c r="V1240" s="90" t="s">
        <v>244</v>
      </c>
      <c r="Z1240" s="90">
        <v>0</v>
      </c>
      <c r="AA1240" s="90">
        <v>1</v>
      </c>
      <c r="AB1240" s="90">
        <v>7.3443401024399996E-3</v>
      </c>
      <c r="AC1240" s="90">
        <v>1.0268369849100001E-3</v>
      </c>
      <c r="AD1240" s="90">
        <v>716.31790617111596</v>
      </c>
      <c r="AF1240" s="90">
        <v>-1</v>
      </c>
      <c r="AG1240" s="90">
        <v>-1</v>
      </c>
      <c r="AH1240" s="90">
        <v>-1</v>
      </c>
      <c r="AI1240" s="90">
        <v>-1</v>
      </c>
      <c r="AJ1240" s="90">
        <v>0</v>
      </c>
      <c r="AM1240" s="90" t="s">
        <v>379</v>
      </c>
      <c r="AN1240" s="90">
        <v>-1</v>
      </c>
      <c r="AQ1240" s="90">
        <v>357</v>
      </c>
      <c r="AR1240" s="90" t="s">
        <v>405</v>
      </c>
      <c r="AS1240" s="90" t="s">
        <v>406</v>
      </c>
      <c r="AT1240" s="90" t="s">
        <v>244</v>
      </c>
      <c r="AU1240" s="90">
        <v>122.34610000000001</v>
      </c>
      <c r="AV1240" s="90">
        <v>13.2780854595478</v>
      </c>
      <c r="AW1240" s="90">
        <v>3.0858809924092001</v>
      </c>
      <c r="AX1240" s="90">
        <v>0.58095531730000005</v>
      </c>
    </row>
    <row r="1241" spans="1:50" x14ac:dyDescent="0.25">
      <c r="A1241" s="102">
        <v>830000</v>
      </c>
      <c r="B1241" s="102">
        <v>2400000</v>
      </c>
      <c r="C1241" s="102">
        <v>2400000</v>
      </c>
      <c r="D1241" s="90" t="s">
        <v>374</v>
      </c>
      <c r="E1241" s="90" t="s">
        <v>68</v>
      </c>
      <c r="F1241" s="90" t="s">
        <v>375</v>
      </c>
      <c r="G1241" s="90" t="s">
        <v>376</v>
      </c>
      <c r="H1241" s="90">
        <v>0.59</v>
      </c>
      <c r="I1241" s="90">
        <v>0.64</v>
      </c>
      <c r="J1241" s="90" t="s">
        <v>244</v>
      </c>
      <c r="K1241" s="90">
        <v>0.11625174557827</v>
      </c>
      <c r="L1241" s="90">
        <v>3732.2521369716201</v>
      </c>
      <c r="M1241" s="90">
        <v>10.8799067419413</v>
      </c>
      <c r="N1241" s="90">
        <v>2.112839446637</v>
      </c>
      <c r="O1241" s="90">
        <v>1.2648081504794699</v>
      </c>
      <c r="P1241" s="90">
        <v>0.24562127379818</v>
      </c>
      <c r="Q1241" s="90">
        <v>433.88082586118298</v>
      </c>
      <c r="R1241" s="90">
        <v>1300</v>
      </c>
      <c r="S1241" s="90" t="s">
        <v>387</v>
      </c>
      <c r="T1241" s="90">
        <v>1300</v>
      </c>
      <c r="U1241" s="90" t="s">
        <v>378</v>
      </c>
      <c r="V1241" s="90" t="s">
        <v>244</v>
      </c>
      <c r="Z1241" s="90">
        <v>0</v>
      </c>
      <c r="AA1241" s="90">
        <v>1</v>
      </c>
      <c r="AB1241" s="90">
        <v>1.2648081504794699</v>
      </c>
      <c r="AC1241" s="90">
        <v>0.24562127379818</v>
      </c>
      <c r="AD1241" s="90">
        <v>433.88082586118298</v>
      </c>
      <c r="AF1241" s="90">
        <v>-1</v>
      </c>
      <c r="AG1241" s="90">
        <v>-1</v>
      </c>
      <c r="AH1241" s="90">
        <v>-1</v>
      </c>
      <c r="AI1241" s="90">
        <v>-1</v>
      </c>
      <c r="AJ1241" s="90">
        <v>0</v>
      </c>
      <c r="AM1241" s="90" t="s">
        <v>379</v>
      </c>
      <c r="AN1241" s="90">
        <v>-1</v>
      </c>
      <c r="AQ1241" s="90">
        <v>357</v>
      </c>
      <c r="AR1241" s="90" t="s">
        <v>405</v>
      </c>
      <c r="AS1241" s="90" t="s">
        <v>406</v>
      </c>
      <c r="AT1241" s="90" t="s">
        <v>244</v>
      </c>
      <c r="AU1241" s="90">
        <v>122.34610000000001</v>
      </c>
      <c r="AV1241" s="90">
        <v>118.992973831901</v>
      </c>
      <c r="AW1241" s="90">
        <v>470.45412320863801</v>
      </c>
      <c r="AX1241" s="90">
        <v>0.35189036969999998</v>
      </c>
    </row>
    <row r="1242" spans="1:50" x14ac:dyDescent="0.25">
      <c r="A1242" s="102">
        <v>830000</v>
      </c>
      <c r="B1242" s="102">
        <v>2400000</v>
      </c>
      <c r="C1242" s="102">
        <v>2400000</v>
      </c>
      <c r="D1242" s="90" t="s">
        <v>374</v>
      </c>
      <c r="E1242" s="90" t="s">
        <v>68</v>
      </c>
      <c r="F1242" s="90" t="s">
        <v>375</v>
      </c>
      <c r="G1242" s="90" t="s">
        <v>376</v>
      </c>
      <c r="H1242" s="90">
        <v>0.59</v>
      </c>
      <c r="I1242" s="90">
        <v>0.64</v>
      </c>
      <c r="J1242" s="90" t="s">
        <v>244</v>
      </c>
      <c r="K1242" s="90">
        <v>0.50151170808963996</v>
      </c>
      <c r="L1242" s="90">
        <v>3732.2521369716201</v>
      </c>
      <c r="M1242" s="90">
        <v>10.8799067419413</v>
      </c>
      <c r="N1242" s="90">
        <v>2.112839446637</v>
      </c>
      <c r="O1242" s="90">
        <v>5.4564006140070003</v>
      </c>
      <c r="P1242" s="90">
        <v>1.0596137198020901</v>
      </c>
      <c r="Q1242" s="90">
        <v>1871.7681442338501</v>
      </c>
      <c r="R1242" s="90">
        <v>1300</v>
      </c>
      <c r="S1242" s="90" t="s">
        <v>387</v>
      </c>
      <c r="T1242" s="90">
        <v>1300</v>
      </c>
      <c r="U1242" s="90" t="s">
        <v>378</v>
      </c>
      <c r="V1242" s="90" t="s">
        <v>244</v>
      </c>
      <c r="Z1242" s="90">
        <v>0</v>
      </c>
      <c r="AA1242" s="90">
        <v>1</v>
      </c>
      <c r="AB1242" s="90">
        <v>5.4564006140070003</v>
      </c>
      <c r="AC1242" s="90">
        <v>1.0596137198020901</v>
      </c>
      <c r="AD1242" s="90">
        <v>1871.7681442338501</v>
      </c>
      <c r="AF1242" s="90">
        <v>-1</v>
      </c>
      <c r="AG1242" s="90">
        <v>-1</v>
      </c>
      <c r="AH1242" s="90">
        <v>-1</v>
      </c>
      <c r="AI1242" s="90">
        <v>-1</v>
      </c>
      <c r="AJ1242" s="90">
        <v>0</v>
      </c>
      <c r="AM1242" s="90" t="s">
        <v>379</v>
      </c>
      <c r="AN1242" s="90">
        <v>-1</v>
      </c>
      <c r="AQ1242" s="90">
        <v>357</v>
      </c>
      <c r="AR1242" s="90" t="s">
        <v>405</v>
      </c>
      <c r="AS1242" s="90" t="s">
        <v>406</v>
      </c>
      <c r="AT1242" s="90" t="s">
        <v>244</v>
      </c>
      <c r="AU1242" s="90">
        <v>122.34610000000001</v>
      </c>
      <c r="AV1242" s="90">
        <v>181.35664397985701</v>
      </c>
      <c r="AW1242" s="90">
        <v>2029.5458767913599</v>
      </c>
      <c r="AX1242" s="90">
        <v>1.5180601332000001</v>
      </c>
    </row>
    <row r="1243" spans="1:50" x14ac:dyDescent="0.25">
      <c r="A1243" s="102">
        <v>830000</v>
      </c>
      <c r="B1243" s="102">
        <v>2400000</v>
      </c>
      <c r="C1243" s="102">
        <v>2400000</v>
      </c>
      <c r="D1243" s="90" t="s">
        <v>374</v>
      </c>
      <c r="E1243" s="90" t="s">
        <v>68</v>
      </c>
      <c r="F1243" s="90" t="s">
        <v>375</v>
      </c>
      <c r="G1243" s="90" t="s">
        <v>376</v>
      </c>
      <c r="H1243" s="90">
        <v>0.59</v>
      </c>
      <c r="I1243" s="90">
        <v>0.64</v>
      </c>
      <c r="J1243" s="90" t="s">
        <v>244</v>
      </c>
      <c r="K1243" s="90">
        <v>7.0880599168490002E-2</v>
      </c>
      <c r="L1243" s="90">
        <v>3727.5621870137402</v>
      </c>
      <c r="M1243" s="90">
        <v>11.689816842707099</v>
      </c>
      <c r="N1243" s="90">
        <v>2.1813009680552198</v>
      </c>
      <c r="O1243" s="90">
        <v>0.82858122198108997</v>
      </c>
      <c r="P1243" s="90">
        <v>0.15461191958258</v>
      </c>
      <c r="Q1243" s="90">
        <v>264.21184125337402</v>
      </c>
      <c r="R1243" s="90">
        <v>1300</v>
      </c>
      <c r="S1243" s="90" t="s">
        <v>387</v>
      </c>
      <c r="T1243" s="90">
        <v>1300</v>
      </c>
      <c r="U1243" s="90" t="s">
        <v>378</v>
      </c>
      <c r="V1243" s="90" t="s">
        <v>244</v>
      </c>
      <c r="Z1243" s="90">
        <v>0</v>
      </c>
      <c r="AA1243" s="90">
        <v>1</v>
      </c>
      <c r="AB1243" s="90">
        <v>0.82858122198108997</v>
      </c>
      <c r="AC1243" s="90">
        <v>0.15461191958258</v>
      </c>
      <c r="AD1243" s="90">
        <v>264.21184125337601</v>
      </c>
      <c r="AF1243" s="90">
        <v>-1</v>
      </c>
      <c r="AG1243" s="90">
        <v>-1</v>
      </c>
      <c r="AH1243" s="90">
        <v>-1</v>
      </c>
      <c r="AI1243" s="90">
        <v>-1</v>
      </c>
      <c r="AJ1243" s="90">
        <v>0</v>
      </c>
      <c r="AM1243" s="90" t="s">
        <v>379</v>
      </c>
      <c r="AN1243" s="90">
        <v>-1</v>
      </c>
      <c r="AQ1243" s="90">
        <v>357</v>
      </c>
      <c r="AR1243" s="90" t="s">
        <v>405</v>
      </c>
      <c r="AS1243" s="90" t="s">
        <v>406</v>
      </c>
      <c r="AT1243" s="90" t="s">
        <v>244</v>
      </c>
      <c r="AU1243" s="90">
        <v>122.34610000000001</v>
      </c>
      <c r="AV1243" s="90">
        <v>111.79093336630901</v>
      </c>
      <c r="AW1243" s="90">
        <v>286.84360796860102</v>
      </c>
      <c r="AX1243" s="90">
        <v>0.21428373179999999</v>
      </c>
    </row>
    <row r="1244" spans="1:50" x14ac:dyDescent="0.25">
      <c r="A1244" s="102">
        <v>830000</v>
      </c>
      <c r="B1244" s="102">
        <v>2400000</v>
      </c>
      <c r="C1244" s="102">
        <v>2400000</v>
      </c>
      <c r="D1244" s="90" t="s">
        <v>374</v>
      </c>
      <c r="E1244" s="90" t="s">
        <v>68</v>
      </c>
      <c r="F1244" s="90" t="s">
        <v>375</v>
      </c>
      <c r="G1244" s="90" t="s">
        <v>376</v>
      </c>
      <c r="H1244" s="90">
        <v>0.59</v>
      </c>
      <c r="I1244" s="90">
        <v>0.64</v>
      </c>
      <c r="J1244" s="90" t="s">
        <v>244</v>
      </c>
      <c r="K1244" s="90">
        <v>0.11841376143125</v>
      </c>
      <c r="L1244" s="90">
        <v>3727.5621870137402</v>
      </c>
      <c r="M1244" s="90">
        <v>11.689816842707099</v>
      </c>
      <c r="N1244" s="90">
        <v>2.1813009680552198</v>
      </c>
      <c r="O1244" s="90">
        <v>1.38423518278738</v>
      </c>
      <c r="P1244" s="90">
        <v>0.25829605244104997</v>
      </c>
      <c r="Q1244" s="90">
        <v>441.39465953321201</v>
      </c>
      <c r="R1244" s="90">
        <v>1400</v>
      </c>
      <c r="S1244" s="90" t="s">
        <v>324</v>
      </c>
      <c r="T1244" s="90">
        <v>1400</v>
      </c>
      <c r="U1244" s="90" t="s">
        <v>378</v>
      </c>
      <c r="V1244" s="90" t="s">
        <v>244</v>
      </c>
      <c r="Z1244" s="90">
        <v>0</v>
      </c>
      <c r="AA1244" s="90">
        <v>1</v>
      </c>
      <c r="AB1244" s="90">
        <v>1.38423518278738</v>
      </c>
      <c r="AC1244" s="90">
        <v>0.25829605244104997</v>
      </c>
      <c r="AD1244" s="90">
        <v>441.39465953321201</v>
      </c>
      <c r="AF1244" s="90">
        <v>-1</v>
      </c>
      <c r="AG1244" s="90">
        <v>-1</v>
      </c>
      <c r="AH1244" s="90">
        <v>-1</v>
      </c>
      <c r="AI1244" s="90">
        <v>-1</v>
      </c>
      <c r="AJ1244" s="90">
        <v>0</v>
      </c>
      <c r="AM1244" s="90" t="s">
        <v>379</v>
      </c>
      <c r="AN1244" s="90">
        <v>-1</v>
      </c>
      <c r="AQ1244" s="90">
        <v>357</v>
      </c>
      <c r="AR1244" s="90" t="s">
        <v>405</v>
      </c>
      <c r="AS1244" s="90" t="s">
        <v>406</v>
      </c>
      <c r="AT1244" s="90" t="s">
        <v>244</v>
      </c>
      <c r="AU1244" s="90">
        <v>122.34610000000001</v>
      </c>
      <c r="AV1244" s="90">
        <v>119.485332405964</v>
      </c>
      <c r="AW1244" s="90">
        <v>479.203490948617</v>
      </c>
      <c r="AX1244" s="90">
        <v>0.35798431429999999</v>
      </c>
    </row>
    <row r="1245" spans="1:50" x14ac:dyDescent="0.25">
      <c r="A1245" s="102">
        <v>830000</v>
      </c>
      <c r="B1245" s="102">
        <v>2400000</v>
      </c>
      <c r="C1245" s="102">
        <v>2400000</v>
      </c>
      <c r="D1245" s="90" t="s">
        <v>374</v>
      </c>
      <c r="E1245" s="90" t="s">
        <v>68</v>
      </c>
      <c r="F1245" s="90" t="s">
        <v>375</v>
      </c>
      <c r="G1245" s="90" t="s">
        <v>376</v>
      </c>
      <c r="H1245" s="90">
        <v>0.59</v>
      </c>
      <c r="I1245" s="90">
        <v>0.64</v>
      </c>
      <c r="J1245" s="90" t="s">
        <v>244</v>
      </c>
      <c r="K1245" s="90">
        <v>3.2372036669050003E-2</v>
      </c>
      <c r="L1245" s="90">
        <v>3727.5621870137402</v>
      </c>
      <c r="M1245" s="90">
        <v>11.689816842707099</v>
      </c>
      <c r="N1245" s="90">
        <v>2.1813009680552198</v>
      </c>
      <c r="O1245" s="90">
        <v>0.37842317948665</v>
      </c>
      <c r="P1245" s="90">
        <v>7.061315492412E-2</v>
      </c>
      <c r="Q1245" s="90">
        <v>120.668779804191</v>
      </c>
      <c r="R1245" s="90">
        <v>1450</v>
      </c>
      <c r="S1245" s="90" t="s">
        <v>391</v>
      </c>
      <c r="T1245" s="90">
        <v>1450</v>
      </c>
      <c r="U1245" s="90" t="s">
        <v>378</v>
      </c>
      <c r="V1245" s="90" t="s">
        <v>244</v>
      </c>
      <c r="Z1245" s="90">
        <v>0</v>
      </c>
      <c r="AA1245" s="90">
        <v>1</v>
      </c>
      <c r="AB1245" s="90">
        <v>0.37842317948665</v>
      </c>
      <c r="AC1245" s="90">
        <v>7.061315492412E-2</v>
      </c>
      <c r="AD1245" s="90">
        <v>120.668779804192</v>
      </c>
      <c r="AF1245" s="90">
        <v>-1</v>
      </c>
      <c r="AG1245" s="90">
        <v>-1</v>
      </c>
      <c r="AH1245" s="90">
        <v>-1</v>
      </c>
      <c r="AI1245" s="90">
        <v>-1</v>
      </c>
      <c r="AJ1245" s="90">
        <v>0</v>
      </c>
      <c r="AM1245" s="90" t="s">
        <v>379</v>
      </c>
      <c r="AN1245" s="90">
        <v>-1</v>
      </c>
      <c r="AQ1245" s="90">
        <v>357</v>
      </c>
      <c r="AR1245" s="90" t="s">
        <v>405</v>
      </c>
      <c r="AS1245" s="90" t="s">
        <v>406</v>
      </c>
      <c r="AT1245" s="90" t="s">
        <v>244</v>
      </c>
      <c r="AU1245" s="90">
        <v>122.34610000000001</v>
      </c>
      <c r="AV1245" s="90">
        <v>105.40122460396501</v>
      </c>
      <c r="AW1245" s="90">
        <v>131.00498450033399</v>
      </c>
      <c r="AX1245" s="90">
        <v>9.7866001499999994E-2</v>
      </c>
    </row>
    <row r="1246" spans="1:50" x14ac:dyDescent="0.25">
      <c r="A1246" s="102">
        <v>830000</v>
      </c>
      <c r="B1246" s="102">
        <v>2400000</v>
      </c>
      <c r="C1246" s="102">
        <v>2400000</v>
      </c>
      <c r="D1246" s="90" t="s">
        <v>374</v>
      </c>
      <c r="E1246" s="90" t="s">
        <v>68</v>
      </c>
      <c r="F1246" s="90" t="s">
        <v>375</v>
      </c>
      <c r="G1246" s="90" t="s">
        <v>376</v>
      </c>
      <c r="H1246" s="90">
        <v>0.59</v>
      </c>
      <c r="I1246" s="90">
        <v>0.64</v>
      </c>
      <c r="J1246" s="90" t="s">
        <v>244</v>
      </c>
      <c r="K1246" s="90">
        <v>0.39609705633005998</v>
      </c>
      <c r="L1246" s="90">
        <v>3727.5621870137402</v>
      </c>
      <c r="M1246" s="90">
        <v>11.689816842707099</v>
      </c>
      <c r="N1246" s="90">
        <v>2.1813009680552198</v>
      </c>
      <c r="O1246" s="90">
        <v>4.6303020404338797</v>
      </c>
      <c r="P1246" s="90">
        <v>0.86400689241659001</v>
      </c>
      <c r="Q1246" s="90">
        <v>1476.47640956339</v>
      </c>
      <c r="R1246" s="90">
        <v>1300</v>
      </c>
      <c r="S1246" s="90" t="s">
        <v>387</v>
      </c>
      <c r="T1246" s="90">
        <v>1300</v>
      </c>
      <c r="U1246" s="90" t="s">
        <v>378</v>
      </c>
      <c r="V1246" s="90" t="s">
        <v>244</v>
      </c>
      <c r="Z1246" s="90">
        <v>0</v>
      </c>
      <c r="AA1246" s="90">
        <v>1</v>
      </c>
      <c r="AB1246" s="90">
        <v>4.6303020404338797</v>
      </c>
      <c r="AC1246" s="90">
        <v>0.86400689241659001</v>
      </c>
      <c r="AD1246" s="90">
        <v>1476.47640956339</v>
      </c>
      <c r="AF1246" s="90">
        <v>-1</v>
      </c>
      <c r="AG1246" s="90">
        <v>-1</v>
      </c>
      <c r="AH1246" s="90">
        <v>-1</v>
      </c>
      <c r="AI1246" s="90">
        <v>-1</v>
      </c>
      <c r="AJ1246" s="90">
        <v>0</v>
      </c>
      <c r="AM1246" s="90" t="s">
        <v>379</v>
      </c>
      <c r="AN1246" s="90">
        <v>-1</v>
      </c>
      <c r="AQ1246" s="90">
        <v>357</v>
      </c>
      <c r="AR1246" s="90" t="s">
        <v>405</v>
      </c>
      <c r="AS1246" s="90" t="s">
        <v>406</v>
      </c>
      <c r="AT1246" s="90" t="s">
        <v>244</v>
      </c>
      <c r="AU1246" s="90">
        <v>122.34610000000001</v>
      </c>
      <c r="AV1246" s="90">
        <v>164.278938150659</v>
      </c>
      <c r="AW1246" s="90">
        <v>1602.9479163030501</v>
      </c>
      <c r="AX1246" s="90">
        <v>1.1974666744</v>
      </c>
    </row>
    <row r="1247" spans="1:50" x14ac:dyDescent="0.25">
      <c r="A1247" s="102">
        <v>830000</v>
      </c>
      <c r="B1247" s="102">
        <v>2400000</v>
      </c>
      <c r="C1247" s="102">
        <v>2400000</v>
      </c>
      <c r="D1247" s="90" t="s">
        <v>374</v>
      </c>
      <c r="E1247" s="90" t="s">
        <v>68</v>
      </c>
      <c r="F1247" s="90" t="s">
        <v>375</v>
      </c>
      <c r="G1247" s="90" t="s">
        <v>376</v>
      </c>
      <c r="H1247" s="90">
        <v>0.59</v>
      </c>
      <c r="I1247" s="90">
        <v>0.64</v>
      </c>
      <c r="J1247" s="90" t="s">
        <v>244</v>
      </c>
      <c r="K1247" s="90">
        <v>0.12204512847198</v>
      </c>
      <c r="L1247" s="90">
        <v>3685.0282923178202</v>
      </c>
      <c r="M1247" s="90">
        <v>9.5844390252242899</v>
      </c>
      <c r="N1247" s="90">
        <v>1.54454372283949</v>
      </c>
      <c r="O1247" s="90">
        <v>1.1697340921654</v>
      </c>
      <c r="P1247" s="90">
        <v>0.18850403708454</v>
      </c>
      <c r="Q1247" s="90">
        <v>449.73975135882802</v>
      </c>
      <c r="R1247" s="90">
        <v>1200</v>
      </c>
      <c r="S1247" s="90" t="s">
        <v>384</v>
      </c>
      <c r="T1247" s="90">
        <v>1200</v>
      </c>
      <c r="U1247" s="90" t="s">
        <v>378</v>
      </c>
      <c r="V1247" s="90" t="s">
        <v>244</v>
      </c>
      <c r="Z1247" s="90">
        <v>0</v>
      </c>
      <c r="AA1247" s="90">
        <v>1</v>
      </c>
      <c r="AB1247" s="90">
        <v>1.1697340921654</v>
      </c>
      <c r="AC1247" s="90">
        <v>0.18850403708454</v>
      </c>
      <c r="AD1247" s="90">
        <v>449.73975135882802</v>
      </c>
      <c r="AF1247" s="90">
        <v>-1</v>
      </c>
      <c r="AG1247" s="90">
        <v>-1</v>
      </c>
      <c r="AH1247" s="90">
        <v>-1</v>
      </c>
      <c r="AI1247" s="90">
        <v>-1</v>
      </c>
      <c r="AJ1247" s="90">
        <v>0</v>
      </c>
      <c r="AM1247" s="90" t="s">
        <v>379</v>
      </c>
      <c r="AN1247" s="90">
        <v>-1</v>
      </c>
      <c r="AQ1247" s="90">
        <v>357</v>
      </c>
      <c r="AR1247" s="90" t="s">
        <v>405</v>
      </c>
      <c r="AS1247" s="90" t="s">
        <v>406</v>
      </c>
      <c r="AT1247" s="90" t="s">
        <v>244</v>
      </c>
      <c r="AU1247" s="90">
        <v>122.34610000000001</v>
      </c>
      <c r="AV1247" s="90">
        <v>120.428270750441</v>
      </c>
      <c r="AW1247" s="90">
        <v>493.89911197948601</v>
      </c>
      <c r="AX1247" s="90">
        <v>0.36475243419999998</v>
      </c>
    </row>
    <row r="1248" spans="1:50" x14ac:dyDescent="0.25">
      <c r="A1248" s="102">
        <v>830000</v>
      </c>
      <c r="B1248" s="102">
        <v>2400000</v>
      </c>
      <c r="C1248" s="102">
        <v>2400000</v>
      </c>
      <c r="D1248" s="90" t="s">
        <v>374</v>
      </c>
      <c r="E1248" s="90" t="s">
        <v>68</v>
      </c>
      <c r="F1248" s="90" t="s">
        <v>375</v>
      </c>
      <c r="G1248" s="90" t="s">
        <v>376</v>
      </c>
      <c r="H1248" s="90">
        <v>0.59</v>
      </c>
      <c r="I1248" s="90">
        <v>0.64</v>
      </c>
      <c r="J1248" s="90" t="s">
        <v>244</v>
      </c>
      <c r="K1248" s="90">
        <v>0.12720060266752001</v>
      </c>
      <c r="L1248" s="90">
        <v>3685.0282923178202</v>
      </c>
      <c r="M1248" s="90">
        <v>9.5844390252242899</v>
      </c>
      <c r="N1248" s="90">
        <v>1.54454372283949</v>
      </c>
      <c r="O1248" s="90">
        <v>1.2191464202386699</v>
      </c>
      <c r="P1248" s="90">
        <v>0.19646689239151999</v>
      </c>
      <c r="Q1248" s="90">
        <v>468.73781962970799</v>
      </c>
      <c r="R1248" s="90">
        <v>1300</v>
      </c>
      <c r="S1248" s="90" t="s">
        <v>387</v>
      </c>
      <c r="T1248" s="90">
        <v>1300</v>
      </c>
      <c r="U1248" s="90" t="s">
        <v>378</v>
      </c>
      <c r="V1248" s="90" t="s">
        <v>244</v>
      </c>
      <c r="Z1248" s="90">
        <v>0</v>
      </c>
      <c r="AA1248" s="90">
        <v>1</v>
      </c>
      <c r="AB1248" s="90">
        <v>1.2191464202386699</v>
      </c>
      <c r="AC1248" s="90">
        <v>0.19646689239151999</v>
      </c>
      <c r="AD1248" s="90">
        <v>468.73781962970799</v>
      </c>
      <c r="AF1248" s="90">
        <v>-1</v>
      </c>
      <c r="AG1248" s="90">
        <v>-1</v>
      </c>
      <c r="AH1248" s="90">
        <v>-1</v>
      </c>
      <c r="AI1248" s="90">
        <v>-1</v>
      </c>
      <c r="AJ1248" s="90">
        <v>0</v>
      </c>
      <c r="AM1248" s="90" t="s">
        <v>379</v>
      </c>
      <c r="AN1248" s="90">
        <v>-1</v>
      </c>
      <c r="AQ1248" s="90">
        <v>357</v>
      </c>
      <c r="AR1248" s="90" t="s">
        <v>405</v>
      </c>
      <c r="AS1248" s="90" t="s">
        <v>406</v>
      </c>
      <c r="AT1248" s="90" t="s">
        <v>244</v>
      </c>
      <c r="AU1248" s="90">
        <v>122.34610000000001</v>
      </c>
      <c r="AV1248" s="90">
        <v>121.18345747804401</v>
      </c>
      <c r="AW1248" s="90">
        <v>514.76257583822598</v>
      </c>
      <c r="AX1248" s="90">
        <v>0.38016043770000002</v>
      </c>
    </row>
    <row r="1249" spans="1:50" x14ac:dyDescent="0.25">
      <c r="A1249" s="102">
        <v>830000</v>
      </c>
      <c r="B1249" s="102">
        <v>2400000</v>
      </c>
      <c r="C1249" s="102">
        <v>2400000</v>
      </c>
      <c r="D1249" s="90" t="s">
        <v>374</v>
      </c>
      <c r="E1249" s="90" t="s">
        <v>68</v>
      </c>
      <c r="F1249" s="90" t="s">
        <v>375</v>
      </c>
      <c r="G1249" s="90" t="s">
        <v>376</v>
      </c>
      <c r="H1249" s="90">
        <v>0.59</v>
      </c>
      <c r="I1249" s="90">
        <v>0.64</v>
      </c>
      <c r="J1249" s="90" t="s">
        <v>244</v>
      </c>
      <c r="K1249" s="90">
        <v>6.2374847457199997E-2</v>
      </c>
      <c r="L1249" s="90">
        <v>3685.0282923178202</v>
      </c>
      <c r="M1249" s="90">
        <v>9.5844390252242899</v>
      </c>
      <c r="N1249" s="90">
        <v>1.54454372283949</v>
      </c>
      <c r="O1249" s="90">
        <v>0.59782792216128</v>
      </c>
      <c r="P1249" s="90">
        <v>9.6340679103099999E-2</v>
      </c>
      <c r="Q1249" s="90">
        <v>229.85307760882301</v>
      </c>
      <c r="R1249" s="90">
        <v>1210</v>
      </c>
      <c r="S1249" s="90" t="s">
        <v>385</v>
      </c>
      <c r="T1249" s="90">
        <v>1210</v>
      </c>
      <c r="U1249" s="90" t="s">
        <v>378</v>
      </c>
      <c r="V1249" s="90" t="s">
        <v>244</v>
      </c>
      <c r="Z1249" s="90">
        <v>0</v>
      </c>
      <c r="AA1249" s="90">
        <v>1</v>
      </c>
      <c r="AB1249" s="90">
        <v>0.59782792216128</v>
      </c>
      <c r="AC1249" s="90">
        <v>9.6340679103099999E-2</v>
      </c>
      <c r="AD1249" s="90">
        <v>229.85307760882199</v>
      </c>
      <c r="AF1249" s="90">
        <v>-1</v>
      </c>
      <c r="AG1249" s="90">
        <v>-1</v>
      </c>
      <c r="AH1249" s="90">
        <v>-1</v>
      </c>
      <c r="AI1249" s="90">
        <v>-1</v>
      </c>
      <c r="AJ1249" s="90">
        <v>0</v>
      </c>
      <c r="AM1249" s="90" t="s">
        <v>379</v>
      </c>
      <c r="AN1249" s="90">
        <v>-1</v>
      </c>
      <c r="AQ1249" s="90">
        <v>357</v>
      </c>
      <c r="AR1249" s="90" t="s">
        <v>405</v>
      </c>
      <c r="AS1249" s="90" t="s">
        <v>406</v>
      </c>
      <c r="AT1249" s="90" t="s">
        <v>244</v>
      </c>
      <c r="AU1249" s="90">
        <v>122.34610000000001</v>
      </c>
      <c r="AV1249" s="90">
        <v>63.712508039064701</v>
      </c>
      <c r="AW1249" s="90">
        <v>252.42205202842501</v>
      </c>
      <c r="AX1249" s="90">
        <v>0.1864177434</v>
      </c>
    </row>
    <row r="1250" spans="1:50" x14ac:dyDescent="0.25">
      <c r="A1250" s="102">
        <v>830000</v>
      </c>
      <c r="B1250" s="102">
        <v>2400000</v>
      </c>
      <c r="C1250" s="102">
        <v>2400000</v>
      </c>
      <c r="D1250" s="90" t="s">
        <v>374</v>
      </c>
      <c r="E1250" s="90" t="s">
        <v>68</v>
      </c>
      <c r="F1250" s="90" t="s">
        <v>375</v>
      </c>
      <c r="G1250" s="90" t="s">
        <v>376</v>
      </c>
      <c r="H1250" s="90">
        <v>0.59</v>
      </c>
      <c r="I1250" s="90">
        <v>0.64</v>
      </c>
      <c r="J1250" s="90" t="s">
        <v>244</v>
      </c>
      <c r="K1250" s="90">
        <v>0.15019034074991</v>
      </c>
      <c r="L1250" s="90">
        <v>3685.0282923178202</v>
      </c>
      <c r="M1250" s="90">
        <v>9.5844390252242899</v>
      </c>
      <c r="N1250" s="90">
        <v>1.54454372283949</v>
      </c>
      <c r="O1250" s="90">
        <v>1.43949016309517</v>
      </c>
      <c r="P1250" s="90">
        <v>0.23197554803639001</v>
      </c>
      <c r="Q1250" s="90">
        <v>553.45565489627302</v>
      </c>
      <c r="R1250" s="90">
        <v>1210</v>
      </c>
      <c r="S1250" s="90" t="s">
        <v>385</v>
      </c>
      <c r="T1250" s="90">
        <v>1210</v>
      </c>
      <c r="U1250" s="90" t="s">
        <v>378</v>
      </c>
      <c r="V1250" s="90" t="s">
        <v>244</v>
      </c>
      <c r="Z1250" s="90">
        <v>0</v>
      </c>
      <c r="AA1250" s="90">
        <v>1</v>
      </c>
      <c r="AB1250" s="90">
        <v>1.43949016309517</v>
      </c>
      <c r="AC1250" s="90">
        <v>0.23197554803639001</v>
      </c>
      <c r="AD1250" s="90">
        <v>553.45565489627302</v>
      </c>
      <c r="AF1250" s="90">
        <v>-1</v>
      </c>
      <c r="AG1250" s="90">
        <v>-1</v>
      </c>
      <c r="AH1250" s="90">
        <v>-1</v>
      </c>
      <c r="AI1250" s="90">
        <v>-1</v>
      </c>
      <c r="AJ1250" s="90">
        <v>0</v>
      </c>
      <c r="AM1250" s="90" t="s">
        <v>379</v>
      </c>
      <c r="AN1250" s="90">
        <v>-1</v>
      </c>
      <c r="AQ1250" s="90">
        <v>357</v>
      </c>
      <c r="AR1250" s="90" t="s">
        <v>405</v>
      </c>
      <c r="AS1250" s="90" t="s">
        <v>406</v>
      </c>
      <c r="AT1250" s="90" t="s">
        <v>244</v>
      </c>
      <c r="AU1250" s="90">
        <v>122.34610000000001</v>
      </c>
      <c r="AV1250" s="90">
        <v>103.48150562911501</v>
      </c>
      <c r="AW1250" s="90">
        <v>607.79874504621705</v>
      </c>
      <c r="AX1250" s="90">
        <v>0.44886914430000002</v>
      </c>
    </row>
    <row r="1251" spans="1:50" x14ac:dyDescent="0.25">
      <c r="A1251" s="102">
        <v>830000</v>
      </c>
      <c r="B1251" s="102">
        <v>2400000</v>
      </c>
      <c r="C1251" s="102">
        <v>2400000</v>
      </c>
      <c r="D1251" s="90" t="s">
        <v>374</v>
      </c>
      <c r="E1251" s="90" t="s">
        <v>68</v>
      </c>
      <c r="F1251" s="90" t="s">
        <v>375</v>
      </c>
      <c r="G1251" s="90" t="s">
        <v>376</v>
      </c>
      <c r="H1251" s="90">
        <v>0.59</v>
      </c>
      <c r="I1251" s="90">
        <v>0.64</v>
      </c>
      <c r="J1251" s="90" t="s">
        <v>244</v>
      </c>
      <c r="K1251" s="90">
        <v>0.14626844879820999</v>
      </c>
      <c r="L1251" s="90">
        <v>3666.8022043035699</v>
      </c>
      <c r="M1251" s="90">
        <v>9.1449516380245104</v>
      </c>
      <c r="N1251" s="90">
        <v>1.34513661954596</v>
      </c>
      <c r="O1251" s="90">
        <v>1.33761789042857</v>
      </c>
      <c r="P1251" s="90">
        <v>0.19675104676266</v>
      </c>
      <c r="Q1251" s="90">
        <v>536.33747047337397</v>
      </c>
      <c r="R1251" s="90">
        <v>1200</v>
      </c>
      <c r="S1251" s="90" t="s">
        <v>384</v>
      </c>
      <c r="T1251" s="90">
        <v>1200</v>
      </c>
      <c r="U1251" s="90" t="s">
        <v>378</v>
      </c>
      <c r="V1251" s="90" t="s">
        <v>244</v>
      </c>
      <c r="Z1251" s="90">
        <v>0</v>
      </c>
      <c r="AA1251" s="90">
        <v>1</v>
      </c>
      <c r="AB1251" s="90">
        <v>1.33761789042857</v>
      </c>
      <c r="AC1251" s="90">
        <v>0.19675104676266</v>
      </c>
      <c r="AD1251" s="90">
        <v>536.33747047337397</v>
      </c>
      <c r="AF1251" s="90">
        <v>-1</v>
      </c>
      <c r="AG1251" s="90">
        <v>-1</v>
      </c>
      <c r="AH1251" s="90">
        <v>-1</v>
      </c>
      <c r="AI1251" s="90">
        <v>-1</v>
      </c>
      <c r="AJ1251" s="90">
        <v>0</v>
      </c>
      <c r="AM1251" s="90" t="s">
        <v>379</v>
      </c>
      <c r="AN1251" s="90">
        <v>-1</v>
      </c>
      <c r="AQ1251" s="90">
        <v>357</v>
      </c>
      <c r="AR1251" s="90" t="s">
        <v>405</v>
      </c>
      <c r="AS1251" s="90" t="s">
        <v>406</v>
      </c>
      <c r="AT1251" s="90" t="s">
        <v>244</v>
      </c>
      <c r="AU1251" s="90">
        <v>122.34610000000001</v>
      </c>
      <c r="AV1251" s="90">
        <v>124.01610919790301</v>
      </c>
      <c r="AW1251" s="90">
        <v>591.92741141355805</v>
      </c>
      <c r="AX1251" s="90">
        <v>0.43498578300000001</v>
      </c>
    </row>
    <row r="1252" spans="1:50" x14ac:dyDescent="0.25">
      <c r="A1252" s="102">
        <v>830000</v>
      </c>
      <c r="B1252" s="102">
        <v>2400000</v>
      </c>
      <c r="C1252" s="102">
        <v>2400000</v>
      </c>
      <c r="D1252" s="90" t="s">
        <v>374</v>
      </c>
      <c r="E1252" s="90" t="s">
        <v>68</v>
      </c>
      <c r="F1252" s="90" t="s">
        <v>375</v>
      </c>
      <c r="G1252" s="90" t="s">
        <v>376</v>
      </c>
      <c r="H1252" s="90">
        <v>0.59</v>
      </c>
      <c r="I1252" s="90">
        <v>0.64</v>
      </c>
      <c r="J1252" s="90" t="s">
        <v>244</v>
      </c>
      <c r="K1252" s="90">
        <v>0.16712936486637001</v>
      </c>
      <c r="L1252" s="90">
        <v>3666.8022043035699</v>
      </c>
      <c r="M1252" s="90">
        <v>9.1449516380245104</v>
      </c>
      <c r="N1252" s="90">
        <v>1.34513661954596</v>
      </c>
      <c r="O1252" s="90">
        <v>1.52838995899672</v>
      </c>
      <c r="P1252" s="90">
        <v>0.22481182888321</v>
      </c>
      <c r="Q1252" s="90">
        <v>612.83032349586995</v>
      </c>
      <c r="R1252" s="90">
        <v>1210</v>
      </c>
      <c r="S1252" s="90" t="s">
        <v>385</v>
      </c>
      <c r="T1252" s="90">
        <v>1210</v>
      </c>
      <c r="U1252" s="90" t="s">
        <v>378</v>
      </c>
      <c r="V1252" s="90" t="s">
        <v>244</v>
      </c>
      <c r="Z1252" s="90">
        <v>0</v>
      </c>
      <c r="AA1252" s="90">
        <v>1</v>
      </c>
      <c r="AB1252" s="90">
        <v>1.52838995899672</v>
      </c>
      <c r="AC1252" s="90">
        <v>0.22481182888321</v>
      </c>
      <c r="AD1252" s="90">
        <v>612.83032349586995</v>
      </c>
      <c r="AF1252" s="90">
        <v>-1</v>
      </c>
      <c r="AG1252" s="90">
        <v>-1</v>
      </c>
      <c r="AH1252" s="90">
        <v>-1</v>
      </c>
      <c r="AI1252" s="90">
        <v>-1</v>
      </c>
      <c r="AJ1252" s="90">
        <v>0</v>
      </c>
      <c r="AM1252" s="90" t="s">
        <v>379</v>
      </c>
      <c r="AN1252" s="90">
        <v>-1</v>
      </c>
      <c r="AQ1252" s="90">
        <v>357</v>
      </c>
      <c r="AR1252" s="90" t="s">
        <v>405</v>
      </c>
      <c r="AS1252" s="90" t="s">
        <v>406</v>
      </c>
      <c r="AT1252" s="90" t="s">
        <v>244</v>
      </c>
      <c r="AU1252" s="90">
        <v>122.34610000000001</v>
      </c>
      <c r="AV1252" s="90">
        <v>114.038261402042</v>
      </c>
      <c r="AW1252" s="90">
        <v>676.34854358111204</v>
      </c>
      <c r="AX1252" s="90">
        <v>0.49702378219999999</v>
      </c>
    </row>
    <row r="1253" spans="1:50" x14ac:dyDescent="0.25">
      <c r="A1253" s="102">
        <v>830000</v>
      </c>
      <c r="B1253" s="102">
        <v>2400000</v>
      </c>
      <c r="C1253" s="102">
        <v>2400000</v>
      </c>
      <c r="D1253" s="90" t="s">
        <v>374</v>
      </c>
      <c r="E1253" s="90" t="s">
        <v>68</v>
      </c>
      <c r="F1253" s="90" t="s">
        <v>375</v>
      </c>
      <c r="G1253" s="90" t="s">
        <v>376</v>
      </c>
      <c r="H1253" s="90">
        <v>0.59</v>
      </c>
      <c r="I1253" s="90">
        <v>0.64</v>
      </c>
      <c r="J1253" s="90" t="s">
        <v>244</v>
      </c>
      <c r="K1253" s="90">
        <v>0.24024244969909</v>
      </c>
      <c r="L1253" s="90">
        <v>3666.8022043035699</v>
      </c>
      <c r="M1253" s="90">
        <v>9.1449516380245104</v>
      </c>
      <c r="N1253" s="90">
        <v>1.34513661954596</v>
      </c>
      <c r="O1253" s="90">
        <v>2.1970055838987799</v>
      </c>
      <c r="P1253" s="90">
        <v>0.32315891665968</v>
      </c>
      <c r="Q1253" s="90">
        <v>880.92154412394405</v>
      </c>
      <c r="R1253" s="90">
        <v>1210</v>
      </c>
      <c r="S1253" s="90" t="s">
        <v>385</v>
      </c>
      <c r="T1253" s="90">
        <v>1210</v>
      </c>
      <c r="U1253" s="90" t="s">
        <v>378</v>
      </c>
      <c r="V1253" s="90" t="s">
        <v>244</v>
      </c>
      <c r="Z1253" s="90">
        <v>0</v>
      </c>
      <c r="AA1253" s="90">
        <v>1</v>
      </c>
      <c r="AB1253" s="90">
        <v>2.1970055838987799</v>
      </c>
      <c r="AC1253" s="90">
        <v>0.32315891665968</v>
      </c>
      <c r="AD1253" s="90">
        <v>880.92154412394405</v>
      </c>
      <c r="AF1253" s="90">
        <v>-1</v>
      </c>
      <c r="AG1253" s="90">
        <v>-1</v>
      </c>
      <c r="AH1253" s="90">
        <v>-1</v>
      </c>
      <c r="AI1253" s="90">
        <v>-1</v>
      </c>
      <c r="AJ1253" s="90">
        <v>0</v>
      </c>
      <c r="AM1253" s="90" t="s">
        <v>379</v>
      </c>
      <c r="AN1253" s="90">
        <v>-1</v>
      </c>
      <c r="AQ1253" s="90">
        <v>357</v>
      </c>
      <c r="AR1253" s="90" t="s">
        <v>405</v>
      </c>
      <c r="AS1253" s="90" t="s">
        <v>406</v>
      </c>
      <c r="AT1253" s="90" t="s">
        <v>244</v>
      </c>
      <c r="AU1253" s="90">
        <v>122.34610000000001</v>
      </c>
      <c r="AV1253" s="90">
        <v>127.086375758988</v>
      </c>
      <c r="AW1253" s="90">
        <v>972.22670049790497</v>
      </c>
      <c r="AX1253" s="90">
        <v>0.71445380709999995</v>
      </c>
    </row>
    <row r="1254" spans="1:50" x14ac:dyDescent="0.25">
      <c r="A1254" s="102">
        <v>830000</v>
      </c>
      <c r="B1254" s="102">
        <v>2400000</v>
      </c>
      <c r="C1254" s="102">
        <v>2400000</v>
      </c>
      <c r="D1254" s="90" t="s">
        <v>374</v>
      </c>
      <c r="E1254" s="90" t="s">
        <v>68</v>
      </c>
      <c r="F1254" s="90" t="s">
        <v>375</v>
      </c>
      <c r="G1254" s="90" t="s">
        <v>376</v>
      </c>
      <c r="H1254" s="90">
        <v>0.59</v>
      </c>
      <c r="I1254" s="90">
        <v>0.64</v>
      </c>
      <c r="J1254" s="90" t="s">
        <v>244</v>
      </c>
      <c r="K1254" s="90">
        <v>6.412319039627E-2</v>
      </c>
      <c r="L1254" s="90">
        <v>3666.8022043035699</v>
      </c>
      <c r="M1254" s="90">
        <v>9.1449516380245104</v>
      </c>
      <c r="N1254" s="90">
        <v>1.34513661954596</v>
      </c>
      <c r="O1254" s="90">
        <v>0.58640347504979995</v>
      </c>
      <c r="P1254" s="90">
        <v>8.625445156415E-2</v>
      </c>
      <c r="Q1254" s="90">
        <v>235.12705589205001</v>
      </c>
      <c r="R1254" s="90">
        <v>1210</v>
      </c>
      <c r="S1254" s="90" t="s">
        <v>385</v>
      </c>
      <c r="T1254" s="90">
        <v>1210</v>
      </c>
      <c r="U1254" s="90" t="s">
        <v>378</v>
      </c>
      <c r="V1254" s="90" t="s">
        <v>244</v>
      </c>
      <c r="Z1254" s="90">
        <v>0</v>
      </c>
      <c r="AA1254" s="90">
        <v>1</v>
      </c>
      <c r="AB1254" s="90">
        <v>0.58640347504979995</v>
      </c>
      <c r="AC1254" s="90">
        <v>8.625445156415E-2</v>
      </c>
      <c r="AD1254" s="90">
        <v>235.12705589204799</v>
      </c>
      <c r="AF1254" s="90">
        <v>-1</v>
      </c>
      <c r="AG1254" s="90">
        <v>-1</v>
      </c>
      <c r="AH1254" s="90">
        <v>-1</v>
      </c>
      <c r="AI1254" s="90">
        <v>-1</v>
      </c>
      <c r="AJ1254" s="90">
        <v>0</v>
      </c>
      <c r="AM1254" s="90" t="s">
        <v>379</v>
      </c>
      <c r="AN1254" s="90">
        <v>-1</v>
      </c>
      <c r="AQ1254" s="90">
        <v>357</v>
      </c>
      <c r="AR1254" s="90" t="s">
        <v>405</v>
      </c>
      <c r="AS1254" s="90" t="s">
        <v>406</v>
      </c>
      <c r="AT1254" s="90" t="s">
        <v>244</v>
      </c>
      <c r="AU1254" s="90">
        <v>122.34610000000001</v>
      </c>
      <c r="AV1254" s="90">
        <v>85.936210969158196</v>
      </c>
      <c r="AW1254" s="90">
        <v>259.497344879953</v>
      </c>
      <c r="AX1254" s="90">
        <v>0.19069509800000001</v>
      </c>
    </row>
    <row r="1255" spans="1:50" x14ac:dyDescent="0.25">
      <c r="A1255" s="102">
        <v>830000</v>
      </c>
      <c r="B1255" s="102">
        <v>2400000</v>
      </c>
      <c r="C1255" s="102">
        <v>2400000</v>
      </c>
      <c r="D1255" s="90" t="s">
        <v>374</v>
      </c>
      <c r="E1255" s="90" t="s">
        <v>68</v>
      </c>
      <c r="F1255" s="90" t="s">
        <v>375</v>
      </c>
      <c r="G1255" s="90" t="s">
        <v>376</v>
      </c>
      <c r="H1255" s="90">
        <v>0.59</v>
      </c>
      <c r="I1255" s="90">
        <v>0.64</v>
      </c>
      <c r="J1255" s="90" t="s">
        <v>244</v>
      </c>
      <c r="K1255" s="90">
        <v>0.19207978492851999</v>
      </c>
      <c r="L1255" s="90">
        <v>3870.95905982251</v>
      </c>
      <c r="M1255" s="90">
        <v>8.71713939889203</v>
      </c>
      <c r="N1255" s="90">
        <v>1.1823419795158601</v>
      </c>
      <c r="O1255" s="90">
        <v>1.6743862609311</v>
      </c>
      <c r="P1255" s="90">
        <v>0.22710399313735999</v>
      </c>
      <c r="Q1255" s="90">
        <v>743.53298367781395</v>
      </c>
      <c r="R1255" s="90">
        <v>1450</v>
      </c>
      <c r="S1255" s="90" t="s">
        <v>391</v>
      </c>
      <c r="T1255" s="90">
        <v>1450</v>
      </c>
      <c r="U1255" s="90" t="s">
        <v>378</v>
      </c>
      <c r="V1255" s="90" t="s">
        <v>244</v>
      </c>
      <c r="Z1255" s="90">
        <v>0</v>
      </c>
      <c r="AA1255" s="90">
        <v>1</v>
      </c>
      <c r="AB1255" s="90">
        <v>1.6743862609311</v>
      </c>
      <c r="AC1255" s="90">
        <v>0.22710399313735999</v>
      </c>
      <c r="AD1255" s="90">
        <v>2391.3370370012899</v>
      </c>
      <c r="AF1255" s="90">
        <v>-1</v>
      </c>
      <c r="AG1255" s="90">
        <v>-1</v>
      </c>
      <c r="AH1255" s="90">
        <v>-1</v>
      </c>
      <c r="AI1255" s="90">
        <v>-1</v>
      </c>
      <c r="AJ1255" s="90">
        <v>0</v>
      </c>
      <c r="AM1255" s="90" t="s">
        <v>379</v>
      </c>
      <c r="AN1255" s="90">
        <v>-1</v>
      </c>
      <c r="AQ1255" s="90">
        <v>357</v>
      </c>
      <c r="AR1255" s="90" t="s">
        <v>405</v>
      </c>
      <c r="AS1255" s="90" t="s">
        <v>406</v>
      </c>
      <c r="AT1255" s="90" t="s">
        <v>244</v>
      </c>
      <c r="AU1255" s="90">
        <v>122.34610000000001</v>
      </c>
      <c r="AV1255" s="90">
        <v>131.26591148095099</v>
      </c>
      <c r="AW1255" s="90">
        <v>777.31931125119104</v>
      </c>
      <c r="AX1255" s="90">
        <v>1.9394460965</v>
      </c>
    </row>
    <row r="1256" spans="1:50" x14ac:dyDescent="0.25">
      <c r="A1256" s="102">
        <v>830000</v>
      </c>
      <c r="B1256" s="102">
        <v>2400000</v>
      </c>
      <c r="C1256" s="102">
        <v>2400000</v>
      </c>
      <c r="D1256" s="90" t="s">
        <v>374</v>
      </c>
      <c r="E1256" s="90" t="s">
        <v>68</v>
      </c>
      <c r="F1256" s="90" t="s">
        <v>375</v>
      </c>
      <c r="G1256" s="90" t="s">
        <v>376</v>
      </c>
      <c r="H1256" s="90">
        <v>0.59</v>
      </c>
      <c r="I1256" s="90">
        <v>0.64</v>
      </c>
      <c r="J1256" s="90" t="s">
        <v>244</v>
      </c>
      <c r="K1256" s="90">
        <v>7.7001288688969993E-2</v>
      </c>
      <c r="L1256" s="90">
        <v>3666.8022040303799</v>
      </c>
      <c r="M1256" s="90">
        <v>9.1449516373431603</v>
      </c>
      <c r="N1256" s="90">
        <v>1.3451366194457399</v>
      </c>
      <c r="O1256" s="90">
        <v>0.70417306107376998</v>
      </c>
      <c r="P1256" s="90">
        <v>0.10357725316005</v>
      </c>
      <c r="Q1256" s="90">
        <v>282.34849507791301</v>
      </c>
      <c r="R1256" s="90">
        <v>1200</v>
      </c>
      <c r="S1256" s="90" t="s">
        <v>384</v>
      </c>
      <c r="T1256" s="90">
        <v>1200</v>
      </c>
      <c r="U1256" s="90" t="s">
        <v>378</v>
      </c>
      <c r="V1256" s="90" t="s">
        <v>244</v>
      </c>
      <c r="Z1256" s="90">
        <v>0</v>
      </c>
      <c r="AA1256" s="90">
        <v>1</v>
      </c>
      <c r="AB1256" s="90">
        <v>0.70417306107376998</v>
      </c>
      <c r="AC1256" s="90">
        <v>0.10357725316005</v>
      </c>
      <c r="AD1256" s="90">
        <v>295.01343158544898</v>
      </c>
      <c r="AF1256" s="90">
        <v>-1</v>
      </c>
      <c r="AG1256" s="90">
        <v>-1</v>
      </c>
      <c r="AH1256" s="90">
        <v>-1</v>
      </c>
      <c r="AI1256" s="90">
        <v>-1</v>
      </c>
      <c r="AJ1256" s="90">
        <v>0</v>
      </c>
      <c r="AM1256" s="90" t="s">
        <v>379</v>
      </c>
      <c r="AN1256" s="90">
        <v>-1</v>
      </c>
      <c r="AQ1256" s="90">
        <v>357</v>
      </c>
      <c r="AR1256" s="90" t="s">
        <v>405</v>
      </c>
      <c r="AS1256" s="90" t="s">
        <v>406</v>
      </c>
      <c r="AT1256" s="90" t="s">
        <v>244</v>
      </c>
      <c r="AU1256" s="90">
        <v>122.34610000000001</v>
      </c>
      <c r="AV1256" s="90">
        <v>129.00375717774801</v>
      </c>
      <c r="AW1256" s="90">
        <v>311.613159664053</v>
      </c>
      <c r="AX1256" s="90">
        <v>0.23926474580000001</v>
      </c>
    </row>
    <row r="1257" spans="1:50" x14ac:dyDescent="0.25">
      <c r="A1257" s="102">
        <v>830000</v>
      </c>
      <c r="B1257" s="102">
        <v>2400000</v>
      </c>
      <c r="C1257" s="102">
        <v>2400000</v>
      </c>
      <c r="D1257" s="90" t="s">
        <v>374</v>
      </c>
      <c r="E1257" s="90" t="s">
        <v>68</v>
      </c>
      <c r="F1257" s="90" t="s">
        <v>375</v>
      </c>
      <c r="G1257" s="90" t="s">
        <v>376</v>
      </c>
      <c r="H1257" s="90">
        <v>0.59</v>
      </c>
      <c r="I1257" s="90">
        <v>0.64</v>
      </c>
      <c r="J1257" s="90" t="s">
        <v>244</v>
      </c>
      <c r="K1257" s="90">
        <v>5.8401708707000002E-4</v>
      </c>
      <c r="L1257" s="90">
        <v>3666.8022040303799</v>
      </c>
      <c r="M1257" s="90">
        <v>9.1449516373431603</v>
      </c>
      <c r="N1257" s="90">
        <v>1.3451366194457399</v>
      </c>
      <c r="O1257" s="90">
        <v>5.3408080167100004E-3</v>
      </c>
      <c r="P1257" s="90">
        <v>7.8558277021E-4</v>
      </c>
      <c r="Q1257" s="90">
        <v>2.1414751420890101</v>
      </c>
      <c r="R1257" s="90">
        <v>1210</v>
      </c>
      <c r="S1257" s="90" t="s">
        <v>385</v>
      </c>
      <c r="T1257" s="90">
        <v>1210</v>
      </c>
      <c r="U1257" s="90" t="s">
        <v>378</v>
      </c>
      <c r="V1257" s="90" t="s">
        <v>244</v>
      </c>
      <c r="Z1257" s="90">
        <v>0</v>
      </c>
      <c r="AA1257" s="90">
        <v>1</v>
      </c>
      <c r="AB1257" s="90">
        <v>5.3408080167100004E-3</v>
      </c>
      <c r="AC1257" s="90">
        <v>7.8558277021E-4</v>
      </c>
      <c r="AD1257" s="90">
        <v>2.14147514208971</v>
      </c>
      <c r="AF1257" s="90">
        <v>-1</v>
      </c>
      <c r="AG1257" s="90">
        <v>-1</v>
      </c>
      <c r="AH1257" s="90">
        <v>-1</v>
      </c>
      <c r="AI1257" s="90">
        <v>-1</v>
      </c>
      <c r="AJ1257" s="90">
        <v>0</v>
      </c>
      <c r="AM1257" s="90" t="s">
        <v>379</v>
      </c>
      <c r="AN1257" s="90">
        <v>-1</v>
      </c>
      <c r="AQ1257" s="90">
        <v>357</v>
      </c>
      <c r="AR1257" s="90" t="s">
        <v>405</v>
      </c>
      <c r="AS1257" s="90" t="s">
        <v>406</v>
      </c>
      <c r="AT1257" s="90" t="s">
        <v>244</v>
      </c>
      <c r="AU1257" s="90">
        <v>122.34610000000001</v>
      </c>
      <c r="AV1257" s="90">
        <v>13.5096477819678</v>
      </c>
      <c r="AW1257" s="90">
        <v>2.36343329963371</v>
      </c>
      <c r="AX1257" s="90">
        <v>1.7368005999999999E-3</v>
      </c>
    </row>
    <row r="1258" spans="1:50" x14ac:dyDescent="0.25">
      <c r="A1258" s="102">
        <v>830000</v>
      </c>
      <c r="B1258" s="102">
        <v>2400000</v>
      </c>
      <c r="C1258" s="102">
        <v>2400000</v>
      </c>
      <c r="D1258" s="90" t="s">
        <v>374</v>
      </c>
      <c r="E1258" s="90" t="s">
        <v>68</v>
      </c>
      <c r="F1258" s="90" t="s">
        <v>375</v>
      </c>
      <c r="G1258" s="90" t="s">
        <v>376</v>
      </c>
      <c r="H1258" s="90">
        <v>0.59</v>
      </c>
      <c r="I1258" s="90">
        <v>0.64</v>
      </c>
      <c r="J1258" s="90" t="s">
        <v>244</v>
      </c>
      <c r="K1258" s="90">
        <v>1.190829550374E-2</v>
      </c>
      <c r="L1258" s="90">
        <v>3666.8022040303799</v>
      </c>
      <c r="M1258" s="90">
        <v>9.1449516373431603</v>
      </c>
      <c r="N1258" s="90">
        <v>1.3451366194457399</v>
      </c>
      <c r="O1258" s="90">
        <v>0.10890078646496</v>
      </c>
      <c r="P1258" s="90">
        <v>1.6018284357269999E-2</v>
      </c>
      <c r="Q1258" s="90">
        <v>43.6653641993882</v>
      </c>
      <c r="R1258" s="90">
        <v>1210</v>
      </c>
      <c r="S1258" s="90" t="s">
        <v>385</v>
      </c>
      <c r="T1258" s="90">
        <v>1210</v>
      </c>
      <c r="U1258" s="90" t="s">
        <v>378</v>
      </c>
      <c r="V1258" s="90" t="s">
        <v>244</v>
      </c>
      <c r="Z1258" s="90">
        <v>0</v>
      </c>
      <c r="AA1258" s="90">
        <v>1</v>
      </c>
      <c r="AB1258" s="90">
        <v>0.10890078646496</v>
      </c>
      <c r="AC1258" s="90">
        <v>1.6018284357269999E-2</v>
      </c>
      <c r="AD1258" s="90">
        <v>43.665364199387099</v>
      </c>
      <c r="AF1258" s="90">
        <v>-1</v>
      </c>
      <c r="AG1258" s="90">
        <v>-1</v>
      </c>
      <c r="AH1258" s="90">
        <v>-1</v>
      </c>
      <c r="AI1258" s="90">
        <v>-1</v>
      </c>
      <c r="AJ1258" s="90">
        <v>0</v>
      </c>
      <c r="AM1258" s="90" t="s">
        <v>379</v>
      </c>
      <c r="AN1258" s="90">
        <v>-1</v>
      </c>
      <c r="AQ1258" s="90">
        <v>357</v>
      </c>
      <c r="AR1258" s="90" t="s">
        <v>405</v>
      </c>
      <c r="AS1258" s="90" t="s">
        <v>406</v>
      </c>
      <c r="AT1258" s="90" t="s">
        <v>244</v>
      </c>
      <c r="AU1258" s="90">
        <v>122.34610000000001</v>
      </c>
      <c r="AV1258" s="90">
        <v>50.458870812538002</v>
      </c>
      <c r="AW1258" s="90">
        <v>48.191162139178402</v>
      </c>
      <c r="AX1258" s="90">
        <v>3.5413920699999997E-2</v>
      </c>
    </row>
    <row r="1259" spans="1:50" x14ac:dyDescent="0.25">
      <c r="A1259" s="102">
        <v>830000</v>
      </c>
      <c r="B1259" s="102">
        <v>2400000</v>
      </c>
      <c r="C1259" s="102">
        <v>2400000</v>
      </c>
      <c r="D1259" s="90" t="s">
        <v>374</v>
      </c>
      <c r="E1259" s="90" t="s">
        <v>68</v>
      </c>
      <c r="F1259" s="90" t="s">
        <v>375</v>
      </c>
      <c r="G1259" s="90" t="s">
        <v>376</v>
      </c>
      <c r="H1259" s="90">
        <v>0.59</v>
      </c>
      <c r="I1259" s="90">
        <v>0.64</v>
      </c>
      <c r="J1259" s="90" t="s">
        <v>244</v>
      </c>
      <c r="K1259" s="90">
        <v>0.25290872736482001</v>
      </c>
      <c r="L1259" s="90">
        <v>3666.8022040303799</v>
      </c>
      <c r="M1259" s="90">
        <v>9.1449516373431603</v>
      </c>
      <c r="N1259" s="90">
        <v>1.3451366194457399</v>
      </c>
      <c r="O1259" s="90">
        <v>2.31283808041331</v>
      </c>
      <c r="P1259" s="90">
        <v>0.34019679055584001</v>
      </c>
      <c r="Q1259" s="90">
        <v>927.36627891985097</v>
      </c>
      <c r="R1259" s="90">
        <v>1210</v>
      </c>
      <c r="S1259" s="90" t="s">
        <v>385</v>
      </c>
      <c r="T1259" s="90">
        <v>1210</v>
      </c>
      <c r="U1259" s="90" t="s">
        <v>378</v>
      </c>
      <c r="V1259" s="90" t="s">
        <v>244</v>
      </c>
      <c r="Z1259" s="90">
        <v>0</v>
      </c>
      <c r="AA1259" s="90">
        <v>1</v>
      </c>
      <c r="AB1259" s="90">
        <v>2.31283808041331</v>
      </c>
      <c r="AC1259" s="90">
        <v>0.34019679055584001</v>
      </c>
      <c r="AD1259" s="90">
        <v>927.36627891985097</v>
      </c>
      <c r="AF1259" s="90">
        <v>-1</v>
      </c>
      <c r="AG1259" s="90">
        <v>-1</v>
      </c>
      <c r="AH1259" s="90">
        <v>-1</v>
      </c>
      <c r="AI1259" s="90">
        <v>-1</v>
      </c>
      <c r="AJ1259" s="90">
        <v>0</v>
      </c>
      <c r="AM1259" s="90" t="s">
        <v>379</v>
      </c>
      <c r="AN1259" s="90">
        <v>-1</v>
      </c>
      <c r="AQ1259" s="90">
        <v>357</v>
      </c>
      <c r="AR1259" s="90" t="s">
        <v>405</v>
      </c>
      <c r="AS1259" s="90" t="s">
        <v>406</v>
      </c>
      <c r="AT1259" s="90" t="s">
        <v>244</v>
      </c>
      <c r="AU1259" s="90">
        <v>122.34610000000001</v>
      </c>
      <c r="AV1259" s="90">
        <v>131.58077250137501</v>
      </c>
      <c r="AW1259" s="90">
        <v>1023.48530761734</v>
      </c>
      <c r="AX1259" s="90">
        <v>0.75212188069999997</v>
      </c>
    </row>
    <row r="1260" spans="1:50" x14ac:dyDescent="0.25">
      <c r="A1260" s="102">
        <v>830000</v>
      </c>
      <c r="B1260" s="102">
        <v>2400000</v>
      </c>
      <c r="C1260" s="102">
        <v>2400000</v>
      </c>
      <c r="D1260" s="90" t="s">
        <v>374</v>
      </c>
      <c r="E1260" s="90" t="s">
        <v>68</v>
      </c>
      <c r="F1260" s="90" t="s">
        <v>375</v>
      </c>
      <c r="G1260" s="90" t="s">
        <v>376</v>
      </c>
      <c r="H1260" s="90">
        <v>0.59</v>
      </c>
      <c r="I1260" s="90">
        <v>0.64</v>
      </c>
      <c r="J1260" s="90" t="s">
        <v>244</v>
      </c>
      <c r="K1260" s="90">
        <v>0.26601037640238001</v>
      </c>
      <c r="L1260" s="90">
        <v>3666.8022040303799</v>
      </c>
      <c r="M1260" s="90">
        <v>9.1449516373431603</v>
      </c>
      <c r="N1260" s="90">
        <v>1.3451366194457399</v>
      </c>
      <c r="O1260" s="90">
        <v>2.4326520272312502</v>
      </c>
      <c r="P1260" s="90">
        <v>0.35782029845139002</v>
      </c>
      <c r="Q1260" s="90">
        <v>975.40743448721298</v>
      </c>
      <c r="R1260" s="90">
        <v>1210</v>
      </c>
      <c r="S1260" s="90" t="s">
        <v>385</v>
      </c>
      <c r="T1260" s="90">
        <v>1210</v>
      </c>
      <c r="U1260" s="90" t="s">
        <v>378</v>
      </c>
      <c r="V1260" s="90" t="s">
        <v>244</v>
      </c>
      <c r="Z1260" s="90">
        <v>0</v>
      </c>
      <c r="AA1260" s="90">
        <v>1</v>
      </c>
      <c r="AB1260" s="90">
        <v>2.4326520272312502</v>
      </c>
      <c r="AC1260" s="90">
        <v>0.35782029845139002</v>
      </c>
      <c r="AD1260" s="90">
        <v>975.40743448721298</v>
      </c>
      <c r="AF1260" s="90">
        <v>-1</v>
      </c>
      <c r="AG1260" s="90">
        <v>-1</v>
      </c>
      <c r="AH1260" s="90">
        <v>-1</v>
      </c>
      <c r="AI1260" s="90">
        <v>-1</v>
      </c>
      <c r="AJ1260" s="90">
        <v>0</v>
      </c>
      <c r="AM1260" s="90" t="s">
        <v>379</v>
      </c>
      <c r="AN1260" s="90">
        <v>-1</v>
      </c>
      <c r="AQ1260" s="90">
        <v>357</v>
      </c>
      <c r="AR1260" s="90" t="s">
        <v>405</v>
      </c>
      <c r="AS1260" s="90" t="s">
        <v>406</v>
      </c>
      <c r="AT1260" s="90" t="s">
        <v>244</v>
      </c>
      <c r="AU1260" s="90">
        <v>122.34610000000001</v>
      </c>
      <c r="AV1260" s="90">
        <v>134.789697075514</v>
      </c>
      <c r="AW1260" s="90">
        <v>1076.50580016903</v>
      </c>
      <c r="AX1260" s="90">
        <v>0.79108469950000004</v>
      </c>
    </row>
    <row r="1261" spans="1:50" x14ac:dyDescent="0.25">
      <c r="A1261" s="102">
        <v>830000</v>
      </c>
      <c r="B1261" s="102">
        <v>2400000</v>
      </c>
      <c r="C1261" s="102">
        <v>2400000</v>
      </c>
      <c r="D1261" s="90" t="s">
        <v>374</v>
      </c>
      <c r="E1261" s="90" t="s">
        <v>68</v>
      </c>
      <c r="F1261" s="90" t="s">
        <v>375</v>
      </c>
      <c r="G1261" s="90" t="s">
        <v>376</v>
      </c>
      <c r="H1261" s="90">
        <v>0.59</v>
      </c>
      <c r="I1261" s="90">
        <v>0.64</v>
      </c>
      <c r="J1261" s="90" t="s">
        <v>244</v>
      </c>
      <c r="K1261" s="90">
        <v>5.8968027021299996E-3</v>
      </c>
      <c r="L1261" s="90">
        <v>3666.8022040303799</v>
      </c>
      <c r="M1261" s="90">
        <v>9.1449516373431603</v>
      </c>
      <c r="N1261" s="90">
        <v>1.3451366194457399</v>
      </c>
      <c r="O1261" s="90">
        <v>5.3925975526000001E-2</v>
      </c>
      <c r="P1261" s="90">
        <v>7.9320052522900003E-3</v>
      </c>
      <c r="Q1261" s="90">
        <v>21.6224091449319</v>
      </c>
      <c r="R1261" s="90">
        <v>1210</v>
      </c>
      <c r="S1261" s="90" t="s">
        <v>385</v>
      </c>
      <c r="T1261" s="90">
        <v>1210</v>
      </c>
      <c r="U1261" s="90" t="s">
        <v>378</v>
      </c>
      <c r="V1261" s="90" t="s">
        <v>244</v>
      </c>
      <c r="Z1261" s="90">
        <v>0</v>
      </c>
      <c r="AA1261" s="90">
        <v>1</v>
      </c>
      <c r="AB1261" s="90">
        <v>5.3925975526000001E-2</v>
      </c>
      <c r="AC1261" s="90">
        <v>7.9320052522900003E-3</v>
      </c>
      <c r="AD1261" s="90">
        <v>21.622409144932899</v>
      </c>
      <c r="AF1261" s="90">
        <v>-1</v>
      </c>
      <c r="AG1261" s="90">
        <v>-1</v>
      </c>
      <c r="AH1261" s="90">
        <v>-1</v>
      </c>
      <c r="AI1261" s="90">
        <v>-1</v>
      </c>
      <c r="AJ1261" s="90">
        <v>0</v>
      </c>
      <c r="AM1261" s="90" t="s">
        <v>379</v>
      </c>
      <c r="AN1261" s="90">
        <v>-1</v>
      </c>
      <c r="AQ1261" s="90">
        <v>357</v>
      </c>
      <c r="AR1261" s="90" t="s">
        <v>405</v>
      </c>
      <c r="AS1261" s="90" t="s">
        <v>406</v>
      </c>
      <c r="AT1261" s="90" t="s">
        <v>244</v>
      </c>
      <c r="AU1261" s="90">
        <v>122.34610000000001</v>
      </c>
      <c r="AV1261" s="90">
        <v>43.113425468103998</v>
      </c>
      <c r="AW1261" s="90">
        <v>23.863513886773902</v>
      </c>
      <c r="AX1261" s="90">
        <v>1.7536422699999998E-2</v>
      </c>
    </row>
    <row r="1262" spans="1:50" x14ac:dyDescent="0.25">
      <c r="A1262" s="102">
        <v>830000</v>
      </c>
      <c r="B1262" s="102">
        <v>2400000</v>
      </c>
      <c r="C1262" s="102">
        <v>2400000</v>
      </c>
      <c r="D1262" s="90" t="s">
        <v>374</v>
      </c>
      <c r="E1262" s="90" t="s">
        <v>68</v>
      </c>
      <c r="F1262" s="90" t="s">
        <v>375</v>
      </c>
      <c r="G1262" s="90" t="s">
        <v>376</v>
      </c>
      <c r="H1262" s="90">
        <v>0.59</v>
      </c>
      <c r="I1262" s="90">
        <v>0.64</v>
      </c>
      <c r="J1262" s="90" t="s">
        <v>244</v>
      </c>
      <c r="K1262" s="90">
        <v>7.497987669799E-2</v>
      </c>
      <c r="L1262" s="90">
        <v>3731.9231298561599</v>
      </c>
      <c r="M1262" s="90">
        <v>9.4700604874153598</v>
      </c>
      <c r="N1262" s="90">
        <v>1.6773109885088899</v>
      </c>
      <c r="O1262" s="90">
        <v>0.71006396766894997</v>
      </c>
      <c r="P1262" s="90">
        <v>0.12576457110257999</v>
      </c>
      <c r="Q1262" s="90">
        <v>279.81913612301099</v>
      </c>
      <c r="R1262" s="90">
        <v>1300</v>
      </c>
      <c r="S1262" s="90" t="s">
        <v>387</v>
      </c>
      <c r="T1262" s="90">
        <v>1300</v>
      </c>
      <c r="U1262" s="90" t="s">
        <v>378</v>
      </c>
      <c r="V1262" s="90" t="s">
        <v>244</v>
      </c>
      <c r="Z1262" s="90">
        <v>0</v>
      </c>
      <c r="AA1262" s="90">
        <v>1</v>
      </c>
      <c r="AB1262" s="90">
        <v>0.71006396766894997</v>
      </c>
      <c r="AC1262" s="90">
        <v>0.12576457110257999</v>
      </c>
      <c r="AD1262" s="90">
        <v>343.33639414929701</v>
      </c>
      <c r="AF1262" s="90">
        <v>-1</v>
      </c>
      <c r="AG1262" s="90">
        <v>-1</v>
      </c>
      <c r="AH1262" s="90">
        <v>-1</v>
      </c>
      <c r="AI1262" s="90">
        <v>-1</v>
      </c>
      <c r="AJ1262" s="90">
        <v>0</v>
      </c>
      <c r="AM1262" s="90" t="s">
        <v>379</v>
      </c>
      <c r="AN1262" s="90">
        <v>-1</v>
      </c>
      <c r="AQ1262" s="90">
        <v>357</v>
      </c>
      <c r="AR1262" s="90" t="s">
        <v>405</v>
      </c>
      <c r="AS1262" s="90" t="s">
        <v>406</v>
      </c>
      <c r="AT1262" s="90" t="s">
        <v>244</v>
      </c>
      <c r="AU1262" s="90">
        <v>122.34610000000001</v>
      </c>
      <c r="AV1262" s="90">
        <v>131.55474800454701</v>
      </c>
      <c r="AW1262" s="90">
        <v>303.43279556604</v>
      </c>
      <c r="AX1262" s="90">
        <v>0.27845611850000002</v>
      </c>
    </row>
    <row r="1263" spans="1:50" x14ac:dyDescent="0.25">
      <c r="A1263" s="102">
        <v>830000</v>
      </c>
      <c r="B1263" s="102">
        <v>2400000</v>
      </c>
      <c r="C1263" s="102">
        <v>2400000</v>
      </c>
      <c r="D1263" s="90" t="s">
        <v>374</v>
      </c>
      <c r="E1263" s="90" t="s">
        <v>68</v>
      </c>
      <c r="F1263" s="90" t="s">
        <v>375</v>
      </c>
      <c r="G1263" s="90" t="s">
        <v>376</v>
      </c>
      <c r="H1263" s="90">
        <v>0.59</v>
      </c>
      <c r="I1263" s="90">
        <v>0.64</v>
      </c>
      <c r="J1263" s="90" t="s">
        <v>244</v>
      </c>
      <c r="K1263" s="90">
        <v>0.11500185227011001</v>
      </c>
      <c r="L1263" s="90">
        <v>3731.9231298561599</v>
      </c>
      <c r="M1263" s="90">
        <v>9.4700604874153598</v>
      </c>
      <c r="N1263" s="90">
        <v>1.6773109885088899</v>
      </c>
      <c r="O1263" s="90">
        <v>1.0890744971627599</v>
      </c>
      <c r="P1263" s="90">
        <v>0.19289387051153001</v>
      </c>
      <c r="Q1263" s="90">
        <v>429.17807246313299</v>
      </c>
      <c r="R1263" s="90">
        <v>1300</v>
      </c>
      <c r="S1263" s="90" t="s">
        <v>387</v>
      </c>
      <c r="T1263" s="90">
        <v>1300</v>
      </c>
      <c r="U1263" s="90" t="s">
        <v>378</v>
      </c>
      <c r="V1263" s="90" t="s">
        <v>244</v>
      </c>
      <c r="Z1263" s="90">
        <v>0</v>
      </c>
      <c r="AA1263" s="90">
        <v>1</v>
      </c>
      <c r="AB1263" s="90">
        <v>1.0890744971627599</v>
      </c>
      <c r="AC1263" s="90">
        <v>0.19289387051153001</v>
      </c>
      <c r="AD1263" s="90">
        <v>429.17807246313299</v>
      </c>
      <c r="AF1263" s="90">
        <v>-1</v>
      </c>
      <c r="AG1263" s="90">
        <v>-1</v>
      </c>
      <c r="AH1263" s="90">
        <v>-1</v>
      </c>
      <c r="AI1263" s="90">
        <v>-1</v>
      </c>
      <c r="AJ1263" s="90">
        <v>0</v>
      </c>
      <c r="AM1263" s="90" t="s">
        <v>379</v>
      </c>
      <c r="AN1263" s="90">
        <v>-1</v>
      </c>
      <c r="AQ1263" s="90">
        <v>357</v>
      </c>
      <c r="AR1263" s="90" t="s">
        <v>405</v>
      </c>
      <c r="AS1263" s="90" t="s">
        <v>406</v>
      </c>
      <c r="AT1263" s="90" t="s">
        <v>244</v>
      </c>
      <c r="AU1263" s="90">
        <v>122.34610000000001</v>
      </c>
      <c r="AV1263" s="90">
        <v>87.496089626967503</v>
      </c>
      <c r="AW1263" s="90">
        <v>465.39598444719701</v>
      </c>
      <c r="AX1263" s="90">
        <v>0.34807629559999997</v>
      </c>
    </row>
    <row r="1264" spans="1:50" x14ac:dyDescent="0.25">
      <c r="A1264" s="102">
        <v>830000</v>
      </c>
      <c r="B1264" s="102">
        <v>2400000</v>
      </c>
      <c r="C1264" s="102">
        <v>2400000</v>
      </c>
      <c r="D1264" s="90" t="s">
        <v>374</v>
      </c>
      <c r="E1264" s="90" t="s">
        <v>68</v>
      </c>
      <c r="F1264" s="90" t="s">
        <v>375</v>
      </c>
      <c r="G1264" s="90" t="s">
        <v>376</v>
      </c>
      <c r="H1264" s="90">
        <v>0.59</v>
      </c>
      <c r="I1264" s="90">
        <v>0.64</v>
      </c>
      <c r="J1264" s="90" t="s">
        <v>244</v>
      </c>
      <c r="K1264" s="90">
        <v>0.10974572020539999</v>
      </c>
      <c r="L1264" s="90">
        <v>3731.9231298561599</v>
      </c>
      <c r="M1264" s="90">
        <v>9.4700604874153598</v>
      </c>
      <c r="N1264" s="90">
        <v>1.6773109885088899</v>
      </c>
      <c r="O1264" s="90">
        <v>1.0392986085801299</v>
      </c>
      <c r="P1264" s="90">
        <v>0.18407770244234001</v>
      </c>
      <c r="Q1264" s="90">
        <v>409.56259163726997</v>
      </c>
      <c r="R1264" s="90">
        <v>1340</v>
      </c>
      <c r="S1264" s="90" t="s">
        <v>407</v>
      </c>
      <c r="T1264" s="90">
        <v>1340</v>
      </c>
      <c r="U1264" s="90" t="s">
        <v>378</v>
      </c>
      <c r="V1264" s="90" t="s">
        <v>244</v>
      </c>
      <c r="Z1264" s="90">
        <v>0</v>
      </c>
      <c r="AA1264" s="90">
        <v>1</v>
      </c>
      <c r="AB1264" s="90">
        <v>1.0392986085801299</v>
      </c>
      <c r="AC1264" s="90">
        <v>0.18407770244234001</v>
      </c>
      <c r="AD1264" s="90">
        <v>409.56259163726997</v>
      </c>
      <c r="AF1264" s="90">
        <v>-1</v>
      </c>
      <c r="AG1264" s="90">
        <v>-1</v>
      </c>
      <c r="AH1264" s="90">
        <v>-1</v>
      </c>
      <c r="AI1264" s="90">
        <v>-1</v>
      </c>
      <c r="AJ1264" s="90">
        <v>0</v>
      </c>
      <c r="AM1264" s="90" t="s">
        <v>379</v>
      </c>
      <c r="AN1264" s="90">
        <v>-1</v>
      </c>
      <c r="AQ1264" s="90">
        <v>357</v>
      </c>
      <c r="AR1264" s="90" t="s">
        <v>405</v>
      </c>
      <c r="AS1264" s="90" t="s">
        <v>406</v>
      </c>
      <c r="AT1264" s="90" t="s">
        <v>244</v>
      </c>
      <c r="AU1264" s="90">
        <v>122.34610000000001</v>
      </c>
      <c r="AV1264" s="90">
        <v>85.058860499735303</v>
      </c>
      <c r="AW1264" s="90">
        <v>444.12517264415197</v>
      </c>
      <c r="AX1264" s="90">
        <v>0.33216755199999998</v>
      </c>
    </row>
    <row r="1265" spans="1:50" x14ac:dyDescent="0.25">
      <c r="A1265" s="102">
        <v>830000</v>
      </c>
      <c r="B1265" s="102">
        <v>2400000</v>
      </c>
      <c r="C1265" s="102">
        <v>2400000</v>
      </c>
      <c r="D1265" s="90" t="s">
        <v>374</v>
      </c>
      <c r="E1265" s="90" t="s">
        <v>68</v>
      </c>
      <c r="F1265" s="90" t="s">
        <v>375</v>
      </c>
      <c r="G1265" s="90" t="s">
        <v>376</v>
      </c>
      <c r="H1265" s="90">
        <v>0.59</v>
      </c>
      <c r="I1265" s="90">
        <v>0.64</v>
      </c>
      <c r="J1265" s="90" t="s">
        <v>244</v>
      </c>
      <c r="K1265" s="90">
        <v>9.7752353607090003E-2</v>
      </c>
      <c r="L1265" s="90">
        <v>3731.9231298561599</v>
      </c>
      <c r="M1265" s="90">
        <v>9.4700604874153598</v>
      </c>
      <c r="N1265" s="90">
        <v>1.6773109885088899</v>
      </c>
      <c r="O1265" s="90">
        <v>0.92572070144637997</v>
      </c>
      <c r="P1265" s="90">
        <v>0.16396109685777999</v>
      </c>
      <c r="Q1265" s="90">
        <v>364.80426942418899</v>
      </c>
      <c r="R1265" s="90">
        <v>1300</v>
      </c>
      <c r="S1265" s="90" t="s">
        <v>387</v>
      </c>
      <c r="T1265" s="90">
        <v>1300</v>
      </c>
      <c r="U1265" s="90" t="s">
        <v>378</v>
      </c>
      <c r="V1265" s="90" t="s">
        <v>244</v>
      </c>
      <c r="Z1265" s="90">
        <v>0</v>
      </c>
      <c r="AA1265" s="90">
        <v>1</v>
      </c>
      <c r="AB1265" s="90">
        <v>0.92572070144637997</v>
      </c>
      <c r="AC1265" s="90">
        <v>0.16396109685777999</v>
      </c>
      <c r="AD1265" s="90">
        <v>1123.3686635310701</v>
      </c>
      <c r="AF1265" s="90">
        <v>-1</v>
      </c>
      <c r="AG1265" s="90">
        <v>-1</v>
      </c>
      <c r="AH1265" s="90">
        <v>-1</v>
      </c>
      <c r="AI1265" s="90">
        <v>-1</v>
      </c>
      <c r="AJ1265" s="90">
        <v>0</v>
      </c>
      <c r="AM1265" s="90" t="s">
        <v>379</v>
      </c>
      <c r="AN1265" s="90">
        <v>-1</v>
      </c>
      <c r="AQ1265" s="90">
        <v>357</v>
      </c>
      <c r="AR1265" s="90" t="s">
        <v>405</v>
      </c>
      <c r="AS1265" s="90" t="s">
        <v>406</v>
      </c>
      <c r="AT1265" s="90" t="s">
        <v>244</v>
      </c>
      <c r="AU1265" s="90">
        <v>122.34610000000001</v>
      </c>
      <c r="AV1265" s="90">
        <v>99.099832787892794</v>
      </c>
      <c r="AW1265" s="90">
        <v>395.58973999957999</v>
      </c>
      <c r="AX1265" s="90">
        <v>0.91108569630000003</v>
      </c>
    </row>
    <row r="1266" spans="1:50" x14ac:dyDescent="0.25">
      <c r="A1266" s="102">
        <v>830000</v>
      </c>
      <c r="B1266" s="102">
        <v>2400000</v>
      </c>
      <c r="C1266" s="102">
        <v>2400000</v>
      </c>
      <c r="D1266" s="90" t="s">
        <v>374</v>
      </c>
      <c r="E1266" s="90" t="s">
        <v>68</v>
      </c>
      <c r="F1266" s="90" t="s">
        <v>375</v>
      </c>
      <c r="G1266" s="90" t="s">
        <v>376</v>
      </c>
      <c r="H1266" s="90">
        <v>0.59</v>
      </c>
      <c r="I1266" s="90">
        <v>0.64</v>
      </c>
      <c r="J1266" s="90" t="s">
        <v>244</v>
      </c>
      <c r="K1266" s="90">
        <v>0.19147977750337999</v>
      </c>
      <c r="L1266" s="90">
        <v>3667.3977546454898</v>
      </c>
      <c r="M1266" s="90">
        <v>9.1617955501752792</v>
      </c>
      <c r="N1266" s="90">
        <v>1.3528633670083201</v>
      </c>
      <c r="O1266" s="90">
        <v>1.75429857347902</v>
      </c>
      <c r="P1266" s="90">
        <v>0.25904597650722999</v>
      </c>
      <c r="Q1266" s="90">
        <v>702.23250607591694</v>
      </c>
      <c r="R1266" s="90">
        <v>1200</v>
      </c>
      <c r="S1266" s="90" t="s">
        <v>384</v>
      </c>
      <c r="T1266" s="90">
        <v>1200</v>
      </c>
      <c r="U1266" s="90" t="s">
        <v>378</v>
      </c>
      <c r="V1266" s="90" t="s">
        <v>244</v>
      </c>
      <c r="Z1266" s="90">
        <v>0</v>
      </c>
      <c r="AA1266" s="90">
        <v>1</v>
      </c>
      <c r="AB1266" s="90">
        <v>1.75429857347902</v>
      </c>
      <c r="AC1266" s="90">
        <v>0.25904597650722999</v>
      </c>
      <c r="AD1266" s="90">
        <v>702.23250607591694</v>
      </c>
      <c r="AF1266" s="90">
        <v>-1</v>
      </c>
      <c r="AG1266" s="90">
        <v>-1</v>
      </c>
      <c r="AH1266" s="90">
        <v>-1</v>
      </c>
      <c r="AI1266" s="90">
        <v>-1</v>
      </c>
      <c r="AJ1266" s="90">
        <v>0</v>
      </c>
      <c r="AM1266" s="90" t="s">
        <v>379</v>
      </c>
      <c r="AN1266" s="90">
        <v>-1</v>
      </c>
      <c r="AQ1266" s="90">
        <v>357</v>
      </c>
      <c r="AR1266" s="90" t="s">
        <v>405</v>
      </c>
      <c r="AS1266" s="90" t="s">
        <v>406</v>
      </c>
      <c r="AT1266" s="90" t="s">
        <v>244</v>
      </c>
      <c r="AU1266" s="90">
        <v>122.34610000000001</v>
      </c>
      <c r="AV1266" s="90">
        <v>197.92614118342601</v>
      </c>
      <c r="AW1266" s="90">
        <v>774.89116734928098</v>
      </c>
      <c r="AX1266" s="90">
        <v>0.56953163510000004</v>
      </c>
    </row>
    <row r="1267" spans="1:50" x14ac:dyDescent="0.25">
      <c r="A1267" s="102">
        <v>830000</v>
      </c>
      <c r="B1267" s="102">
        <v>2400000</v>
      </c>
      <c r="C1267" s="102">
        <v>2400000</v>
      </c>
      <c r="D1267" s="90" t="s">
        <v>374</v>
      </c>
      <c r="E1267" s="90" t="s">
        <v>68</v>
      </c>
      <c r="F1267" s="90" t="s">
        <v>375</v>
      </c>
      <c r="G1267" s="90" t="s">
        <v>376</v>
      </c>
      <c r="H1267" s="90">
        <v>0.59</v>
      </c>
      <c r="I1267" s="90">
        <v>0.64</v>
      </c>
      <c r="J1267" s="90" t="s">
        <v>244</v>
      </c>
      <c r="K1267" s="90">
        <v>6.6311785536300001E-3</v>
      </c>
      <c r="L1267" s="90">
        <v>3667.3977546454898</v>
      </c>
      <c r="M1267" s="90">
        <v>9.1617955501752792</v>
      </c>
      <c r="N1267" s="90">
        <v>1.3528633670083201</v>
      </c>
      <c r="O1267" s="90">
        <v>6.0753502165060001E-2</v>
      </c>
      <c r="P1267" s="90">
        <v>8.9710785452899993E-3</v>
      </c>
      <c r="Q1267" s="90">
        <v>24.319169338235898</v>
      </c>
      <c r="R1267" s="90">
        <v>1300</v>
      </c>
      <c r="S1267" s="90" t="s">
        <v>387</v>
      </c>
      <c r="T1267" s="90">
        <v>1300</v>
      </c>
      <c r="U1267" s="90" t="s">
        <v>378</v>
      </c>
      <c r="V1267" s="90" t="s">
        <v>244</v>
      </c>
      <c r="Z1267" s="90">
        <v>0</v>
      </c>
      <c r="AA1267" s="90">
        <v>1</v>
      </c>
      <c r="AB1267" s="90">
        <v>6.0753502165060001E-2</v>
      </c>
      <c r="AC1267" s="90">
        <v>8.9710785452899993E-3</v>
      </c>
      <c r="AD1267" s="90">
        <v>24.319169338235401</v>
      </c>
      <c r="AF1267" s="90">
        <v>-1</v>
      </c>
      <c r="AG1267" s="90">
        <v>-1</v>
      </c>
      <c r="AH1267" s="90">
        <v>-1</v>
      </c>
      <c r="AI1267" s="90">
        <v>-1</v>
      </c>
      <c r="AJ1267" s="90">
        <v>0</v>
      </c>
      <c r="AM1267" s="90" t="s">
        <v>379</v>
      </c>
      <c r="AN1267" s="90">
        <v>-1</v>
      </c>
      <c r="AQ1267" s="90">
        <v>357</v>
      </c>
      <c r="AR1267" s="90" t="s">
        <v>405</v>
      </c>
      <c r="AS1267" s="90" t="s">
        <v>406</v>
      </c>
      <c r="AT1267" s="90" t="s">
        <v>244</v>
      </c>
      <c r="AU1267" s="90">
        <v>122.34610000000001</v>
      </c>
      <c r="AV1267" s="90">
        <v>45.545965025863303</v>
      </c>
      <c r="AW1267" s="90">
        <v>26.835427517838099</v>
      </c>
      <c r="AX1267" s="90">
        <v>1.9723576100000001E-2</v>
      </c>
    </row>
    <row r="1268" spans="1:50" x14ac:dyDescent="0.25">
      <c r="A1268" s="102">
        <v>830000</v>
      </c>
      <c r="B1268" s="102">
        <v>2400000</v>
      </c>
      <c r="C1268" s="102">
        <v>2400000</v>
      </c>
      <c r="D1268" s="90" t="s">
        <v>374</v>
      </c>
      <c r="E1268" s="90" t="s">
        <v>68</v>
      </c>
      <c r="F1268" s="90" t="s">
        <v>375</v>
      </c>
      <c r="G1268" s="90" t="s">
        <v>376</v>
      </c>
      <c r="H1268" s="90">
        <v>0.59</v>
      </c>
      <c r="I1268" s="90">
        <v>0.64</v>
      </c>
      <c r="J1268" s="90" t="s">
        <v>244</v>
      </c>
      <c r="K1268" s="90">
        <v>4.2788766320000002E-4</v>
      </c>
      <c r="L1268" s="90">
        <v>3667.3977546454898</v>
      </c>
      <c r="M1268" s="90">
        <v>9.1617955501752792</v>
      </c>
      <c r="N1268" s="90">
        <v>1.3528633670083201</v>
      </c>
      <c r="O1268" s="90">
        <v>3.9202192887200001E-3</v>
      </c>
      <c r="P1268" s="90">
        <v>5.7887354474E-4</v>
      </c>
      <c r="Q1268" s="90">
        <v>1.5692342552785199</v>
      </c>
      <c r="R1268" s="90">
        <v>1210</v>
      </c>
      <c r="S1268" s="90" t="s">
        <v>385</v>
      </c>
      <c r="T1268" s="90">
        <v>1210</v>
      </c>
      <c r="U1268" s="90" t="s">
        <v>378</v>
      </c>
      <c r="V1268" s="90" t="s">
        <v>244</v>
      </c>
      <c r="Z1268" s="90">
        <v>0</v>
      </c>
      <c r="AA1268" s="90">
        <v>1</v>
      </c>
      <c r="AB1268" s="90">
        <v>3.9202192887200001E-3</v>
      </c>
      <c r="AC1268" s="90">
        <v>5.7887354474E-4</v>
      </c>
      <c r="AD1268" s="90">
        <v>1.5692342552801899</v>
      </c>
      <c r="AF1268" s="90">
        <v>-1</v>
      </c>
      <c r="AG1268" s="90">
        <v>-1</v>
      </c>
      <c r="AH1268" s="90">
        <v>-1</v>
      </c>
      <c r="AI1268" s="90">
        <v>-1</v>
      </c>
      <c r="AJ1268" s="90">
        <v>0</v>
      </c>
      <c r="AM1268" s="90" t="s">
        <v>379</v>
      </c>
      <c r="AN1268" s="90">
        <v>-1</v>
      </c>
      <c r="AQ1268" s="90">
        <v>357</v>
      </c>
      <c r="AR1268" s="90" t="s">
        <v>405</v>
      </c>
      <c r="AS1268" s="90" t="s">
        <v>406</v>
      </c>
      <c r="AT1268" s="90" t="s">
        <v>244</v>
      </c>
      <c r="AU1268" s="90">
        <v>122.34610000000001</v>
      </c>
      <c r="AV1268" s="90">
        <v>11.570028938435501</v>
      </c>
      <c r="AW1268" s="90">
        <v>1.7315999379087199</v>
      </c>
      <c r="AX1268" s="90">
        <v>1.2726961000000001E-3</v>
      </c>
    </row>
    <row r="1269" spans="1:50" x14ac:dyDescent="0.25">
      <c r="A1269" s="102">
        <v>830000</v>
      </c>
      <c r="B1269" s="102">
        <v>2400000</v>
      </c>
      <c r="C1269" s="102">
        <v>2400000</v>
      </c>
      <c r="D1269" s="90" t="s">
        <v>374</v>
      </c>
      <c r="E1269" s="90" t="s">
        <v>68</v>
      </c>
      <c r="F1269" s="90" t="s">
        <v>375</v>
      </c>
      <c r="G1269" s="90" t="s">
        <v>376</v>
      </c>
      <c r="H1269" s="90">
        <v>0.59</v>
      </c>
      <c r="I1269" s="90">
        <v>0.64</v>
      </c>
      <c r="J1269" s="90" t="s">
        <v>244</v>
      </c>
      <c r="K1269" s="90">
        <v>3.6881450407900002E-3</v>
      </c>
      <c r="L1269" s="90">
        <v>3667.3977546454898</v>
      </c>
      <c r="M1269" s="90">
        <v>9.1617955501752792</v>
      </c>
      <c r="N1269" s="90">
        <v>1.3528633670083201</v>
      </c>
      <c r="O1269" s="90">
        <v>3.3790030823120001E-2</v>
      </c>
      <c r="P1269" s="90">
        <v>4.9895563178999998E-3</v>
      </c>
      <c r="Q1269" s="90">
        <v>13.525894841403799</v>
      </c>
      <c r="R1269" s="90">
        <v>1210</v>
      </c>
      <c r="S1269" s="90" t="s">
        <v>385</v>
      </c>
      <c r="T1269" s="90">
        <v>1210</v>
      </c>
      <c r="U1269" s="90" t="s">
        <v>378</v>
      </c>
      <c r="V1269" s="90" t="s">
        <v>244</v>
      </c>
      <c r="Z1269" s="90">
        <v>0</v>
      </c>
      <c r="AA1269" s="90">
        <v>1</v>
      </c>
      <c r="AB1269" s="90">
        <v>3.3790030823120001E-2</v>
      </c>
      <c r="AC1269" s="90">
        <v>4.9895563178999998E-3</v>
      </c>
      <c r="AD1269" s="90">
        <v>13.525894841404</v>
      </c>
      <c r="AF1269" s="90">
        <v>-1</v>
      </c>
      <c r="AG1269" s="90">
        <v>-1</v>
      </c>
      <c r="AH1269" s="90">
        <v>-1</v>
      </c>
      <c r="AI1269" s="90">
        <v>-1</v>
      </c>
      <c r="AJ1269" s="90">
        <v>0</v>
      </c>
      <c r="AM1269" s="90" t="s">
        <v>379</v>
      </c>
      <c r="AN1269" s="90">
        <v>-1</v>
      </c>
      <c r="AQ1269" s="90">
        <v>357</v>
      </c>
      <c r="AR1269" s="90" t="s">
        <v>405</v>
      </c>
      <c r="AS1269" s="90" t="s">
        <v>406</v>
      </c>
      <c r="AT1269" s="90" t="s">
        <v>244</v>
      </c>
      <c r="AU1269" s="90">
        <v>122.34610000000001</v>
      </c>
      <c r="AV1269" s="90">
        <v>25.586329536330702</v>
      </c>
      <c r="AW1269" s="90">
        <v>14.925393445068</v>
      </c>
      <c r="AX1269" s="90">
        <v>1.0969906600000001E-2</v>
      </c>
    </row>
    <row r="1270" spans="1:50" x14ac:dyDescent="0.25">
      <c r="A1270" s="102">
        <v>830000</v>
      </c>
      <c r="B1270" s="102">
        <v>2400000</v>
      </c>
      <c r="C1270" s="102">
        <v>2400000</v>
      </c>
      <c r="D1270" s="90" t="s">
        <v>374</v>
      </c>
      <c r="E1270" s="90" t="s">
        <v>68</v>
      </c>
      <c r="F1270" s="90" t="s">
        <v>375</v>
      </c>
      <c r="G1270" s="90" t="s">
        <v>376</v>
      </c>
      <c r="H1270" s="90">
        <v>0.59</v>
      </c>
      <c r="I1270" s="90">
        <v>0.64</v>
      </c>
      <c r="J1270" s="90" t="s">
        <v>244</v>
      </c>
      <c r="K1270" s="90">
        <v>0.26720746867590001</v>
      </c>
      <c r="L1270" s="90">
        <v>3667.3977546454898</v>
      </c>
      <c r="M1270" s="90">
        <v>9.1617955501752792</v>
      </c>
      <c r="N1270" s="90">
        <v>1.3528633670083201</v>
      </c>
      <c r="O1270" s="90">
        <v>2.4481001974885301</v>
      </c>
      <c r="P1270" s="90">
        <v>0.36149519576265998</v>
      </c>
      <c r="Q1270" s="90">
        <v>979.95607064652995</v>
      </c>
      <c r="R1270" s="90">
        <v>1210</v>
      </c>
      <c r="S1270" s="90" t="s">
        <v>385</v>
      </c>
      <c r="T1270" s="90">
        <v>1210</v>
      </c>
      <c r="U1270" s="90" t="s">
        <v>378</v>
      </c>
      <c r="V1270" s="90" t="s">
        <v>244</v>
      </c>
      <c r="Z1270" s="90">
        <v>0</v>
      </c>
      <c r="AA1270" s="90">
        <v>1</v>
      </c>
      <c r="AB1270" s="90">
        <v>2.4481001974885301</v>
      </c>
      <c r="AC1270" s="90">
        <v>0.36149519576265998</v>
      </c>
      <c r="AD1270" s="90">
        <v>979.95607064652995</v>
      </c>
      <c r="AF1270" s="90">
        <v>-1</v>
      </c>
      <c r="AG1270" s="90">
        <v>-1</v>
      </c>
      <c r="AH1270" s="90">
        <v>-1</v>
      </c>
      <c r="AI1270" s="90">
        <v>-1</v>
      </c>
      <c r="AJ1270" s="90">
        <v>0</v>
      </c>
      <c r="AM1270" s="90" t="s">
        <v>379</v>
      </c>
      <c r="AN1270" s="90">
        <v>-1</v>
      </c>
      <c r="AQ1270" s="90">
        <v>357</v>
      </c>
      <c r="AR1270" s="90" t="s">
        <v>405</v>
      </c>
      <c r="AS1270" s="90" t="s">
        <v>406</v>
      </c>
      <c r="AT1270" s="90" t="s">
        <v>244</v>
      </c>
      <c r="AU1270" s="90">
        <v>122.34610000000001</v>
      </c>
      <c r="AV1270" s="90">
        <v>134.98908058931801</v>
      </c>
      <c r="AW1270" s="90">
        <v>1081.3502607243399</v>
      </c>
      <c r="AX1270" s="90">
        <v>0.79477377989999998</v>
      </c>
    </row>
    <row r="1271" spans="1:50" x14ac:dyDescent="0.25">
      <c r="A1271" s="102">
        <v>830000</v>
      </c>
      <c r="B1271" s="102">
        <v>2400000</v>
      </c>
      <c r="C1271" s="102">
        <v>2400000</v>
      </c>
      <c r="D1271" s="90" t="s">
        <v>374</v>
      </c>
      <c r="E1271" s="90" t="s">
        <v>68</v>
      </c>
      <c r="F1271" s="90" t="s">
        <v>375</v>
      </c>
      <c r="G1271" s="90" t="s">
        <v>376</v>
      </c>
      <c r="H1271" s="90">
        <v>0.59</v>
      </c>
      <c r="I1271" s="90">
        <v>0.64</v>
      </c>
      <c r="J1271" s="90" t="s">
        <v>244</v>
      </c>
      <c r="K1271" s="90">
        <v>0.14832899630002999</v>
      </c>
      <c r="L1271" s="90">
        <v>3667.3977546454898</v>
      </c>
      <c r="M1271" s="90">
        <v>9.1617955501752792</v>
      </c>
      <c r="N1271" s="90">
        <v>1.3528633670083201</v>
      </c>
      <c r="O1271" s="90">
        <v>1.3589599382636499</v>
      </c>
      <c r="P1271" s="90">
        <v>0.20066886535942999</v>
      </c>
      <c r="Q1271" s="90">
        <v>543.98142797957803</v>
      </c>
      <c r="R1271" s="90">
        <v>1210</v>
      </c>
      <c r="S1271" s="90" t="s">
        <v>385</v>
      </c>
      <c r="T1271" s="90">
        <v>1210</v>
      </c>
      <c r="U1271" s="90" t="s">
        <v>378</v>
      </c>
      <c r="V1271" s="90" t="s">
        <v>244</v>
      </c>
      <c r="Z1271" s="90">
        <v>0</v>
      </c>
      <c r="AA1271" s="90">
        <v>1</v>
      </c>
      <c r="AB1271" s="90">
        <v>1.3589599382636499</v>
      </c>
      <c r="AC1271" s="90">
        <v>0.20066886535942999</v>
      </c>
      <c r="AD1271" s="90">
        <v>543.98142797957803</v>
      </c>
      <c r="AF1271" s="90">
        <v>-1</v>
      </c>
      <c r="AG1271" s="90">
        <v>-1</v>
      </c>
      <c r="AH1271" s="90">
        <v>-1</v>
      </c>
      <c r="AI1271" s="90">
        <v>-1</v>
      </c>
      <c r="AJ1271" s="90">
        <v>0</v>
      </c>
      <c r="AM1271" s="90" t="s">
        <v>379</v>
      </c>
      <c r="AN1271" s="90">
        <v>-1</v>
      </c>
      <c r="AQ1271" s="90">
        <v>357</v>
      </c>
      <c r="AR1271" s="90" t="s">
        <v>405</v>
      </c>
      <c r="AS1271" s="90" t="s">
        <v>406</v>
      </c>
      <c r="AT1271" s="90" t="s">
        <v>244</v>
      </c>
      <c r="AU1271" s="90">
        <v>122.34610000000001</v>
      </c>
      <c r="AV1271" s="90">
        <v>113.885414938943</v>
      </c>
      <c r="AW1271" s="90">
        <v>600.266151304956</v>
      </c>
      <c r="AX1271" s="90">
        <v>0.44118526190000001</v>
      </c>
    </row>
    <row r="1272" spans="1:50" x14ac:dyDescent="0.25">
      <c r="A1272" s="102">
        <v>830000</v>
      </c>
      <c r="B1272" s="102">
        <v>2400000</v>
      </c>
      <c r="C1272" s="102">
        <v>2400000</v>
      </c>
      <c r="D1272" s="90" t="s">
        <v>374</v>
      </c>
      <c r="E1272" s="90" t="s">
        <v>68</v>
      </c>
      <c r="F1272" s="90" t="s">
        <v>375</v>
      </c>
      <c r="G1272" s="90" t="s">
        <v>376</v>
      </c>
      <c r="H1272" s="90">
        <v>0.59</v>
      </c>
      <c r="I1272" s="90">
        <v>0.64</v>
      </c>
      <c r="J1272" s="90" t="s">
        <v>244</v>
      </c>
      <c r="K1272" s="90">
        <v>0.11609988058758999</v>
      </c>
      <c r="L1272" s="90">
        <v>3688.82269287901</v>
      </c>
      <c r="M1272" s="90">
        <v>10.525515615222901</v>
      </c>
      <c r="N1272" s="90">
        <v>1.9529015761409201</v>
      </c>
      <c r="O1272" s="90">
        <v>1.2220111060502801</v>
      </c>
      <c r="P1272" s="90">
        <v>0.22673163978929001</v>
      </c>
      <c r="Q1272" s="90">
        <v>428.27187415207902</v>
      </c>
      <c r="R1272" s="90">
        <v>1300</v>
      </c>
      <c r="S1272" s="90" t="s">
        <v>387</v>
      </c>
      <c r="T1272" s="90">
        <v>1300</v>
      </c>
      <c r="U1272" s="90" t="s">
        <v>378</v>
      </c>
      <c r="V1272" s="90" t="s">
        <v>244</v>
      </c>
      <c r="Z1272" s="90">
        <v>0</v>
      </c>
      <c r="AA1272" s="90">
        <v>1</v>
      </c>
      <c r="AB1272" s="90">
        <v>1.2220111060502801</v>
      </c>
      <c r="AC1272" s="90">
        <v>0.22673163978929001</v>
      </c>
      <c r="AD1272" s="90">
        <v>782.205770644626</v>
      </c>
      <c r="AF1272" s="90">
        <v>-1</v>
      </c>
      <c r="AG1272" s="90">
        <v>-1</v>
      </c>
      <c r="AH1272" s="90">
        <v>-1</v>
      </c>
      <c r="AI1272" s="90">
        <v>-1</v>
      </c>
      <c r="AJ1272" s="90">
        <v>0</v>
      </c>
      <c r="AM1272" s="90" t="s">
        <v>379</v>
      </c>
      <c r="AN1272" s="90">
        <v>-1</v>
      </c>
      <c r="AQ1272" s="90">
        <v>357</v>
      </c>
      <c r="AR1272" s="90" t="s">
        <v>405</v>
      </c>
      <c r="AS1272" s="90" t="s">
        <v>406</v>
      </c>
      <c r="AT1272" s="90" t="s">
        <v>244</v>
      </c>
      <c r="AU1272" s="90">
        <v>122.34610000000001</v>
      </c>
      <c r="AV1272" s="90">
        <v>144.33374006289199</v>
      </c>
      <c r="AW1272" s="90">
        <v>469.83954739579701</v>
      </c>
      <c r="AX1272" s="90">
        <v>0.63439235250000003</v>
      </c>
    </row>
    <row r="1273" spans="1:50" x14ac:dyDescent="0.25">
      <c r="A1273" s="102">
        <v>830000</v>
      </c>
      <c r="B1273" s="102">
        <v>2400000</v>
      </c>
      <c r="C1273" s="102">
        <v>2400000</v>
      </c>
      <c r="D1273" s="90" t="s">
        <v>374</v>
      </c>
      <c r="E1273" s="90" t="s">
        <v>68</v>
      </c>
      <c r="F1273" s="90" t="s">
        <v>375</v>
      </c>
      <c r="G1273" s="90" t="s">
        <v>376</v>
      </c>
      <c r="H1273" s="90">
        <v>0.59</v>
      </c>
      <c r="I1273" s="90">
        <v>0.64</v>
      </c>
      <c r="J1273" s="90" t="s">
        <v>244</v>
      </c>
      <c r="K1273" s="90">
        <v>9.4473939918380004E-2</v>
      </c>
      <c r="L1273" s="90">
        <v>3688.82269287901</v>
      </c>
      <c r="M1273" s="90">
        <v>10.525515615222901</v>
      </c>
      <c r="N1273" s="90">
        <v>1.9529015761409201</v>
      </c>
      <c r="O1273" s="90">
        <v>0.99438692984254995</v>
      </c>
      <c r="P1273" s="90">
        <v>0.18449830617084001</v>
      </c>
      <c r="Q1273" s="90">
        <v>348.49761345661199</v>
      </c>
      <c r="R1273" s="90">
        <v>1890</v>
      </c>
      <c r="S1273" s="90" t="s">
        <v>408</v>
      </c>
      <c r="T1273" s="90">
        <v>1890</v>
      </c>
      <c r="U1273" s="90" t="s">
        <v>378</v>
      </c>
      <c r="V1273" s="90" t="s">
        <v>244</v>
      </c>
      <c r="Z1273" s="90">
        <v>0</v>
      </c>
      <c r="AA1273" s="90">
        <v>1</v>
      </c>
      <c r="AB1273" s="90">
        <v>0.99438692984254995</v>
      </c>
      <c r="AC1273" s="90">
        <v>0.18449830617084001</v>
      </c>
      <c r="AD1273" s="90">
        <v>504.22716827446601</v>
      </c>
      <c r="AF1273" s="90">
        <v>-1</v>
      </c>
      <c r="AG1273" s="90">
        <v>-1</v>
      </c>
      <c r="AH1273" s="90">
        <v>-1</v>
      </c>
      <c r="AI1273" s="90">
        <v>-1</v>
      </c>
      <c r="AJ1273" s="90">
        <v>0</v>
      </c>
      <c r="AM1273" s="90" t="s">
        <v>379</v>
      </c>
      <c r="AN1273" s="90">
        <v>-1</v>
      </c>
      <c r="AQ1273" s="90">
        <v>357</v>
      </c>
      <c r="AR1273" s="90" t="s">
        <v>405</v>
      </c>
      <c r="AS1273" s="90" t="s">
        <v>406</v>
      </c>
      <c r="AT1273" s="90" t="s">
        <v>244</v>
      </c>
      <c r="AU1273" s="90">
        <v>122.34610000000001</v>
      </c>
      <c r="AV1273" s="90">
        <v>114.93648136356001</v>
      </c>
      <c r="AW1273" s="90">
        <v>382.32247050812998</v>
      </c>
      <c r="AX1273" s="90">
        <v>0.40894336440000001</v>
      </c>
    </row>
    <row r="1274" spans="1:50" x14ac:dyDescent="0.25">
      <c r="A1274" s="102">
        <v>830000</v>
      </c>
      <c r="B1274" s="102">
        <v>2400000</v>
      </c>
      <c r="C1274" s="102">
        <v>2400000</v>
      </c>
      <c r="D1274" s="90" t="s">
        <v>374</v>
      </c>
      <c r="E1274" s="90" t="s">
        <v>68</v>
      </c>
      <c r="F1274" s="90" t="s">
        <v>375</v>
      </c>
      <c r="G1274" s="90" t="s">
        <v>376</v>
      </c>
      <c r="H1274" s="90">
        <v>0.59</v>
      </c>
      <c r="I1274" s="90">
        <v>0.64</v>
      </c>
      <c r="J1274" s="90" t="s">
        <v>244</v>
      </c>
      <c r="K1274" s="90">
        <v>0.20528843585691001</v>
      </c>
      <c r="L1274" s="90">
        <v>3688.82269287901</v>
      </c>
      <c r="M1274" s="90">
        <v>10.525515615222901</v>
      </c>
      <c r="N1274" s="90">
        <v>1.9529015761409201</v>
      </c>
      <c r="O1274" s="90">
        <v>2.1607666372365899</v>
      </c>
      <c r="P1274" s="90">
        <v>0.40090810994845999</v>
      </c>
      <c r="Q1274" s="90">
        <v>757.27264077460802</v>
      </c>
      <c r="R1274" s="90">
        <v>1300</v>
      </c>
      <c r="S1274" s="90" t="s">
        <v>387</v>
      </c>
      <c r="T1274" s="90">
        <v>1300</v>
      </c>
      <c r="U1274" s="90" t="s">
        <v>378</v>
      </c>
      <c r="V1274" s="90" t="s">
        <v>244</v>
      </c>
      <c r="Z1274" s="90">
        <v>0</v>
      </c>
      <c r="AA1274" s="90">
        <v>1</v>
      </c>
      <c r="AB1274" s="90">
        <v>2.1607666372365899</v>
      </c>
      <c r="AC1274" s="90">
        <v>0.40090810994845999</v>
      </c>
      <c r="AD1274" s="90">
        <v>757.27264077460802</v>
      </c>
      <c r="AF1274" s="90">
        <v>-1</v>
      </c>
      <c r="AG1274" s="90">
        <v>-1</v>
      </c>
      <c r="AH1274" s="90">
        <v>-1</v>
      </c>
      <c r="AI1274" s="90">
        <v>-1</v>
      </c>
      <c r="AJ1274" s="90">
        <v>0</v>
      </c>
      <c r="AM1274" s="90" t="s">
        <v>379</v>
      </c>
      <c r="AN1274" s="90">
        <v>-1</v>
      </c>
      <c r="AQ1274" s="90">
        <v>357</v>
      </c>
      <c r="AR1274" s="90" t="s">
        <v>405</v>
      </c>
      <c r="AS1274" s="90" t="s">
        <v>406</v>
      </c>
      <c r="AT1274" s="90" t="s">
        <v>244</v>
      </c>
      <c r="AU1274" s="90">
        <v>122.34610000000001</v>
      </c>
      <c r="AV1274" s="90">
        <v>115.60995173550999</v>
      </c>
      <c r="AW1274" s="90">
        <v>830.77282509198596</v>
      </c>
      <c r="AX1274" s="90">
        <v>0.614170836</v>
      </c>
    </row>
    <row r="1275" spans="1:50" x14ac:dyDescent="0.25">
      <c r="A1275" s="102">
        <v>830000</v>
      </c>
      <c r="B1275" s="102">
        <v>2400000</v>
      </c>
      <c r="C1275" s="102">
        <v>2400000</v>
      </c>
      <c r="D1275" s="90" t="s">
        <v>374</v>
      </c>
      <c r="E1275" s="90" t="s">
        <v>68</v>
      </c>
      <c r="F1275" s="90" t="s">
        <v>375</v>
      </c>
      <c r="G1275" s="90" t="s">
        <v>376</v>
      </c>
      <c r="H1275" s="90">
        <v>0.59</v>
      </c>
      <c r="I1275" s="90">
        <v>0.64</v>
      </c>
      <c r="J1275" s="90" t="s">
        <v>244</v>
      </c>
      <c r="K1275" s="90">
        <v>4.141200284866E-2</v>
      </c>
      <c r="L1275" s="90">
        <v>3676.7661837923401</v>
      </c>
      <c r="M1275" s="90">
        <v>10.3146274250891</v>
      </c>
      <c r="N1275" s="90">
        <v>1.75740847675275</v>
      </c>
      <c r="O1275" s="90">
        <v>0.42714938031068</v>
      </c>
      <c r="P1275" s="90">
        <v>7.2777804845550007E-2</v>
      </c>
      <c r="Q1275" s="90">
        <v>152.26225167707599</v>
      </c>
      <c r="R1275" s="90">
        <v>1200</v>
      </c>
      <c r="S1275" s="90" t="s">
        <v>384</v>
      </c>
      <c r="T1275" s="90">
        <v>1200</v>
      </c>
      <c r="U1275" s="90" t="s">
        <v>378</v>
      </c>
      <c r="V1275" s="90" t="s">
        <v>244</v>
      </c>
      <c r="Z1275" s="90">
        <v>0</v>
      </c>
      <c r="AA1275" s="90">
        <v>1</v>
      </c>
      <c r="AB1275" s="90">
        <v>0.42714938031068</v>
      </c>
      <c r="AC1275" s="90">
        <v>7.2777804845550007E-2</v>
      </c>
      <c r="AD1275" s="90">
        <v>267.50484283706697</v>
      </c>
      <c r="AF1275" s="90">
        <v>-1</v>
      </c>
      <c r="AG1275" s="90">
        <v>-1</v>
      </c>
      <c r="AH1275" s="90">
        <v>-1</v>
      </c>
      <c r="AI1275" s="90">
        <v>-1</v>
      </c>
      <c r="AJ1275" s="90">
        <v>0</v>
      </c>
      <c r="AM1275" s="90" t="s">
        <v>379</v>
      </c>
      <c r="AN1275" s="90">
        <v>-1</v>
      </c>
      <c r="AQ1275" s="90">
        <v>357</v>
      </c>
      <c r="AR1275" s="90" t="s">
        <v>405</v>
      </c>
      <c r="AS1275" s="90" t="s">
        <v>406</v>
      </c>
      <c r="AT1275" s="90" t="s">
        <v>244</v>
      </c>
      <c r="AU1275" s="90">
        <v>122.34610000000001</v>
      </c>
      <c r="AV1275" s="90">
        <v>59.399917082403498</v>
      </c>
      <c r="AW1275" s="90">
        <v>167.58842969255701</v>
      </c>
      <c r="AX1275" s="90">
        <v>0.21695445490000001</v>
      </c>
    </row>
    <row r="1276" spans="1:50" x14ac:dyDescent="0.25">
      <c r="A1276" s="102">
        <v>830000</v>
      </c>
      <c r="B1276" s="102">
        <v>2400000</v>
      </c>
      <c r="C1276" s="102">
        <v>2400000</v>
      </c>
      <c r="D1276" s="90" t="s">
        <v>374</v>
      </c>
      <c r="E1276" s="90" t="s">
        <v>68</v>
      </c>
      <c r="F1276" s="90" t="s">
        <v>375</v>
      </c>
      <c r="G1276" s="90" t="s">
        <v>376</v>
      </c>
      <c r="H1276" s="90">
        <v>0.59</v>
      </c>
      <c r="I1276" s="90">
        <v>0.64</v>
      </c>
      <c r="J1276" s="90" t="s">
        <v>244</v>
      </c>
      <c r="K1276" s="90">
        <v>3.1192626759840001E-2</v>
      </c>
      <c r="L1276" s="90">
        <v>3676.7661837923401</v>
      </c>
      <c r="M1276" s="90">
        <v>10.3146274250891</v>
      </c>
      <c r="N1276" s="90">
        <v>1.75740847675275</v>
      </c>
      <c r="O1276" s="90">
        <v>0.32174032343769998</v>
      </c>
      <c r="P1276" s="90">
        <v>5.4818186679939998E-2</v>
      </c>
      <c r="Q1276" s="90">
        <v>114.687995254269</v>
      </c>
      <c r="R1276" s="90">
        <v>1410</v>
      </c>
      <c r="S1276" s="90" t="s">
        <v>325</v>
      </c>
      <c r="T1276" s="90">
        <v>1410</v>
      </c>
      <c r="U1276" s="90" t="s">
        <v>378</v>
      </c>
      <c r="V1276" s="90" t="s">
        <v>244</v>
      </c>
      <c r="Z1276" s="90">
        <v>0</v>
      </c>
      <c r="AA1276" s="90">
        <v>1</v>
      </c>
      <c r="AB1276" s="90">
        <v>0.32174032343769998</v>
      </c>
      <c r="AC1276" s="90">
        <v>5.4818186679939998E-2</v>
      </c>
      <c r="AD1276" s="90">
        <v>114.687995254269</v>
      </c>
      <c r="AF1276" s="90">
        <v>-1</v>
      </c>
      <c r="AG1276" s="90">
        <v>-1</v>
      </c>
      <c r="AH1276" s="90">
        <v>-1</v>
      </c>
      <c r="AI1276" s="90">
        <v>-1</v>
      </c>
      <c r="AJ1276" s="90">
        <v>0</v>
      </c>
      <c r="AM1276" s="90" t="s">
        <v>379</v>
      </c>
      <c r="AN1276" s="90">
        <v>-1</v>
      </c>
      <c r="AQ1276" s="90">
        <v>357</v>
      </c>
      <c r="AR1276" s="90" t="s">
        <v>405</v>
      </c>
      <c r="AS1276" s="90" t="s">
        <v>406</v>
      </c>
      <c r="AT1276" s="90" t="s">
        <v>244</v>
      </c>
      <c r="AU1276" s="90">
        <v>122.34610000000001</v>
      </c>
      <c r="AV1276" s="90">
        <v>56.034950926595201</v>
      </c>
      <c r="AW1276" s="90">
        <v>126.23208193462099</v>
      </c>
      <c r="AX1276" s="90">
        <v>9.3015405699999998E-2</v>
      </c>
    </row>
    <row r="1277" spans="1:50" x14ac:dyDescent="0.25">
      <c r="A1277" s="102">
        <v>830000</v>
      </c>
      <c r="B1277" s="102">
        <v>2400000</v>
      </c>
      <c r="C1277" s="102">
        <v>2400000</v>
      </c>
      <c r="D1277" s="90" t="s">
        <v>374</v>
      </c>
      <c r="E1277" s="90" t="s">
        <v>68</v>
      </c>
      <c r="F1277" s="90" t="s">
        <v>375</v>
      </c>
      <c r="G1277" s="90" t="s">
        <v>376</v>
      </c>
      <c r="H1277" s="90">
        <v>0.59</v>
      </c>
      <c r="I1277" s="90">
        <v>0.64</v>
      </c>
      <c r="J1277" s="90" t="s">
        <v>244</v>
      </c>
      <c r="K1277" s="90">
        <v>5.5064075659800003E-3</v>
      </c>
      <c r="L1277" s="90">
        <v>3676.7661837923401</v>
      </c>
      <c r="M1277" s="90">
        <v>10.3146274250891</v>
      </c>
      <c r="N1277" s="90">
        <v>1.75740847675275</v>
      </c>
      <c r="O1277" s="90">
        <v>5.6796542493799999E-2</v>
      </c>
      <c r="P1277" s="90">
        <v>9.6770073329099995E-3</v>
      </c>
      <c r="Q1277" s="90">
        <v>20.245773132784599</v>
      </c>
      <c r="R1277" s="90">
        <v>1410</v>
      </c>
      <c r="S1277" s="90" t="s">
        <v>325</v>
      </c>
      <c r="T1277" s="90">
        <v>1410</v>
      </c>
      <c r="U1277" s="90" t="s">
        <v>378</v>
      </c>
      <c r="V1277" s="90" t="s">
        <v>244</v>
      </c>
      <c r="Z1277" s="90">
        <v>0</v>
      </c>
      <c r="AA1277" s="90">
        <v>1</v>
      </c>
      <c r="AB1277" s="90">
        <v>5.6796542493799999E-2</v>
      </c>
      <c r="AC1277" s="90">
        <v>9.6770073329099995E-3</v>
      </c>
      <c r="AD1277" s="90">
        <v>177.197994735832</v>
      </c>
      <c r="AF1277" s="90">
        <v>-1</v>
      </c>
      <c r="AG1277" s="90">
        <v>-1</v>
      </c>
      <c r="AH1277" s="90">
        <v>-1</v>
      </c>
      <c r="AI1277" s="90">
        <v>-1</v>
      </c>
      <c r="AJ1277" s="90">
        <v>0</v>
      </c>
      <c r="AM1277" s="90" t="s">
        <v>379</v>
      </c>
      <c r="AN1277" s="90">
        <v>-1</v>
      </c>
      <c r="AQ1277" s="90">
        <v>357</v>
      </c>
      <c r="AR1277" s="90" t="s">
        <v>405</v>
      </c>
      <c r="AS1277" s="90" t="s">
        <v>406</v>
      </c>
      <c r="AT1277" s="90" t="s">
        <v>244</v>
      </c>
      <c r="AU1277" s="90">
        <v>122.34610000000001</v>
      </c>
      <c r="AV1277" s="90">
        <v>20.0241355151805</v>
      </c>
      <c r="AW1277" s="90">
        <v>22.283640822750399</v>
      </c>
      <c r="AX1277" s="90">
        <v>0.14371289109999999</v>
      </c>
    </row>
    <row r="1278" spans="1:50" x14ac:dyDescent="0.25">
      <c r="A1278" s="102">
        <v>830000</v>
      </c>
      <c r="B1278" s="102">
        <v>2400000</v>
      </c>
      <c r="C1278" s="102">
        <v>2400000</v>
      </c>
      <c r="D1278" s="90" t="s">
        <v>374</v>
      </c>
      <c r="E1278" s="90" t="s">
        <v>68</v>
      </c>
      <c r="F1278" s="90" t="s">
        <v>375</v>
      </c>
      <c r="G1278" s="90" t="s">
        <v>376</v>
      </c>
      <c r="H1278" s="90">
        <v>0.59</v>
      </c>
      <c r="I1278" s="90">
        <v>0.64</v>
      </c>
      <c r="J1278" s="90" t="s">
        <v>244</v>
      </c>
      <c r="K1278" s="90">
        <v>0.18650037315281001</v>
      </c>
      <c r="L1278" s="90">
        <v>3676.7661837923401</v>
      </c>
      <c r="M1278" s="90">
        <v>10.3146274250891</v>
      </c>
      <c r="N1278" s="90">
        <v>1.75740847675275</v>
      </c>
      <c r="O1278" s="90">
        <v>1.92368186371135</v>
      </c>
      <c r="P1278" s="90">
        <v>0.32775733669629997</v>
      </c>
      <c r="Q1278" s="90">
        <v>685.71826527291296</v>
      </c>
      <c r="R1278" s="90">
        <v>1210</v>
      </c>
      <c r="S1278" s="90" t="s">
        <v>385</v>
      </c>
      <c r="T1278" s="90">
        <v>1210</v>
      </c>
      <c r="U1278" s="90" t="s">
        <v>378</v>
      </c>
      <c r="V1278" s="90" t="s">
        <v>244</v>
      </c>
      <c r="Z1278" s="90">
        <v>0</v>
      </c>
      <c r="AA1278" s="90">
        <v>1</v>
      </c>
      <c r="AB1278" s="90">
        <v>1.92368186371135</v>
      </c>
      <c r="AC1278" s="90">
        <v>0.32775733669629997</v>
      </c>
      <c r="AD1278" s="90">
        <v>685.71826527291296</v>
      </c>
      <c r="AF1278" s="90">
        <v>-1</v>
      </c>
      <c r="AG1278" s="90">
        <v>-1</v>
      </c>
      <c r="AH1278" s="90">
        <v>-1</v>
      </c>
      <c r="AI1278" s="90">
        <v>-1</v>
      </c>
      <c r="AJ1278" s="90">
        <v>0</v>
      </c>
      <c r="AM1278" s="90" t="s">
        <v>379</v>
      </c>
      <c r="AN1278" s="90">
        <v>-1</v>
      </c>
      <c r="AQ1278" s="90">
        <v>357</v>
      </c>
      <c r="AR1278" s="90" t="s">
        <v>405</v>
      </c>
      <c r="AS1278" s="90" t="s">
        <v>406</v>
      </c>
      <c r="AT1278" s="90" t="s">
        <v>244</v>
      </c>
      <c r="AU1278" s="90">
        <v>122.34610000000001</v>
      </c>
      <c r="AV1278" s="90">
        <v>114.601011610222</v>
      </c>
      <c r="AW1278" s="90">
        <v>754.74023287345506</v>
      </c>
      <c r="AX1278" s="90">
        <v>0.55613809020000005</v>
      </c>
    </row>
    <row r="1279" spans="1:50" x14ac:dyDescent="0.25">
      <c r="A1279" s="102">
        <v>830000</v>
      </c>
      <c r="B1279" s="102">
        <v>2400000</v>
      </c>
      <c r="C1279" s="102">
        <v>2400000</v>
      </c>
      <c r="D1279" s="90" t="s">
        <v>374</v>
      </c>
      <c r="E1279" s="90" t="s">
        <v>68</v>
      </c>
      <c r="F1279" s="90" t="s">
        <v>375</v>
      </c>
      <c r="G1279" s="90" t="s">
        <v>376</v>
      </c>
      <c r="H1279" s="90">
        <v>0.59</v>
      </c>
      <c r="I1279" s="90">
        <v>0.64</v>
      </c>
      <c r="J1279" s="90" t="s">
        <v>244</v>
      </c>
      <c r="K1279" s="90">
        <v>3.037784118431E-2</v>
      </c>
      <c r="L1279" s="90">
        <v>3676.7661837923401</v>
      </c>
      <c r="M1279" s="90">
        <v>10.3146274250891</v>
      </c>
      <c r="N1279" s="90">
        <v>1.75740847675275</v>
      </c>
      <c r="O1279" s="90">
        <v>0.31333611379471998</v>
      </c>
      <c r="P1279" s="90">
        <v>5.3386275602759999E-2</v>
      </c>
      <c r="Q1279" s="90">
        <v>111.6922192031</v>
      </c>
      <c r="R1279" s="90">
        <v>1330</v>
      </c>
      <c r="S1279" s="90" t="s">
        <v>397</v>
      </c>
      <c r="T1279" s="90">
        <v>1330</v>
      </c>
      <c r="U1279" s="90" t="s">
        <v>378</v>
      </c>
      <c r="V1279" s="90" t="s">
        <v>244</v>
      </c>
      <c r="Z1279" s="90">
        <v>0</v>
      </c>
      <c r="AA1279" s="90">
        <v>1</v>
      </c>
      <c r="AB1279" s="90">
        <v>0.31333611379471998</v>
      </c>
      <c r="AC1279" s="90">
        <v>5.3386275602759999E-2</v>
      </c>
      <c r="AD1279" s="90">
        <v>861.01529213912795</v>
      </c>
      <c r="AF1279" s="90">
        <v>-1</v>
      </c>
      <c r="AG1279" s="90">
        <v>-1</v>
      </c>
      <c r="AH1279" s="90">
        <v>-1</v>
      </c>
      <c r="AI1279" s="90">
        <v>-1</v>
      </c>
      <c r="AJ1279" s="90">
        <v>0</v>
      </c>
      <c r="AM1279" s="90" t="s">
        <v>379</v>
      </c>
      <c r="AN1279" s="90">
        <v>-1</v>
      </c>
      <c r="AQ1279" s="90">
        <v>357</v>
      </c>
      <c r="AR1279" s="90" t="s">
        <v>405</v>
      </c>
      <c r="AS1279" s="90" t="s">
        <v>406</v>
      </c>
      <c r="AT1279" s="90" t="s">
        <v>244</v>
      </c>
      <c r="AU1279" s="90">
        <v>122.34610000000001</v>
      </c>
      <c r="AV1279" s="90">
        <v>80.013115796498596</v>
      </c>
      <c r="AW1279" s="90">
        <v>122.934761695388</v>
      </c>
      <c r="AX1279" s="90">
        <v>0.6983092394</v>
      </c>
    </row>
    <row r="1280" spans="1:50" x14ac:dyDescent="0.25">
      <c r="A1280" s="102">
        <v>830000</v>
      </c>
      <c r="B1280" s="102">
        <v>2400000</v>
      </c>
      <c r="C1280" s="102">
        <v>2400000</v>
      </c>
      <c r="D1280" s="90" t="s">
        <v>374</v>
      </c>
      <c r="E1280" s="90" t="s">
        <v>68</v>
      </c>
      <c r="F1280" s="90" t="s">
        <v>375</v>
      </c>
      <c r="G1280" s="90" t="s">
        <v>376</v>
      </c>
      <c r="H1280" s="90">
        <v>0.59</v>
      </c>
      <c r="I1280" s="90">
        <v>0.64</v>
      </c>
      <c r="J1280" s="90" t="s">
        <v>244</v>
      </c>
      <c r="K1280" s="90">
        <v>8.4042323211559994E-2</v>
      </c>
      <c r="L1280" s="90">
        <v>3691.1121952001299</v>
      </c>
      <c r="M1280" s="90">
        <v>11.0680615203941</v>
      </c>
      <c r="N1280" s="90">
        <v>2.0487928968420901</v>
      </c>
      <c r="O1280" s="90">
        <v>0.93018560362241998</v>
      </c>
      <c r="P1280" s="90">
        <v>0.17218531482995</v>
      </c>
      <c r="Q1280" s="90">
        <v>310.20964411915099</v>
      </c>
      <c r="R1280" s="90">
        <v>1300</v>
      </c>
      <c r="S1280" s="90" t="s">
        <v>387</v>
      </c>
      <c r="T1280" s="90">
        <v>1300</v>
      </c>
      <c r="U1280" s="90" t="s">
        <v>378</v>
      </c>
      <c r="V1280" s="90" t="s">
        <v>244</v>
      </c>
      <c r="Z1280" s="90">
        <v>0</v>
      </c>
      <c r="AA1280" s="90">
        <v>1</v>
      </c>
      <c r="AB1280" s="90">
        <v>0.93018560362241998</v>
      </c>
      <c r="AC1280" s="90">
        <v>0.17218531482995</v>
      </c>
      <c r="AD1280" s="90">
        <v>310.20964411915099</v>
      </c>
      <c r="AF1280" s="90">
        <v>-1</v>
      </c>
      <c r="AG1280" s="90">
        <v>-1</v>
      </c>
      <c r="AH1280" s="90">
        <v>-1</v>
      </c>
      <c r="AI1280" s="90">
        <v>-1</v>
      </c>
      <c r="AJ1280" s="90">
        <v>0</v>
      </c>
      <c r="AM1280" s="90" t="s">
        <v>379</v>
      </c>
      <c r="AN1280" s="90">
        <v>-1</v>
      </c>
      <c r="AQ1280" s="90">
        <v>357</v>
      </c>
      <c r="AR1280" s="90" t="s">
        <v>405</v>
      </c>
      <c r="AS1280" s="90" t="s">
        <v>406</v>
      </c>
      <c r="AT1280" s="90" t="s">
        <v>244</v>
      </c>
      <c r="AU1280" s="90">
        <v>122.34610000000001</v>
      </c>
      <c r="AV1280" s="90">
        <v>113.765370604276</v>
      </c>
      <c r="AW1280" s="90">
        <v>340.10721544213101</v>
      </c>
      <c r="AX1280" s="90">
        <v>0.25158933020000002</v>
      </c>
    </row>
    <row r="1281" spans="1:50" x14ac:dyDescent="0.25">
      <c r="A1281" s="102">
        <v>830000</v>
      </c>
      <c r="B1281" s="102">
        <v>2400000</v>
      </c>
      <c r="C1281" s="102">
        <v>2400000</v>
      </c>
      <c r="D1281" s="90" t="s">
        <v>374</v>
      </c>
      <c r="E1281" s="90" t="s">
        <v>68</v>
      </c>
      <c r="F1281" s="90" t="s">
        <v>375</v>
      </c>
      <c r="G1281" s="90" t="s">
        <v>376</v>
      </c>
      <c r="H1281" s="90">
        <v>0.59</v>
      </c>
      <c r="I1281" s="90">
        <v>0.64</v>
      </c>
      <c r="J1281" s="90" t="s">
        <v>244</v>
      </c>
      <c r="K1281" s="90">
        <v>0.23054775472332001</v>
      </c>
      <c r="L1281" s="90">
        <v>3691.1121952001299</v>
      </c>
      <c r="M1281" s="90">
        <v>11.0680615203941</v>
      </c>
      <c r="N1281" s="90">
        <v>2.0487928968420901</v>
      </c>
      <c r="O1281" s="90">
        <v>2.5517167326664598</v>
      </c>
      <c r="P1281" s="90">
        <v>0.47234460226003</v>
      </c>
      <c r="Q1281" s="90">
        <v>850.977629035262</v>
      </c>
      <c r="R1281" s="90">
        <v>1210</v>
      </c>
      <c r="S1281" s="90" t="s">
        <v>385</v>
      </c>
      <c r="T1281" s="90">
        <v>1210</v>
      </c>
      <c r="U1281" s="90" t="s">
        <v>378</v>
      </c>
      <c r="V1281" s="90" t="s">
        <v>244</v>
      </c>
      <c r="Z1281" s="90">
        <v>0</v>
      </c>
      <c r="AA1281" s="90">
        <v>1</v>
      </c>
      <c r="AB1281" s="90">
        <v>2.5517167326664598</v>
      </c>
      <c r="AC1281" s="90">
        <v>0.47234460226003</v>
      </c>
      <c r="AD1281" s="90">
        <v>850.977629035262</v>
      </c>
      <c r="AF1281" s="90">
        <v>-1</v>
      </c>
      <c r="AG1281" s="90">
        <v>-1</v>
      </c>
      <c r="AH1281" s="90">
        <v>-1</v>
      </c>
      <c r="AI1281" s="90">
        <v>-1</v>
      </c>
      <c r="AJ1281" s="90">
        <v>0</v>
      </c>
      <c r="AM1281" s="90" t="s">
        <v>379</v>
      </c>
      <c r="AN1281" s="90">
        <v>-1</v>
      </c>
      <c r="AQ1281" s="90">
        <v>357</v>
      </c>
      <c r="AR1281" s="90" t="s">
        <v>405</v>
      </c>
      <c r="AS1281" s="90" t="s">
        <v>406</v>
      </c>
      <c r="AT1281" s="90" t="s">
        <v>244</v>
      </c>
      <c r="AU1281" s="90">
        <v>122.34610000000001</v>
      </c>
      <c r="AV1281" s="90">
        <v>123.536518563846</v>
      </c>
      <c r="AW1281" s="90">
        <v>932.99366187197597</v>
      </c>
      <c r="AX1281" s="90">
        <v>0.69016839340000002</v>
      </c>
    </row>
    <row r="1282" spans="1:50" x14ac:dyDescent="0.25">
      <c r="A1282" s="102">
        <v>830000</v>
      </c>
      <c r="B1282" s="102">
        <v>2400000</v>
      </c>
      <c r="C1282" s="102">
        <v>2400000</v>
      </c>
      <c r="D1282" s="90" t="s">
        <v>374</v>
      </c>
      <c r="E1282" s="90" t="s">
        <v>68</v>
      </c>
      <c r="F1282" s="90" t="s">
        <v>375</v>
      </c>
      <c r="G1282" s="90" t="s">
        <v>376</v>
      </c>
      <c r="H1282" s="90">
        <v>0.59</v>
      </c>
      <c r="I1282" s="90">
        <v>0.64</v>
      </c>
      <c r="J1282" s="90" t="s">
        <v>244</v>
      </c>
      <c r="K1282" s="90">
        <v>3.0923300128200002E-3</v>
      </c>
      <c r="L1282" s="90">
        <v>3691.1121952001299</v>
      </c>
      <c r="M1282" s="90">
        <v>11.0680615203941</v>
      </c>
      <c r="N1282" s="90">
        <v>2.0487928968420901</v>
      </c>
      <c r="O1282" s="90">
        <v>3.422609882331E-2</v>
      </c>
      <c r="P1282" s="90">
        <v>6.3355437649699996E-3</v>
      </c>
      <c r="Q1282" s="90">
        <v>11.4141370219254</v>
      </c>
      <c r="R1282" s="90">
        <v>1300</v>
      </c>
      <c r="S1282" s="90" t="s">
        <v>387</v>
      </c>
      <c r="T1282" s="90">
        <v>1300</v>
      </c>
      <c r="U1282" s="90" t="s">
        <v>378</v>
      </c>
      <c r="V1282" s="90" t="s">
        <v>244</v>
      </c>
      <c r="Z1282" s="90">
        <v>0</v>
      </c>
      <c r="AA1282" s="90">
        <v>1</v>
      </c>
      <c r="AB1282" s="90">
        <v>3.422609882331E-2</v>
      </c>
      <c r="AC1282" s="90">
        <v>6.3355437649699996E-3</v>
      </c>
      <c r="AD1282" s="90">
        <v>11.414137021925599</v>
      </c>
      <c r="AF1282" s="90">
        <v>-1</v>
      </c>
      <c r="AG1282" s="90">
        <v>-1</v>
      </c>
      <c r="AH1282" s="90">
        <v>-1</v>
      </c>
      <c r="AI1282" s="90">
        <v>-1</v>
      </c>
      <c r="AJ1282" s="90">
        <v>0</v>
      </c>
      <c r="AM1282" s="90" t="s">
        <v>379</v>
      </c>
      <c r="AN1282" s="90">
        <v>-1</v>
      </c>
      <c r="AQ1282" s="90">
        <v>357</v>
      </c>
      <c r="AR1282" s="90" t="s">
        <v>405</v>
      </c>
      <c r="AS1282" s="90" t="s">
        <v>406</v>
      </c>
      <c r="AT1282" s="90" t="s">
        <v>244</v>
      </c>
      <c r="AU1282" s="90">
        <v>122.34610000000001</v>
      </c>
      <c r="AV1282" s="90">
        <v>36.661406603303497</v>
      </c>
      <c r="AW1282" s="90">
        <v>12.5142155725854</v>
      </c>
      <c r="AX1282" s="90">
        <v>9.2572075999999993E-3</v>
      </c>
    </row>
    <row r="1283" spans="1:50" x14ac:dyDescent="0.25">
      <c r="A1283" s="102">
        <v>830000</v>
      </c>
      <c r="B1283" s="102">
        <v>2400000</v>
      </c>
      <c r="C1283" s="102">
        <v>2400000</v>
      </c>
      <c r="D1283" s="90" t="s">
        <v>374</v>
      </c>
      <c r="E1283" s="90" t="s">
        <v>68</v>
      </c>
      <c r="F1283" s="90" t="s">
        <v>375</v>
      </c>
      <c r="G1283" s="90" t="s">
        <v>376</v>
      </c>
      <c r="H1283" s="90">
        <v>0.59</v>
      </c>
      <c r="I1283" s="90">
        <v>0.64</v>
      </c>
      <c r="J1283" s="90" t="s">
        <v>244</v>
      </c>
      <c r="K1283" s="90">
        <v>1.77418619237E-3</v>
      </c>
      <c r="L1283" s="90">
        <v>3691.1121952001299</v>
      </c>
      <c r="M1283" s="90">
        <v>11.0680615203941</v>
      </c>
      <c r="N1283" s="90">
        <v>2.0487928968420901</v>
      </c>
      <c r="O1283" s="90">
        <v>1.963680192578E-2</v>
      </c>
      <c r="P1283" s="90">
        <v>3.6349400685999999E-3</v>
      </c>
      <c r="Q1283" s="90">
        <v>6.5487202912125904</v>
      </c>
      <c r="R1283" s="90">
        <v>1210</v>
      </c>
      <c r="S1283" s="90" t="s">
        <v>385</v>
      </c>
      <c r="T1283" s="90">
        <v>1210</v>
      </c>
      <c r="U1283" s="90" t="s">
        <v>378</v>
      </c>
      <c r="V1283" s="90" t="s">
        <v>244</v>
      </c>
      <c r="Z1283" s="90">
        <v>0</v>
      </c>
      <c r="AA1283" s="90">
        <v>1</v>
      </c>
      <c r="AB1283" s="90">
        <v>1.963680192578E-2</v>
      </c>
      <c r="AC1283" s="90">
        <v>3.6349400685999999E-3</v>
      </c>
      <c r="AD1283" s="90">
        <v>6.5487202912115903</v>
      </c>
      <c r="AF1283" s="90">
        <v>-1</v>
      </c>
      <c r="AG1283" s="90">
        <v>-1</v>
      </c>
      <c r="AH1283" s="90">
        <v>-1</v>
      </c>
      <c r="AI1283" s="90">
        <v>-1</v>
      </c>
      <c r="AJ1283" s="90">
        <v>0</v>
      </c>
      <c r="AM1283" s="90" t="s">
        <v>379</v>
      </c>
      <c r="AN1283" s="90">
        <v>-1</v>
      </c>
      <c r="AQ1283" s="90">
        <v>357</v>
      </c>
      <c r="AR1283" s="90" t="s">
        <v>405</v>
      </c>
      <c r="AS1283" s="90" t="s">
        <v>406</v>
      </c>
      <c r="AT1283" s="90" t="s">
        <v>244</v>
      </c>
      <c r="AU1283" s="90">
        <v>122.34610000000001</v>
      </c>
      <c r="AV1283" s="90">
        <v>12.175508852213801</v>
      </c>
      <c r="AW1283" s="90">
        <v>7.1798767871248197</v>
      </c>
      <c r="AX1283" s="90">
        <v>5.3112087000000002E-3</v>
      </c>
    </row>
    <row r="1284" spans="1:50" x14ac:dyDescent="0.25">
      <c r="A1284" s="102">
        <v>830000</v>
      </c>
      <c r="B1284" s="102">
        <v>2400000</v>
      </c>
      <c r="C1284" s="102">
        <v>2400000</v>
      </c>
      <c r="D1284" s="90" t="s">
        <v>374</v>
      </c>
      <c r="E1284" s="90" t="s">
        <v>68</v>
      </c>
      <c r="F1284" s="90" t="s">
        <v>375</v>
      </c>
      <c r="G1284" s="90" t="s">
        <v>376</v>
      </c>
      <c r="H1284" s="90">
        <v>0.59</v>
      </c>
      <c r="I1284" s="90">
        <v>0.64</v>
      </c>
      <c r="J1284" s="90" t="s">
        <v>244</v>
      </c>
      <c r="K1284" s="90">
        <v>3.5694831691909998E-2</v>
      </c>
      <c r="L1284" s="90">
        <v>3691.1121952001299</v>
      </c>
      <c r="M1284" s="90">
        <v>11.0680615203941</v>
      </c>
      <c r="N1284" s="90">
        <v>2.0487928968420901</v>
      </c>
      <c r="O1284" s="90">
        <v>0.39507259312627002</v>
      </c>
      <c r="P1284" s="90">
        <v>7.3131317624370001E-2</v>
      </c>
      <c r="Q1284" s="90">
        <v>131.753628563658</v>
      </c>
      <c r="R1284" s="90">
        <v>1300</v>
      </c>
      <c r="S1284" s="90" t="s">
        <v>387</v>
      </c>
      <c r="T1284" s="90">
        <v>1300</v>
      </c>
      <c r="U1284" s="90" t="s">
        <v>378</v>
      </c>
      <c r="V1284" s="90" t="s">
        <v>244</v>
      </c>
      <c r="Z1284" s="90">
        <v>0</v>
      </c>
      <c r="AA1284" s="90">
        <v>1</v>
      </c>
      <c r="AB1284" s="90">
        <v>0.39507259312627002</v>
      </c>
      <c r="AC1284" s="90">
        <v>7.3131317624370001E-2</v>
      </c>
      <c r="AD1284" s="90">
        <v>131.753628563658</v>
      </c>
      <c r="AF1284" s="90">
        <v>-1</v>
      </c>
      <c r="AG1284" s="90">
        <v>-1</v>
      </c>
      <c r="AH1284" s="90">
        <v>-1</v>
      </c>
      <c r="AI1284" s="90">
        <v>-1</v>
      </c>
      <c r="AJ1284" s="90">
        <v>0</v>
      </c>
      <c r="AM1284" s="90" t="s">
        <v>379</v>
      </c>
      <c r="AN1284" s="90">
        <v>-1</v>
      </c>
      <c r="AQ1284" s="90">
        <v>357</v>
      </c>
      <c r="AR1284" s="90" t="s">
        <v>405</v>
      </c>
      <c r="AS1284" s="90" t="s">
        <v>406</v>
      </c>
      <c r="AT1284" s="90" t="s">
        <v>244</v>
      </c>
      <c r="AU1284" s="90">
        <v>122.34610000000001</v>
      </c>
      <c r="AV1284" s="90">
        <v>62.970345627142699</v>
      </c>
      <c r="AW1284" s="90">
        <v>144.45185887892899</v>
      </c>
      <c r="AX1284" s="90">
        <v>0.1068561464</v>
      </c>
    </row>
    <row r="1285" spans="1:50" x14ac:dyDescent="0.25">
      <c r="A1285" s="102">
        <v>830000</v>
      </c>
      <c r="B1285" s="102">
        <v>2400000</v>
      </c>
      <c r="C1285" s="102">
        <v>2400000</v>
      </c>
      <c r="D1285" s="90" t="s">
        <v>374</v>
      </c>
      <c r="E1285" s="90" t="s">
        <v>68</v>
      </c>
      <c r="F1285" s="90" t="s">
        <v>375</v>
      </c>
      <c r="G1285" s="90" t="s">
        <v>376</v>
      </c>
      <c r="H1285" s="90">
        <v>0.59</v>
      </c>
      <c r="I1285" s="90">
        <v>0.64</v>
      </c>
      <c r="J1285" s="90" t="s">
        <v>244</v>
      </c>
      <c r="K1285" s="90">
        <v>0.26261202788193999</v>
      </c>
      <c r="L1285" s="90">
        <v>3691.1121952001299</v>
      </c>
      <c r="M1285" s="90">
        <v>11.0680615203941</v>
      </c>
      <c r="N1285" s="90">
        <v>2.0487928968420901</v>
      </c>
      <c r="O1285" s="90">
        <v>2.90660608059276</v>
      </c>
      <c r="P1285" s="90">
        <v>0.53803765734981002</v>
      </c>
      <c r="Q1285" s="90">
        <v>969.33045872126502</v>
      </c>
      <c r="R1285" s="90">
        <v>1300</v>
      </c>
      <c r="S1285" s="90" t="s">
        <v>387</v>
      </c>
      <c r="T1285" s="90">
        <v>1300</v>
      </c>
      <c r="U1285" s="90" t="s">
        <v>378</v>
      </c>
      <c r="V1285" s="90" t="s">
        <v>244</v>
      </c>
      <c r="Z1285" s="90">
        <v>0</v>
      </c>
      <c r="AA1285" s="90">
        <v>1</v>
      </c>
      <c r="AB1285" s="90">
        <v>2.90660608059276</v>
      </c>
      <c r="AC1285" s="90">
        <v>0.53803765734981002</v>
      </c>
      <c r="AD1285" s="90">
        <v>969.33045872126502</v>
      </c>
      <c r="AF1285" s="90">
        <v>-1</v>
      </c>
      <c r="AG1285" s="90">
        <v>-1</v>
      </c>
      <c r="AH1285" s="90">
        <v>-1</v>
      </c>
      <c r="AI1285" s="90">
        <v>-1</v>
      </c>
      <c r="AJ1285" s="90">
        <v>0</v>
      </c>
      <c r="AM1285" s="90" t="s">
        <v>379</v>
      </c>
      <c r="AN1285" s="90">
        <v>-1</v>
      </c>
      <c r="AQ1285" s="90">
        <v>357</v>
      </c>
      <c r="AR1285" s="90" t="s">
        <v>405</v>
      </c>
      <c r="AS1285" s="90" t="s">
        <v>406</v>
      </c>
      <c r="AT1285" s="90" t="s">
        <v>244</v>
      </c>
      <c r="AU1285" s="90">
        <v>122.34610000000001</v>
      </c>
      <c r="AV1285" s="90">
        <v>136.604262853547</v>
      </c>
      <c r="AW1285" s="90">
        <v>1062.75317163351</v>
      </c>
      <c r="AX1285" s="90">
        <v>0.78615608979999996</v>
      </c>
    </row>
    <row r="1286" spans="1:50" x14ac:dyDescent="0.25">
      <c r="A1286" s="102">
        <v>830000</v>
      </c>
      <c r="B1286" s="102">
        <v>2400000</v>
      </c>
      <c r="C1286" s="102">
        <v>2400000</v>
      </c>
      <c r="D1286" s="90" t="s">
        <v>374</v>
      </c>
      <c r="E1286" s="90" t="s">
        <v>68</v>
      </c>
      <c r="F1286" s="90" t="s">
        <v>375</v>
      </c>
      <c r="G1286" s="90" t="s">
        <v>376</v>
      </c>
      <c r="H1286" s="90">
        <v>0.59</v>
      </c>
      <c r="I1286" s="90">
        <v>0.64</v>
      </c>
      <c r="J1286" s="90" t="s">
        <v>244</v>
      </c>
      <c r="K1286" s="90">
        <v>9.2379242108690002E-2</v>
      </c>
      <c r="L1286" s="90">
        <v>3693.3901165391999</v>
      </c>
      <c r="M1286" s="90">
        <v>10.730568170938801</v>
      </c>
      <c r="N1286" s="90">
        <v>2.0287099410404599</v>
      </c>
      <c r="O1286" s="90">
        <v>0.99128175502697002</v>
      </c>
      <c r="P1286" s="90">
        <v>0.18741068681167999</v>
      </c>
      <c r="Q1286" s="90">
        <v>341.19257977762101</v>
      </c>
      <c r="R1286" s="90">
        <v>1300</v>
      </c>
      <c r="S1286" s="90" t="s">
        <v>387</v>
      </c>
      <c r="T1286" s="90">
        <v>1300</v>
      </c>
      <c r="U1286" s="90" t="s">
        <v>378</v>
      </c>
      <c r="V1286" s="90" t="s">
        <v>244</v>
      </c>
      <c r="Z1286" s="90">
        <v>0</v>
      </c>
      <c r="AA1286" s="90">
        <v>1</v>
      </c>
      <c r="AB1286" s="90">
        <v>0.99128175502697002</v>
      </c>
      <c r="AC1286" s="90">
        <v>0.18741068681167999</v>
      </c>
      <c r="AD1286" s="90">
        <v>356.04872336943203</v>
      </c>
      <c r="AF1286" s="90">
        <v>-1</v>
      </c>
      <c r="AG1286" s="90">
        <v>-1</v>
      </c>
      <c r="AH1286" s="90">
        <v>-1</v>
      </c>
      <c r="AI1286" s="90">
        <v>-1</v>
      </c>
      <c r="AJ1286" s="90">
        <v>0</v>
      </c>
      <c r="AM1286" s="90" t="s">
        <v>379</v>
      </c>
      <c r="AN1286" s="90">
        <v>-1</v>
      </c>
      <c r="AQ1286" s="90">
        <v>357</v>
      </c>
      <c r="AR1286" s="90" t="s">
        <v>405</v>
      </c>
      <c r="AS1286" s="90" t="s">
        <v>406</v>
      </c>
      <c r="AT1286" s="90" t="s">
        <v>244</v>
      </c>
      <c r="AU1286" s="90">
        <v>122.34610000000001</v>
      </c>
      <c r="AV1286" s="90">
        <v>111.8152883361</v>
      </c>
      <c r="AW1286" s="90">
        <v>373.84552922399899</v>
      </c>
      <c r="AX1286" s="90">
        <v>0.288766199</v>
      </c>
    </row>
    <row r="1287" spans="1:50" x14ac:dyDescent="0.25">
      <c r="A1287" s="102">
        <v>830000</v>
      </c>
      <c r="B1287" s="102">
        <v>2400000</v>
      </c>
      <c r="C1287" s="102">
        <v>2400000</v>
      </c>
      <c r="D1287" s="90" t="s">
        <v>374</v>
      </c>
      <c r="E1287" s="90" t="s">
        <v>68</v>
      </c>
      <c r="F1287" s="90" t="s">
        <v>375</v>
      </c>
      <c r="G1287" s="90" t="s">
        <v>376</v>
      </c>
      <c r="H1287" s="90">
        <v>0.59</v>
      </c>
      <c r="I1287" s="90">
        <v>0.64</v>
      </c>
      <c r="J1287" s="90" t="s">
        <v>244</v>
      </c>
      <c r="K1287" s="90">
        <v>9.0005980115860001E-2</v>
      </c>
      <c r="L1287" s="90">
        <v>3693.3901165391999</v>
      </c>
      <c r="M1287" s="90">
        <v>10.730568170938801</v>
      </c>
      <c r="N1287" s="90">
        <v>2.0287099410404599</v>
      </c>
      <c r="O1287" s="90">
        <v>0.96581530542546001</v>
      </c>
      <c r="P1287" s="90">
        <v>0.18259602661414001</v>
      </c>
      <c r="Q1287" s="90">
        <v>332.42719738936302</v>
      </c>
      <c r="R1287" s="90">
        <v>1890</v>
      </c>
      <c r="S1287" s="90" t="s">
        <v>408</v>
      </c>
      <c r="T1287" s="90">
        <v>1890</v>
      </c>
      <c r="U1287" s="90" t="s">
        <v>378</v>
      </c>
      <c r="V1287" s="90" t="s">
        <v>244</v>
      </c>
      <c r="Z1287" s="90">
        <v>0</v>
      </c>
      <c r="AA1287" s="90">
        <v>1</v>
      </c>
      <c r="AB1287" s="90">
        <v>0.96581530542546001</v>
      </c>
      <c r="AC1287" s="90">
        <v>0.18259602661414001</v>
      </c>
      <c r="AD1287" s="90">
        <v>350.846505784957</v>
      </c>
      <c r="AF1287" s="90">
        <v>-1</v>
      </c>
      <c r="AG1287" s="90">
        <v>-1</v>
      </c>
      <c r="AH1287" s="90">
        <v>-1</v>
      </c>
      <c r="AI1287" s="90">
        <v>-1</v>
      </c>
      <c r="AJ1287" s="90">
        <v>0</v>
      </c>
      <c r="AM1287" s="90" t="s">
        <v>379</v>
      </c>
      <c r="AN1287" s="90">
        <v>-1</v>
      </c>
      <c r="AQ1287" s="90">
        <v>357</v>
      </c>
      <c r="AR1287" s="90" t="s">
        <v>405</v>
      </c>
      <c r="AS1287" s="90" t="s">
        <v>406</v>
      </c>
      <c r="AT1287" s="90" t="s">
        <v>244</v>
      </c>
      <c r="AU1287" s="90">
        <v>122.34610000000001</v>
      </c>
      <c r="AV1287" s="90">
        <v>110.336177674346</v>
      </c>
      <c r="AW1287" s="90">
        <v>364.24127868629699</v>
      </c>
      <c r="AX1287" s="90">
        <v>0.2845470444</v>
      </c>
    </row>
    <row r="1288" spans="1:50" x14ac:dyDescent="0.25">
      <c r="A1288" s="102">
        <v>830000</v>
      </c>
      <c r="B1288" s="102">
        <v>2400000</v>
      </c>
      <c r="C1288" s="102">
        <v>2400000</v>
      </c>
      <c r="D1288" s="90" t="s">
        <v>374</v>
      </c>
      <c r="E1288" s="90" t="s">
        <v>68</v>
      </c>
      <c r="F1288" s="90" t="s">
        <v>375</v>
      </c>
      <c r="G1288" s="90" t="s">
        <v>376</v>
      </c>
      <c r="H1288" s="90">
        <v>0.59</v>
      </c>
      <c r="I1288" s="90">
        <v>0.64</v>
      </c>
      <c r="J1288" s="90" t="s">
        <v>244</v>
      </c>
      <c r="K1288" s="90">
        <v>2.0155419058230001E-2</v>
      </c>
      <c r="L1288" s="90">
        <v>3693.3901165391999</v>
      </c>
      <c r="M1288" s="90">
        <v>10.730568170938801</v>
      </c>
      <c r="N1288" s="90">
        <v>2.0287099410404599</v>
      </c>
      <c r="O1288" s="90">
        <v>0.21627909821826</v>
      </c>
      <c r="P1288" s="90">
        <v>4.0889499009280003E-2</v>
      </c>
      <c r="Q1288" s="90">
        <v>74.441825544401993</v>
      </c>
      <c r="R1288" s="90">
        <v>1210</v>
      </c>
      <c r="S1288" s="90" t="s">
        <v>385</v>
      </c>
      <c r="T1288" s="90">
        <v>1210</v>
      </c>
      <c r="U1288" s="90" t="s">
        <v>378</v>
      </c>
      <c r="V1288" s="90" t="s">
        <v>244</v>
      </c>
      <c r="Z1288" s="90">
        <v>0</v>
      </c>
      <c r="AA1288" s="90">
        <v>1</v>
      </c>
      <c r="AB1288" s="90">
        <v>0.21627909821826</v>
      </c>
      <c r="AC1288" s="90">
        <v>4.0889499009280003E-2</v>
      </c>
      <c r="AD1288" s="90">
        <v>90.621745180657697</v>
      </c>
      <c r="AF1288" s="90">
        <v>-1</v>
      </c>
      <c r="AG1288" s="90">
        <v>-1</v>
      </c>
      <c r="AH1288" s="90">
        <v>-1</v>
      </c>
      <c r="AI1288" s="90">
        <v>-1</v>
      </c>
      <c r="AJ1288" s="90">
        <v>0</v>
      </c>
      <c r="AM1288" s="90" t="s">
        <v>379</v>
      </c>
      <c r="AN1288" s="90">
        <v>-1</v>
      </c>
      <c r="AQ1288" s="90">
        <v>357</v>
      </c>
      <c r="AR1288" s="90" t="s">
        <v>405</v>
      </c>
      <c r="AS1288" s="90" t="s">
        <v>406</v>
      </c>
      <c r="AT1288" s="90" t="s">
        <v>244</v>
      </c>
      <c r="AU1288" s="90">
        <v>122.34610000000001</v>
      </c>
      <c r="AV1288" s="90">
        <v>68.8417146464176</v>
      </c>
      <c r="AW1288" s="90">
        <v>81.566087061995106</v>
      </c>
      <c r="AX1288" s="90">
        <v>7.3496954700000006E-2</v>
      </c>
    </row>
    <row r="1289" spans="1:50" x14ac:dyDescent="0.25">
      <c r="A1289" s="102">
        <v>830000</v>
      </c>
      <c r="B1289" s="102">
        <v>2400000</v>
      </c>
      <c r="C1289" s="102">
        <v>2400000</v>
      </c>
      <c r="D1289" s="90" t="s">
        <v>374</v>
      </c>
      <c r="E1289" s="90" t="s">
        <v>68</v>
      </c>
      <c r="F1289" s="90" t="s">
        <v>375</v>
      </c>
      <c r="G1289" s="90" t="s">
        <v>376</v>
      </c>
      <c r="H1289" s="90">
        <v>0.59</v>
      </c>
      <c r="I1289" s="90">
        <v>0.64</v>
      </c>
      <c r="J1289" s="90" t="s">
        <v>244</v>
      </c>
      <c r="K1289" s="90">
        <v>0.19848320428735999</v>
      </c>
      <c r="L1289" s="90">
        <v>3693.3901165391999</v>
      </c>
      <c r="M1289" s="90">
        <v>10.730568170938801</v>
      </c>
      <c r="N1289" s="90">
        <v>2.0287099410404599</v>
      </c>
      <c r="O1289" s="90">
        <v>2.1298375543919299</v>
      </c>
      <c r="P1289" s="90">
        <v>0.40266484966734001</v>
      </c>
      <c r="Q1289" s="90">
        <v>733.07590501398101</v>
      </c>
      <c r="R1289" s="90">
        <v>1300</v>
      </c>
      <c r="S1289" s="90" t="s">
        <v>387</v>
      </c>
      <c r="T1289" s="90">
        <v>1300</v>
      </c>
      <c r="U1289" s="90" t="s">
        <v>378</v>
      </c>
      <c r="V1289" s="90" t="s">
        <v>244</v>
      </c>
      <c r="Z1289" s="90">
        <v>0</v>
      </c>
      <c r="AA1289" s="90">
        <v>1</v>
      </c>
      <c r="AB1289" s="90">
        <v>2.1298375543919299</v>
      </c>
      <c r="AC1289" s="90">
        <v>0.40266484966734001</v>
      </c>
      <c r="AD1289" s="90">
        <v>733.07590501398101</v>
      </c>
      <c r="AF1289" s="90">
        <v>-1</v>
      </c>
      <c r="AG1289" s="90">
        <v>-1</v>
      </c>
      <c r="AH1289" s="90">
        <v>-1</v>
      </c>
      <c r="AI1289" s="90">
        <v>-1</v>
      </c>
      <c r="AJ1289" s="90">
        <v>0</v>
      </c>
      <c r="AM1289" s="90" t="s">
        <v>379</v>
      </c>
      <c r="AN1289" s="90">
        <v>-1</v>
      </c>
      <c r="AQ1289" s="90">
        <v>357</v>
      </c>
      <c r="AR1289" s="90" t="s">
        <v>405</v>
      </c>
      <c r="AS1289" s="90" t="s">
        <v>406</v>
      </c>
      <c r="AT1289" s="90" t="s">
        <v>244</v>
      </c>
      <c r="AU1289" s="90">
        <v>122.34610000000001</v>
      </c>
      <c r="AV1289" s="90">
        <v>113.927610397016</v>
      </c>
      <c r="AW1289" s="90">
        <v>803.23303000885005</v>
      </c>
      <c r="AX1289" s="90">
        <v>0.59454655720000005</v>
      </c>
    </row>
    <row r="1290" spans="1:50" x14ac:dyDescent="0.25">
      <c r="A1290" s="102">
        <v>830000</v>
      </c>
      <c r="B1290" s="102">
        <v>2400000</v>
      </c>
      <c r="C1290" s="102">
        <v>2400000</v>
      </c>
      <c r="D1290" s="90" t="s">
        <v>374</v>
      </c>
      <c r="E1290" s="90" t="s">
        <v>68</v>
      </c>
      <c r="F1290" s="90" t="s">
        <v>375</v>
      </c>
      <c r="G1290" s="90" t="s">
        <v>376</v>
      </c>
      <c r="H1290" s="90">
        <v>0.59</v>
      </c>
      <c r="I1290" s="90">
        <v>0.64</v>
      </c>
      <c r="J1290" s="90" t="s">
        <v>244</v>
      </c>
      <c r="K1290" s="90">
        <v>0.15187052012103</v>
      </c>
      <c r="L1290" s="90">
        <v>3693.3901165391999</v>
      </c>
      <c r="M1290" s="90">
        <v>10.730568170938801</v>
      </c>
      <c r="N1290" s="90">
        <v>2.0287099410404599</v>
      </c>
      <c r="O1290" s="90">
        <v>1.62965696931471</v>
      </c>
      <c r="P1290" s="90">
        <v>0.30810123392053002</v>
      </c>
      <c r="Q1290" s="90">
        <v>560.91707800870199</v>
      </c>
      <c r="R1290" s="90">
        <v>1300</v>
      </c>
      <c r="S1290" s="90" t="s">
        <v>387</v>
      </c>
      <c r="T1290" s="90">
        <v>1300</v>
      </c>
      <c r="U1290" s="90" t="s">
        <v>378</v>
      </c>
      <c r="V1290" s="90" t="s">
        <v>244</v>
      </c>
      <c r="Z1290" s="90">
        <v>0</v>
      </c>
      <c r="AA1290" s="90">
        <v>1</v>
      </c>
      <c r="AB1290" s="90">
        <v>1.62965696931471</v>
      </c>
      <c r="AC1290" s="90">
        <v>0.30810123392053002</v>
      </c>
      <c r="AD1290" s="90">
        <v>560.91707800870199</v>
      </c>
      <c r="AF1290" s="90">
        <v>-1</v>
      </c>
      <c r="AG1290" s="90">
        <v>-1</v>
      </c>
      <c r="AH1290" s="90">
        <v>-1</v>
      </c>
      <c r="AI1290" s="90">
        <v>-1</v>
      </c>
      <c r="AJ1290" s="90">
        <v>0</v>
      </c>
      <c r="AM1290" s="90" t="s">
        <v>379</v>
      </c>
      <c r="AN1290" s="90">
        <v>-1</v>
      </c>
      <c r="AQ1290" s="90">
        <v>357</v>
      </c>
      <c r="AR1290" s="90" t="s">
        <v>405</v>
      </c>
      <c r="AS1290" s="90" t="s">
        <v>406</v>
      </c>
      <c r="AT1290" s="90" t="s">
        <v>244</v>
      </c>
      <c r="AU1290" s="90">
        <v>122.34610000000001</v>
      </c>
      <c r="AV1290" s="90">
        <v>100.553368854559</v>
      </c>
      <c r="AW1290" s="90">
        <v>614.59818972504195</v>
      </c>
      <c r="AX1290" s="90">
        <v>0.45492058229999999</v>
      </c>
    </row>
    <row r="1291" spans="1:50" x14ac:dyDescent="0.25">
      <c r="A1291" s="102">
        <v>830000</v>
      </c>
      <c r="B1291" s="102">
        <v>2400000</v>
      </c>
      <c r="C1291" s="102">
        <v>2400000</v>
      </c>
      <c r="D1291" s="90" t="s">
        <v>374</v>
      </c>
      <c r="E1291" s="90" t="s">
        <v>68</v>
      </c>
      <c r="F1291" s="90" t="s">
        <v>375</v>
      </c>
      <c r="G1291" s="90" t="s">
        <v>376</v>
      </c>
      <c r="H1291" s="90">
        <v>0.59</v>
      </c>
      <c r="I1291" s="90">
        <v>0.64</v>
      </c>
      <c r="J1291" s="90" t="s">
        <v>244</v>
      </c>
      <c r="K1291" s="90">
        <v>0.16452761148207001</v>
      </c>
      <c r="L1291" s="90">
        <v>3753.1364846507099</v>
      </c>
      <c r="M1291" s="90">
        <v>11.535652761444901</v>
      </c>
      <c r="N1291" s="90">
        <v>1.5229562431325201</v>
      </c>
      <c r="O1291" s="90">
        <v>1.89793339572716</v>
      </c>
      <c r="P1291" s="90">
        <v>0.25056835307431002</v>
      </c>
      <c r="Q1291" s="90">
        <v>617.49458138581997</v>
      </c>
      <c r="R1291" s="90">
        <v>1400</v>
      </c>
      <c r="S1291" s="90" t="s">
        <v>324</v>
      </c>
      <c r="T1291" s="90">
        <v>1400</v>
      </c>
      <c r="U1291" s="90" t="s">
        <v>378</v>
      </c>
      <c r="V1291" s="90" t="s">
        <v>244</v>
      </c>
      <c r="Z1291" s="90">
        <v>0</v>
      </c>
      <c r="AA1291" s="90">
        <v>1</v>
      </c>
      <c r="AB1291" s="90">
        <v>1.89793339572716</v>
      </c>
      <c r="AC1291" s="90">
        <v>0.25056835307431002</v>
      </c>
      <c r="AD1291" s="90">
        <v>617.49458138581997</v>
      </c>
      <c r="AF1291" s="90">
        <v>-1</v>
      </c>
      <c r="AG1291" s="90">
        <v>-1</v>
      </c>
      <c r="AH1291" s="90">
        <v>-1</v>
      </c>
      <c r="AI1291" s="90">
        <v>-1</v>
      </c>
      <c r="AJ1291" s="90">
        <v>0</v>
      </c>
      <c r="AM1291" s="90" t="s">
        <v>379</v>
      </c>
      <c r="AN1291" s="90">
        <v>-1</v>
      </c>
      <c r="AQ1291" s="90">
        <v>357</v>
      </c>
      <c r="AR1291" s="90" t="s">
        <v>405</v>
      </c>
      <c r="AS1291" s="90" t="s">
        <v>406</v>
      </c>
      <c r="AT1291" s="90" t="s">
        <v>244</v>
      </c>
      <c r="AU1291" s="90">
        <v>122.34610000000001</v>
      </c>
      <c r="AV1291" s="90">
        <v>226.71241181885199</v>
      </c>
      <c r="AW1291" s="90">
        <v>665.819621188376</v>
      </c>
      <c r="AX1291" s="90">
        <v>0.50080663530000002</v>
      </c>
    </row>
    <row r="1292" spans="1:50" x14ac:dyDescent="0.25">
      <c r="A1292" s="102">
        <v>830000</v>
      </c>
      <c r="B1292" s="102">
        <v>2400000</v>
      </c>
      <c r="C1292" s="102">
        <v>2400000</v>
      </c>
      <c r="D1292" s="90" t="s">
        <v>374</v>
      </c>
      <c r="E1292" s="90" t="s">
        <v>68</v>
      </c>
      <c r="F1292" s="90" t="s">
        <v>375</v>
      </c>
      <c r="G1292" s="90" t="s">
        <v>376</v>
      </c>
      <c r="H1292" s="90">
        <v>0.59</v>
      </c>
      <c r="I1292" s="90">
        <v>0.64</v>
      </c>
      <c r="J1292" s="90" t="s">
        <v>244</v>
      </c>
      <c r="K1292" s="90">
        <v>0.45323584246199</v>
      </c>
      <c r="L1292" s="90">
        <v>3753.1364846507099</v>
      </c>
      <c r="M1292" s="90">
        <v>11.535652761444901</v>
      </c>
      <c r="N1292" s="90">
        <v>1.5229562431325201</v>
      </c>
      <c r="O1292" s="90">
        <v>5.22837129768258</v>
      </c>
      <c r="P1292" s="90">
        <v>0.69025835588892004</v>
      </c>
      <c r="Q1292" s="90">
        <v>1701.0559764955201</v>
      </c>
      <c r="R1292" s="90">
        <v>1410</v>
      </c>
      <c r="S1292" s="90" t="s">
        <v>325</v>
      </c>
      <c r="T1292" s="90">
        <v>1410</v>
      </c>
      <c r="U1292" s="90" t="s">
        <v>378</v>
      </c>
      <c r="V1292" s="90" t="s">
        <v>244</v>
      </c>
      <c r="Z1292" s="90">
        <v>0</v>
      </c>
      <c r="AA1292" s="90">
        <v>1</v>
      </c>
      <c r="AB1292" s="90">
        <v>5.22837129768258</v>
      </c>
      <c r="AC1292" s="90">
        <v>0.69025835588892004</v>
      </c>
      <c r="AD1292" s="90">
        <v>1701.0559764955201</v>
      </c>
      <c r="AF1292" s="90">
        <v>-1</v>
      </c>
      <c r="AG1292" s="90">
        <v>-1</v>
      </c>
      <c r="AH1292" s="90">
        <v>-1</v>
      </c>
      <c r="AI1292" s="90">
        <v>-1</v>
      </c>
      <c r="AJ1292" s="90">
        <v>0</v>
      </c>
      <c r="AM1292" s="90" t="s">
        <v>379</v>
      </c>
      <c r="AN1292" s="90">
        <v>-1</v>
      </c>
      <c r="AQ1292" s="90">
        <v>357</v>
      </c>
      <c r="AR1292" s="90" t="s">
        <v>405</v>
      </c>
      <c r="AS1292" s="90" t="s">
        <v>406</v>
      </c>
      <c r="AT1292" s="90" t="s">
        <v>244</v>
      </c>
      <c r="AU1292" s="90">
        <v>122.34610000000001</v>
      </c>
      <c r="AV1292" s="90">
        <v>173.44684213568701</v>
      </c>
      <c r="AW1292" s="90">
        <v>1834.1803799292099</v>
      </c>
      <c r="AX1292" s="90">
        <v>1.3796074424</v>
      </c>
    </row>
    <row r="1293" spans="1:50" x14ac:dyDescent="0.25">
      <c r="A1293" s="102">
        <v>830000</v>
      </c>
      <c r="B1293" s="102">
        <v>2400000</v>
      </c>
      <c r="C1293" s="102">
        <v>2400000</v>
      </c>
      <c r="D1293" s="90" t="s">
        <v>374</v>
      </c>
      <c r="E1293" s="90" t="s">
        <v>68</v>
      </c>
      <c r="F1293" s="90" t="s">
        <v>375</v>
      </c>
      <c r="G1293" s="90" t="s">
        <v>376</v>
      </c>
      <c r="H1293" s="90">
        <v>0.59</v>
      </c>
      <c r="I1293" s="90">
        <v>0.64</v>
      </c>
      <c r="J1293" s="90" t="s">
        <v>244</v>
      </c>
      <c r="K1293" s="90">
        <v>4.3689834153500001E-2</v>
      </c>
      <c r="L1293" s="90">
        <v>3668.63635252823</v>
      </c>
      <c r="M1293" s="90">
        <v>9.14931315647401</v>
      </c>
      <c r="N1293" s="90">
        <v>1.34577093054508</v>
      </c>
      <c r="O1293" s="90">
        <v>0.39973197442486003</v>
      </c>
      <c r="P1293" s="90">
        <v>5.8796508764120001E-2</v>
      </c>
      <c r="Q1293" s="90">
        <v>160.282113811492</v>
      </c>
      <c r="R1293" s="90">
        <v>1200</v>
      </c>
      <c r="S1293" s="90" t="s">
        <v>384</v>
      </c>
      <c r="T1293" s="90">
        <v>1200</v>
      </c>
      <c r="U1293" s="90" t="s">
        <v>378</v>
      </c>
      <c r="V1293" s="90" t="s">
        <v>244</v>
      </c>
      <c r="Z1293" s="90">
        <v>0</v>
      </c>
      <c r="AA1293" s="90">
        <v>1</v>
      </c>
      <c r="AB1293" s="90">
        <v>0.39973197442486003</v>
      </c>
      <c r="AC1293" s="90">
        <v>5.8796508764120001E-2</v>
      </c>
      <c r="AD1293" s="90">
        <v>160.28211381149299</v>
      </c>
      <c r="AF1293" s="90">
        <v>-1</v>
      </c>
      <c r="AG1293" s="90">
        <v>-1</v>
      </c>
      <c r="AH1293" s="90">
        <v>-1</v>
      </c>
      <c r="AI1293" s="90">
        <v>-1</v>
      </c>
      <c r="AJ1293" s="90">
        <v>0</v>
      </c>
      <c r="AM1293" s="90" t="s">
        <v>379</v>
      </c>
      <c r="AN1293" s="90">
        <v>-1</v>
      </c>
      <c r="AQ1293" s="90">
        <v>357</v>
      </c>
      <c r="AR1293" s="90" t="s">
        <v>405</v>
      </c>
      <c r="AS1293" s="90" t="s">
        <v>406</v>
      </c>
      <c r="AT1293" s="90" t="s">
        <v>244</v>
      </c>
      <c r="AU1293" s="90">
        <v>122.34610000000001</v>
      </c>
      <c r="AV1293" s="90">
        <v>107.41141277765099</v>
      </c>
      <c r="AW1293" s="90">
        <v>176.80648593772</v>
      </c>
      <c r="AX1293" s="90">
        <v>0.12999360409999999</v>
      </c>
    </row>
    <row r="1294" spans="1:50" x14ac:dyDescent="0.25">
      <c r="A1294" s="102">
        <v>830000</v>
      </c>
      <c r="B1294" s="102">
        <v>2400000</v>
      </c>
      <c r="C1294" s="102">
        <v>2400000</v>
      </c>
      <c r="D1294" s="90" t="s">
        <v>374</v>
      </c>
      <c r="E1294" s="90" t="s">
        <v>68</v>
      </c>
      <c r="F1294" s="90" t="s">
        <v>375</v>
      </c>
      <c r="G1294" s="90" t="s">
        <v>376</v>
      </c>
      <c r="H1294" s="90">
        <v>0.59</v>
      </c>
      <c r="I1294" s="90">
        <v>0.64</v>
      </c>
      <c r="J1294" s="90" t="s">
        <v>244</v>
      </c>
      <c r="K1294" s="90">
        <v>2.4402590129999999E-5</v>
      </c>
      <c r="L1294" s="90">
        <v>3668.63635252823</v>
      </c>
      <c r="M1294" s="90">
        <v>9.14931315647401</v>
      </c>
      <c r="N1294" s="90">
        <v>1.34577093054508</v>
      </c>
      <c r="O1294" s="90">
        <v>2.2326693895000001E-4</v>
      </c>
      <c r="P1294" s="90">
        <v>3.2840296430000003E-5</v>
      </c>
      <c r="Q1294" s="90">
        <v>8.9524229257769997E-2</v>
      </c>
      <c r="R1294" s="90">
        <v>1210</v>
      </c>
      <c r="S1294" s="90" t="s">
        <v>385</v>
      </c>
      <c r="T1294" s="90">
        <v>1210</v>
      </c>
      <c r="U1294" s="90" t="s">
        <v>378</v>
      </c>
      <c r="V1294" s="90" t="s">
        <v>244</v>
      </c>
      <c r="Z1294" s="90">
        <v>0</v>
      </c>
      <c r="AA1294" s="90">
        <v>1</v>
      </c>
      <c r="AB1294" s="90">
        <v>2.2326693895000001E-4</v>
      </c>
      <c r="AC1294" s="90">
        <v>3.2840296430000003E-5</v>
      </c>
      <c r="AD1294" s="90">
        <v>8.9524229257669993E-2</v>
      </c>
      <c r="AF1294" s="90">
        <v>-1</v>
      </c>
      <c r="AG1294" s="90">
        <v>-1</v>
      </c>
      <c r="AH1294" s="90">
        <v>-1</v>
      </c>
      <c r="AI1294" s="90">
        <v>-1</v>
      </c>
      <c r="AJ1294" s="90">
        <v>0</v>
      </c>
      <c r="AM1294" s="90" t="s">
        <v>379</v>
      </c>
      <c r="AN1294" s="90">
        <v>-1</v>
      </c>
      <c r="AQ1294" s="90">
        <v>357</v>
      </c>
      <c r="AR1294" s="90" t="s">
        <v>405</v>
      </c>
      <c r="AS1294" s="90" t="s">
        <v>406</v>
      </c>
      <c r="AT1294" s="90" t="s">
        <v>244</v>
      </c>
      <c r="AU1294" s="90">
        <v>122.34610000000001</v>
      </c>
      <c r="AV1294" s="90">
        <v>2.7734493787354699</v>
      </c>
      <c r="AW1294" s="90">
        <v>9.8753778602820003E-2</v>
      </c>
      <c r="AX1294" s="90">
        <v>7.2606800000000004E-5</v>
      </c>
    </row>
    <row r="1295" spans="1:50" x14ac:dyDescent="0.25">
      <c r="A1295" s="102">
        <v>830000</v>
      </c>
      <c r="B1295" s="102">
        <v>2400000</v>
      </c>
      <c r="C1295" s="102">
        <v>2400000</v>
      </c>
      <c r="D1295" s="90" t="s">
        <v>374</v>
      </c>
      <c r="E1295" s="90" t="s">
        <v>68</v>
      </c>
      <c r="F1295" s="90" t="s">
        <v>375</v>
      </c>
      <c r="G1295" s="90" t="s">
        <v>376</v>
      </c>
      <c r="H1295" s="90">
        <v>0.59</v>
      </c>
      <c r="I1295" s="90">
        <v>0.64</v>
      </c>
      <c r="J1295" s="90" t="s">
        <v>244</v>
      </c>
      <c r="K1295" s="90">
        <v>5.1537078663520003E-2</v>
      </c>
      <c r="L1295" s="90">
        <v>3668.63635252823</v>
      </c>
      <c r="M1295" s="90">
        <v>9.14931315647401</v>
      </c>
      <c r="N1295" s="90">
        <v>1.34577093054508</v>
      </c>
      <c r="O1295" s="90">
        <v>0.47152887186242998</v>
      </c>
      <c r="P1295" s="90">
        <v>6.9357102310579996E-2</v>
      </c>
      <c r="Q1295" s="90">
        <v>189.07080028811799</v>
      </c>
      <c r="R1295" s="90">
        <v>1210</v>
      </c>
      <c r="S1295" s="90" t="s">
        <v>385</v>
      </c>
      <c r="T1295" s="90">
        <v>1210</v>
      </c>
      <c r="U1295" s="90" t="s">
        <v>378</v>
      </c>
      <c r="V1295" s="90" t="s">
        <v>244</v>
      </c>
      <c r="Z1295" s="90">
        <v>0</v>
      </c>
      <c r="AA1295" s="90">
        <v>1</v>
      </c>
      <c r="AB1295" s="90">
        <v>0.47152887186242998</v>
      </c>
      <c r="AC1295" s="90">
        <v>6.9357102310579996E-2</v>
      </c>
      <c r="AD1295" s="90">
        <v>189.07080028812001</v>
      </c>
      <c r="AF1295" s="90">
        <v>-1</v>
      </c>
      <c r="AG1295" s="90">
        <v>-1</v>
      </c>
      <c r="AH1295" s="90">
        <v>-1</v>
      </c>
      <c r="AI1295" s="90">
        <v>-1</v>
      </c>
      <c r="AJ1295" s="90">
        <v>0</v>
      </c>
      <c r="AM1295" s="90" t="s">
        <v>379</v>
      </c>
      <c r="AN1295" s="90">
        <v>-1</v>
      </c>
      <c r="AQ1295" s="90">
        <v>357</v>
      </c>
      <c r="AR1295" s="90" t="s">
        <v>405</v>
      </c>
      <c r="AS1295" s="90" t="s">
        <v>406</v>
      </c>
      <c r="AT1295" s="90" t="s">
        <v>244</v>
      </c>
      <c r="AU1295" s="90">
        <v>122.34610000000001</v>
      </c>
      <c r="AV1295" s="90">
        <v>67.567091409326096</v>
      </c>
      <c r="AW1295" s="90">
        <v>208.56315778122601</v>
      </c>
      <c r="AX1295" s="90">
        <v>0.15334209269999999</v>
      </c>
    </row>
    <row r="1296" spans="1:50" x14ac:dyDescent="0.25">
      <c r="A1296" s="102">
        <v>830000</v>
      </c>
      <c r="B1296" s="102">
        <v>2400000</v>
      </c>
      <c r="C1296" s="102">
        <v>2400000</v>
      </c>
      <c r="D1296" s="90" t="s">
        <v>374</v>
      </c>
      <c r="E1296" s="90" t="s">
        <v>68</v>
      </c>
      <c r="F1296" s="90" t="s">
        <v>375</v>
      </c>
      <c r="G1296" s="90" t="s">
        <v>376</v>
      </c>
      <c r="H1296" s="90">
        <v>0.59</v>
      </c>
      <c r="I1296" s="90">
        <v>0.64</v>
      </c>
      <c r="J1296" s="90" t="s">
        <v>244</v>
      </c>
      <c r="K1296" s="90">
        <v>6.6609976103229995E-2</v>
      </c>
      <c r="L1296" s="90">
        <v>3668.63635252823</v>
      </c>
      <c r="M1296" s="90">
        <v>9.14931315647401</v>
      </c>
      <c r="N1296" s="90">
        <v>1.34577093054508</v>
      </c>
      <c r="O1296" s="90">
        <v>0.60943553071374001</v>
      </c>
      <c r="P1296" s="90">
        <v>8.9641769524029996E-2</v>
      </c>
      <c r="Q1296" s="90">
        <v>244.36777977336499</v>
      </c>
      <c r="R1296" s="90">
        <v>1210</v>
      </c>
      <c r="S1296" s="90" t="s">
        <v>385</v>
      </c>
      <c r="T1296" s="90">
        <v>1210</v>
      </c>
      <c r="U1296" s="90" t="s">
        <v>378</v>
      </c>
      <c r="V1296" s="90" t="s">
        <v>244</v>
      </c>
      <c r="Z1296" s="90">
        <v>0</v>
      </c>
      <c r="AA1296" s="90">
        <v>1</v>
      </c>
      <c r="AB1296" s="90">
        <v>0.60943553071374001</v>
      </c>
      <c r="AC1296" s="90">
        <v>8.9641769524029996E-2</v>
      </c>
      <c r="AD1296" s="90">
        <v>244.367779773363</v>
      </c>
      <c r="AF1296" s="90">
        <v>-1</v>
      </c>
      <c r="AG1296" s="90">
        <v>-1</v>
      </c>
      <c r="AH1296" s="90">
        <v>-1</v>
      </c>
      <c r="AI1296" s="90">
        <v>-1</v>
      </c>
      <c r="AJ1296" s="90">
        <v>0</v>
      </c>
      <c r="AM1296" s="90" t="s">
        <v>379</v>
      </c>
      <c r="AN1296" s="90">
        <v>-1</v>
      </c>
      <c r="AQ1296" s="90">
        <v>357</v>
      </c>
      <c r="AR1296" s="90" t="s">
        <v>405</v>
      </c>
      <c r="AS1296" s="90" t="s">
        <v>406</v>
      </c>
      <c r="AT1296" s="90" t="s">
        <v>244</v>
      </c>
      <c r="AU1296" s="90">
        <v>122.34610000000001</v>
      </c>
      <c r="AV1296" s="90">
        <v>71.032166537022405</v>
      </c>
      <c r="AW1296" s="90">
        <v>269.56100958928499</v>
      </c>
      <c r="AX1296" s="90">
        <v>0.1981896024</v>
      </c>
    </row>
    <row r="1297" spans="1:50" x14ac:dyDescent="0.25">
      <c r="A1297" s="102">
        <v>830000</v>
      </c>
      <c r="B1297" s="102">
        <v>2400000</v>
      </c>
      <c r="C1297" s="102">
        <v>2400000</v>
      </c>
      <c r="D1297" s="90" t="s">
        <v>374</v>
      </c>
      <c r="E1297" s="90" t="s">
        <v>68</v>
      </c>
      <c r="F1297" s="90" t="s">
        <v>375</v>
      </c>
      <c r="G1297" s="90" t="s">
        <v>376</v>
      </c>
      <c r="H1297" s="90">
        <v>0.59</v>
      </c>
      <c r="I1297" s="90">
        <v>0.64</v>
      </c>
      <c r="J1297" s="90" t="s">
        <v>244</v>
      </c>
      <c r="K1297" s="90">
        <v>0.20942591998662999</v>
      </c>
      <c r="L1297" s="90">
        <v>3668.63635252823</v>
      </c>
      <c r="M1297" s="90">
        <v>9.14931315647401</v>
      </c>
      <c r="N1297" s="90">
        <v>1.34577093054508</v>
      </c>
      <c r="O1297" s="90">
        <v>1.91610332504043</v>
      </c>
      <c r="P1297" s="90">
        <v>0.28183931522068001</v>
      </c>
      <c r="Q1297" s="90">
        <v>768.30754322465395</v>
      </c>
      <c r="R1297" s="90">
        <v>1210</v>
      </c>
      <c r="S1297" s="90" t="s">
        <v>385</v>
      </c>
      <c r="T1297" s="90">
        <v>1210</v>
      </c>
      <c r="U1297" s="90" t="s">
        <v>378</v>
      </c>
      <c r="V1297" s="90" t="s">
        <v>244</v>
      </c>
      <c r="Z1297" s="90">
        <v>0</v>
      </c>
      <c r="AA1297" s="90">
        <v>1</v>
      </c>
      <c r="AB1297" s="90">
        <v>1.91610332504043</v>
      </c>
      <c r="AC1297" s="90">
        <v>0.28183931522068001</v>
      </c>
      <c r="AD1297" s="90">
        <v>768.30754322465395</v>
      </c>
      <c r="AF1297" s="90">
        <v>-1</v>
      </c>
      <c r="AG1297" s="90">
        <v>-1</v>
      </c>
      <c r="AH1297" s="90">
        <v>-1</v>
      </c>
      <c r="AI1297" s="90">
        <v>-1</v>
      </c>
      <c r="AJ1297" s="90">
        <v>0</v>
      </c>
      <c r="AM1297" s="90" t="s">
        <v>379</v>
      </c>
      <c r="AN1297" s="90">
        <v>-1</v>
      </c>
      <c r="AQ1297" s="90">
        <v>357</v>
      </c>
      <c r="AR1297" s="90" t="s">
        <v>405</v>
      </c>
      <c r="AS1297" s="90" t="s">
        <v>406</v>
      </c>
      <c r="AT1297" s="90" t="s">
        <v>244</v>
      </c>
      <c r="AU1297" s="90">
        <v>122.34610000000001</v>
      </c>
      <c r="AV1297" s="90">
        <v>119.798435217697</v>
      </c>
      <c r="AW1297" s="90">
        <v>847.516629314959</v>
      </c>
      <c r="AX1297" s="90">
        <v>0.62312047299999995</v>
      </c>
    </row>
    <row r="1298" spans="1:50" x14ac:dyDescent="0.25">
      <c r="A1298" s="102">
        <v>830000</v>
      </c>
      <c r="B1298" s="102">
        <v>2400000</v>
      </c>
      <c r="C1298" s="102">
        <v>2400000</v>
      </c>
      <c r="D1298" s="90" t="s">
        <v>374</v>
      </c>
      <c r="E1298" s="90" t="s">
        <v>68</v>
      </c>
      <c r="F1298" s="90" t="s">
        <v>375</v>
      </c>
      <c r="G1298" s="90" t="s">
        <v>376</v>
      </c>
      <c r="H1298" s="90">
        <v>0.59</v>
      </c>
      <c r="I1298" s="90">
        <v>0.64</v>
      </c>
      <c r="J1298" s="90" t="s">
        <v>244</v>
      </c>
      <c r="K1298" s="90">
        <v>0.23355978354642001</v>
      </c>
      <c r="L1298" s="90">
        <v>3668.63635252823</v>
      </c>
      <c r="M1298" s="90">
        <v>9.14931315647401</v>
      </c>
      <c r="N1298" s="90">
        <v>1.34577093054508</v>
      </c>
      <c r="O1298" s="90">
        <v>2.1369116004245301</v>
      </c>
      <c r="P1298" s="90">
        <v>0.31431796724118</v>
      </c>
      <c r="Q1298" s="90">
        <v>856.84591240704106</v>
      </c>
      <c r="R1298" s="90">
        <v>1210</v>
      </c>
      <c r="S1298" s="90" t="s">
        <v>385</v>
      </c>
      <c r="T1298" s="90">
        <v>1210</v>
      </c>
      <c r="U1298" s="90" t="s">
        <v>378</v>
      </c>
      <c r="V1298" s="90" t="s">
        <v>244</v>
      </c>
      <c r="Z1298" s="90">
        <v>0</v>
      </c>
      <c r="AA1298" s="90">
        <v>1</v>
      </c>
      <c r="AB1298" s="90">
        <v>2.1369116004245301</v>
      </c>
      <c r="AC1298" s="90">
        <v>0.31431796724118</v>
      </c>
      <c r="AD1298" s="90">
        <v>856.84591240704106</v>
      </c>
      <c r="AF1298" s="90">
        <v>-1</v>
      </c>
      <c r="AG1298" s="90">
        <v>-1</v>
      </c>
      <c r="AH1298" s="90">
        <v>-1</v>
      </c>
      <c r="AI1298" s="90">
        <v>-1</v>
      </c>
      <c r="AJ1298" s="90">
        <v>0</v>
      </c>
      <c r="AM1298" s="90" t="s">
        <v>379</v>
      </c>
      <c r="AN1298" s="90">
        <v>-1</v>
      </c>
      <c r="AQ1298" s="90">
        <v>357</v>
      </c>
      <c r="AR1298" s="90" t="s">
        <v>405</v>
      </c>
      <c r="AS1298" s="90" t="s">
        <v>406</v>
      </c>
      <c r="AT1298" s="90" t="s">
        <v>244</v>
      </c>
      <c r="AU1298" s="90">
        <v>122.34610000000001</v>
      </c>
      <c r="AV1298" s="90">
        <v>124.299121919066</v>
      </c>
      <c r="AW1298" s="90">
        <v>945.182910059204</v>
      </c>
      <c r="AX1298" s="90">
        <v>0.69492774729999995</v>
      </c>
    </row>
    <row r="1299" spans="1:50" x14ac:dyDescent="0.25">
      <c r="A1299" s="102">
        <v>830000</v>
      </c>
      <c r="B1299" s="102">
        <v>2400000</v>
      </c>
      <c r="C1299" s="102">
        <v>2400000</v>
      </c>
      <c r="D1299" s="90" t="s">
        <v>374</v>
      </c>
      <c r="E1299" s="90" t="s">
        <v>68</v>
      </c>
      <c r="F1299" s="90" t="s">
        <v>375</v>
      </c>
      <c r="G1299" s="90" t="s">
        <v>376</v>
      </c>
      <c r="H1299" s="90">
        <v>0.59</v>
      </c>
      <c r="I1299" s="90">
        <v>0.64</v>
      </c>
      <c r="J1299" s="90" t="s">
        <v>244</v>
      </c>
      <c r="K1299" s="90">
        <v>1.2916458762520001E-2</v>
      </c>
      <c r="L1299" s="90">
        <v>3668.63635252823</v>
      </c>
      <c r="M1299" s="90">
        <v>9.14931315647401</v>
      </c>
      <c r="N1299" s="90">
        <v>1.34577093054508</v>
      </c>
      <c r="O1299" s="90">
        <v>0.11817672609103</v>
      </c>
      <c r="P1299" s="90">
        <v>1.7382594728189999E-2</v>
      </c>
      <c r="Q1299" s="90">
        <v>47.385790162134697</v>
      </c>
      <c r="R1299" s="90">
        <v>1210</v>
      </c>
      <c r="S1299" s="90" t="s">
        <v>385</v>
      </c>
      <c r="T1299" s="90">
        <v>1210</v>
      </c>
      <c r="U1299" s="90" t="s">
        <v>378</v>
      </c>
      <c r="V1299" s="90" t="s">
        <v>244</v>
      </c>
      <c r="Z1299" s="90">
        <v>0</v>
      </c>
      <c r="AA1299" s="90">
        <v>1</v>
      </c>
      <c r="AB1299" s="90">
        <v>0.11817672609103</v>
      </c>
      <c r="AC1299" s="90">
        <v>1.7382594728189999E-2</v>
      </c>
      <c r="AD1299" s="90">
        <v>47.385790162136203</v>
      </c>
      <c r="AF1299" s="90">
        <v>-1</v>
      </c>
      <c r="AG1299" s="90">
        <v>-1</v>
      </c>
      <c r="AH1299" s="90">
        <v>-1</v>
      </c>
      <c r="AI1299" s="90">
        <v>-1</v>
      </c>
      <c r="AJ1299" s="90">
        <v>0</v>
      </c>
      <c r="AM1299" s="90" t="s">
        <v>379</v>
      </c>
      <c r="AN1299" s="90">
        <v>-1</v>
      </c>
      <c r="AQ1299" s="90">
        <v>357</v>
      </c>
      <c r="AR1299" s="90" t="s">
        <v>405</v>
      </c>
      <c r="AS1299" s="90" t="s">
        <v>406</v>
      </c>
      <c r="AT1299" s="90" t="s">
        <v>244</v>
      </c>
      <c r="AU1299" s="90">
        <v>122.34610000000001</v>
      </c>
      <c r="AV1299" s="90">
        <v>63.808636630228698</v>
      </c>
      <c r="AW1299" s="90">
        <v>52.271054097794703</v>
      </c>
      <c r="AX1299" s="90">
        <v>3.84312978E-2</v>
      </c>
    </row>
    <row r="1300" spans="1:50" x14ac:dyDescent="0.25">
      <c r="A1300" s="102">
        <v>830000</v>
      </c>
      <c r="B1300" s="102">
        <v>2400000</v>
      </c>
      <c r="C1300" s="102">
        <v>2400000</v>
      </c>
      <c r="D1300" s="90" t="s">
        <v>374</v>
      </c>
      <c r="E1300" s="90" t="s">
        <v>68</v>
      </c>
      <c r="F1300" s="90" t="s">
        <v>375</v>
      </c>
      <c r="G1300" s="90" t="s">
        <v>376</v>
      </c>
      <c r="H1300" s="90">
        <v>0.59</v>
      </c>
      <c r="I1300" s="90">
        <v>0.64</v>
      </c>
      <c r="J1300" s="90" t="s">
        <v>244</v>
      </c>
      <c r="K1300" s="90">
        <v>0.16344585846407</v>
      </c>
      <c r="L1300" s="90">
        <v>3666.8022040303799</v>
      </c>
      <c r="M1300" s="90">
        <v>9.1449516373431603</v>
      </c>
      <c r="N1300" s="90">
        <v>1.3451366194457399</v>
      </c>
      <c r="O1300" s="90">
        <v>1.49470447097798</v>
      </c>
      <c r="P1300" s="90">
        <v>0.21985700951677001</v>
      </c>
      <c r="Q1300" s="90">
        <v>599.32363405570004</v>
      </c>
      <c r="R1300" s="90">
        <v>1200</v>
      </c>
      <c r="S1300" s="90" t="s">
        <v>384</v>
      </c>
      <c r="T1300" s="90">
        <v>1200</v>
      </c>
      <c r="U1300" s="90" t="s">
        <v>378</v>
      </c>
      <c r="V1300" s="90" t="s">
        <v>244</v>
      </c>
      <c r="Z1300" s="90">
        <v>0</v>
      </c>
      <c r="AA1300" s="90">
        <v>1</v>
      </c>
      <c r="AB1300" s="90">
        <v>1.49470447097798</v>
      </c>
      <c r="AC1300" s="90">
        <v>0.21985700951677001</v>
      </c>
      <c r="AD1300" s="90">
        <v>600.00788040147199</v>
      </c>
      <c r="AF1300" s="90">
        <v>-1</v>
      </c>
      <c r="AG1300" s="90">
        <v>-1</v>
      </c>
      <c r="AH1300" s="90">
        <v>-1</v>
      </c>
      <c r="AI1300" s="90">
        <v>-1</v>
      </c>
      <c r="AJ1300" s="90">
        <v>0</v>
      </c>
      <c r="AM1300" s="90" t="s">
        <v>379</v>
      </c>
      <c r="AN1300" s="90">
        <v>-1</v>
      </c>
      <c r="AQ1300" s="90">
        <v>357</v>
      </c>
      <c r="AR1300" s="90" t="s">
        <v>405</v>
      </c>
      <c r="AS1300" s="90" t="s">
        <v>406</v>
      </c>
      <c r="AT1300" s="90" t="s">
        <v>244</v>
      </c>
      <c r="AU1300" s="90">
        <v>122.34610000000001</v>
      </c>
      <c r="AV1300" s="90">
        <v>125.76695033161199</v>
      </c>
      <c r="AW1300" s="90">
        <v>661.44192204001399</v>
      </c>
      <c r="AX1300" s="90">
        <v>0.48662439610000002</v>
      </c>
    </row>
    <row r="1301" spans="1:50" x14ac:dyDescent="0.25">
      <c r="A1301" s="102">
        <v>830000</v>
      </c>
      <c r="B1301" s="102">
        <v>2400000</v>
      </c>
      <c r="C1301" s="102">
        <v>2400000</v>
      </c>
      <c r="D1301" s="90" t="s">
        <v>374</v>
      </c>
      <c r="E1301" s="90" t="s">
        <v>68</v>
      </c>
      <c r="F1301" s="90" t="s">
        <v>375</v>
      </c>
      <c r="G1301" s="90" t="s">
        <v>376</v>
      </c>
      <c r="H1301" s="90">
        <v>0.59</v>
      </c>
      <c r="I1301" s="90">
        <v>0.64</v>
      </c>
      <c r="J1301" s="90" t="s">
        <v>244</v>
      </c>
      <c r="K1301" s="90">
        <v>7.7126254885000005E-4</v>
      </c>
      <c r="L1301" s="90">
        <v>3666.8022040303799</v>
      </c>
      <c r="M1301" s="90">
        <v>9.1449516373431603</v>
      </c>
      <c r="N1301" s="90">
        <v>1.3451366194457399</v>
      </c>
      <c r="O1301" s="90">
        <v>7.0531587089899999E-3</v>
      </c>
      <c r="P1301" s="90">
        <v>1.0374534976700001E-3</v>
      </c>
      <c r="Q1301" s="90">
        <v>2.8280672140349301</v>
      </c>
      <c r="R1301" s="90">
        <v>1210</v>
      </c>
      <c r="S1301" s="90" t="s">
        <v>385</v>
      </c>
      <c r="T1301" s="90">
        <v>1210</v>
      </c>
      <c r="U1301" s="90" t="s">
        <v>378</v>
      </c>
      <c r="V1301" s="90" t="s">
        <v>244</v>
      </c>
      <c r="Z1301" s="90">
        <v>0</v>
      </c>
      <c r="AA1301" s="90">
        <v>1</v>
      </c>
      <c r="AB1301" s="90">
        <v>7.0531587089899999E-3</v>
      </c>
      <c r="AC1301" s="90">
        <v>1.0374534976700001E-3</v>
      </c>
      <c r="AD1301" s="90">
        <v>2.82806721403482</v>
      </c>
      <c r="AF1301" s="90">
        <v>-1</v>
      </c>
      <c r="AG1301" s="90">
        <v>-1</v>
      </c>
      <c r="AH1301" s="90">
        <v>-1</v>
      </c>
      <c r="AI1301" s="90">
        <v>-1</v>
      </c>
      <c r="AJ1301" s="90">
        <v>0</v>
      </c>
      <c r="AM1301" s="90" t="s">
        <v>379</v>
      </c>
      <c r="AN1301" s="90">
        <v>-1</v>
      </c>
      <c r="AQ1301" s="90">
        <v>357</v>
      </c>
      <c r="AR1301" s="90" t="s">
        <v>405</v>
      </c>
      <c r="AS1301" s="90" t="s">
        <v>406</v>
      </c>
      <c r="AT1301" s="90" t="s">
        <v>244</v>
      </c>
      <c r="AU1301" s="90">
        <v>122.34610000000001</v>
      </c>
      <c r="AV1301" s="90">
        <v>15.533626612668201</v>
      </c>
      <c r="AW1301" s="90">
        <v>3.12118879919842</v>
      </c>
      <c r="AX1301" s="90">
        <v>2.2936473999999999E-3</v>
      </c>
    </row>
    <row r="1302" spans="1:50" x14ac:dyDescent="0.25">
      <c r="A1302" s="102">
        <v>830000</v>
      </c>
      <c r="B1302" s="102">
        <v>2400000</v>
      </c>
      <c r="C1302" s="102">
        <v>2400000</v>
      </c>
      <c r="D1302" s="90" t="s">
        <v>374</v>
      </c>
      <c r="E1302" s="90" t="s">
        <v>68</v>
      </c>
      <c r="F1302" s="90" t="s">
        <v>375</v>
      </c>
      <c r="G1302" s="90" t="s">
        <v>376</v>
      </c>
      <c r="H1302" s="90">
        <v>0.59</v>
      </c>
      <c r="I1302" s="90">
        <v>0.64</v>
      </c>
      <c r="J1302" s="90" t="s">
        <v>244</v>
      </c>
      <c r="K1302" s="90">
        <v>5.1076889980290002E-2</v>
      </c>
      <c r="L1302" s="90">
        <v>3666.8022040303799</v>
      </c>
      <c r="M1302" s="90">
        <v>9.1449516373431603</v>
      </c>
      <c r="N1302" s="90">
        <v>1.3451366194457399</v>
      </c>
      <c r="O1302" s="90">
        <v>0.4670956886557</v>
      </c>
      <c r="P1302" s="90">
        <v>6.8705395119890003E-2</v>
      </c>
      <c r="Q1302" s="90">
        <v>187.288852754766</v>
      </c>
      <c r="R1302" s="90">
        <v>1210</v>
      </c>
      <c r="S1302" s="90" t="s">
        <v>385</v>
      </c>
      <c r="T1302" s="90">
        <v>1210</v>
      </c>
      <c r="U1302" s="90" t="s">
        <v>378</v>
      </c>
      <c r="V1302" s="90" t="s">
        <v>244</v>
      </c>
      <c r="Z1302" s="90">
        <v>0</v>
      </c>
      <c r="AA1302" s="90">
        <v>1</v>
      </c>
      <c r="AB1302" s="90">
        <v>0.4670956886557</v>
      </c>
      <c r="AC1302" s="90">
        <v>6.8705395119890003E-2</v>
      </c>
      <c r="AD1302" s="90">
        <v>187.288852754766</v>
      </c>
      <c r="AF1302" s="90">
        <v>-1</v>
      </c>
      <c r="AG1302" s="90">
        <v>-1</v>
      </c>
      <c r="AH1302" s="90">
        <v>-1</v>
      </c>
      <c r="AI1302" s="90">
        <v>-1</v>
      </c>
      <c r="AJ1302" s="90">
        <v>0</v>
      </c>
      <c r="AM1302" s="90" t="s">
        <v>379</v>
      </c>
      <c r="AN1302" s="90">
        <v>-1</v>
      </c>
      <c r="AQ1302" s="90">
        <v>357</v>
      </c>
      <c r="AR1302" s="90" t="s">
        <v>405</v>
      </c>
      <c r="AS1302" s="90" t="s">
        <v>406</v>
      </c>
      <c r="AT1302" s="90" t="s">
        <v>244</v>
      </c>
      <c r="AU1302" s="90">
        <v>122.34610000000001</v>
      </c>
      <c r="AV1302" s="90">
        <v>89.163559076739404</v>
      </c>
      <c r="AW1302" s="90">
        <v>206.700840252978</v>
      </c>
      <c r="AX1302" s="90">
        <v>0.1518968798</v>
      </c>
    </row>
    <row r="1303" spans="1:50" x14ac:dyDescent="0.25">
      <c r="A1303" s="102">
        <v>830000</v>
      </c>
      <c r="B1303" s="102">
        <v>2400000</v>
      </c>
      <c r="C1303" s="102">
        <v>2400000</v>
      </c>
      <c r="D1303" s="90" t="s">
        <v>374</v>
      </c>
      <c r="E1303" s="90" t="s">
        <v>68</v>
      </c>
      <c r="F1303" s="90" t="s">
        <v>375</v>
      </c>
      <c r="G1303" s="90" t="s">
        <v>376</v>
      </c>
      <c r="H1303" s="90">
        <v>0.59</v>
      </c>
      <c r="I1303" s="90">
        <v>0.64</v>
      </c>
      <c r="J1303" s="90" t="s">
        <v>244</v>
      </c>
      <c r="K1303" s="90">
        <v>0.2395223167295</v>
      </c>
      <c r="L1303" s="90">
        <v>3666.8022040303799</v>
      </c>
      <c r="M1303" s="90">
        <v>9.1449516373431603</v>
      </c>
      <c r="N1303" s="90">
        <v>1.3451366194457399</v>
      </c>
      <c r="O1303" s="90">
        <v>2.1904200025557099</v>
      </c>
      <c r="P1303" s="90">
        <v>0.32219023940733998</v>
      </c>
      <c r="Q1303" s="90">
        <v>878.28095889821202</v>
      </c>
      <c r="R1303" s="90">
        <v>1210</v>
      </c>
      <c r="S1303" s="90" t="s">
        <v>385</v>
      </c>
      <c r="T1303" s="90">
        <v>1210</v>
      </c>
      <c r="U1303" s="90" t="s">
        <v>378</v>
      </c>
      <c r="V1303" s="90" t="s">
        <v>244</v>
      </c>
      <c r="Z1303" s="90">
        <v>0</v>
      </c>
      <c r="AA1303" s="90">
        <v>1</v>
      </c>
      <c r="AB1303" s="90">
        <v>2.1904200025557099</v>
      </c>
      <c r="AC1303" s="90">
        <v>0.32219023940733998</v>
      </c>
      <c r="AD1303" s="90">
        <v>878.28095889821202</v>
      </c>
      <c r="AF1303" s="90">
        <v>-1</v>
      </c>
      <c r="AG1303" s="90">
        <v>-1</v>
      </c>
      <c r="AH1303" s="90">
        <v>-1</v>
      </c>
      <c r="AI1303" s="90">
        <v>-1</v>
      </c>
      <c r="AJ1303" s="90">
        <v>0</v>
      </c>
      <c r="AM1303" s="90" t="s">
        <v>379</v>
      </c>
      <c r="AN1303" s="90">
        <v>-1</v>
      </c>
      <c r="AQ1303" s="90">
        <v>357</v>
      </c>
      <c r="AR1303" s="90" t="s">
        <v>405</v>
      </c>
      <c r="AS1303" s="90" t="s">
        <v>406</v>
      </c>
      <c r="AT1303" s="90" t="s">
        <v>244</v>
      </c>
      <c r="AU1303" s="90">
        <v>122.34610000000001</v>
      </c>
      <c r="AV1303" s="90">
        <v>126.86093579501301</v>
      </c>
      <c r="AW1303" s="90">
        <v>969.31242576492298</v>
      </c>
      <c r="AX1303" s="90">
        <v>0.71231221320000004</v>
      </c>
    </row>
    <row r="1304" spans="1:50" x14ac:dyDescent="0.25">
      <c r="A1304" s="102">
        <v>830000</v>
      </c>
      <c r="B1304" s="102">
        <v>2400000</v>
      </c>
      <c r="C1304" s="102">
        <v>2400000</v>
      </c>
      <c r="D1304" s="90" t="s">
        <v>374</v>
      </c>
      <c r="E1304" s="90" t="s">
        <v>68</v>
      </c>
      <c r="F1304" s="90" t="s">
        <v>375</v>
      </c>
      <c r="G1304" s="90" t="s">
        <v>376</v>
      </c>
      <c r="H1304" s="90">
        <v>0.59</v>
      </c>
      <c r="I1304" s="90">
        <v>0.64</v>
      </c>
      <c r="J1304" s="90" t="s">
        <v>244</v>
      </c>
      <c r="K1304" s="90">
        <v>0.14804573018914999</v>
      </c>
      <c r="L1304" s="90">
        <v>3666.8022040303799</v>
      </c>
      <c r="M1304" s="90">
        <v>9.1449516373431603</v>
      </c>
      <c r="N1304" s="90">
        <v>1.3451366194457399</v>
      </c>
      <c r="O1304" s="90">
        <v>1.35387104269499</v>
      </c>
      <c r="P1304" s="90">
        <v>0.19914173303002</v>
      </c>
      <c r="Q1304" s="90">
        <v>542.85440975488802</v>
      </c>
      <c r="R1304" s="90">
        <v>1210</v>
      </c>
      <c r="S1304" s="90" t="s">
        <v>385</v>
      </c>
      <c r="T1304" s="90">
        <v>1210</v>
      </c>
      <c r="U1304" s="90" t="s">
        <v>378</v>
      </c>
      <c r="V1304" s="90" t="s">
        <v>244</v>
      </c>
      <c r="Z1304" s="90">
        <v>0</v>
      </c>
      <c r="AA1304" s="90">
        <v>1</v>
      </c>
      <c r="AB1304" s="90">
        <v>1.35387104269499</v>
      </c>
      <c r="AC1304" s="90">
        <v>0.19914173303002</v>
      </c>
      <c r="AD1304" s="90">
        <v>596.81063454798505</v>
      </c>
      <c r="AF1304" s="90">
        <v>-1</v>
      </c>
      <c r="AG1304" s="90">
        <v>-1</v>
      </c>
      <c r="AH1304" s="90">
        <v>-1</v>
      </c>
      <c r="AI1304" s="90">
        <v>-1</v>
      </c>
      <c r="AJ1304" s="90">
        <v>0</v>
      </c>
      <c r="AM1304" s="90" t="s">
        <v>379</v>
      </c>
      <c r="AN1304" s="90">
        <v>-1</v>
      </c>
      <c r="AQ1304" s="90">
        <v>357</v>
      </c>
      <c r="AR1304" s="90" t="s">
        <v>405</v>
      </c>
      <c r="AS1304" s="90" t="s">
        <v>406</v>
      </c>
      <c r="AT1304" s="90" t="s">
        <v>244</v>
      </c>
      <c r="AU1304" s="90">
        <v>122.34610000000001</v>
      </c>
      <c r="AV1304" s="90">
        <v>104.28396992057</v>
      </c>
      <c r="AW1304" s="90">
        <v>599.119814024888</v>
      </c>
      <c r="AX1304" s="90">
        <v>0.48403133380000002</v>
      </c>
    </row>
    <row r="1305" spans="1:50" x14ac:dyDescent="0.25">
      <c r="A1305" s="102">
        <v>830000</v>
      </c>
      <c r="B1305" s="102">
        <v>2400000</v>
      </c>
      <c r="C1305" s="102">
        <v>2400000</v>
      </c>
      <c r="D1305" s="90" t="s">
        <v>374</v>
      </c>
      <c r="E1305" s="90" t="s">
        <v>68</v>
      </c>
      <c r="F1305" s="90" t="s">
        <v>375</v>
      </c>
      <c r="G1305" s="90" t="s">
        <v>376</v>
      </c>
      <c r="H1305" s="90">
        <v>0.59</v>
      </c>
      <c r="I1305" s="90">
        <v>0.64</v>
      </c>
      <c r="J1305" s="90" t="s">
        <v>244</v>
      </c>
      <c r="K1305" s="90">
        <v>0.31145701617770999</v>
      </c>
      <c r="L1305" s="90">
        <v>3754.4677992902798</v>
      </c>
      <c r="M1305" s="90">
        <v>11.539611779402099</v>
      </c>
      <c r="N1305" s="90">
        <v>1.5234802352785599</v>
      </c>
      <c r="O1305" s="90">
        <v>3.5940930526617598</v>
      </c>
      <c r="P1305" s="90">
        <v>0.47449860828557999</v>
      </c>
      <c r="Q1305" s="90">
        <v>1169.35533810225</v>
      </c>
      <c r="R1305" s="90">
        <v>1400</v>
      </c>
      <c r="S1305" s="90" t="s">
        <v>324</v>
      </c>
      <c r="T1305" s="90">
        <v>1400</v>
      </c>
      <c r="U1305" s="90" t="s">
        <v>378</v>
      </c>
      <c r="V1305" s="90" t="s">
        <v>244</v>
      </c>
      <c r="Z1305" s="90">
        <v>0</v>
      </c>
      <c r="AA1305" s="90">
        <v>1</v>
      </c>
      <c r="AB1305" s="90">
        <v>3.5940930526617598</v>
      </c>
      <c r="AC1305" s="90">
        <v>0.47449860828557999</v>
      </c>
      <c r="AD1305" s="90">
        <v>1646.26034309996</v>
      </c>
      <c r="AF1305" s="90">
        <v>-1</v>
      </c>
      <c r="AG1305" s="90">
        <v>-1</v>
      </c>
      <c r="AH1305" s="90">
        <v>-1</v>
      </c>
      <c r="AI1305" s="90">
        <v>-1</v>
      </c>
      <c r="AJ1305" s="90">
        <v>0</v>
      </c>
      <c r="AM1305" s="90" t="s">
        <v>379</v>
      </c>
      <c r="AN1305" s="90">
        <v>-1</v>
      </c>
      <c r="AQ1305" s="90">
        <v>357</v>
      </c>
      <c r="AR1305" s="90" t="s">
        <v>405</v>
      </c>
      <c r="AS1305" s="90" t="s">
        <v>406</v>
      </c>
      <c r="AT1305" s="90" t="s">
        <v>244</v>
      </c>
      <c r="AU1305" s="90">
        <v>122.34610000000001</v>
      </c>
      <c r="AV1305" s="90">
        <v>142.23524520365399</v>
      </c>
      <c r="AW1305" s="90">
        <v>1260.4218262203101</v>
      </c>
      <c r="AX1305" s="90">
        <v>1.3351665394000001</v>
      </c>
    </row>
    <row r="1306" spans="1:50" x14ac:dyDescent="0.25">
      <c r="A1306" s="102">
        <v>830000</v>
      </c>
      <c r="B1306" s="102">
        <v>2400000</v>
      </c>
      <c r="C1306" s="102">
        <v>2400000</v>
      </c>
      <c r="D1306" s="90" t="s">
        <v>374</v>
      </c>
      <c r="E1306" s="90" t="s">
        <v>68</v>
      </c>
      <c r="F1306" s="90" t="s">
        <v>375</v>
      </c>
      <c r="G1306" s="90" t="s">
        <v>376</v>
      </c>
      <c r="H1306" s="90">
        <v>0.59</v>
      </c>
      <c r="I1306" s="90">
        <v>0.64</v>
      </c>
      <c r="J1306" s="90" t="s">
        <v>244</v>
      </c>
      <c r="K1306" s="90">
        <v>6.5147290087620005E-2</v>
      </c>
      <c r="L1306" s="90">
        <v>3754.4677992902798</v>
      </c>
      <c r="M1306" s="90">
        <v>11.539611779402099</v>
      </c>
      <c r="N1306" s="90">
        <v>1.5234802352785599</v>
      </c>
      <c r="O1306" s="90">
        <v>0.75177443609129002</v>
      </c>
      <c r="P1306" s="90">
        <v>9.9250608830450004E-2</v>
      </c>
      <c r="Q1306" s="90">
        <v>244.593402845014</v>
      </c>
      <c r="R1306" s="90">
        <v>1410</v>
      </c>
      <c r="S1306" s="90" t="s">
        <v>325</v>
      </c>
      <c r="T1306" s="90">
        <v>1410</v>
      </c>
      <c r="U1306" s="90" t="s">
        <v>378</v>
      </c>
      <c r="V1306" s="90" t="s">
        <v>244</v>
      </c>
      <c r="Z1306" s="90">
        <v>0</v>
      </c>
      <c r="AA1306" s="90">
        <v>1</v>
      </c>
      <c r="AB1306" s="90">
        <v>0.75177443609129002</v>
      </c>
      <c r="AC1306" s="90">
        <v>9.9250608830450004E-2</v>
      </c>
      <c r="AD1306" s="90">
        <v>398.827005272517</v>
      </c>
      <c r="AF1306" s="90">
        <v>-1</v>
      </c>
      <c r="AG1306" s="90">
        <v>-1</v>
      </c>
      <c r="AH1306" s="90">
        <v>-1</v>
      </c>
      <c r="AI1306" s="90">
        <v>-1</v>
      </c>
      <c r="AJ1306" s="90">
        <v>0</v>
      </c>
      <c r="AM1306" s="90" t="s">
        <v>379</v>
      </c>
      <c r="AN1306" s="90">
        <v>-1</v>
      </c>
      <c r="AQ1306" s="90">
        <v>357</v>
      </c>
      <c r="AR1306" s="90" t="s">
        <v>405</v>
      </c>
      <c r="AS1306" s="90" t="s">
        <v>406</v>
      </c>
      <c r="AT1306" s="90" t="s">
        <v>244</v>
      </c>
      <c r="AU1306" s="90">
        <v>122.34610000000001</v>
      </c>
      <c r="AV1306" s="90">
        <v>65.525996562091507</v>
      </c>
      <c r="AW1306" s="90">
        <v>263.64172929306301</v>
      </c>
      <c r="AX1306" s="90">
        <v>0.3234606693</v>
      </c>
    </row>
    <row r="1307" spans="1:50" x14ac:dyDescent="0.25">
      <c r="A1307" s="102">
        <v>830000</v>
      </c>
      <c r="B1307" s="102">
        <v>2400000</v>
      </c>
      <c r="C1307" s="102">
        <v>2400000</v>
      </c>
      <c r="D1307" s="90" t="s">
        <v>374</v>
      </c>
      <c r="E1307" s="90" t="s">
        <v>68</v>
      </c>
      <c r="F1307" s="90" t="s">
        <v>375</v>
      </c>
      <c r="G1307" s="90" t="s">
        <v>376</v>
      </c>
      <c r="H1307" s="90">
        <v>0.59</v>
      </c>
      <c r="I1307" s="90">
        <v>0.64</v>
      </c>
      <c r="J1307" s="90" t="s">
        <v>244</v>
      </c>
      <c r="K1307" s="90">
        <v>7.3055799294349993E-2</v>
      </c>
      <c r="L1307" s="90">
        <v>3754.4677992902798</v>
      </c>
      <c r="M1307" s="90">
        <v>11.539611779402099</v>
      </c>
      <c r="N1307" s="90">
        <v>1.5234802352785599</v>
      </c>
      <c r="O1307" s="90">
        <v>0.84303556209073005</v>
      </c>
      <c r="P1307" s="90">
        <v>0.11129906629741999</v>
      </c>
      <c r="Q1307" s="90">
        <v>274.28564600205402</v>
      </c>
      <c r="R1307" s="90">
        <v>1410</v>
      </c>
      <c r="S1307" s="90" t="s">
        <v>325</v>
      </c>
      <c r="T1307" s="90">
        <v>1410</v>
      </c>
      <c r="U1307" s="90" t="s">
        <v>378</v>
      </c>
      <c r="V1307" s="90" t="s">
        <v>244</v>
      </c>
      <c r="Z1307" s="90">
        <v>0</v>
      </c>
      <c r="AA1307" s="90">
        <v>1</v>
      </c>
      <c r="AB1307" s="90">
        <v>0.84303556209073005</v>
      </c>
      <c r="AC1307" s="90">
        <v>0.11129906629741999</v>
      </c>
      <c r="AD1307" s="90">
        <v>274.28564600205402</v>
      </c>
      <c r="AF1307" s="90">
        <v>-1</v>
      </c>
      <c r="AG1307" s="90">
        <v>-1</v>
      </c>
      <c r="AH1307" s="90">
        <v>-1</v>
      </c>
      <c r="AI1307" s="90">
        <v>-1</v>
      </c>
      <c r="AJ1307" s="90">
        <v>0</v>
      </c>
      <c r="AM1307" s="90" t="s">
        <v>379</v>
      </c>
      <c r="AN1307" s="90">
        <v>-1</v>
      </c>
      <c r="AQ1307" s="90">
        <v>357</v>
      </c>
      <c r="AR1307" s="90" t="s">
        <v>405</v>
      </c>
      <c r="AS1307" s="90" t="s">
        <v>406</v>
      </c>
      <c r="AT1307" s="90" t="s">
        <v>244</v>
      </c>
      <c r="AU1307" s="90">
        <v>122.34610000000001</v>
      </c>
      <c r="AV1307" s="90">
        <v>69.353003663922706</v>
      </c>
      <c r="AW1307" s="90">
        <v>295.64633056791001</v>
      </c>
      <c r="AX1307" s="90">
        <v>0.22245388969999999</v>
      </c>
    </row>
    <row r="1308" spans="1:50" x14ac:dyDescent="0.25">
      <c r="A1308" s="102">
        <v>830000</v>
      </c>
      <c r="B1308" s="102">
        <v>2400000</v>
      </c>
      <c r="C1308" s="102">
        <v>2400000</v>
      </c>
      <c r="D1308" s="90" t="s">
        <v>374</v>
      </c>
      <c r="E1308" s="90" t="s">
        <v>68</v>
      </c>
      <c r="F1308" s="90" t="s">
        <v>375</v>
      </c>
      <c r="G1308" s="90" t="s">
        <v>376</v>
      </c>
      <c r="H1308" s="90">
        <v>0.59</v>
      </c>
      <c r="I1308" s="90">
        <v>0.64</v>
      </c>
      <c r="J1308" s="90" t="s">
        <v>244</v>
      </c>
      <c r="K1308" s="90">
        <v>4.3762901791530001E-2</v>
      </c>
      <c r="L1308" s="90">
        <v>3738.1119240672901</v>
      </c>
      <c r="M1308" s="90">
        <v>11.4392770755124</v>
      </c>
      <c r="N1308" s="90">
        <v>1.55619039642575</v>
      </c>
      <c r="O1308" s="90">
        <v>0.50061595922178004</v>
      </c>
      <c r="P1308" s="90">
        <v>6.8103407487699996E-2</v>
      </c>
      <c r="Q1308" s="90">
        <v>163.590625018715</v>
      </c>
      <c r="R1308" s="90">
        <v>1300</v>
      </c>
      <c r="S1308" s="90" t="s">
        <v>387</v>
      </c>
      <c r="T1308" s="90">
        <v>1300</v>
      </c>
      <c r="U1308" s="90" t="s">
        <v>378</v>
      </c>
      <c r="V1308" s="90" t="s">
        <v>244</v>
      </c>
      <c r="Z1308" s="90">
        <v>0</v>
      </c>
      <c r="AA1308" s="90">
        <v>1</v>
      </c>
      <c r="AB1308" s="90">
        <v>0.50061595922178004</v>
      </c>
      <c r="AC1308" s="90">
        <v>6.8103407487699996E-2</v>
      </c>
      <c r="AD1308" s="90">
        <v>163.590625018716</v>
      </c>
      <c r="AF1308" s="90">
        <v>-1</v>
      </c>
      <c r="AG1308" s="90">
        <v>-1</v>
      </c>
      <c r="AH1308" s="90">
        <v>-1</v>
      </c>
      <c r="AI1308" s="90">
        <v>-1</v>
      </c>
      <c r="AJ1308" s="90">
        <v>0</v>
      </c>
      <c r="AM1308" s="90" t="s">
        <v>379</v>
      </c>
      <c r="AN1308" s="90">
        <v>-1</v>
      </c>
      <c r="AQ1308" s="90">
        <v>357</v>
      </c>
      <c r="AR1308" s="90" t="s">
        <v>405</v>
      </c>
      <c r="AS1308" s="90" t="s">
        <v>406</v>
      </c>
      <c r="AT1308" s="90" t="s">
        <v>244</v>
      </c>
      <c r="AU1308" s="90">
        <v>122.34610000000001</v>
      </c>
      <c r="AV1308" s="90">
        <v>106.83674091767</v>
      </c>
      <c r="AW1308" s="90">
        <v>177.10218017792599</v>
      </c>
      <c r="AX1308" s="90">
        <v>0.1326769059</v>
      </c>
    </row>
    <row r="1309" spans="1:50" x14ac:dyDescent="0.25">
      <c r="A1309" s="102">
        <v>830000</v>
      </c>
      <c r="B1309" s="102">
        <v>2400000</v>
      </c>
      <c r="C1309" s="102">
        <v>2400000</v>
      </c>
      <c r="D1309" s="90" t="s">
        <v>374</v>
      </c>
      <c r="E1309" s="90" t="s">
        <v>68</v>
      </c>
      <c r="F1309" s="90" t="s">
        <v>375</v>
      </c>
      <c r="G1309" s="90" t="s">
        <v>376</v>
      </c>
      <c r="H1309" s="90">
        <v>0.59</v>
      </c>
      <c r="I1309" s="90">
        <v>0.64</v>
      </c>
      <c r="J1309" s="90" t="s">
        <v>244</v>
      </c>
      <c r="K1309" s="90">
        <v>0.12295472755724</v>
      </c>
      <c r="L1309" s="90">
        <v>3738.1119240672901</v>
      </c>
      <c r="M1309" s="90">
        <v>11.4392770755124</v>
      </c>
      <c r="N1309" s="90">
        <v>1.55619039642575</v>
      </c>
      <c r="O1309" s="90">
        <v>1.4065131962714199</v>
      </c>
      <c r="P1309" s="90">
        <v>0.19134096621971999</v>
      </c>
      <c r="Q1309" s="90">
        <v>459.61853320216699</v>
      </c>
      <c r="R1309" s="90">
        <v>1400</v>
      </c>
      <c r="S1309" s="90" t="s">
        <v>324</v>
      </c>
      <c r="T1309" s="90">
        <v>1400</v>
      </c>
      <c r="U1309" s="90" t="s">
        <v>378</v>
      </c>
      <c r="V1309" s="90" t="s">
        <v>244</v>
      </c>
      <c r="Z1309" s="90">
        <v>0</v>
      </c>
      <c r="AA1309" s="90">
        <v>1</v>
      </c>
      <c r="AB1309" s="90">
        <v>1.4065131962714199</v>
      </c>
      <c r="AC1309" s="90">
        <v>0.19134096621971999</v>
      </c>
      <c r="AD1309" s="90">
        <v>459.61853320216699</v>
      </c>
      <c r="AF1309" s="90">
        <v>-1</v>
      </c>
      <c r="AG1309" s="90">
        <v>-1</v>
      </c>
      <c r="AH1309" s="90">
        <v>-1</v>
      </c>
      <c r="AI1309" s="90">
        <v>-1</v>
      </c>
      <c r="AJ1309" s="90">
        <v>0</v>
      </c>
      <c r="AM1309" s="90" t="s">
        <v>379</v>
      </c>
      <c r="AN1309" s="90">
        <v>-1</v>
      </c>
      <c r="AQ1309" s="90">
        <v>357</v>
      </c>
      <c r="AR1309" s="90" t="s">
        <v>405</v>
      </c>
      <c r="AS1309" s="90" t="s">
        <v>406</v>
      </c>
      <c r="AT1309" s="90" t="s">
        <v>244</v>
      </c>
      <c r="AU1309" s="90">
        <v>122.34610000000001</v>
      </c>
      <c r="AV1309" s="90">
        <v>120.128937571713</v>
      </c>
      <c r="AW1309" s="90">
        <v>497.58012887946302</v>
      </c>
      <c r="AX1309" s="90">
        <v>0.37276442269999999</v>
      </c>
    </row>
    <row r="1310" spans="1:50" x14ac:dyDescent="0.25">
      <c r="A1310" s="102">
        <v>830000</v>
      </c>
      <c r="B1310" s="102">
        <v>2400000</v>
      </c>
      <c r="C1310" s="102">
        <v>2400000</v>
      </c>
      <c r="D1310" s="90" t="s">
        <v>374</v>
      </c>
      <c r="E1310" s="90" t="s">
        <v>68</v>
      </c>
      <c r="F1310" s="90" t="s">
        <v>375</v>
      </c>
      <c r="G1310" s="90" t="s">
        <v>376</v>
      </c>
      <c r="H1310" s="90">
        <v>0.59</v>
      </c>
      <c r="I1310" s="90">
        <v>0.64</v>
      </c>
      <c r="J1310" s="90" t="s">
        <v>244</v>
      </c>
      <c r="K1310" s="90">
        <v>1.22744958E-5</v>
      </c>
      <c r="L1310" s="90">
        <v>3738.1119240672901</v>
      </c>
      <c r="M1310" s="90">
        <v>11.4392770755124</v>
      </c>
      <c r="N1310" s="90">
        <v>1.55619039642575</v>
      </c>
      <c r="O1310" s="90">
        <v>1.4041135848000001E-4</v>
      </c>
      <c r="P1310" s="90">
        <v>1.910145249E-5</v>
      </c>
      <c r="Q1310" s="90">
        <v>4.5883439134319998E-2</v>
      </c>
      <c r="R1310" s="90">
        <v>1300</v>
      </c>
      <c r="S1310" s="90" t="s">
        <v>387</v>
      </c>
      <c r="T1310" s="90">
        <v>1300</v>
      </c>
      <c r="U1310" s="90" t="s">
        <v>378</v>
      </c>
      <c r="V1310" s="90" t="s">
        <v>244</v>
      </c>
      <c r="Z1310" s="90">
        <v>0</v>
      </c>
      <c r="AA1310" s="90">
        <v>1</v>
      </c>
      <c r="AB1310" s="90">
        <v>1.4041135848000001E-4</v>
      </c>
      <c r="AC1310" s="90">
        <v>1.910145249E-5</v>
      </c>
      <c r="AD1310" s="90">
        <v>4.588343913377E-2</v>
      </c>
      <c r="AF1310" s="90">
        <v>-1</v>
      </c>
      <c r="AG1310" s="90">
        <v>-1</v>
      </c>
      <c r="AH1310" s="90">
        <v>-1</v>
      </c>
      <c r="AI1310" s="90">
        <v>-1</v>
      </c>
      <c r="AJ1310" s="90">
        <v>0</v>
      </c>
      <c r="AM1310" s="90" t="s">
        <v>379</v>
      </c>
      <c r="AN1310" s="90">
        <v>-1</v>
      </c>
      <c r="AQ1310" s="90">
        <v>357</v>
      </c>
      <c r="AR1310" s="90" t="s">
        <v>405</v>
      </c>
      <c r="AS1310" s="90" t="s">
        <v>406</v>
      </c>
      <c r="AT1310" s="90" t="s">
        <v>244</v>
      </c>
      <c r="AU1310" s="90">
        <v>122.34610000000001</v>
      </c>
      <c r="AV1310" s="90">
        <v>3.8789936448236602</v>
      </c>
      <c r="AW1310" s="90">
        <v>4.9673122183639999E-2</v>
      </c>
      <c r="AX1310" s="90">
        <v>3.7212799999999997E-5</v>
      </c>
    </row>
    <row r="1311" spans="1:50" x14ac:dyDescent="0.25">
      <c r="A1311" s="102">
        <v>830000</v>
      </c>
      <c r="B1311" s="102">
        <v>2400000</v>
      </c>
      <c r="C1311" s="102">
        <v>2400000</v>
      </c>
      <c r="D1311" s="90" t="s">
        <v>374</v>
      </c>
      <c r="E1311" s="90" t="s">
        <v>68</v>
      </c>
      <c r="F1311" s="90" t="s">
        <v>375</v>
      </c>
      <c r="G1311" s="90" t="s">
        <v>376</v>
      </c>
      <c r="H1311" s="90">
        <v>0.59</v>
      </c>
      <c r="I1311" s="90">
        <v>0.64</v>
      </c>
      <c r="J1311" s="90" t="s">
        <v>244</v>
      </c>
      <c r="K1311" s="90">
        <v>7.9014992466759998E-2</v>
      </c>
      <c r="L1311" s="90">
        <v>3738.1119240672901</v>
      </c>
      <c r="M1311" s="90">
        <v>11.4392770755124</v>
      </c>
      <c r="N1311" s="90">
        <v>1.55619039642575</v>
      </c>
      <c r="O1311" s="90">
        <v>0.90387439194679997</v>
      </c>
      <c r="P1311" s="90">
        <v>0.12296237245041999</v>
      </c>
      <c r="Q1311" s="90">
        <v>295.36688552008599</v>
      </c>
      <c r="R1311" s="90">
        <v>1410</v>
      </c>
      <c r="S1311" s="90" t="s">
        <v>325</v>
      </c>
      <c r="T1311" s="90">
        <v>1410</v>
      </c>
      <c r="U1311" s="90" t="s">
        <v>378</v>
      </c>
      <c r="V1311" s="90" t="s">
        <v>244</v>
      </c>
      <c r="Z1311" s="90">
        <v>0</v>
      </c>
      <c r="AA1311" s="90">
        <v>1</v>
      </c>
      <c r="AB1311" s="90">
        <v>0.90387439194679997</v>
      </c>
      <c r="AC1311" s="90">
        <v>0.12296237245041999</v>
      </c>
      <c r="AD1311" s="90">
        <v>295.36688552008701</v>
      </c>
      <c r="AF1311" s="90">
        <v>-1</v>
      </c>
      <c r="AG1311" s="90">
        <v>-1</v>
      </c>
      <c r="AH1311" s="90">
        <v>-1</v>
      </c>
      <c r="AI1311" s="90">
        <v>-1</v>
      </c>
      <c r="AJ1311" s="90">
        <v>0</v>
      </c>
      <c r="AM1311" s="90" t="s">
        <v>379</v>
      </c>
      <c r="AN1311" s="90">
        <v>-1</v>
      </c>
      <c r="AQ1311" s="90">
        <v>357</v>
      </c>
      <c r="AR1311" s="90" t="s">
        <v>405</v>
      </c>
      <c r="AS1311" s="90" t="s">
        <v>406</v>
      </c>
      <c r="AT1311" s="90" t="s">
        <v>244</v>
      </c>
      <c r="AU1311" s="90">
        <v>122.34610000000001</v>
      </c>
      <c r="AV1311" s="90">
        <v>91.294703047768394</v>
      </c>
      <c r="AW1311" s="90">
        <v>319.76232972999998</v>
      </c>
      <c r="AX1311" s="90">
        <v>0.23955140759999999</v>
      </c>
    </row>
    <row r="1312" spans="1:50" x14ac:dyDescent="0.25">
      <c r="A1312" s="102">
        <v>830000</v>
      </c>
      <c r="B1312" s="102">
        <v>2400000</v>
      </c>
      <c r="C1312" s="102">
        <v>2400000</v>
      </c>
      <c r="D1312" s="90" t="s">
        <v>374</v>
      </c>
      <c r="E1312" s="90" t="s">
        <v>68</v>
      </c>
      <c r="F1312" s="90" t="s">
        <v>375</v>
      </c>
      <c r="G1312" s="90" t="s">
        <v>376</v>
      </c>
      <c r="H1312" s="90">
        <v>0.59</v>
      </c>
      <c r="I1312" s="90">
        <v>0.64</v>
      </c>
      <c r="J1312" s="90" t="s">
        <v>244</v>
      </c>
      <c r="K1312" s="90">
        <v>0.37201855728753003</v>
      </c>
      <c r="L1312" s="90">
        <v>3738.1119240672901</v>
      </c>
      <c r="M1312" s="90">
        <v>11.4392770755124</v>
      </c>
      <c r="N1312" s="90">
        <v>1.55619039642575</v>
      </c>
      <c r="O1312" s="90">
        <v>4.2556233540444701</v>
      </c>
      <c r="P1312" s="90">
        <v>0.57893170614302003</v>
      </c>
      <c r="Q1312" s="90">
        <v>1390.64700497083</v>
      </c>
      <c r="R1312" s="90">
        <v>1450</v>
      </c>
      <c r="S1312" s="90" t="s">
        <v>391</v>
      </c>
      <c r="T1312" s="90">
        <v>1450</v>
      </c>
      <c r="U1312" s="90" t="s">
        <v>378</v>
      </c>
      <c r="V1312" s="90" t="s">
        <v>244</v>
      </c>
      <c r="Z1312" s="90">
        <v>0</v>
      </c>
      <c r="AA1312" s="90">
        <v>1</v>
      </c>
      <c r="AB1312" s="90">
        <v>4.2556233540444701</v>
      </c>
      <c r="AC1312" s="90">
        <v>0.57893170614302003</v>
      </c>
      <c r="AD1312" s="90">
        <v>1390.64700497083</v>
      </c>
      <c r="AF1312" s="90">
        <v>-1</v>
      </c>
      <c r="AG1312" s="90">
        <v>-1</v>
      </c>
      <c r="AH1312" s="90">
        <v>-1</v>
      </c>
      <c r="AI1312" s="90">
        <v>-1</v>
      </c>
      <c r="AJ1312" s="90">
        <v>0</v>
      </c>
      <c r="AM1312" s="90" t="s">
        <v>379</v>
      </c>
      <c r="AN1312" s="90">
        <v>-1</v>
      </c>
      <c r="AQ1312" s="90">
        <v>357</v>
      </c>
      <c r="AR1312" s="90" t="s">
        <v>405</v>
      </c>
      <c r="AS1312" s="90" t="s">
        <v>406</v>
      </c>
      <c r="AT1312" s="90" t="s">
        <v>244</v>
      </c>
      <c r="AU1312" s="90">
        <v>122.34610000000001</v>
      </c>
      <c r="AV1312" s="90">
        <v>155.53323783630901</v>
      </c>
      <c r="AW1312" s="90">
        <v>1505.5056878110199</v>
      </c>
      <c r="AX1312" s="90">
        <v>1.1278564517</v>
      </c>
    </row>
    <row r="1313" spans="1:50" x14ac:dyDescent="0.25">
      <c r="A1313" s="102">
        <v>830000</v>
      </c>
      <c r="B1313" s="102">
        <v>2400000</v>
      </c>
      <c r="C1313" s="102">
        <v>2400000</v>
      </c>
      <c r="D1313" s="90" t="s">
        <v>374</v>
      </c>
      <c r="E1313" s="90" t="s">
        <v>68</v>
      </c>
      <c r="F1313" s="90" t="s">
        <v>375</v>
      </c>
      <c r="G1313" s="90" t="s">
        <v>376</v>
      </c>
      <c r="H1313" s="90">
        <v>0.59</v>
      </c>
      <c r="I1313" s="90">
        <v>0.64</v>
      </c>
      <c r="J1313" s="90" t="s">
        <v>244</v>
      </c>
      <c r="K1313" s="90">
        <v>6.2191184320229999E-2</v>
      </c>
      <c r="L1313" s="90">
        <v>3709.8271751018401</v>
      </c>
      <c r="M1313" s="90">
        <v>10.5996015031127</v>
      </c>
      <c r="N1313" s="90">
        <v>2.0191215433123699</v>
      </c>
      <c r="O1313" s="90">
        <v>0.65920177080113995</v>
      </c>
      <c r="P1313" s="90">
        <v>0.12557156006510001</v>
      </c>
      <c r="Q1313" s="90">
        <v>230.718545642983</v>
      </c>
      <c r="R1313" s="90">
        <v>1300</v>
      </c>
      <c r="S1313" s="90" t="s">
        <v>387</v>
      </c>
      <c r="T1313" s="90">
        <v>1300</v>
      </c>
      <c r="U1313" s="90" t="s">
        <v>378</v>
      </c>
      <c r="V1313" s="90" t="s">
        <v>244</v>
      </c>
      <c r="Z1313" s="90">
        <v>0</v>
      </c>
      <c r="AA1313" s="90">
        <v>1</v>
      </c>
      <c r="AB1313" s="90">
        <v>0.65920177080113995</v>
      </c>
      <c r="AC1313" s="90">
        <v>0.12557156006510001</v>
      </c>
      <c r="AD1313" s="90">
        <v>230.71854564298201</v>
      </c>
      <c r="AF1313" s="90">
        <v>-1</v>
      </c>
      <c r="AG1313" s="90">
        <v>-1</v>
      </c>
      <c r="AH1313" s="90">
        <v>-1</v>
      </c>
      <c r="AI1313" s="90">
        <v>-1</v>
      </c>
      <c r="AJ1313" s="90">
        <v>0</v>
      </c>
      <c r="AM1313" s="90" t="s">
        <v>379</v>
      </c>
      <c r="AN1313" s="90">
        <v>-1</v>
      </c>
      <c r="AQ1313" s="90">
        <v>357</v>
      </c>
      <c r="AR1313" s="90" t="s">
        <v>405</v>
      </c>
      <c r="AS1313" s="90" t="s">
        <v>406</v>
      </c>
      <c r="AT1313" s="90" t="s">
        <v>244</v>
      </c>
      <c r="AU1313" s="90">
        <v>122.34610000000001</v>
      </c>
      <c r="AV1313" s="90">
        <v>110.366635969971</v>
      </c>
      <c r="AW1313" s="90">
        <v>251.678793683012</v>
      </c>
      <c r="AX1313" s="90">
        <v>0.18711966390000001</v>
      </c>
    </row>
    <row r="1314" spans="1:50" x14ac:dyDescent="0.25">
      <c r="A1314" s="102">
        <v>830000</v>
      </c>
      <c r="B1314" s="102">
        <v>2400000</v>
      </c>
      <c r="C1314" s="102">
        <v>2400000</v>
      </c>
      <c r="D1314" s="90" t="s">
        <v>374</v>
      </c>
      <c r="E1314" s="90" t="s">
        <v>68</v>
      </c>
      <c r="F1314" s="90" t="s">
        <v>375</v>
      </c>
      <c r="G1314" s="90" t="s">
        <v>376</v>
      </c>
      <c r="H1314" s="90">
        <v>0.59</v>
      </c>
      <c r="I1314" s="90">
        <v>0.64</v>
      </c>
      <c r="J1314" s="90" t="s">
        <v>244</v>
      </c>
      <c r="K1314" s="90">
        <v>4.5494858548989998E-2</v>
      </c>
      <c r="L1314" s="90">
        <v>3674.6848608200198</v>
      </c>
      <c r="M1314" s="90">
        <v>9.5415145435720703</v>
      </c>
      <c r="N1314" s="90">
        <v>1.5320190155556801</v>
      </c>
      <c r="O1314" s="90">
        <v>0.43408985450301002</v>
      </c>
      <c r="P1314" s="90">
        <v>6.9698988407079998E-2</v>
      </c>
      <c r="Q1314" s="90">
        <v>167.179267955151</v>
      </c>
      <c r="R1314" s="90">
        <v>1200</v>
      </c>
      <c r="S1314" s="90" t="s">
        <v>384</v>
      </c>
      <c r="T1314" s="90">
        <v>1200</v>
      </c>
      <c r="U1314" s="90" t="s">
        <v>378</v>
      </c>
      <c r="V1314" s="90" t="s">
        <v>244</v>
      </c>
      <c r="Z1314" s="90">
        <v>0</v>
      </c>
      <c r="AA1314" s="90">
        <v>1</v>
      </c>
      <c r="AB1314" s="90">
        <v>0.43408985450301002</v>
      </c>
      <c r="AC1314" s="90">
        <v>6.9698988407079998E-2</v>
      </c>
      <c r="AD1314" s="90">
        <v>295.56513146496798</v>
      </c>
      <c r="AF1314" s="90">
        <v>-1</v>
      </c>
      <c r="AG1314" s="90">
        <v>-1</v>
      </c>
      <c r="AH1314" s="90">
        <v>-1</v>
      </c>
      <c r="AI1314" s="90">
        <v>-1</v>
      </c>
      <c r="AJ1314" s="90">
        <v>0</v>
      </c>
      <c r="AM1314" s="90" t="s">
        <v>379</v>
      </c>
      <c r="AN1314" s="90">
        <v>-1</v>
      </c>
      <c r="AQ1314" s="90">
        <v>357</v>
      </c>
      <c r="AR1314" s="90" t="s">
        <v>405</v>
      </c>
      <c r="AS1314" s="90" t="s">
        <v>406</v>
      </c>
      <c r="AT1314" s="90" t="s">
        <v>244</v>
      </c>
      <c r="AU1314" s="90">
        <v>122.34610000000001</v>
      </c>
      <c r="AV1314" s="90">
        <v>78.422542663187897</v>
      </c>
      <c r="AW1314" s="90">
        <v>184.111160505192</v>
      </c>
      <c r="AX1314" s="90">
        <v>0.23971219099999999</v>
      </c>
    </row>
    <row r="1315" spans="1:50" x14ac:dyDescent="0.25">
      <c r="A1315" s="102">
        <v>830000</v>
      </c>
      <c r="B1315" s="102">
        <v>2400000</v>
      </c>
      <c r="C1315" s="102">
        <v>2400000</v>
      </c>
      <c r="D1315" s="90" t="s">
        <v>374</v>
      </c>
      <c r="E1315" s="90" t="s">
        <v>68</v>
      </c>
      <c r="F1315" s="90" t="s">
        <v>375</v>
      </c>
      <c r="G1315" s="90" t="s">
        <v>376</v>
      </c>
      <c r="H1315" s="90">
        <v>0.59</v>
      </c>
      <c r="I1315" s="90">
        <v>0.64</v>
      </c>
      <c r="J1315" s="90" t="s">
        <v>244</v>
      </c>
      <c r="K1315" s="90">
        <v>5.7868123150939997E-2</v>
      </c>
      <c r="L1315" s="90">
        <v>3674.6848608200198</v>
      </c>
      <c r="M1315" s="90">
        <v>9.5415145435720703</v>
      </c>
      <c r="N1315" s="90">
        <v>1.5320190155556801</v>
      </c>
      <c r="O1315" s="90">
        <v>0.55214953865395</v>
      </c>
      <c r="P1315" s="90">
        <v>8.8655065061760005E-2</v>
      </c>
      <c r="Q1315" s="90">
        <v>212.64711606684199</v>
      </c>
      <c r="R1315" s="90">
        <v>1300</v>
      </c>
      <c r="S1315" s="90" t="s">
        <v>387</v>
      </c>
      <c r="T1315" s="90">
        <v>1300</v>
      </c>
      <c r="U1315" s="90" t="s">
        <v>378</v>
      </c>
      <c r="V1315" s="90" t="s">
        <v>244</v>
      </c>
      <c r="Z1315" s="90">
        <v>0</v>
      </c>
      <c r="AA1315" s="90">
        <v>1</v>
      </c>
      <c r="AB1315" s="90">
        <v>0.55214953865395</v>
      </c>
      <c r="AC1315" s="90">
        <v>8.8655065061760005E-2</v>
      </c>
      <c r="AD1315" s="90">
        <v>402.53838398543002</v>
      </c>
      <c r="AF1315" s="90">
        <v>-1</v>
      </c>
      <c r="AG1315" s="90">
        <v>-1</v>
      </c>
      <c r="AH1315" s="90">
        <v>-1</v>
      </c>
      <c r="AI1315" s="90">
        <v>-1</v>
      </c>
      <c r="AJ1315" s="90">
        <v>0</v>
      </c>
      <c r="AM1315" s="90" t="s">
        <v>379</v>
      </c>
      <c r="AN1315" s="90">
        <v>-1</v>
      </c>
      <c r="AQ1315" s="90">
        <v>357</v>
      </c>
      <c r="AR1315" s="90" t="s">
        <v>405</v>
      </c>
      <c r="AS1315" s="90" t="s">
        <v>406</v>
      </c>
      <c r="AT1315" s="90" t="s">
        <v>244</v>
      </c>
      <c r="AU1315" s="90">
        <v>122.34610000000001</v>
      </c>
      <c r="AV1315" s="90">
        <v>70.975487293645998</v>
      </c>
      <c r="AW1315" s="90">
        <v>234.18398582563299</v>
      </c>
      <c r="AX1315" s="90">
        <v>0.32647070880000001</v>
      </c>
    </row>
    <row r="1316" spans="1:50" x14ac:dyDescent="0.25">
      <c r="A1316" s="102">
        <v>830000</v>
      </c>
      <c r="B1316" s="102">
        <v>2400000</v>
      </c>
      <c r="C1316" s="102">
        <v>2400000</v>
      </c>
      <c r="D1316" s="90" t="s">
        <v>374</v>
      </c>
      <c r="E1316" s="90" t="s">
        <v>68</v>
      </c>
      <c r="F1316" s="90" t="s">
        <v>375</v>
      </c>
      <c r="G1316" s="90" t="s">
        <v>376</v>
      </c>
      <c r="H1316" s="90">
        <v>0.59</v>
      </c>
      <c r="I1316" s="90">
        <v>0.64</v>
      </c>
      <c r="J1316" s="90" t="s">
        <v>244</v>
      </c>
      <c r="K1316" s="90">
        <v>5.3047573921370002E-2</v>
      </c>
      <c r="L1316" s="90">
        <v>3674.6848608200198</v>
      </c>
      <c r="M1316" s="90">
        <v>9.5415145435720703</v>
      </c>
      <c r="N1316" s="90">
        <v>1.5320190155556801</v>
      </c>
      <c r="O1316" s="90">
        <v>0.50615419807196005</v>
      </c>
      <c r="P1316" s="90">
        <v>8.1269891976629996E-2</v>
      </c>
      <c r="Q1316" s="90">
        <v>194.93311679208901</v>
      </c>
      <c r="R1316" s="90">
        <v>1330</v>
      </c>
      <c r="S1316" s="90" t="s">
        <v>397</v>
      </c>
      <c r="T1316" s="90">
        <v>1330</v>
      </c>
      <c r="U1316" s="90" t="s">
        <v>378</v>
      </c>
      <c r="V1316" s="90" t="s">
        <v>244</v>
      </c>
      <c r="Z1316" s="90">
        <v>0</v>
      </c>
      <c r="AA1316" s="90">
        <v>1</v>
      </c>
      <c r="AB1316" s="90">
        <v>0.50615419807196005</v>
      </c>
      <c r="AC1316" s="90">
        <v>8.1269891976629996E-2</v>
      </c>
      <c r="AD1316" s="90">
        <v>194.93311679208799</v>
      </c>
      <c r="AF1316" s="90">
        <v>-1</v>
      </c>
      <c r="AG1316" s="90">
        <v>-1</v>
      </c>
      <c r="AH1316" s="90">
        <v>-1</v>
      </c>
      <c r="AI1316" s="90">
        <v>-1</v>
      </c>
      <c r="AJ1316" s="90">
        <v>0</v>
      </c>
      <c r="AM1316" s="90" t="s">
        <v>379</v>
      </c>
      <c r="AN1316" s="90">
        <v>-1</v>
      </c>
      <c r="AQ1316" s="90">
        <v>357</v>
      </c>
      <c r="AR1316" s="90" t="s">
        <v>405</v>
      </c>
      <c r="AS1316" s="90" t="s">
        <v>406</v>
      </c>
      <c r="AT1316" s="90" t="s">
        <v>244</v>
      </c>
      <c r="AU1316" s="90">
        <v>122.34610000000001</v>
      </c>
      <c r="AV1316" s="90">
        <v>68.127620307745005</v>
      </c>
      <c r="AW1316" s="90">
        <v>214.67591521643399</v>
      </c>
      <c r="AX1316" s="90">
        <v>0.1580966073</v>
      </c>
    </row>
    <row r="1317" spans="1:50" x14ac:dyDescent="0.25">
      <c r="A1317" s="102">
        <v>830000</v>
      </c>
      <c r="B1317" s="102">
        <v>2400000</v>
      </c>
      <c r="C1317" s="102">
        <v>2400000</v>
      </c>
      <c r="D1317" s="90" t="s">
        <v>374</v>
      </c>
      <c r="E1317" s="90" t="s">
        <v>68</v>
      </c>
      <c r="F1317" s="90" t="s">
        <v>375</v>
      </c>
      <c r="G1317" s="90" t="s">
        <v>376</v>
      </c>
      <c r="H1317" s="90">
        <v>0.59</v>
      </c>
      <c r="I1317" s="90">
        <v>0.64</v>
      </c>
      <c r="J1317" s="90" t="s">
        <v>244</v>
      </c>
      <c r="K1317" s="90">
        <v>4.3718342301000003E-4</v>
      </c>
      <c r="L1317" s="90">
        <v>3674.6848608200198</v>
      </c>
      <c r="M1317" s="90">
        <v>9.5415145435720703</v>
      </c>
      <c r="N1317" s="90">
        <v>1.5320190155556801</v>
      </c>
      <c r="O1317" s="90">
        <v>4.1713919889000001E-3</v>
      </c>
      <c r="P1317" s="90">
        <v>6.6977331734000001E-4</v>
      </c>
      <c r="Q1317" s="90">
        <v>1.60651130595469</v>
      </c>
      <c r="R1317" s="90">
        <v>1210</v>
      </c>
      <c r="S1317" s="90" t="s">
        <v>385</v>
      </c>
      <c r="T1317" s="90">
        <v>1210</v>
      </c>
      <c r="U1317" s="90" t="s">
        <v>378</v>
      </c>
      <c r="V1317" s="90" t="s">
        <v>244</v>
      </c>
      <c r="Z1317" s="90">
        <v>0</v>
      </c>
      <c r="AA1317" s="90">
        <v>1</v>
      </c>
      <c r="AB1317" s="90">
        <v>4.1713919889000001E-3</v>
      </c>
      <c r="AC1317" s="90">
        <v>6.6977331734000001E-4</v>
      </c>
      <c r="AD1317" s="90">
        <v>117.949641096932</v>
      </c>
      <c r="AF1317" s="90">
        <v>-1</v>
      </c>
      <c r="AG1317" s="90">
        <v>-1</v>
      </c>
      <c r="AH1317" s="90">
        <v>-1</v>
      </c>
      <c r="AI1317" s="90">
        <v>-1</v>
      </c>
      <c r="AJ1317" s="90">
        <v>0</v>
      </c>
      <c r="AM1317" s="90" t="s">
        <v>379</v>
      </c>
      <c r="AN1317" s="90">
        <v>-1</v>
      </c>
      <c r="AQ1317" s="90">
        <v>357</v>
      </c>
      <c r="AR1317" s="90" t="s">
        <v>405</v>
      </c>
      <c r="AS1317" s="90" t="s">
        <v>406</v>
      </c>
      <c r="AT1317" s="90" t="s">
        <v>244</v>
      </c>
      <c r="AU1317" s="90">
        <v>122.34610000000001</v>
      </c>
      <c r="AV1317" s="90">
        <v>14.119660314409201</v>
      </c>
      <c r="AW1317" s="90">
        <v>1.7692185431966201</v>
      </c>
      <c r="AX1317" s="90">
        <v>9.5660698399999994E-2</v>
      </c>
    </row>
    <row r="1318" spans="1:50" x14ac:dyDescent="0.25">
      <c r="A1318" s="102">
        <v>830000</v>
      </c>
      <c r="B1318" s="102">
        <v>2400000</v>
      </c>
      <c r="C1318" s="102">
        <v>2400000</v>
      </c>
      <c r="D1318" s="90" t="s">
        <v>374</v>
      </c>
      <c r="E1318" s="90" t="s">
        <v>68</v>
      </c>
      <c r="F1318" s="90" t="s">
        <v>375</v>
      </c>
      <c r="G1318" s="90" t="s">
        <v>376</v>
      </c>
      <c r="H1318" s="90">
        <v>0.59</v>
      </c>
      <c r="I1318" s="90">
        <v>0.64</v>
      </c>
      <c r="J1318" s="90" t="s">
        <v>244</v>
      </c>
      <c r="K1318" s="90">
        <v>2.4307670288270002E-2</v>
      </c>
      <c r="L1318" s="90">
        <v>3674.6848608200198</v>
      </c>
      <c r="M1318" s="90">
        <v>9.5415145435720703</v>
      </c>
      <c r="N1318" s="90">
        <v>1.5320190155556801</v>
      </c>
      <c r="O1318" s="90">
        <v>0.23193198957594999</v>
      </c>
      <c r="P1318" s="90">
        <v>3.7239813105490002E-2</v>
      </c>
      <c r="Q1318" s="90">
        <v>89.323028010136099</v>
      </c>
      <c r="R1318" s="90">
        <v>1210</v>
      </c>
      <c r="S1318" s="90" t="s">
        <v>385</v>
      </c>
      <c r="T1318" s="90">
        <v>1210</v>
      </c>
      <c r="U1318" s="90" t="s">
        <v>378</v>
      </c>
      <c r="V1318" s="90" t="s">
        <v>244</v>
      </c>
      <c r="Z1318" s="90">
        <v>0</v>
      </c>
      <c r="AA1318" s="90">
        <v>1</v>
      </c>
      <c r="AB1318" s="90">
        <v>0.23193198957594999</v>
      </c>
      <c r="AC1318" s="90">
        <v>3.7239813105490002E-2</v>
      </c>
      <c r="AD1318" s="90">
        <v>89.323028010136795</v>
      </c>
      <c r="AF1318" s="90">
        <v>-1</v>
      </c>
      <c r="AG1318" s="90">
        <v>-1</v>
      </c>
      <c r="AH1318" s="90">
        <v>-1</v>
      </c>
      <c r="AI1318" s="90">
        <v>-1</v>
      </c>
      <c r="AJ1318" s="90">
        <v>0</v>
      </c>
      <c r="AM1318" s="90" t="s">
        <v>379</v>
      </c>
      <c r="AN1318" s="90">
        <v>-1</v>
      </c>
      <c r="AQ1318" s="90">
        <v>357</v>
      </c>
      <c r="AR1318" s="90" t="s">
        <v>405</v>
      </c>
      <c r="AS1318" s="90" t="s">
        <v>406</v>
      </c>
      <c r="AT1318" s="90" t="s">
        <v>244</v>
      </c>
      <c r="AU1318" s="90">
        <v>122.34610000000001</v>
      </c>
      <c r="AV1318" s="90">
        <v>57.886266950099298</v>
      </c>
      <c r="AW1318" s="90">
        <v>98.369651619696299</v>
      </c>
      <c r="AX1318" s="90">
        <v>7.2443656100000003E-2</v>
      </c>
    </row>
    <row r="1319" spans="1:50" x14ac:dyDescent="0.25">
      <c r="A1319" s="102">
        <v>830000</v>
      </c>
      <c r="B1319" s="102">
        <v>2400000</v>
      </c>
      <c r="C1319" s="102">
        <v>2400000</v>
      </c>
      <c r="D1319" s="90" t="s">
        <v>374</v>
      </c>
      <c r="E1319" s="90" t="s">
        <v>68</v>
      </c>
      <c r="F1319" s="90" t="s">
        <v>375</v>
      </c>
      <c r="G1319" s="90" t="s">
        <v>376</v>
      </c>
      <c r="H1319" s="90">
        <v>0.59</v>
      </c>
      <c r="I1319" s="90">
        <v>0.64</v>
      </c>
      <c r="J1319" s="90" t="s">
        <v>244</v>
      </c>
      <c r="K1319" s="90">
        <v>0.16531381489329</v>
      </c>
      <c r="L1319" s="90">
        <v>3674.6848608200198</v>
      </c>
      <c r="M1319" s="90">
        <v>9.5415145435720703</v>
      </c>
      <c r="N1319" s="90">
        <v>1.5320190155556801</v>
      </c>
      <c r="O1319" s="90">
        <v>1.5773441690577601</v>
      </c>
      <c r="P1319" s="90">
        <v>0.25326390795058001</v>
      </c>
      <c r="Q1319" s="90">
        <v>607.47617287279695</v>
      </c>
      <c r="R1319" s="90">
        <v>1210</v>
      </c>
      <c r="S1319" s="90" t="s">
        <v>385</v>
      </c>
      <c r="T1319" s="90">
        <v>1210</v>
      </c>
      <c r="U1319" s="90" t="s">
        <v>378</v>
      </c>
      <c r="V1319" s="90" t="s">
        <v>244</v>
      </c>
      <c r="Z1319" s="90">
        <v>0</v>
      </c>
      <c r="AA1319" s="90">
        <v>1</v>
      </c>
      <c r="AB1319" s="90">
        <v>1.5773441690577601</v>
      </c>
      <c r="AC1319" s="90">
        <v>0.25326390795058001</v>
      </c>
      <c r="AD1319" s="90">
        <v>627.667413486859</v>
      </c>
      <c r="AF1319" s="90">
        <v>-1</v>
      </c>
      <c r="AG1319" s="90">
        <v>-1</v>
      </c>
      <c r="AH1319" s="90">
        <v>-1</v>
      </c>
      <c r="AI1319" s="90">
        <v>-1</v>
      </c>
      <c r="AJ1319" s="90">
        <v>0</v>
      </c>
      <c r="AM1319" s="90" t="s">
        <v>379</v>
      </c>
      <c r="AN1319" s="90">
        <v>-1</v>
      </c>
      <c r="AQ1319" s="90">
        <v>357</v>
      </c>
      <c r="AR1319" s="90" t="s">
        <v>405</v>
      </c>
      <c r="AS1319" s="90" t="s">
        <v>406</v>
      </c>
      <c r="AT1319" s="90" t="s">
        <v>244</v>
      </c>
      <c r="AU1319" s="90">
        <v>122.34610000000001</v>
      </c>
      <c r="AV1319" s="90">
        <v>103.63868509237599</v>
      </c>
      <c r="AW1319" s="90">
        <v>669.00127351237995</v>
      </c>
      <c r="AX1319" s="90">
        <v>0.50905710749999999</v>
      </c>
    </row>
    <row r="1320" spans="1:50" x14ac:dyDescent="0.25">
      <c r="A1320" s="102">
        <v>830000</v>
      </c>
      <c r="B1320" s="102">
        <v>2400000</v>
      </c>
      <c r="C1320" s="102">
        <v>2400000</v>
      </c>
      <c r="D1320" s="90" t="s">
        <v>374</v>
      </c>
      <c r="E1320" s="90" t="s">
        <v>68</v>
      </c>
      <c r="F1320" s="90" t="s">
        <v>375</v>
      </c>
      <c r="G1320" s="90" t="s">
        <v>376</v>
      </c>
      <c r="H1320" s="90">
        <v>0.59</v>
      </c>
      <c r="I1320" s="90">
        <v>0.64</v>
      </c>
      <c r="J1320" s="90" t="s">
        <v>244</v>
      </c>
      <c r="K1320" s="90">
        <v>5.8806908959000001E-4</v>
      </c>
      <c r="L1320" s="90">
        <v>3674.6848608200198</v>
      </c>
      <c r="M1320" s="90">
        <v>9.5415145435720703</v>
      </c>
      <c r="N1320" s="90">
        <v>1.5320190155556801</v>
      </c>
      <c r="O1320" s="90">
        <v>5.6110697709700003E-3</v>
      </c>
      <c r="P1320" s="90">
        <v>9.0093302771000001E-4</v>
      </c>
      <c r="Q1320" s="90">
        <v>2.1609685806435999</v>
      </c>
      <c r="R1320" s="90">
        <v>1210</v>
      </c>
      <c r="S1320" s="90" t="s">
        <v>385</v>
      </c>
      <c r="T1320" s="90">
        <v>1210</v>
      </c>
      <c r="U1320" s="90" t="s">
        <v>378</v>
      </c>
      <c r="V1320" s="90" t="s">
        <v>244</v>
      </c>
      <c r="Z1320" s="90">
        <v>0</v>
      </c>
      <c r="AA1320" s="90">
        <v>1</v>
      </c>
      <c r="AB1320" s="90">
        <v>5.6110697709700003E-3</v>
      </c>
      <c r="AC1320" s="90">
        <v>9.0093302771000001E-4</v>
      </c>
      <c r="AD1320" s="90">
        <v>2.1609685806421601</v>
      </c>
      <c r="AF1320" s="90">
        <v>-1</v>
      </c>
      <c r="AG1320" s="90">
        <v>-1</v>
      </c>
      <c r="AH1320" s="90">
        <v>-1</v>
      </c>
      <c r="AI1320" s="90">
        <v>-1</v>
      </c>
      <c r="AJ1320" s="90">
        <v>0</v>
      </c>
      <c r="AM1320" s="90" t="s">
        <v>379</v>
      </c>
      <c r="AN1320" s="90">
        <v>-1</v>
      </c>
      <c r="AQ1320" s="90">
        <v>357</v>
      </c>
      <c r="AR1320" s="90" t="s">
        <v>405</v>
      </c>
      <c r="AS1320" s="90" t="s">
        <v>406</v>
      </c>
      <c r="AT1320" s="90" t="s">
        <v>244</v>
      </c>
      <c r="AU1320" s="90">
        <v>122.34610000000001</v>
      </c>
      <c r="AV1320" s="90">
        <v>13.6152552109971</v>
      </c>
      <c r="AW1320" s="90">
        <v>2.3798311720327598</v>
      </c>
      <c r="AX1320" s="90">
        <v>1.7526104000000001E-3</v>
      </c>
    </row>
    <row r="1321" spans="1:50" x14ac:dyDescent="0.25">
      <c r="A1321" s="102">
        <v>830000</v>
      </c>
      <c r="B1321" s="102">
        <v>2400000</v>
      </c>
      <c r="C1321" s="102">
        <v>2400000</v>
      </c>
      <c r="D1321" s="90" t="s">
        <v>374</v>
      </c>
      <c r="E1321" s="90" t="s">
        <v>68</v>
      </c>
      <c r="F1321" s="90" t="s">
        <v>375</v>
      </c>
      <c r="G1321" s="90" t="s">
        <v>376</v>
      </c>
      <c r="H1321" s="90">
        <v>0.59</v>
      </c>
      <c r="I1321" s="90">
        <v>0.64</v>
      </c>
      <c r="J1321" s="90" t="s">
        <v>244</v>
      </c>
      <c r="K1321" s="90">
        <v>8.4252068979529998E-2</v>
      </c>
      <c r="L1321" s="90">
        <v>3728.0713502154399</v>
      </c>
      <c r="M1321" s="90">
        <v>9.7127487521311302</v>
      </c>
      <c r="N1321" s="90">
        <v>1.75359000779138</v>
      </c>
      <c r="O1321" s="90">
        <v>0.81831917784538999</v>
      </c>
      <c r="P1321" s="90">
        <v>0.14774358629824999</v>
      </c>
      <c r="Q1321" s="90">
        <v>314.09772455896098</v>
      </c>
      <c r="R1321" s="90">
        <v>1300</v>
      </c>
      <c r="S1321" s="90" t="s">
        <v>387</v>
      </c>
      <c r="T1321" s="90">
        <v>1300</v>
      </c>
      <c r="U1321" s="90" t="s">
        <v>378</v>
      </c>
      <c r="V1321" s="90" t="s">
        <v>244</v>
      </c>
      <c r="Z1321" s="90">
        <v>0</v>
      </c>
      <c r="AA1321" s="90">
        <v>1</v>
      </c>
      <c r="AB1321" s="90">
        <v>0.81831917784538999</v>
      </c>
      <c r="AC1321" s="90">
        <v>0.14774358629824999</v>
      </c>
      <c r="AD1321" s="90">
        <v>314.09772455895899</v>
      </c>
      <c r="AF1321" s="90">
        <v>-1</v>
      </c>
      <c r="AG1321" s="90">
        <v>-1</v>
      </c>
      <c r="AH1321" s="90">
        <v>-1</v>
      </c>
      <c r="AI1321" s="90">
        <v>-1</v>
      </c>
      <c r="AJ1321" s="90">
        <v>0</v>
      </c>
      <c r="AM1321" s="90" t="s">
        <v>379</v>
      </c>
      <c r="AN1321" s="90">
        <v>-1</v>
      </c>
      <c r="AQ1321" s="90">
        <v>357</v>
      </c>
      <c r="AR1321" s="90" t="s">
        <v>405</v>
      </c>
      <c r="AS1321" s="90" t="s">
        <v>406</v>
      </c>
      <c r="AT1321" s="90" t="s">
        <v>244</v>
      </c>
      <c r="AU1321" s="90">
        <v>122.34610000000001</v>
      </c>
      <c r="AV1321" s="90">
        <v>115.568009066027</v>
      </c>
      <c r="AW1321" s="90">
        <v>340.95602645029601</v>
      </c>
      <c r="AX1321" s="90">
        <v>0.25474268010000001</v>
      </c>
    </row>
    <row r="1322" spans="1:50" x14ac:dyDescent="0.25">
      <c r="A1322" s="102">
        <v>830000</v>
      </c>
      <c r="B1322" s="102">
        <v>2400000</v>
      </c>
      <c r="C1322" s="102">
        <v>2400000</v>
      </c>
      <c r="D1322" s="90" t="s">
        <v>374</v>
      </c>
      <c r="E1322" s="90" t="s">
        <v>68</v>
      </c>
      <c r="F1322" s="90" t="s">
        <v>375</v>
      </c>
      <c r="G1322" s="90" t="s">
        <v>376</v>
      </c>
      <c r="H1322" s="90">
        <v>0.59</v>
      </c>
      <c r="I1322" s="90">
        <v>0.64</v>
      </c>
      <c r="J1322" s="90" t="s">
        <v>244</v>
      </c>
      <c r="K1322" s="90">
        <v>5.3893853341360001E-2</v>
      </c>
      <c r="L1322" s="90">
        <v>3728.0713502154399</v>
      </c>
      <c r="M1322" s="90">
        <v>9.7127487521311302</v>
      </c>
      <c r="N1322" s="90">
        <v>1.75359000779138</v>
      </c>
      <c r="O1322" s="90">
        <v>0.52345745678891997</v>
      </c>
      <c r="P1322" s="90">
        <v>9.4507722700789998E-2</v>
      </c>
      <c r="Q1322" s="90">
        <v>200.92013059467001</v>
      </c>
      <c r="R1322" s="90">
        <v>1300</v>
      </c>
      <c r="S1322" s="90" t="s">
        <v>387</v>
      </c>
      <c r="T1322" s="90">
        <v>1300</v>
      </c>
      <c r="U1322" s="90" t="s">
        <v>378</v>
      </c>
      <c r="V1322" s="90" t="s">
        <v>244</v>
      </c>
      <c r="Z1322" s="90">
        <v>0</v>
      </c>
      <c r="AA1322" s="90">
        <v>1</v>
      </c>
      <c r="AB1322" s="90">
        <v>0.52345745678891997</v>
      </c>
      <c r="AC1322" s="90">
        <v>9.4507722700789998E-2</v>
      </c>
      <c r="AD1322" s="90">
        <v>200.920130594668</v>
      </c>
      <c r="AF1322" s="90">
        <v>-1</v>
      </c>
      <c r="AG1322" s="90">
        <v>-1</v>
      </c>
      <c r="AH1322" s="90">
        <v>-1</v>
      </c>
      <c r="AI1322" s="90">
        <v>-1</v>
      </c>
      <c r="AJ1322" s="90">
        <v>0</v>
      </c>
      <c r="AM1322" s="90" t="s">
        <v>379</v>
      </c>
      <c r="AN1322" s="90">
        <v>-1</v>
      </c>
      <c r="AQ1322" s="90">
        <v>357</v>
      </c>
      <c r="AR1322" s="90" t="s">
        <v>405</v>
      </c>
      <c r="AS1322" s="90" t="s">
        <v>406</v>
      </c>
      <c r="AT1322" s="90" t="s">
        <v>244</v>
      </c>
      <c r="AU1322" s="90">
        <v>122.34610000000001</v>
      </c>
      <c r="AV1322" s="90">
        <v>107.106421695691</v>
      </c>
      <c r="AW1322" s="90">
        <v>218.1006865224</v>
      </c>
      <c r="AX1322" s="90">
        <v>0.1629522551</v>
      </c>
    </row>
    <row r="1323" spans="1:50" x14ac:dyDescent="0.25">
      <c r="A1323" s="102">
        <v>830000</v>
      </c>
      <c r="B1323" s="102">
        <v>2400000</v>
      </c>
      <c r="C1323" s="102">
        <v>2400000</v>
      </c>
      <c r="D1323" s="90" t="s">
        <v>374</v>
      </c>
      <c r="E1323" s="90" t="s">
        <v>68</v>
      </c>
      <c r="F1323" s="90" t="s">
        <v>375</v>
      </c>
      <c r="G1323" s="90" t="s">
        <v>376</v>
      </c>
      <c r="H1323" s="90">
        <v>0.59</v>
      </c>
      <c r="I1323" s="90">
        <v>0.64</v>
      </c>
      <c r="J1323" s="90" t="s">
        <v>409</v>
      </c>
      <c r="K1323" s="90">
        <v>0.22138834871193999</v>
      </c>
      <c r="L1323" s="90">
        <v>3690.5216183653702</v>
      </c>
      <c r="M1323" s="90">
        <v>10.298836202458199</v>
      </c>
      <c r="N1323" s="90">
        <v>1.8882205501441101</v>
      </c>
      <c r="O1323" s="90">
        <v>2.2800423405169901</v>
      </c>
      <c r="P1323" s="90">
        <v>0.41803002960036001</v>
      </c>
      <c r="Q1323" s="90">
        <v>817.03848697563399</v>
      </c>
      <c r="R1323" s="90">
        <v>1300</v>
      </c>
      <c r="S1323" s="90" t="s">
        <v>387</v>
      </c>
      <c r="T1323" s="90">
        <v>1300</v>
      </c>
      <c r="U1323" s="90" t="s">
        <v>409</v>
      </c>
      <c r="V1323" s="90" t="s">
        <v>409</v>
      </c>
      <c r="Z1323" s="90">
        <v>0</v>
      </c>
      <c r="AA1323" s="90">
        <v>1</v>
      </c>
      <c r="AB1323" s="90">
        <v>2.2800423405169901</v>
      </c>
      <c r="AC1323" s="90">
        <v>0.41803002960036001</v>
      </c>
      <c r="AD1323" s="90">
        <v>889.20376600015697</v>
      </c>
      <c r="AF1323" s="90">
        <v>-1</v>
      </c>
      <c r="AG1323" s="90">
        <v>-1</v>
      </c>
      <c r="AH1323" s="90">
        <v>-1</v>
      </c>
      <c r="AI1323" s="90">
        <v>-1</v>
      </c>
      <c r="AJ1323" s="90">
        <v>0</v>
      </c>
      <c r="AM1323" s="90" t="s">
        <v>379</v>
      </c>
      <c r="AN1323" s="90">
        <v>-1</v>
      </c>
      <c r="AQ1323" s="90">
        <v>357</v>
      </c>
      <c r="AR1323" s="90" t="s">
        <v>405</v>
      </c>
      <c r="AS1323" s="90" t="s">
        <v>406</v>
      </c>
      <c r="AT1323" s="90" t="s">
        <v>244</v>
      </c>
      <c r="AU1323" s="90">
        <v>122.34610000000001</v>
      </c>
      <c r="AV1323" s="90">
        <v>154.09582439204399</v>
      </c>
      <c r="AW1323" s="90">
        <v>895.92686082945295</v>
      </c>
      <c r="AX1323" s="90">
        <v>0.72117093759999995</v>
      </c>
    </row>
    <row r="1324" spans="1:50" x14ac:dyDescent="0.25">
      <c r="A1324" s="102">
        <v>830000</v>
      </c>
      <c r="B1324" s="102">
        <v>2400000</v>
      </c>
      <c r="C1324" s="102">
        <v>2400000</v>
      </c>
      <c r="D1324" s="90" t="s">
        <v>374</v>
      </c>
      <c r="E1324" s="90" t="s">
        <v>68</v>
      </c>
      <c r="F1324" s="90" t="s">
        <v>375</v>
      </c>
      <c r="G1324" s="90" t="s">
        <v>376</v>
      </c>
      <c r="H1324" s="90">
        <v>0.59</v>
      </c>
      <c r="I1324" s="90">
        <v>0.64</v>
      </c>
      <c r="J1324" s="90" t="s">
        <v>409</v>
      </c>
      <c r="K1324" s="90">
        <v>8.3397063939659996E-2</v>
      </c>
      <c r="L1324" s="90">
        <v>3690.5216183653702</v>
      </c>
      <c r="M1324" s="90">
        <v>10.298836202458199</v>
      </c>
      <c r="N1324" s="90">
        <v>1.8882205501441101</v>
      </c>
      <c r="O1324" s="90">
        <v>0.85889270128052997</v>
      </c>
      <c r="P1324" s="90">
        <v>0.15747204995254999</v>
      </c>
      <c r="Q1324" s="90">
        <v>307.77866737752902</v>
      </c>
      <c r="R1324" s="90">
        <v>1210</v>
      </c>
      <c r="S1324" s="90" t="s">
        <v>385</v>
      </c>
      <c r="T1324" s="90">
        <v>1210</v>
      </c>
      <c r="U1324" s="90" t="s">
        <v>409</v>
      </c>
      <c r="V1324" s="90" t="s">
        <v>409</v>
      </c>
      <c r="Z1324" s="90">
        <v>0</v>
      </c>
      <c r="AA1324" s="90">
        <v>1</v>
      </c>
      <c r="AB1324" s="90">
        <v>0.85889270128052997</v>
      </c>
      <c r="AC1324" s="90">
        <v>0.15747204995254999</v>
      </c>
      <c r="AD1324" s="90">
        <v>307.77866737752902</v>
      </c>
      <c r="AF1324" s="90">
        <v>-1</v>
      </c>
      <c r="AG1324" s="90">
        <v>-1</v>
      </c>
      <c r="AH1324" s="90">
        <v>-1</v>
      </c>
      <c r="AI1324" s="90">
        <v>-1</v>
      </c>
      <c r="AJ1324" s="90">
        <v>0</v>
      </c>
      <c r="AM1324" s="90" t="s">
        <v>379</v>
      </c>
      <c r="AN1324" s="90">
        <v>-1</v>
      </c>
      <c r="AQ1324" s="90">
        <v>357</v>
      </c>
      <c r="AR1324" s="90" t="s">
        <v>405</v>
      </c>
      <c r="AS1324" s="90" t="s">
        <v>406</v>
      </c>
      <c r="AT1324" s="90" t="s">
        <v>244</v>
      </c>
      <c r="AU1324" s="90">
        <v>122.34610000000001</v>
      </c>
      <c r="AV1324" s="90">
        <v>76.413924467903499</v>
      </c>
      <c r="AW1324" s="90">
        <v>337.49594381353199</v>
      </c>
      <c r="AX1324" s="90">
        <v>0.24961773509999999</v>
      </c>
    </row>
    <row r="1325" spans="1:50" x14ac:dyDescent="0.25">
      <c r="A1325" s="102">
        <v>830000</v>
      </c>
      <c r="B1325" s="102">
        <v>2400000</v>
      </c>
      <c r="C1325" s="102">
        <v>2400000</v>
      </c>
      <c r="D1325" s="90" t="s">
        <v>374</v>
      </c>
      <c r="E1325" s="90" t="s">
        <v>68</v>
      </c>
      <c r="F1325" s="90" t="s">
        <v>375</v>
      </c>
      <c r="G1325" s="90" t="s">
        <v>376</v>
      </c>
      <c r="H1325" s="90">
        <v>0.59</v>
      </c>
      <c r="I1325" s="90">
        <v>0.64</v>
      </c>
      <c r="J1325" s="90" t="s">
        <v>409</v>
      </c>
      <c r="K1325" s="90">
        <v>3.2064951718790001E-2</v>
      </c>
      <c r="L1325" s="90">
        <v>3690.5216183653702</v>
      </c>
      <c r="M1325" s="90">
        <v>10.298836202458199</v>
      </c>
      <c r="N1325" s="90">
        <v>1.8882205501441101</v>
      </c>
      <c r="O1325" s="90">
        <v>0.33023168559159</v>
      </c>
      <c r="P1325" s="90">
        <v>6.0545700774800003E-2</v>
      </c>
      <c r="Q1325" s="90">
        <v>118.336397510051</v>
      </c>
      <c r="R1325" s="90">
        <v>1330</v>
      </c>
      <c r="S1325" s="90" t="s">
        <v>397</v>
      </c>
      <c r="T1325" s="90">
        <v>1330</v>
      </c>
      <c r="U1325" s="90" t="s">
        <v>409</v>
      </c>
      <c r="V1325" s="90" t="s">
        <v>409</v>
      </c>
      <c r="Z1325" s="90">
        <v>0</v>
      </c>
      <c r="AA1325" s="90">
        <v>1</v>
      </c>
      <c r="AB1325" s="90">
        <v>0.33023168559159</v>
      </c>
      <c r="AC1325" s="90">
        <v>6.0545700774800003E-2</v>
      </c>
      <c r="AD1325" s="90">
        <v>118.336397510051</v>
      </c>
      <c r="AF1325" s="90">
        <v>-1</v>
      </c>
      <c r="AG1325" s="90">
        <v>-1</v>
      </c>
      <c r="AH1325" s="90">
        <v>-1</v>
      </c>
      <c r="AI1325" s="90">
        <v>-1</v>
      </c>
      <c r="AJ1325" s="90">
        <v>0</v>
      </c>
      <c r="AM1325" s="90" t="s">
        <v>379</v>
      </c>
      <c r="AN1325" s="90">
        <v>-1</v>
      </c>
      <c r="AQ1325" s="90">
        <v>357</v>
      </c>
      <c r="AR1325" s="90" t="s">
        <v>405</v>
      </c>
      <c r="AS1325" s="90" t="s">
        <v>406</v>
      </c>
      <c r="AT1325" s="90" t="s">
        <v>244</v>
      </c>
      <c r="AU1325" s="90">
        <v>122.34610000000001</v>
      </c>
      <c r="AV1325" s="90">
        <v>46.203666944999704</v>
      </c>
      <c r="AW1325" s="90">
        <v>129.76225579714699</v>
      </c>
      <c r="AX1325" s="90">
        <v>9.5974369399999995E-2</v>
      </c>
    </row>
    <row r="1326" spans="1:50" x14ac:dyDescent="0.25">
      <c r="A1326" s="102">
        <v>830000</v>
      </c>
      <c r="B1326" s="102">
        <v>2400000</v>
      </c>
      <c r="C1326" s="102">
        <v>2400000</v>
      </c>
      <c r="D1326" s="90" t="s">
        <v>374</v>
      </c>
      <c r="E1326" s="90" t="s">
        <v>68</v>
      </c>
      <c r="F1326" s="90" t="s">
        <v>375</v>
      </c>
      <c r="G1326" s="90" t="s">
        <v>376</v>
      </c>
      <c r="H1326" s="90">
        <v>0.59</v>
      </c>
      <c r="I1326" s="90">
        <v>0.64</v>
      </c>
      <c r="J1326" s="90" t="s">
        <v>409</v>
      </c>
      <c r="K1326" s="90">
        <v>2.6203839401999998E-4</v>
      </c>
      <c r="L1326" s="90">
        <v>3690.5216183653702</v>
      </c>
      <c r="M1326" s="90">
        <v>10.298836202458199</v>
      </c>
      <c r="N1326" s="90">
        <v>1.8882205501441101</v>
      </c>
      <c r="O1326" s="90">
        <v>2.6986904988000001E-3</v>
      </c>
      <c r="P1326" s="90">
        <v>4.9478628052000001E-4</v>
      </c>
      <c r="Q1326" s="90">
        <v>0.96705835798730999</v>
      </c>
      <c r="R1326" s="90">
        <v>1330</v>
      </c>
      <c r="S1326" s="90" t="s">
        <v>397</v>
      </c>
      <c r="T1326" s="90">
        <v>1330</v>
      </c>
      <c r="U1326" s="90" t="s">
        <v>409</v>
      </c>
      <c r="V1326" s="90" t="s">
        <v>409</v>
      </c>
      <c r="Z1326" s="90">
        <v>0</v>
      </c>
      <c r="AA1326" s="90">
        <v>1</v>
      </c>
      <c r="AB1326" s="90">
        <v>2.6986904988000001E-3</v>
      </c>
      <c r="AC1326" s="90">
        <v>4.9478628052000001E-4</v>
      </c>
      <c r="AD1326" s="90">
        <v>0.96705835798553996</v>
      </c>
      <c r="AF1326" s="90">
        <v>-1</v>
      </c>
      <c r="AG1326" s="90">
        <v>-1</v>
      </c>
      <c r="AH1326" s="90">
        <v>-1</v>
      </c>
      <c r="AI1326" s="90">
        <v>-1</v>
      </c>
      <c r="AJ1326" s="90">
        <v>0</v>
      </c>
      <c r="AM1326" s="90" t="s">
        <v>379</v>
      </c>
      <c r="AN1326" s="90">
        <v>-1</v>
      </c>
      <c r="AQ1326" s="90">
        <v>357</v>
      </c>
      <c r="AR1326" s="90" t="s">
        <v>405</v>
      </c>
      <c r="AS1326" s="90" t="s">
        <v>406</v>
      </c>
      <c r="AT1326" s="90" t="s">
        <v>244</v>
      </c>
      <c r="AU1326" s="90">
        <v>122.34610000000001</v>
      </c>
      <c r="AV1326" s="90">
        <v>19.1349806384384</v>
      </c>
      <c r="AW1326" s="90">
        <v>1.06043175776947</v>
      </c>
      <c r="AX1326" s="90">
        <v>7.8431330000000002E-4</v>
      </c>
    </row>
    <row r="1327" spans="1:50" x14ac:dyDescent="0.25">
      <c r="A1327" s="102">
        <v>830000</v>
      </c>
      <c r="B1327" s="102">
        <v>2400000</v>
      </c>
      <c r="C1327" s="102">
        <v>2400000</v>
      </c>
      <c r="D1327" s="90" t="s">
        <v>374</v>
      </c>
      <c r="E1327" s="90" t="s">
        <v>68</v>
      </c>
      <c r="F1327" s="90" t="s">
        <v>375</v>
      </c>
      <c r="G1327" s="90" t="s">
        <v>376</v>
      </c>
      <c r="H1327" s="90">
        <v>0.59</v>
      </c>
      <c r="I1327" s="90">
        <v>0.64</v>
      </c>
      <c r="J1327" s="90" t="s">
        <v>409</v>
      </c>
      <c r="K1327" s="90">
        <v>4.0146900939999997E-5</v>
      </c>
      <c r="L1327" s="90">
        <v>3690.5216183653702</v>
      </c>
      <c r="M1327" s="90">
        <v>10.298836202458199</v>
      </c>
      <c r="N1327" s="90">
        <v>1.8882205501441101</v>
      </c>
      <c r="O1327" s="90">
        <v>4.1346635687999997E-4</v>
      </c>
      <c r="P1327" s="90">
        <v>7.5806203390000004E-5</v>
      </c>
      <c r="Q1327" s="90">
        <v>0.14816300585527001</v>
      </c>
      <c r="R1327" s="90">
        <v>1330</v>
      </c>
      <c r="S1327" s="90" t="s">
        <v>397</v>
      </c>
      <c r="T1327" s="90">
        <v>1330</v>
      </c>
      <c r="U1327" s="90" t="s">
        <v>409</v>
      </c>
      <c r="V1327" s="90" t="s">
        <v>409</v>
      </c>
      <c r="Z1327" s="90">
        <v>0</v>
      </c>
      <c r="AA1327" s="90">
        <v>1</v>
      </c>
      <c r="AB1327" s="90">
        <v>4.1346635687999997E-4</v>
      </c>
      <c r="AC1327" s="90">
        <v>7.5806203390000004E-5</v>
      </c>
      <c r="AD1327" s="90">
        <v>0.14816300585504999</v>
      </c>
      <c r="AF1327" s="90">
        <v>-1</v>
      </c>
      <c r="AG1327" s="90">
        <v>-1</v>
      </c>
      <c r="AH1327" s="90">
        <v>-1</v>
      </c>
      <c r="AI1327" s="90">
        <v>-1</v>
      </c>
      <c r="AJ1327" s="90">
        <v>0</v>
      </c>
      <c r="AM1327" s="90" t="s">
        <v>379</v>
      </c>
      <c r="AN1327" s="90">
        <v>-1</v>
      </c>
      <c r="AQ1327" s="90">
        <v>357</v>
      </c>
      <c r="AR1327" s="90" t="s">
        <v>405</v>
      </c>
      <c r="AS1327" s="90" t="s">
        <v>406</v>
      </c>
      <c r="AT1327" s="90" t="s">
        <v>244</v>
      </c>
      <c r="AU1327" s="90">
        <v>122.34610000000001</v>
      </c>
      <c r="AV1327" s="90">
        <v>1.86235596395864</v>
      </c>
      <c r="AW1327" s="90">
        <v>0.16246874393658001</v>
      </c>
      <c r="AX1327" s="90">
        <v>1.201646E-4</v>
      </c>
    </row>
    <row r="1328" spans="1:50" x14ac:dyDescent="0.25">
      <c r="A1328" s="102">
        <v>830000</v>
      </c>
      <c r="B1328" s="102">
        <v>2400000</v>
      </c>
      <c r="C1328" s="102">
        <v>2400000</v>
      </c>
      <c r="D1328" s="90" t="s">
        <v>374</v>
      </c>
      <c r="E1328" s="90" t="s">
        <v>68</v>
      </c>
      <c r="F1328" s="90" t="s">
        <v>375</v>
      </c>
      <c r="G1328" s="90" t="s">
        <v>376</v>
      </c>
      <c r="H1328" s="90">
        <v>0.59</v>
      </c>
      <c r="I1328" s="90">
        <v>0.64</v>
      </c>
      <c r="J1328" s="90" t="s">
        <v>244</v>
      </c>
      <c r="K1328" s="90">
        <v>1.619207731725E-2</v>
      </c>
      <c r="L1328" s="90">
        <v>3664.1173325240802</v>
      </c>
      <c r="M1328" s="90">
        <v>9.1385963512820201</v>
      </c>
      <c r="N1328" s="90">
        <v>1.3442133882686</v>
      </c>
      <c r="O1328" s="90">
        <v>0.14797285869113</v>
      </c>
      <c r="P1328" s="90">
        <v>2.176560711373E-2</v>
      </c>
      <c r="Q1328" s="90">
        <v>59.329671147720397</v>
      </c>
      <c r="R1328" s="90">
        <v>1200</v>
      </c>
      <c r="S1328" s="90" t="s">
        <v>384</v>
      </c>
      <c r="T1328" s="90">
        <v>1200</v>
      </c>
      <c r="U1328" s="90" t="s">
        <v>378</v>
      </c>
      <c r="V1328" s="90" t="s">
        <v>244</v>
      </c>
      <c r="Z1328" s="90">
        <v>0</v>
      </c>
      <c r="AA1328" s="90">
        <v>1</v>
      </c>
      <c r="AB1328" s="90">
        <v>0.14797285869113</v>
      </c>
      <c r="AC1328" s="90">
        <v>2.176560711373E-2</v>
      </c>
      <c r="AD1328" s="90">
        <v>399.68584847866401</v>
      </c>
      <c r="AF1328" s="90">
        <v>-1</v>
      </c>
      <c r="AG1328" s="90">
        <v>-1</v>
      </c>
      <c r="AH1328" s="90">
        <v>-1</v>
      </c>
      <c r="AI1328" s="90">
        <v>-1</v>
      </c>
      <c r="AJ1328" s="90">
        <v>0</v>
      </c>
      <c r="AM1328" s="90" t="s">
        <v>379</v>
      </c>
      <c r="AN1328" s="90">
        <v>-1</v>
      </c>
      <c r="AQ1328" s="90">
        <v>357</v>
      </c>
      <c r="AR1328" s="90" t="s">
        <v>405</v>
      </c>
      <c r="AS1328" s="90" t="s">
        <v>406</v>
      </c>
      <c r="AT1328" s="90" t="s">
        <v>244</v>
      </c>
      <c r="AU1328" s="90">
        <v>122.34610000000001</v>
      </c>
      <c r="AV1328" s="90">
        <v>72.451790673780096</v>
      </c>
      <c r="AW1328" s="90">
        <v>65.527012083326298</v>
      </c>
      <c r="AX1328" s="90">
        <v>0.32415721689999999</v>
      </c>
    </row>
    <row r="1329" spans="1:50" x14ac:dyDescent="0.25">
      <c r="A1329" s="102">
        <v>830000</v>
      </c>
      <c r="B1329" s="102">
        <v>2400000</v>
      </c>
      <c r="C1329" s="102">
        <v>2400000</v>
      </c>
      <c r="D1329" s="90" t="s">
        <v>374</v>
      </c>
      <c r="E1329" s="90" t="s">
        <v>68</v>
      </c>
      <c r="F1329" s="90" t="s">
        <v>375</v>
      </c>
      <c r="G1329" s="90" t="s">
        <v>376</v>
      </c>
      <c r="H1329" s="90">
        <v>0.59</v>
      </c>
      <c r="I1329" s="90">
        <v>0.64</v>
      </c>
      <c r="J1329" s="90" t="s">
        <v>244</v>
      </c>
      <c r="K1329" s="90">
        <v>0.10292509543246001</v>
      </c>
      <c r="L1329" s="90">
        <v>3664.1173325240802</v>
      </c>
      <c r="M1329" s="90">
        <v>9.1385963512820201</v>
      </c>
      <c r="N1329" s="90">
        <v>1.3442133882686</v>
      </c>
      <c r="O1329" s="90">
        <v>0.94059090157444003</v>
      </c>
      <c r="P1329" s="90">
        <v>0.13835329126913001</v>
      </c>
      <c r="Q1329" s="90">
        <v>377.12962612577502</v>
      </c>
      <c r="R1329" s="90">
        <v>1210</v>
      </c>
      <c r="S1329" s="90" t="s">
        <v>385</v>
      </c>
      <c r="T1329" s="90">
        <v>1210</v>
      </c>
      <c r="U1329" s="90" t="s">
        <v>378</v>
      </c>
      <c r="V1329" s="90" t="s">
        <v>244</v>
      </c>
      <c r="Z1329" s="90">
        <v>0</v>
      </c>
      <c r="AA1329" s="90">
        <v>1</v>
      </c>
      <c r="AB1329" s="90">
        <v>0.94059090157444003</v>
      </c>
      <c r="AC1329" s="90">
        <v>0.13835329126913001</v>
      </c>
      <c r="AD1329" s="90">
        <v>598.77546409358399</v>
      </c>
      <c r="AF1329" s="90">
        <v>-1</v>
      </c>
      <c r="AG1329" s="90">
        <v>-1</v>
      </c>
      <c r="AH1329" s="90">
        <v>-1</v>
      </c>
      <c r="AI1329" s="90">
        <v>-1</v>
      </c>
      <c r="AJ1329" s="90">
        <v>0</v>
      </c>
      <c r="AM1329" s="90" t="s">
        <v>379</v>
      </c>
      <c r="AN1329" s="90">
        <v>-1</v>
      </c>
      <c r="AQ1329" s="90">
        <v>357</v>
      </c>
      <c r="AR1329" s="90" t="s">
        <v>405</v>
      </c>
      <c r="AS1329" s="90" t="s">
        <v>406</v>
      </c>
      <c r="AT1329" s="90" t="s">
        <v>244</v>
      </c>
      <c r="AU1329" s="90">
        <v>122.34610000000001</v>
      </c>
      <c r="AV1329" s="90">
        <v>90.096912737522501</v>
      </c>
      <c r="AW1329" s="90">
        <v>416.52308347698698</v>
      </c>
      <c r="AX1329" s="90">
        <v>0.4856248695</v>
      </c>
    </row>
    <row r="1330" spans="1:50" x14ac:dyDescent="0.25">
      <c r="A1330" s="102">
        <v>830000</v>
      </c>
      <c r="B1330" s="102">
        <v>2400000</v>
      </c>
      <c r="C1330" s="102">
        <v>2400000</v>
      </c>
      <c r="D1330" s="90" t="s">
        <v>374</v>
      </c>
      <c r="E1330" s="90" t="s">
        <v>68</v>
      </c>
      <c r="F1330" s="90" t="s">
        <v>375</v>
      </c>
      <c r="G1330" s="90" t="s">
        <v>376</v>
      </c>
      <c r="H1330" s="90">
        <v>0.59</v>
      </c>
      <c r="I1330" s="90">
        <v>0.64</v>
      </c>
      <c r="J1330" s="90" t="s">
        <v>244</v>
      </c>
      <c r="K1330" s="90">
        <v>0.14148600981997</v>
      </c>
      <c r="L1330" s="90">
        <v>3664.1173325240802</v>
      </c>
      <c r="M1330" s="90">
        <v>9.1385963512820201</v>
      </c>
      <c r="N1330" s="90">
        <v>1.3442133882686</v>
      </c>
      <c r="O1330" s="90">
        <v>1.29298353309826</v>
      </c>
      <c r="P1330" s="90">
        <v>0.19018738865271001</v>
      </c>
      <c r="Q1330" s="90">
        <v>518.42134089103899</v>
      </c>
      <c r="R1330" s="90">
        <v>1210</v>
      </c>
      <c r="S1330" s="90" t="s">
        <v>385</v>
      </c>
      <c r="T1330" s="90">
        <v>1210</v>
      </c>
      <c r="U1330" s="90" t="s">
        <v>378</v>
      </c>
      <c r="V1330" s="90" t="s">
        <v>244</v>
      </c>
      <c r="Z1330" s="90">
        <v>0</v>
      </c>
      <c r="AA1330" s="90">
        <v>1</v>
      </c>
      <c r="AB1330" s="90">
        <v>1.29298353309826</v>
      </c>
      <c r="AC1330" s="90">
        <v>0.19018738865271001</v>
      </c>
      <c r="AD1330" s="90">
        <v>858.05478562260305</v>
      </c>
      <c r="AF1330" s="90">
        <v>-1</v>
      </c>
      <c r="AG1330" s="90">
        <v>-1</v>
      </c>
      <c r="AH1330" s="90">
        <v>-1</v>
      </c>
      <c r="AI1330" s="90">
        <v>-1</v>
      </c>
      <c r="AJ1330" s="90">
        <v>0</v>
      </c>
      <c r="AM1330" s="90" t="s">
        <v>379</v>
      </c>
      <c r="AN1330" s="90">
        <v>-1</v>
      </c>
      <c r="AQ1330" s="90">
        <v>357</v>
      </c>
      <c r="AR1330" s="90" t="s">
        <v>405</v>
      </c>
      <c r="AS1330" s="90" t="s">
        <v>406</v>
      </c>
      <c r="AT1330" s="90" t="s">
        <v>244</v>
      </c>
      <c r="AU1330" s="90">
        <v>122.34610000000001</v>
      </c>
      <c r="AV1330" s="90">
        <v>96.006459067303297</v>
      </c>
      <c r="AW1330" s="90">
        <v>572.57356751971304</v>
      </c>
      <c r="AX1330" s="90">
        <v>0.69590817969999996</v>
      </c>
    </row>
    <row r="1331" spans="1:50" x14ac:dyDescent="0.25">
      <c r="A1331" s="102">
        <v>830000</v>
      </c>
      <c r="B1331" s="102">
        <v>2400000</v>
      </c>
      <c r="C1331" s="102">
        <v>2400000</v>
      </c>
      <c r="D1331" s="90" t="s">
        <v>374</v>
      </c>
      <c r="E1331" s="90" t="s">
        <v>68</v>
      </c>
      <c r="F1331" s="90" t="s">
        <v>375</v>
      </c>
      <c r="G1331" s="90" t="s">
        <v>376</v>
      </c>
      <c r="H1331" s="90">
        <v>0.59</v>
      </c>
      <c r="I1331" s="90">
        <v>0.64</v>
      </c>
      <c r="J1331" s="90" t="s">
        <v>244</v>
      </c>
      <c r="K1331" s="90">
        <v>3.9425298859619998E-2</v>
      </c>
      <c r="L1331" s="90">
        <v>3664.1173325240802</v>
      </c>
      <c r="M1331" s="90">
        <v>9.1385963512820201</v>
      </c>
      <c r="N1331" s="90">
        <v>1.3442133882686</v>
      </c>
      <c r="O1331" s="90">
        <v>0.36029189230679998</v>
      </c>
      <c r="P1331" s="90">
        <v>5.2996014563600001E-2</v>
      </c>
      <c r="Q1331" s="90">
        <v>144.45892089150399</v>
      </c>
      <c r="R1331" s="90">
        <v>1210</v>
      </c>
      <c r="S1331" s="90" t="s">
        <v>385</v>
      </c>
      <c r="T1331" s="90">
        <v>1210</v>
      </c>
      <c r="U1331" s="90" t="s">
        <v>378</v>
      </c>
      <c r="V1331" s="90" t="s">
        <v>244</v>
      </c>
      <c r="Z1331" s="90">
        <v>0</v>
      </c>
      <c r="AA1331" s="90">
        <v>1</v>
      </c>
      <c r="AB1331" s="90">
        <v>0.36029189230679998</v>
      </c>
      <c r="AC1331" s="90">
        <v>5.2996014563600001E-2</v>
      </c>
      <c r="AD1331" s="90">
        <v>213.66307521665499</v>
      </c>
      <c r="AF1331" s="90">
        <v>-1</v>
      </c>
      <c r="AG1331" s="90">
        <v>-1</v>
      </c>
      <c r="AH1331" s="90">
        <v>-1</v>
      </c>
      <c r="AI1331" s="90">
        <v>-1</v>
      </c>
      <c r="AJ1331" s="90">
        <v>0</v>
      </c>
      <c r="AM1331" s="90" t="s">
        <v>379</v>
      </c>
      <c r="AN1331" s="90">
        <v>-1</v>
      </c>
      <c r="AQ1331" s="90">
        <v>357</v>
      </c>
      <c r="AR1331" s="90" t="s">
        <v>405</v>
      </c>
      <c r="AS1331" s="90" t="s">
        <v>406</v>
      </c>
      <c r="AT1331" s="90" t="s">
        <v>244</v>
      </c>
      <c r="AU1331" s="90">
        <v>122.34610000000001</v>
      </c>
      <c r="AV1331" s="90">
        <v>58.519848141132897</v>
      </c>
      <c r="AW1331" s="90">
        <v>159.54852389512399</v>
      </c>
      <c r="AX1331" s="90">
        <v>0.17328716559999999</v>
      </c>
    </row>
    <row r="1332" spans="1:50" x14ac:dyDescent="0.25">
      <c r="A1332" s="102">
        <v>830000</v>
      </c>
      <c r="B1332" s="102">
        <v>2400000</v>
      </c>
      <c r="C1332" s="102">
        <v>2400000</v>
      </c>
      <c r="D1332" s="90" t="s">
        <v>374</v>
      </c>
      <c r="E1332" s="90" t="s">
        <v>68</v>
      </c>
      <c r="F1332" s="90" t="s">
        <v>375</v>
      </c>
      <c r="G1332" s="90" t="s">
        <v>376</v>
      </c>
      <c r="H1332" s="90">
        <v>0.59</v>
      </c>
      <c r="I1332" s="90">
        <v>0.64</v>
      </c>
      <c r="J1332" s="90" t="s">
        <v>244</v>
      </c>
      <c r="K1332" s="90">
        <v>2.408842425455E-2</v>
      </c>
      <c r="L1332" s="90">
        <v>3664.1173325240802</v>
      </c>
      <c r="M1332" s="90">
        <v>9.1385963512820201</v>
      </c>
      <c r="N1332" s="90">
        <v>1.3442133882686</v>
      </c>
      <c r="O1332" s="90">
        <v>0.22013438600078</v>
      </c>
      <c r="P1332" s="90">
        <v>3.2379982385259999E-2</v>
      </c>
      <c r="Q1332" s="90">
        <v>88.262812824297498</v>
      </c>
      <c r="R1332" s="90">
        <v>1210</v>
      </c>
      <c r="S1332" s="90" t="s">
        <v>385</v>
      </c>
      <c r="T1332" s="90">
        <v>1210</v>
      </c>
      <c r="U1332" s="90" t="s">
        <v>378</v>
      </c>
      <c r="V1332" s="90" t="s">
        <v>244</v>
      </c>
      <c r="Z1332" s="90">
        <v>0</v>
      </c>
      <c r="AA1332" s="90">
        <v>1</v>
      </c>
      <c r="AB1332" s="90">
        <v>0.22013438600078</v>
      </c>
      <c r="AC1332" s="90">
        <v>3.2379982385259999E-2</v>
      </c>
      <c r="AD1332" s="90">
        <v>88.262812824296404</v>
      </c>
      <c r="AF1332" s="90">
        <v>-1</v>
      </c>
      <c r="AG1332" s="90">
        <v>-1</v>
      </c>
      <c r="AH1332" s="90">
        <v>-1</v>
      </c>
      <c r="AI1332" s="90">
        <v>-1</v>
      </c>
      <c r="AJ1332" s="90">
        <v>0</v>
      </c>
      <c r="AM1332" s="90" t="s">
        <v>379</v>
      </c>
      <c r="AN1332" s="90">
        <v>-1</v>
      </c>
      <c r="AQ1332" s="90">
        <v>357</v>
      </c>
      <c r="AR1332" s="90" t="s">
        <v>405</v>
      </c>
      <c r="AS1332" s="90" t="s">
        <v>406</v>
      </c>
      <c r="AT1332" s="90" t="s">
        <v>244</v>
      </c>
      <c r="AU1332" s="90">
        <v>122.34610000000001</v>
      </c>
      <c r="AV1332" s="90">
        <v>43.693788958800702</v>
      </c>
      <c r="AW1332" s="90">
        <v>97.482394400028298</v>
      </c>
      <c r="AX1332" s="90">
        <v>7.1583789800000006E-2</v>
      </c>
    </row>
    <row r="1333" spans="1:50" x14ac:dyDescent="0.25">
      <c r="A1333" s="102">
        <v>830000</v>
      </c>
      <c r="B1333" s="102">
        <v>2400000</v>
      </c>
      <c r="C1333" s="102">
        <v>2400000</v>
      </c>
      <c r="D1333" s="90" t="s">
        <v>374</v>
      </c>
      <c r="E1333" s="90" t="s">
        <v>68</v>
      </c>
      <c r="F1333" s="90" t="s">
        <v>375</v>
      </c>
      <c r="G1333" s="90" t="s">
        <v>376</v>
      </c>
      <c r="H1333" s="90">
        <v>0.59</v>
      </c>
      <c r="I1333" s="90">
        <v>0.64</v>
      </c>
      <c r="J1333" s="90" t="s">
        <v>244</v>
      </c>
      <c r="K1333" s="90">
        <v>2.4726957026259998E-2</v>
      </c>
      <c r="L1333" s="90">
        <v>3664.1173325240802</v>
      </c>
      <c r="M1333" s="90">
        <v>9.1385963512820201</v>
      </c>
      <c r="N1333" s="90">
        <v>1.3442133882686</v>
      </c>
      <c r="O1333" s="90">
        <v>0.22596967925854999</v>
      </c>
      <c r="P1333" s="90">
        <v>3.3238306685849997E-2</v>
      </c>
      <c r="Q1333" s="90">
        <v>90.602471820522993</v>
      </c>
      <c r="R1333" s="90">
        <v>1210</v>
      </c>
      <c r="S1333" s="90" t="s">
        <v>385</v>
      </c>
      <c r="T1333" s="90">
        <v>1210</v>
      </c>
      <c r="U1333" s="90" t="s">
        <v>378</v>
      </c>
      <c r="V1333" s="90" t="s">
        <v>244</v>
      </c>
      <c r="Z1333" s="90">
        <v>0</v>
      </c>
      <c r="AA1333" s="90">
        <v>1</v>
      </c>
      <c r="AB1333" s="90">
        <v>0.22596967925854999</v>
      </c>
      <c r="AC1333" s="90">
        <v>3.3238306685849997E-2</v>
      </c>
      <c r="AD1333" s="90">
        <v>90.602471820521203</v>
      </c>
      <c r="AF1333" s="90">
        <v>-1</v>
      </c>
      <c r="AG1333" s="90">
        <v>-1</v>
      </c>
      <c r="AH1333" s="90">
        <v>-1</v>
      </c>
      <c r="AI1333" s="90">
        <v>-1</v>
      </c>
      <c r="AJ1333" s="90">
        <v>0</v>
      </c>
      <c r="AM1333" s="90" t="s">
        <v>379</v>
      </c>
      <c r="AN1333" s="90">
        <v>-1</v>
      </c>
      <c r="AQ1333" s="90">
        <v>357</v>
      </c>
      <c r="AR1333" s="90" t="s">
        <v>405</v>
      </c>
      <c r="AS1333" s="90" t="s">
        <v>406</v>
      </c>
      <c r="AT1333" s="90" t="s">
        <v>244</v>
      </c>
      <c r="AU1333" s="90">
        <v>122.34610000000001</v>
      </c>
      <c r="AV1333" s="90">
        <v>59.626584444663898</v>
      </c>
      <c r="AW1333" s="90">
        <v>100.066444848155</v>
      </c>
      <c r="AX1333" s="90">
        <v>7.3481323500000001E-2</v>
      </c>
    </row>
    <row r="1334" spans="1:50" x14ac:dyDescent="0.25">
      <c r="A1334" s="102">
        <v>830000</v>
      </c>
      <c r="B1334" s="102">
        <v>2400000</v>
      </c>
      <c r="C1334" s="102">
        <v>2400000</v>
      </c>
      <c r="D1334" s="90" t="s">
        <v>374</v>
      </c>
      <c r="E1334" s="90" t="s">
        <v>68</v>
      </c>
      <c r="F1334" s="90" t="s">
        <v>375</v>
      </c>
      <c r="G1334" s="90" t="s">
        <v>376</v>
      </c>
      <c r="H1334" s="90">
        <v>0.59</v>
      </c>
      <c r="I1334" s="90">
        <v>0.64</v>
      </c>
      <c r="J1334" s="90" t="s">
        <v>244</v>
      </c>
      <c r="K1334" s="90">
        <v>3.9609321602100001E-3</v>
      </c>
      <c r="L1334" s="90">
        <v>3664.1173325240802</v>
      </c>
      <c r="M1334" s="90">
        <v>9.1385963512820201</v>
      </c>
      <c r="N1334" s="90">
        <v>1.3442133882686</v>
      </c>
      <c r="O1334" s="90">
        <v>3.6197360186989998E-2</v>
      </c>
      <c r="P1334" s="90">
        <v>5.3243380397800001E-3</v>
      </c>
      <c r="Q1334" s="90">
        <v>14.513320181188501</v>
      </c>
      <c r="R1334" s="90">
        <v>1210</v>
      </c>
      <c r="S1334" s="90" t="s">
        <v>385</v>
      </c>
      <c r="T1334" s="90">
        <v>1210</v>
      </c>
      <c r="U1334" s="90" t="s">
        <v>378</v>
      </c>
      <c r="V1334" s="90" t="s">
        <v>244</v>
      </c>
      <c r="Z1334" s="90">
        <v>0</v>
      </c>
      <c r="AA1334" s="90">
        <v>1</v>
      </c>
      <c r="AB1334" s="90">
        <v>3.6197360186989998E-2</v>
      </c>
      <c r="AC1334" s="90">
        <v>5.3243380397800001E-3</v>
      </c>
      <c r="AD1334" s="90">
        <v>14.513320181187099</v>
      </c>
      <c r="AF1334" s="90">
        <v>-1</v>
      </c>
      <c r="AG1334" s="90">
        <v>-1</v>
      </c>
      <c r="AH1334" s="90">
        <v>-1</v>
      </c>
      <c r="AI1334" s="90">
        <v>-1</v>
      </c>
      <c r="AJ1334" s="90">
        <v>0</v>
      </c>
      <c r="AM1334" s="90" t="s">
        <v>379</v>
      </c>
      <c r="AN1334" s="90">
        <v>-1</v>
      </c>
      <c r="AQ1334" s="90">
        <v>357</v>
      </c>
      <c r="AR1334" s="90" t="s">
        <v>405</v>
      </c>
      <c r="AS1334" s="90" t="s">
        <v>406</v>
      </c>
      <c r="AT1334" s="90" t="s">
        <v>244</v>
      </c>
      <c r="AU1334" s="90">
        <v>122.34610000000001</v>
      </c>
      <c r="AV1334" s="90">
        <v>21.042504561407501</v>
      </c>
      <c r="AW1334" s="90">
        <v>16.029323751247201</v>
      </c>
      <c r="AX1334" s="90">
        <v>1.17707382E-2</v>
      </c>
    </row>
    <row r="1335" spans="1:50" x14ac:dyDescent="0.25">
      <c r="A1335" s="102">
        <v>830000</v>
      </c>
      <c r="B1335" s="102">
        <v>2400000</v>
      </c>
      <c r="C1335" s="102">
        <v>2400000</v>
      </c>
      <c r="D1335" s="90" t="s">
        <v>374</v>
      </c>
      <c r="E1335" s="90" t="s">
        <v>68</v>
      </c>
      <c r="F1335" s="90" t="s">
        <v>375</v>
      </c>
      <c r="G1335" s="90" t="s">
        <v>376</v>
      </c>
      <c r="H1335" s="90">
        <v>0.59</v>
      </c>
      <c r="I1335" s="90">
        <v>0.64</v>
      </c>
      <c r="J1335" s="90" t="s">
        <v>244</v>
      </c>
      <c r="K1335" s="90">
        <v>3.9018122012570003E-2</v>
      </c>
      <c r="L1335" s="90">
        <v>3739.8042892278199</v>
      </c>
      <c r="M1335" s="90">
        <v>11.189122511039701</v>
      </c>
      <c r="N1335" s="90">
        <v>1.6246803233911999</v>
      </c>
      <c r="O1335" s="90">
        <v>0.43657854734936002</v>
      </c>
      <c r="P1335" s="90">
        <v>6.3391975089499994E-2</v>
      </c>
      <c r="Q1335" s="90">
        <v>145.92014006023101</v>
      </c>
      <c r="R1335" s="90">
        <v>1300</v>
      </c>
      <c r="S1335" s="90" t="s">
        <v>387</v>
      </c>
      <c r="T1335" s="90">
        <v>1300</v>
      </c>
      <c r="U1335" s="90" t="s">
        <v>378</v>
      </c>
      <c r="V1335" s="90" t="s">
        <v>244</v>
      </c>
      <c r="Z1335" s="90">
        <v>0</v>
      </c>
      <c r="AA1335" s="90">
        <v>1</v>
      </c>
      <c r="AB1335" s="90">
        <v>0.43657854734936002</v>
      </c>
      <c r="AC1335" s="90">
        <v>6.3391975089499994E-2</v>
      </c>
      <c r="AD1335" s="90">
        <v>145.92014006023001</v>
      </c>
      <c r="AF1335" s="90">
        <v>-1</v>
      </c>
      <c r="AG1335" s="90">
        <v>-1</v>
      </c>
      <c r="AH1335" s="90">
        <v>-1</v>
      </c>
      <c r="AI1335" s="90">
        <v>-1</v>
      </c>
      <c r="AJ1335" s="90">
        <v>0</v>
      </c>
      <c r="AM1335" s="90" t="s">
        <v>379</v>
      </c>
      <c r="AN1335" s="90">
        <v>-1</v>
      </c>
      <c r="AQ1335" s="90">
        <v>357</v>
      </c>
      <c r="AR1335" s="90" t="s">
        <v>405</v>
      </c>
      <c r="AS1335" s="90" t="s">
        <v>406</v>
      </c>
      <c r="AT1335" s="90" t="s">
        <v>244</v>
      </c>
      <c r="AU1335" s="90">
        <v>122.34610000000001</v>
      </c>
      <c r="AV1335" s="90">
        <v>52.606752669882098</v>
      </c>
      <c r="AW1335" s="90">
        <v>157.900737656562</v>
      </c>
      <c r="AX1335" s="90">
        <v>0.11834561239999999</v>
      </c>
    </row>
    <row r="1336" spans="1:50" x14ac:dyDescent="0.25">
      <c r="A1336" s="102">
        <v>830000</v>
      </c>
      <c r="B1336" s="102">
        <v>2400000</v>
      </c>
      <c r="C1336" s="102">
        <v>2400000</v>
      </c>
      <c r="D1336" s="90" t="s">
        <v>374</v>
      </c>
      <c r="E1336" s="90" t="s">
        <v>68</v>
      </c>
      <c r="F1336" s="90" t="s">
        <v>375</v>
      </c>
      <c r="G1336" s="90" t="s">
        <v>376</v>
      </c>
      <c r="H1336" s="90">
        <v>0.59</v>
      </c>
      <c r="I1336" s="90">
        <v>0.64</v>
      </c>
      <c r="J1336" s="90" t="s">
        <v>244</v>
      </c>
      <c r="K1336" s="90">
        <v>0.12678377010541</v>
      </c>
      <c r="L1336" s="90">
        <v>3739.8042892278199</v>
      </c>
      <c r="M1336" s="90">
        <v>11.189122511039701</v>
      </c>
      <c r="N1336" s="90">
        <v>1.6246803233911999</v>
      </c>
      <c r="O1336" s="90">
        <v>1.41859913612098</v>
      </c>
      <c r="P1336" s="90">
        <v>0.20598309661562</v>
      </c>
      <c r="Q1336" s="90">
        <v>474.14648724470197</v>
      </c>
      <c r="R1336" s="90">
        <v>1400</v>
      </c>
      <c r="S1336" s="90" t="s">
        <v>324</v>
      </c>
      <c r="T1336" s="90">
        <v>1400</v>
      </c>
      <c r="U1336" s="90" t="s">
        <v>378</v>
      </c>
      <c r="V1336" s="90" t="s">
        <v>244</v>
      </c>
      <c r="Z1336" s="90">
        <v>0</v>
      </c>
      <c r="AA1336" s="90">
        <v>1</v>
      </c>
      <c r="AB1336" s="90">
        <v>1.41859913612098</v>
      </c>
      <c r="AC1336" s="90">
        <v>0.20598309661562</v>
      </c>
      <c r="AD1336" s="90">
        <v>474.14648724470197</v>
      </c>
      <c r="AF1336" s="90">
        <v>-1</v>
      </c>
      <c r="AG1336" s="90">
        <v>-1</v>
      </c>
      <c r="AH1336" s="90">
        <v>-1</v>
      </c>
      <c r="AI1336" s="90">
        <v>-1</v>
      </c>
      <c r="AJ1336" s="90">
        <v>0</v>
      </c>
      <c r="AM1336" s="90" t="s">
        <v>379</v>
      </c>
      <c r="AN1336" s="90">
        <v>-1</v>
      </c>
      <c r="AQ1336" s="90">
        <v>357</v>
      </c>
      <c r="AR1336" s="90" t="s">
        <v>405</v>
      </c>
      <c r="AS1336" s="90" t="s">
        <v>406</v>
      </c>
      <c r="AT1336" s="90" t="s">
        <v>244</v>
      </c>
      <c r="AU1336" s="90">
        <v>122.34610000000001</v>
      </c>
      <c r="AV1336" s="90">
        <v>106.252277393339</v>
      </c>
      <c r="AW1336" s="90">
        <v>513.07571430717906</v>
      </c>
      <c r="AX1336" s="90">
        <v>0.38454702940000002</v>
      </c>
    </row>
    <row r="1337" spans="1:50" x14ac:dyDescent="0.25">
      <c r="A1337" s="102">
        <v>830000</v>
      </c>
      <c r="B1337" s="102">
        <v>2400000</v>
      </c>
      <c r="C1337" s="102">
        <v>2400000</v>
      </c>
      <c r="D1337" s="90" t="s">
        <v>374</v>
      </c>
      <c r="E1337" s="90" t="s">
        <v>68</v>
      </c>
      <c r="F1337" s="90" t="s">
        <v>375</v>
      </c>
      <c r="G1337" s="90" t="s">
        <v>376</v>
      </c>
      <c r="H1337" s="90">
        <v>0.59</v>
      </c>
      <c r="I1337" s="90">
        <v>0.64</v>
      </c>
      <c r="J1337" s="90" t="s">
        <v>244</v>
      </c>
      <c r="K1337" s="90">
        <v>5.2758685389100004E-3</v>
      </c>
      <c r="L1337" s="90">
        <v>3739.8042892278199</v>
      </c>
      <c r="M1337" s="90">
        <v>11.189122511039701</v>
      </c>
      <c r="N1337" s="90">
        <v>1.6246803233911999</v>
      </c>
      <c r="O1337" s="90">
        <v>5.9032339433999999E-2</v>
      </c>
      <c r="P1337" s="90">
        <v>8.5715998039600002E-3</v>
      </c>
      <c r="Q1337" s="90">
        <v>19.730715791217701</v>
      </c>
      <c r="R1337" s="90">
        <v>1450</v>
      </c>
      <c r="S1337" s="90" t="s">
        <v>391</v>
      </c>
      <c r="T1337" s="90">
        <v>1450</v>
      </c>
      <c r="U1337" s="90" t="s">
        <v>378</v>
      </c>
      <c r="V1337" s="90" t="s">
        <v>244</v>
      </c>
      <c r="Z1337" s="90">
        <v>0</v>
      </c>
      <c r="AA1337" s="90">
        <v>1</v>
      </c>
      <c r="AB1337" s="90">
        <v>5.9032339433999999E-2</v>
      </c>
      <c r="AC1337" s="90">
        <v>8.5715998039600002E-3</v>
      </c>
      <c r="AD1337" s="90">
        <v>19.730715791218699</v>
      </c>
      <c r="AF1337" s="90">
        <v>-1</v>
      </c>
      <c r="AG1337" s="90">
        <v>-1</v>
      </c>
      <c r="AH1337" s="90">
        <v>-1</v>
      </c>
      <c r="AI1337" s="90">
        <v>-1</v>
      </c>
      <c r="AJ1337" s="90">
        <v>0</v>
      </c>
      <c r="AM1337" s="90" t="s">
        <v>379</v>
      </c>
      <c r="AN1337" s="90">
        <v>-1</v>
      </c>
      <c r="AQ1337" s="90">
        <v>357</v>
      </c>
      <c r="AR1337" s="90" t="s">
        <v>405</v>
      </c>
      <c r="AS1337" s="90" t="s">
        <v>406</v>
      </c>
      <c r="AT1337" s="90" t="s">
        <v>244</v>
      </c>
      <c r="AU1337" s="90">
        <v>122.34610000000001</v>
      </c>
      <c r="AV1337" s="90">
        <v>66.260575609677602</v>
      </c>
      <c r="AW1337" s="90">
        <v>21.350682480427</v>
      </c>
      <c r="AX1337" s="90">
        <v>1.6002202600000001E-2</v>
      </c>
    </row>
    <row r="1338" spans="1:50" x14ac:dyDescent="0.25">
      <c r="A1338" s="102">
        <v>830000</v>
      </c>
      <c r="B1338" s="102">
        <v>2400000</v>
      </c>
      <c r="C1338" s="102">
        <v>2400000</v>
      </c>
      <c r="D1338" s="90" t="s">
        <v>374</v>
      </c>
      <c r="E1338" s="90" t="s">
        <v>68</v>
      </c>
      <c r="F1338" s="90" t="s">
        <v>375</v>
      </c>
      <c r="G1338" s="90" t="s">
        <v>376</v>
      </c>
      <c r="H1338" s="90">
        <v>0.59</v>
      </c>
      <c r="I1338" s="90">
        <v>0.64</v>
      </c>
      <c r="J1338" s="90" t="s">
        <v>244</v>
      </c>
      <c r="K1338" s="90">
        <v>2.2049988328200001E-3</v>
      </c>
      <c r="L1338" s="90">
        <v>3739.8042892278199</v>
      </c>
      <c r="M1338" s="90">
        <v>11.189122511039701</v>
      </c>
      <c r="N1338" s="90">
        <v>1.6246803233911999</v>
      </c>
      <c r="O1338" s="90">
        <v>2.4672002077199998E-2</v>
      </c>
      <c r="P1338" s="90">
        <v>3.58241821679E-3</v>
      </c>
      <c r="Q1338" s="90">
        <v>8.2462640927487705</v>
      </c>
      <c r="R1338" s="90">
        <v>1450</v>
      </c>
      <c r="S1338" s="90" t="s">
        <v>391</v>
      </c>
      <c r="T1338" s="90">
        <v>1450</v>
      </c>
      <c r="U1338" s="90" t="s">
        <v>378</v>
      </c>
      <c r="V1338" s="90" t="s">
        <v>244</v>
      </c>
      <c r="Z1338" s="90">
        <v>0</v>
      </c>
      <c r="AA1338" s="90">
        <v>1</v>
      </c>
      <c r="AB1338" s="90">
        <v>2.4672002077199998E-2</v>
      </c>
      <c r="AC1338" s="90">
        <v>3.58241821679E-3</v>
      </c>
      <c r="AD1338" s="90">
        <v>8.2462640927496302</v>
      </c>
      <c r="AF1338" s="90">
        <v>-1</v>
      </c>
      <c r="AG1338" s="90">
        <v>-1</v>
      </c>
      <c r="AH1338" s="90">
        <v>-1</v>
      </c>
      <c r="AI1338" s="90">
        <v>-1</v>
      </c>
      <c r="AJ1338" s="90">
        <v>0</v>
      </c>
      <c r="AM1338" s="90" t="s">
        <v>379</v>
      </c>
      <c r="AN1338" s="90">
        <v>-1</v>
      </c>
      <c r="AQ1338" s="90">
        <v>357</v>
      </c>
      <c r="AR1338" s="90" t="s">
        <v>405</v>
      </c>
      <c r="AS1338" s="90" t="s">
        <v>406</v>
      </c>
      <c r="AT1338" s="90" t="s">
        <v>244</v>
      </c>
      <c r="AU1338" s="90">
        <v>122.34610000000001</v>
      </c>
      <c r="AV1338" s="90">
        <v>12.490395788775301</v>
      </c>
      <c r="AW1338" s="90">
        <v>8.9233136880113904</v>
      </c>
      <c r="AX1338" s="90">
        <v>6.6879675999999997E-3</v>
      </c>
    </row>
    <row r="1339" spans="1:50" x14ac:dyDescent="0.25">
      <c r="A1339" s="102">
        <v>830000</v>
      </c>
      <c r="B1339" s="102">
        <v>2400000</v>
      </c>
      <c r="C1339" s="102">
        <v>2400000</v>
      </c>
      <c r="D1339" s="90" t="s">
        <v>374</v>
      </c>
      <c r="E1339" s="90" t="s">
        <v>68</v>
      </c>
      <c r="F1339" s="90" t="s">
        <v>375</v>
      </c>
      <c r="G1339" s="90" t="s">
        <v>376</v>
      </c>
      <c r="H1339" s="90">
        <v>0.59</v>
      </c>
      <c r="I1339" s="90">
        <v>0.64</v>
      </c>
      <c r="J1339" s="90" t="s">
        <v>244</v>
      </c>
      <c r="K1339" s="90">
        <v>0.21466039634448</v>
      </c>
      <c r="L1339" s="90">
        <v>3780.80935053555</v>
      </c>
      <c r="M1339" s="90">
        <v>10.7930226303142</v>
      </c>
      <c r="N1339" s="90">
        <v>1.83933316072393</v>
      </c>
      <c r="O1339" s="90">
        <v>2.3168345155782499</v>
      </c>
      <c r="P1339" s="90">
        <v>0.39483198529055002</v>
      </c>
      <c r="Q1339" s="90">
        <v>811.59003368890103</v>
      </c>
      <c r="R1339" s="90">
        <v>1300</v>
      </c>
      <c r="S1339" s="90" t="s">
        <v>387</v>
      </c>
      <c r="T1339" s="90">
        <v>1300</v>
      </c>
      <c r="U1339" s="90" t="s">
        <v>378</v>
      </c>
      <c r="V1339" s="90" t="s">
        <v>244</v>
      </c>
      <c r="Z1339" s="90">
        <v>0</v>
      </c>
      <c r="AA1339" s="90">
        <v>1</v>
      </c>
      <c r="AB1339" s="90">
        <v>2.3168345155782499</v>
      </c>
      <c r="AC1339" s="90">
        <v>0.39483198529055002</v>
      </c>
      <c r="AD1339" s="90">
        <v>811.59003368890103</v>
      </c>
      <c r="AF1339" s="90">
        <v>-1</v>
      </c>
      <c r="AG1339" s="90">
        <v>-1</v>
      </c>
      <c r="AH1339" s="90">
        <v>-1</v>
      </c>
      <c r="AI1339" s="90">
        <v>-1</v>
      </c>
      <c r="AJ1339" s="90">
        <v>0</v>
      </c>
      <c r="AM1339" s="90" t="s">
        <v>379</v>
      </c>
      <c r="AN1339" s="90">
        <v>-1</v>
      </c>
      <c r="AQ1339" s="90">
        <v>357</v>
      </c>
      <c r="AR1339" s="90" t="s">
        <v>405</v>
      </c>
      <c r="AS1339" s="90" t="s">
        <v>406</v>
      </c>
      <c r="AT1339" s="90" t="s">
        <v>244</v>
      </c>
      <c r="AU1339" s="90">
        <v>122.34610000000001</v>
      </c>
      <c r="AV1339" s="90">
        <v>135.098838143752</v>
      </c>
      <c r="AW1339" s="90">
        <v>868.69980358161104</v>
      </c>
      <c r="AX1339" s="90">
        <v>0.65822387159999995</v>
      </c>
    </row>
    <row r="1340" spans="1:50" x14ac:dyDescent="0.25">
      <c r="A1340" s="102">
        <v>830000</v>
      </c>
      <c r="B1340" s="102">
        <v>2400000</v>
      </c>
      <c r="C1340" s="102">
        <v>2400000</v>
      </c>
      <c r="D1340" s="90" t="s">
        <v>374</v>
      </c>
      <c r="E1340" s="90" t="s">
        <v>68</v>
      </c>
      <c r="F1340" s="90" t="s">
        <v>375</v>
      </c>
      <c r="G1340" s="90" t="s">
        <v>376</v>
      </c>
      <c r="H1340" s="90">
        <v>0.59</v>
      </c>
      <c r="I1340" s="90">
        <v>0.64</v>
      </c>
      <c r="J1340" s="90" t="s">
        <v>244</v>
      </c>
      <c r="K1340" s="90">
        <v>7.6159526086820001E-2</v>
      </c>
      <c r="L1340" s="90">
        <v>3780.80935053555</v>
      </c>
      <c r="M1340" s="90">
        <v>10.7930226303142</v>
      </c>
      <c r="N1340" s="90">
        <v>1.83933316072393</v>
      </c>
      <c r="O1340" s="90">
        <v>0.82199148856910997</v>
      </c>
      <c r="P1340" s="90">
        <v>0.14008274183651001</v>
      </c>
      <c r="Q1340" s="90">
        <v>287.94464836142799</v>
      </c>
      <c r="R1340" s="90">
        <v>1400</v>
      </c>
      <c r="S1340" s="90" t="s">
        <v>324</v>
      </c>
      <c r="T1340" s="90">
        <v>1400</v>
      </c>
      <c r="U1340" s="90" t="s">
        <v>378</v>
      </c>
      <c r="V1340" s="90" t="s">
        <v>244</v>
      </c>
      <c r="Z1340" s="90">
        <v>0</v>
      </c>
      <c r="AA1340" s="90">
        <v>1</v>
      </c>
      <c r="AB1340" s="90">
        <v>0.82199148856910997</v>
      </c>
      <c r="AC1340" s="90">
        <v>0.14008274183651001</v>
      </c>
      <c r="AD1340" s="90">
        <v>287.94464836142998</v>
      </c>
      <c r="AF1340" s="90">
        <v>-1</v>
      </c>
      <c r="AG1340" s="90">
        <v>-1</v>
      </c>
      <c r="AH1340" s="90">
        <v>-1</v>
      </c>
      <c r="AI1340" s="90">
        <v>-1</v>
      </c>
      <c r="AJ1340" s="90">
        <v>0</v>
      </c>
      <c r="AM1340" s="90" t="s">
        <v>379</v>
      </c>
      <c r="AN1340" s="90">
        <v>-1</v>
      </c>
      <c r="AQ1340" s="90">
        <v>357</v>
      </c>
      <c r="AR1340" s="90" t="s">
        <v>405</v>
      </c>
      <c r="AS1340" s="90" t="s">
        <v>406</v>
      </c>
      <c r="AT1340" s="90" t="s">
        <v>244</v>
      </c>
      <c r="AU1340" s="90">
        <v>122.34610000000001</v>
      </c>
      <c r="AV1340" s="90">
        <v>131.40917609878801</v>
      </c>
      <c r="AW1340" s="90">
        <v>308.20666727141401</v>
      </c>
      <c r="AX1340" s="90">
        <v>0.2335317505</v>
      </c>
    </row>
    <row r="1341" spans="1:50" x14ac:dyDescent="0.25">
      <c r="A1341" s="102">
        <v>830000</v>
      </c>
      <c r="B1341" s="102">
        <v>2400000</v>
      </c>
      <c r="C1341" s="102">
        <v>2400000</v>
      </c>
      <c r="D1341" s="90" t="s">
        <v>374</v>
      </c>
      <c r="E1341" s="90" t="s">
        <v>68</v>
      </c>
      <c r="F1341" s="90" t="s">
        <v>375</v>
      </c>
      <c r="G1341" s="90" t="s">
        <v>376</v>
      </c>
      <c r="H1341" s="90">
        <v>0.59</v>
      </c>
      <c r="I1341" s="90">
        <v>0.64</v>
      </c>
      <c r="J1341" s="90" t="s">
        <v>244</v>
      </c>
      <c r="K1341" s="90">
        <v>0.18967328123619001</v>
      </c>
      <c r="L1341" s="90">
        <v>3780.80935053555</v>
      </c>
      <c r="M1341" s="90">
        <v>10.7930226303142</v>
      </c>
      <c r="N1341" s="90">
        <v>1.83933316072393</v>
      </c>
      <c r="O1341" s="90">
        <v>2.0471480167481899</v>
      </c>
      <c r="P1341" s="90">
        <v>0.34887235588103999</v>
      </c>
      <c r="Q1341" s="90">
        <v>717.11851524456199</v>
      </c>
      <c r="R1341" s="90">
        <v>1450</v>
      </c>
      <c r="S1341" s="90" t="s">
        <v>391</v>
      </c>
      <c r="T1341" s="90">
        <v>1450</v>
      </c>
      <c r="U1341" s="90" t="s">
        <v>378</v>
      </c>
      <c r="V1341" s="90" t="s">
        <v>244</v>
      </c>
      <c r="Z1341" s="90">
        <v>0</v>
      </c>
      <c r="AA1341" s="90">
        <v>1</v>
      </c>
      <c r="AB1341" s="90">
        <v>2.0471480167481899</v>
      </c>
      <c r="AC1341" s="90">
        <v>0.34887235588103999</v>
      </c>
      <c r="AD1341" s="90">
        <v>717.11851524456199</v>
      </c>
      <c r="AF1341" s="90">
        <v>-1</v>
      </c>
      <c r="AG1341" s="90">
        <v>-1</v>
      </c>
      <c r="AH1341" s="90">
        <v>-1</v>
      </c>
      <c r="AI1341" s="90">
        <v>-1</v>
      </c>
      <c r="AJ1341" s="90">
        <v>0</v>
      </c>
      <c r="AM1341" s="90" t="s">
        <v>379</v>
      </c>
      <c r="AN1341" s="90">
        <v>-1</v>
      </c>
      <c r="AQ1341" s="90">
        <v>357</v>
      </c>
      <c r="AR1341" s="90" t="s">
        <v>405</v>
      </c>
      <c r="AS1341" s="90" t="s">
        <v>406</v>
      </c>
      <c r="AT1341" s="90" t="s">
        <v>244</v>
      </c>
      <c r="AU1341" s="90">
        <v>122.34610000000001</v>
      </c>
      <c r="AV1341" s="90">
        <v>130.20356132052001</v>
      </c>
      <c r="AW1341" s="90">
        <v>767.58053632837198</v>
      </c>
      <c r="AX1341" s="90">
        <v>0.58160463520000005</v>
      </c>
    </row>
    <row r="1342" spans="1:50" x14ac:dyDescent="0.25">
      <c r="A1342" s="102">
        <v>830000</v>
      </c>
      <c r="B1342" s="102">
        <v>2400000</v>
      </c>
      <c r="C1342" s="102">
        <v>2400000</v>
      </c>
      <c r="D1342" s="90" t="s">
        <v>374</v>
      </c>
      <c r="E1342" s="90" t="s">
        <v>68</v>
      </c>
      <c r="F1342" s="90" t="s">
        <v>375</v>
      </c>
      <c r="G1342" s="90" t="s">
        <v>376</v>
      </c>
      <c r="H1342" s="90">
        <v>0.59</v>
      </c>
      <c r="I1342" s="90">
        <v>0.64</v>
      </c>
      <c r="J1342" s="90" t="s">
        <v>244</v>
      </c>
      <c r="K1342" s="90">
        <v>2.5968611432800001E-3</v>
      </c>
      <c r="L1342" s="90">
        <v>3843.75010167864</v>
      </c>
      <c r="M1342" s="90">
        <v>8.6112899080278495</v>
      </c>
      <c r="N1342" s="90">
        <v>1.17128444154928</v>
      </c>
      <c r="O1342" s="90">
        <v>2.236232415574E-2</v>
      </c>
      <c r="P1342" s="90">
        <v>3.04166305399E-3</v>
      </c>
      <c r="Q1342" s="90">
        <v>9.9816852835585603</v>
      </c>
      <c r="R1342" s="90">
        <v>1300</v>
      </c>
      <c r="S1342" s="90" t="s">
        <v>387</v>
      </c>
      <c r="T1342" s="90">
        <v>1300</v>
      </c>
      <c r="U1342" s="90" t="s">
        <v>378</v>
      </c>
      <c r="V1342" s="90" t="s">
        <v>244</v>
      </c>
      <c r="Z1342" s="90">
        <v>0</v>
      </c>
      <c r="AA1342" s="90">
        <v>1</v>
      </c>
      <c r="AB1342" s="90">
        <v>2.236232415574E-2</v>
      </c>
      <c r="AC1342" s="90">
        <v>3.04166305399E-3</v>
      </c>
      <c r="AD1342" s="90">
        <v>9.9816852835571002</v>
      </c>
      <c r="AF1342" s="90">
        <v>-1</v>
      </c>
      <c r="AG1342" s="90">
        <v>-1</v>
      </c>
      <c r="AH1342" s="90">
        <v>-1</v>
      </c>
      <c r="AI1342" s="90">
        <v>-1</v>
      </c>
      <c r="AJ1342" s="90">
        <v>0</v>
      </c>
      <c r="AM1342" s="90" t="s">
        <v>379</v>
      </c>
      <c r="AN1342" s="90">
        <v>-1</v>
      </c>
      <c r="AQ1342" s="90">
        <v>357</v>
      </c>
      <c r="AR1342" s="90" t="s">
        <v>405</v>
      </c>
      <c r="AS1342" s="90" t="s">
        <v>406</v>
      </c>
      <c r="AT1342" s="90" t="s">
        <v>244</v>
      </c>
      <c r="AU1342" s="90">
        <v>122.34610000000001</v>
      </c>
      <c r="AV1342" s="90">
        <v>27.558107019203099</v>
      </c>
      <c r="AW1342" s="90">
        <v>10.509124195794501</v>
      </c>
      <c r="AX1342" s="90">
        <v>8.0954462999999997E-3</v>
      </c>
    </row>
    <row r="1343" spans="1:50" x14ac:dyDescent="0.25">
      <c r="A1343" s="102">
        <v>830000</v>
      </c>
      <c r="B1343" s="102">
        <v>2400000</v>
      </c>
      <c r="C1343" s="102">
        <v>2400000</v>
      </c>
      <c r="D1343" s="90" t="s">
        <v>374</v>
      </c>
      <c r="E1343" s="90" t="s">
        <v>68</v>
      </c>
      <c r="F1343" s="90" t="s">
        <v>375</v>
      </c>
      <c r="G1343" s="90" t="s">
        <v>376</v>
      </c>
      <c r="H1343" s="90">
        <v>0.59</v>
      </c>
      <c r="I1343" s="90">
        <v>0.64</v>
      </c>
      <c r="J1343" s="90" t="s">
        <v>244</v>
      </c>
      <c r="K1343" s="90">
        <v>8.8106490798199998E-3</v>
      </c>
      <c r="L1343" s="90">
        <v>3843.75010167864</v>
      </c>
      <c r="M1343" s="90">
        <v>8.6112899080278495</v>
      </c>
      <c r="N1343" s="90">
        <v>1.17128444154928</v>
      </c>
      <c r="O1343" s="90">
        <v>7.5871053504229999E-2</v>
      </c>
      <c r="P1343" s="90">
        <v>1.0319776187140001E-2</v>
      </c>
      <c r="Q1343" s="90">
        <v>33.865933296416699</v>
      </c>
      <c r="R1343" s="90">
        <v>1400</v>
      </c>
      <c r="S1343" s="90" t="s">
        <v>324</v>
      </c>
      <c r="T1343" s="90">
        <v>1400</v>
      </c>
      <c r="U1343" s="90" t="s">
        <v>378</v>
      </c>
      <c r="V1343" s="90" t="s">
        <v>244</v>
      </c>
      <c r="Z1343" s="90">
        <v>0</v>
      </c>
      <c r="AA1343" s="90">
        <v>1</v>
      </c>
      <c r="AB1343" s="90">
        <v>7.5871053504229999E-2</v>
      </c>
      <c r="AC1343" s="90">
        <v>1.0319776187140001E-2</v>
      </c>
      <c r="AD1343" s="90">
        <v>33.865933296417197</v>
      </c>
      <c r="AF1343" s="90">
        <v>-1</v>
      </c>
      <c r="AG1343" s="90">
        <v>-1</v>
      </c>
      <c r="AH1343" s="90">
        <v>-1</v>
      </c>
      <c r="AI1343" s="90">
        <v>-1</v>
      </c>
      <c r="AJ1343" s="90">
        <v>0</v>
      </c>
      <c r="AM1343" s="90" t="s">
        <v>379</v>
      </c>
      <c r="AN1343" s="90">
        <v>-1</v>
      </c>
      <c r="AQ1343" s="90">
        <v>357</v>
      </c>
      <c r="AR1343" s="90" t="s">
        <v>405</v>
      </c>
      <c r="AS1343" s="90" t="s">
        <v>406</v>
      </c>
      <c r="AT1343" s="90" t="s">
        <v>244</v>
      </c>
      <c r="AU1343" s="90">
        <v>122.34610000000001</v>
      </c>
      <c r="AV1343" s="90">
        <v>48.342422225796</v>
      </c>
      <c r="AW1343" s="90">
        <v>35.655431814186699</v>
      </c>
      <c r="AX1343" s="90">
        <v>2.7466288200000001E-2</v>
      </c>
    </row>
    <row r="1344" spans="1:50" x14ac:dyDescent="0.25">
      <c r="A1344" s="102">
        <v>830000</v>
      </c>
      <c r="B1344" s="102">
        <v>2400000</v>
      </c>
      <c r="C1344" s="102">
        <v>2400000</v>
      </c>
      <c r="D1344" s="90" t="s">
        <v>374</v>
      </c>
      <c r="E1344" s="90" t="s">
        <v>68</v>
      </c>
      <c r="F1344" s="90" t="s">
        <v>375</v>
      </c>
      <c r="G1344" s="90" t="s">
        <v>376</v>
      </c>
      <c r="H1344" s="90">
        <v>0.59</v>
      </c>
      <c r="I1344" s="90">
        <v>0.64</v>
      </c>
      <c r="J1344" s="90" t="s">
        <v>244</v>
      </c>
      <c r="K1344" s="90">
        <v>0.60635594326068998</v>
      </c>
      <c r="L1344" s="90">
        <v>3843.75010167864</v>
      </c>
      <c r="M1344" s="90">
        <v>8.6112899080278495</v>
      </c>
      <c r="N1344" s="90">
        <v>1.17128444154928</v>
      </c>
      <c r="O1344" s="90">
        <v>5.2215068148735497</v>
      </c>
      <c r="P1344" s="90">
        <v>0.71021528238219001</v>
      </c>
      <c r="Q1344" s="90">
        <v>2330.6807185617499</v>
      </c>
      <c r="R1344" s="90">
        <v>1450</v>
      </c>
      <c r="S1344" s="90" t="s">
        <v>391</v>
      </c>
      <c r="T1344" s="90">
        <v>1450</v>
      </c>
      <c r="U1344" s="90" t="s">
        <v>378</v>
      </c>
      <c r="V1344" s="90" t="s">
        <v>244</v>
      </c>
      <c r="Z1344" s="90">
        <v>0</v>
      </c>
      <c r="AA1344" s="90">
        <v>1</v>
      </c>
      <c r="AB1344" s="90">
        <v>5.2215068148735497</v>
      </c>
      <c r="AC1344" s="90">
        <v>0.71021528238219001</v>
      </c>
      <c r="AD1344" s="90">
        <v>2330.6807185617499</v>
      </c>
      <c r="AF1344" s="90">
        <v>-1</v>
      </c>
      <c r="AG1344" s="90">
        <v>-1</v>
      </c>
      <c r="AH1344" s="90">
        <v>-1</v>
      </c>
      <c r="AI1344" s="90">
        <v>-1</v>
      </c>
      <c r="AJ1344" s="90">
        <v>0</v>
      </c>
      <c r="AM1344" s="90" t="s">
        <v>379</v>
      </c>
      <c r="AN1344" s="90">
        <v>-1</v>
      </c>
      <c r="AQ1344" s="90">
        <v>357</v>
      </c>
      <c r="AR1344" s="90" t="s">
        <v>405</v>
      </c>
      <c r="AS1344" s="90" t="s">
        <v>406</v>
      </c>
      <c r="AT1344" s="90" t="s">
        <v>244</v>
      </c>
      <c r="AU1344" s="90">
        <v>122.34610000000001</v>
      </c>
      <c r="AV1344" s="90">
        <v>196.29704480293901</v>
      </c>
      <c r="AW1344" s="90">
        <v>2453.8354432449601</v>
      </c>
      <c r="AX1344" s="90">
        <v>1.8902520021</v>
      </c>
    </row>
    <row r="1345" spans="1:50" x14ac:dyDescent="0.25">
      <c r="A1345" s="102">
        <v>830000</v>
      </c>
      <c r="B1345" s="102">
        <v>2400000</v>
      </c>
      <c r="C1345" s="102">
        <v>2400000</v>
      </c>
      <c r="D1345" s="90" t="s">
        <v>374</v>
      </c>
      <c r="E1345" s="90" t="s">
        <v>68</v>
      </c>
      <c r="F1345" s="90" t="s">
        <v>375</v>
      </c>
      <c r="G1345" s="90" t="s">
        <v>376</v>
      </c>
      <c r="H1345" s="90">
        <v>0.59</v>
      </c>
      <c r="I1345" s="90">
        <v>0.64</v>
      </c>
      <c r="J1345" s="90" t="s">
        <v>244</v>
      </c>
      <c r="K1345" s="90">
        <v>7.7185864716330002E-2</v>
      </c>
      <c r="L1345" s="90">
        <v>3698.3444635528199</v>
      </c>
      <c r="M1345" s="90">
        <v>10.047417725397599</v>
      </c>
      <c r="N1345" s="90">
        <v>1.7593688031632899</v>
      </c>
      <c r="O1345" s="90">
        <v>0.77551862530103</v>
      </c>
      <c r="P1345" s="90">
        <v>0.13579840242708999</v>
      </c>
      <c r="Q1345" s="90">
        <v>285.45991543818701</v>
      </c>
      <c r="R1345" s="90">
        <v>1200</v>
      </c>
      <c r="S1345" s="90" t="s">
        <v>384</v>
      </c>
      <c r="T1345" s="90">
        <v>1200</v>
      </c>
      <c r="U1345" s="90" t="s">
        <v>378</v>
      </c>
      <c r="V1345" s="90" t="s">
        <v>244</v>
      </c>
      <c r="Z1345" s="90">
        <v>0</v>
      </c>
      <c r="AA1345" s="90">
        <v>1</v>
      </c>
      <c r="AB1345" s="90">
        <v>0.77551862530103</v>
      </c>
      <c r="AC1345" s="90">
        <v>0.13579840242708999</v>
      </c>
      <c r="AD1345" s="90">
        <v>285.45991543818502</v>
      </c>
      <c r="AF1345" s="90">
        <v>-1</v>
      </c>
      <c r="AG1345" s="90">
        <v>-1</v>
      </c>
      <c r="AH1345" s="90">
        <v>-1</v>
      </c>
      <c r="AI1345" s="90">
        <v>-1</v>
      </c>
      <c r="AJ1345" s="90">
        <v>0</v>
      </c>
      <c r="AM1345" s="90" t="s">
        <v>379</v>
      </c>
      <c r="AN1345" s="90">
        <v>-1</v>
      </c>
      <c r="AQ1345" s="90">
        <v>357</v>
      </c>
      <c r="AR1345" s="90" t="s">
        <v>405</v>
      </c>
      <c r="AS1345" s="90" t="s">
        <v>406</v>
      </c>
      <c r="AT1345" s="90" t="s">
        <v>244</v>
      </c>
      <c r="AU1345" s="90">
        <v>122.34610000000001</v>
      </c>
      <c r="AV1345" s="90">
        <v>112.83348902271899</v>
      </c>
      <c r="AW1345" s="90">
        <v>312.360112345787</v>
      </c>
      <c r="AX1345" s="90">
        <v>0.2315165575</v>
      </c>
    </row>
    <row r="1346" spans="1:50" x14ac:dyDescent="0.25">
      <c r="A1346" s="102">
        <v>830000</v>
      </c>
      <c r="B1346" s="102">
        <v>2400000</v>
      </c>
      <c r="C1346" s="102">
        <v>2400000</v>
      </c>
      <c r="D1346" s="90" t="s">
        <v>374</v>
      </c>
      <c r="E1346" s="90" t="s">
        <v>68</v>
      </c>
      <c r="F1346" s="90" t="s">
        <v>375</v>
      </c>
      <c r="G1346" s="90" t="s">
        <v>376</v>
      </c>
      <c r="H1346" s="90">
        <v>0.59</v>
      </c>
      <c r="I1346" s="90">
        <v>0.64</v>
      </c>
      <c r="J1346" s="90" t="s">
        <v>244</v>
      </c>
      <c r="K1346" s="90">
        <v>0.10469701380117</v>
      </c>
      <c r="L1346" s="90">
        <v>3698.3444635528199</v>
      </c>
      <c r="M1346" s="90">
        <v>10.047417725397599</v>
      </c>
      <c r="N1346" s="90">
        <v>1.7593688031632899</v>
      </c>
      <c r="O1346" s="90">
        <v>1.0519346322621399</v>
      </c>
      <c r="P1346" s="90">
        <v>0.18420065986614001</v>
      </c>
      <c r="Q1346" s="90">
        <v>387.20562134209302</v>
      </c>
      <c r="R1346" s="90">
        <v>1300</v>
      </c>
      <c r="S1346" s="90" t="s">
        <v>387</v>
      </c>
      <c r="T1346" s="90">
        <v>1300</v>
      </c>
      <c r="U1346" s="90" t="s">
        <v>378</v>
      </c>
      <c r="V1346" s="90" t="s">
        <v>244</v>
      </c>
      <c r="Z1346" s="90">
        <v>0</v>
      </c>
      <c r="AA1346" s="90">
        <v>1</v>
      </c>
      <c r="AB1346" s="90">
        <v>1.0519346322621399</v>
      </c>
      <c r="AC1346" s="90">
        <v>0.18420065986614001</v>
      </c>
      <c r="AD1346" s="90">
        <v>387.20562134209302</v>
      </c>
      <c r="AF1346" s="90">
        <v>-1</v>
      </c>
      <c r="AG1346" s="90">
        <v>-1</v>
      </c>
      <c r="AH1346" s="90">
        <v>-1</v>
      </c>
      <c r="AI1346" s="90">
        <v>-1</v>
      </c>
      <c r="AJ1346" s="90">
        <v>0</v>
      </c>
      <c r="AM1346" s="90" t="s">
        <v>379</v>
      </c>
      <c r="AN1346" s="90">
        <v>-1</v>
      </c>
      <c r="AQ1346" s="90">
        <v>357</v>
      </c>
      <c r="AR1346" s="90" t="s">
        <v>405</v>
      </c>
      <c r="AS1346" s="90" t="s">
        <v>406</v>
      </c>
      <c r="AT1346" s="90" t="s">
        <v>244</v>
      </c>
      <c r="AU1346" s="90">
        <v>122.34610000000001</v>
      </c>
      <c r="AV1346" s="90">
        <v>117.636394098661</v>
      </c>
      <c r="AW1346" s="90">
        <v>423.693782707389</v>
      </c>
      <c r="AX1346" s="90">
        <v>0.31403537819999999</v>
      </c>
    </row>
    <row r="1347" spans="1:50" x14ac:dyDescent="0.25">
      <c r="A1347" s="102">
        <v>830000</v>
      </c>
      <c r="B1347" s="102">
        <v>2400000</v>
      </c>
      <c r="C1347" s="102">
        <v>2400000</v>
      </c>
      <c r="D1347" s="90" t="s">
        <v>374</v>
      </c>
      <c r="E1347" s="90" t="s">
        <v>68</v>
      </c>
      <c r="F1347" s="90" t="s">
        <v>375</v>
      </c>
      <c r="G1347" s="90" t="s">
        <v>376</v>
      </c>
      <c r="H1347" s="90">
        <v>0.59</v>
      </c>
      <c r="I1347" s="90">
        <v>0.64</v>
      </c>
      <c r="J1347" s="90" t="s">
        <v>244</v>
      </c>
      <c r="K1347" s="90">
        <v>3.7450270115070003E-2</v>
      </c>
      <c r="L1347" s="90">
        <v>3680.9217918587501</v>
      </c>
      <c r="M1347" s="90">
        <v>9.7191131614503199</v>
      </c>
      <c r="N1347" s="90">
        <v>1.61351510507424</v>
      </c>
      <c r="O1347" s="90">
        <v>0.36398341317533001</v>
      </c>
      <c r="P1347" s="90">
        <v>6.0426576519789998E-2</v>
      </c>
      <c r="Q1347" s="90">
        <v>137.85151537759</v>
      </c>
      <c r="R1347" s="90">
        <v>1200</v>
      </c>
      <c r="S1347" s="90" t="s">
        <v>384</v>
      </c>
      <c r="T1347" s="90">
        <v>1200</v>
      </c>
      <c r="U1347" s="90" t="s">
        <v>378</v>
      </c>
      <c r="V1347" s="90" t="s">
        <v>244</v>
      </c>
      <c r="Z1347" s="90">
        <v>0</v>
      </c>
      <c r="AA1347" s="90">
        <v>1</v>
      </c>
      <c r="AB1347" s="90">
        <v>0.36398341317533001</v>
      </c>
      <c r="AC1347" s="90">
        <v>6.0426576519789998E-2</v>
      </c>
      <c r="AD1347" s="90">
        <v>137.85151537759</v>
      </c>
      <c r="AF1347" s="90">
        <v>-1</v>
      </c>
      <c r="AG1347" s="90">
        <v>-1</v>
      </c>
      <c r="AH1347" s="90">
        <v>-1</v>
      </c>
      <c r="AI1347" s="90">
        <v>-1</v>
      </c>
      <c r="AJ1347" s="90">
        <v>0</v>
      </c>
      <c r="AM1347" s="90" t="s">
        <v>379</v>
      </c>
      <c r="AN1347" s="90">
        <v>-1</v>
      </c>
      <c r="AQ1347" s="90">
        <v>357</v>
      </c>
      <c r="AR1347" s="90" t="s">
        <v>405</v>
      </c>
      <c r="AS1347" s="90" t="s">
        <v>406</v>
      </c>
      <c r="AT1347" s="90" t="s">
        <v>244</v>
      </c>
      <c r="AU1347" s="90">
        <v>122.34610000000001</v>
      </c>
      <c r="AV1347" s="90">
        <v>50.609125332605402</v>
      </c>
      <c r="AW1347" s="90">
        <v>151.55586613582199</v>
      </c>
      <c r="AX1347" s="90">
        <v>0.1118017156</v>
      </c>
    </row>
    <row r="1348" spans="1:50" x14ac:dyDescent="0.25">
      <c r="A1348" s="102">
        <v>830000</v>
      </c>
      <c r="B1348" s="102">
        <v>2400000</v>
      </c>
      <c r="C1348" s="102">
        <v>2400000</v>
      </c>
      <c r="D1348" s="90" t="s">
        <v>374</v>
      </c>
      <c r="E1348" s="90" t="s">
        <v>68</v>
      </c>
      <c r="F1348" s="90" t="s">
        <v>375</v>
      </c>
      <c r="G1348" s="90" t="s">
        <v>376</v>
      </c>
      <c r="H1348" s="90">
        <v>0.59</v>
      </c>
      <c r="I1348" s="90">
        <v>0.64</v>
      </c>
      <c r="J1348" s="90" t="s">
        <v>244</v>
      </c>
      <c r="K1348" s="90">
        <v>0.18123262764292999</v>
      </c>
      <c r="L1348" s="90">
        <v>3680.9217918587501</v>
      </c>
      <c r="M1348" s="90">
        <v>9.7191131614503199</v>
      </c>
      <c r="N1348" s="90">
        <v>1.61351510507424</v>
      </c>
      <c r="O1348" s="90">
        <v>1.7614204166087</v>
      </c>
      <c r="P1348" s="90">
        <v>0.29242158223416997</v>
      </c>
      <c r="Q1348" s="90">
        <v>667.10312848671299</v>
      </c>
      <c r="R1348" s="90">
        <v>1300</v>
      </c>
      <c r="S1348" s="90" t="s">
        <v>387</v>
      </c>
      <c r="T1348" s="90">
        <v>1300</v>
      </c>
      <c r="U1348" s="90" t="s">
        <v>378</v>
      </c>
      <c r="V1348" s="90" t="s">
        <v>244</v>
      </c>
      <c r="Z1348" s="90">
        <v>0</v>
      </c>
      <c r="AA1348" s="90">
        <v>1</v>
      </c>
      <c r="AB1348" s="90">
        <v>1.7614204166087</v>
      </c>
      <c r="AC1348" s="90">
        <v>0.29242158223416997</v>
      </c>
      <c r="AD1348" s="90">
        <v>667.10312848671299</v>
      </c>
      <c r="AF1348" s="90">
        <v>-1</v>
      </c>
      <c r="AG1348" s="90">
        <v>-1</v>
      </c>
      <c r="AH1348" s="90">
        <v>-1</v>
      </c>
      <c r="AI1348" s="90">
        <v>-1</v>
      </c>
      <c r="AJ1348" s="90">
        <v>0</v>
      </c>
      <c r="AM1348" s="90" t="s">
        <v>379</v>
      </c>
      <c r="AN1348" s="90">
        <v>-1</v>
      </c>
      <c r="AQ1348" s="90">
        <v>357</v>
      </c>
      <c r="AR1348" s="90" t="s">
        <v>405</v>
      </c>
      <c r="AS1348" s="90" t="s">
        <v>406</v>
      </c>
      <c r="AT1348" s="90" t="s">
        <v>244</v>
      </c>
      <c r="AU1348" s="90">
        <v>122.34610000000001</v>
      </c>
      <c r="AV1348" s="90">
        <v>133.390741398302</v>
      </c>
      <c r="AW1348" s="90">
        <v>733.422423125249</v>
      </c>
      <c r="AX1348" s="90">
        <v>0.54104065570000004</v>
      </c>
    </row>
    <row r="1349" spans="1:50" x14ac:dyDescent="0.25">
      <c r="A1349" s="102">
        <v>830000</v>
      </c>
      <c r="B1349" s="102">
        <v>2400000</v>
      </c>
      <c r="C1349" s="102">
        <v>2400000</v>
      </c>
      <c r="D1349" s="90" t="s">
        <v>374</v>
      </c>
      <c r="E1349" s="90" t="s">
        <v>68</v>
      </c>
      <c r="F1349" s="90" t="s">
        <v>375</v>
      </c>
      <c r="G1349" s="90" t="s">
        <v>376</v>
      </c>
      <c r="H1349" s="90">
        <v>0.59</v>
      </c>
      <c r="I1349" s="90">
        <v>0.64</v>
      </c>
      <c r="J1349" s="90" t="s">
        <v>244</v>
      </c>
      <c r="K1349" s="90">
        <v>0.12308705898256</v>
      </c>
      <c r="L1349" s="90">
        <v>3680.9217918587501</v>
      </c>
      <c r="M1349" s="90">
        <v>9.7191131614503199</v>
      </c>
      <c r="N1349" s="90">
        <v>1.61351510507424</v>
      </c>
      <c r="O1349" s="90">
        <v>1.19629705496169</v>
      </c>
      <c r="P1349" s="90">
        <v>0.19860282890753</v>
      </c>
      <c r="Q1349" s="90">
        <v>453.073837704742</v>
      </c>
      <c r="R1349" s="90">
        <v>1210</v>
      </c>
      <c r="S1349" s="90" t="s">
        <v>385</v>
      </c>
      <c r="T1349" s="90">
        <v>1210</v>
      </c>
      <c r="U1349" s="90" t="s">
        <v>378</v>
      </c>
      <c r="V1349" s="90" t="s">
        <v>244</v>
      </c>
      <c r="Z1349" s="90">
        <v>0</v>
      </c>
      <c r="AA1349" s="90">
        <v>1</v>
      </c>
      <c r="AB1349" s="90">
        <v>1.19629705496169</v>
      </c>
      <c r="AC1349" s="90">
        <v>0.19860282890753</v>
      </c>
      <c r="AD1349" s="90">
        <v>453.073837704742</v>
      </c>
      <c r="AF1349" s="90">
        <v>-1</v>
      </c>
      <c r="AG1349" s="90">
        <v>-1</v>
      </c>
      <c r="AH1349" s="90">
        <v>-1</v>
      </c>
      <c r="AI1349" s="90">
        <v>-1</v>
      </c>
      <c r="AJ1349" s="90">
        <v>0</v>
      </c>
      <c r="AM1349" s="90" t="s">
        <v>379</v>
      </c>
      <c r="AN1349" s="90">
        <v>-1</v>
      </c>
      <c r="AQ1349" s="90">
        <v>357</v>
      </c>
      <c r="AR1349" s="90" t="s">
        <v>405</v>
      </c>
      <c r="AS1349" s="90" t="s">
        <v>406</v>
      </c>
      <c r="AT1349" s="90" t="s">
        <v>244</v>
      </c>
      <c r="AU1349" s="90">
        <v>122.34610000000001</v>
      </c>
      <c r="AV1349" s="90">
        <v>90.415066864516106</v>
      </c>
      <c r="AW1349" s="90">
        <v>498.11565515793899</v>
      </c>
      <c r="AX1349" s="90">
        <v>0.3674564783</v>
      </c>
    </row>
    <row r="1350" spans="1:50" x14ac:dyDescent="0.25">
      <c r="A1350" s="102">
        <v>830000</v>
      </c>
      <c r="B1350" s="102">
        <v>2400000</v>
      </c>
      <c r="C1350" s="102">
        <v>2400000</v>
      </c>
      <c r="D1350" s="90" t="s">
        <v>374</v>
      </c>
      <c r="E1350" s="90" t="s">
        <v>68</v>
      </c>
      <c r="F1350" s="90" t="s">
        <v>375</v>
      </c>
      <c r="G1350" s="90" t="s">
        <v>376</v>
      </c>
      <c r="H1350" s="90">
        <v>0.59</v>
      </c>
      <c r="I1350" s="90">
        <v>0.64</v>
      </c>
      <c r="J1350" s="90" t="s">
        <v>244</v>
      </c>
      <c r="K1350" s="90">
        <v>1.8929225048430001E-2</v>
      </c>
      <c r="L1350" s="90">
        <v>3680.9217918587501</v>
      </c>
      <c r="M1350" s="90">
        <v>9.7191131614503199</v>
      </c>
      <c r="N1350" s="90">
        <v>1.61351510507424</v>
      </c>
      <c r="O1350" s="90">
        <v>0.18397528030431001</v>
      </c>
      <c r="P1350" s="90">
        <v>3.0542590543000001E-2</v>
      </c>
      <c r="Q1350" s="90">
        <v>69.676996983790303</v>
      </c>
      <c r="R1350" s="90">
        <v>1210</v>
      </c>
      <c r="S1350" s="90" t="s">
        <v>385</v>
      </c>
      <c r="T1350" s="90">
        <v>1210</v>
      </c>
      <c r="U1350" s="90" t="s">
        <v>378</v>
      </c>
      <c r="V1350" s="90" t="s">
        <v>244</v>
      </c>
      <c r="Z1350" s="90">
        <v>0</v>
      </c>
      <c r="AA1350" s="90">
        <v>1</v>
      </c>
      <c r="AB1350" s="90">
        <v>0.18397528030431001</v>
      </c>
      <c r="AC1350" s="90">
        <v>3.0542590543000001E-2</v>
      </c>
      <c r="AD1350" s="90">
        <v>69.676996983788797</v>
      </c>
      <c r="AF1350" s="90">
        <v>-1</v>
      </c>
      <c r="AG1350" s="90">
        <v>-1</v>
      </c>
      <c r="AH1350" s="90">
        <v>-1</v>
      </c>
      <c r="AI1350" s="90">
        <v>-1</v>
      </c>
      <c r="AJ1350" s="90">
        <v>0</v>
      </c>
      <c r="AM1350" s="90" t="s">
        <v>379</v>
      </c>
      <c r="AN1350" s="90">
        <v>-1</v>
      </c>
      <c r="AQ1350" s="90">
        <v>357</v>
      </c>
      <c r="AR1350" s="90" t="s">
        <v>405</v>
      </c>
      <c r="AS1350" s="90" t="s">
        <v>406</v>
      </c>
      <c r="AT1350" s="90" t="s">
        <v>244</v>
      </c>
      <c r="AU1350" s="90">
        <v>122.34610000000001</v>
      </c>
      <c r="AV1350" s="90">
        <v>49.299997082764101</v>
      </c>
      <c r="AW1350" s="90">
        <v>76.603855958320807</v>
      </c>
      <c r="AX1350" s="90">
        <v>5.6510135400000001E-2</v>
      </c>
    </row>
    <row r="1351" spans="1:50" x14ac:dyDescent="0.25">
      <c r="A1351" s="102">
        <v>830000</v>
      </c>
      <c r="B1351" s="102">
        <v>2400000</v>
      </c>
      <c r="C1351" s="102">
        <v>2400000</v>
      </c>
      <c r="D1351" s="90" t="s">
        <v>374</v>
      </c>
      <c r="E1351" s="90" t="s">
        <v>68</v>
      </c>
      <c r="F1351" s="90" t="s">
        <v>375</v>
      </c>
      <c r="G1351" s="90" t="s">
        <v>376</v>
      </c>
      <c r="H1351" s="90">
        <v>0.59</v>
      </c>
      <c r="I1351" s="90">
        <v>0.64</v>
      </c>
      <c r="J1351" s="90" t="s">
        <v>244</v>
      </c>
      <c r="K1351" s="90">
        <v>0.19851665710920999</v>
      </c>
      <c r="L1351" s="90">
        <v>3680.9217918587501</v>
      </c>
      <c r="M1351" s="90">
        <v>9.7191131614503199</v>
      </c>
      <c r="N1351" s="90">
        <v>1.61351510507424</v>
      </c>
      <c r="O1351" s="90">
        <v>1.9294058548773301</v>
      </c>
      <c r="P1351" s="90">
        <v>0.32030962485455999</v>
      </c>
      <c r="Q1351" s="90">
        <v>730.72428920027596</v>
      </c>
      <c r="R1351" s="90">
        <v>1210</v>
      </c>
      <c r="S1351" s="90" t="s">
        <v>385</v>
      </c>
      <c r="T1351" s="90">
        <v>1210</v>
      </c>
      <c r="U1351" s="90" t="s">
        <v>378</v>
      </c>
      <c r="V1351" s="90" t="s">
        <v>244</v>
      </c>
      <c r="Z1351" s="90">
        <v>0</v>
      </c>
      <c r="AA1351" s="90">
        <v>1</v>
      </c>
      <c r="AB1351" s="90">
        <v>1.9294058548773301</v>
      </c>
      <c r="AC1351" s="90">
        <v>0.32030962485455999</v>
      </c>
      <c r="AD1351" s="90">
        <v>730.72428920027596</v>
      </c>
      <c r="AF1351" s="90">
        <v>-1</v>
      </c>
      <c r="AG1351" s="90">
        <v>-1</v>
      </c>
      <c r="AH1351" s="90">
        <v>-1</v>
      </c>
      <c r="AI1351" s="90">
        <v>-1</v>
      </c>
      <c r="AJ1351" s="90">
        <v>0</v>
      </c>
      <c r="AM1351" s="90" t="s">
        <v>379</v>
      </c>
      <c r="AN1351" s="90">
        <v>-1</v>
      </c>
      <c r="AQ1351" s="90">
        <v>357</v>
      </c>
      <c r="AR1351" s="90" t="s">
        <v>405</v>
      </c>
      <c r="AS1351" s="90" t="s">
        <v>406</v>
      </c>
      <c r="AT1351" s="90" t="s">
        <v>244</v>
      </c>
      <c r="AU1351" s="90">
        <v>122.34610000000001</v>
      </c>
      <c r="AV1351" s="90">
        <v>114.02557887608</v>
      </c>
      <c r="AW1351" s="90">
        <v>803.36840877581994</v>
      </c>
      <c r="AX1351" s="90">
        <v>0.59263932620000004</v>
      </c>
    </row>
    <row r="1352" spans="1:50" x14ac:dyDescent="0.25">
      <c r="A1352" s="102">
        <v>830000</v>
      </c>
      <c r="B1352" s="102">
        <v>2400000</v>
      </c>
      <c r="C1352" s="102">
        <v>2400000</v>
      </c>
      <c r="D1352" s="90" t="s">
        <v>374</v>
      </c>
      <c r="E1352" s="90" t="s">
        <v>68</v>
      </c>
      <c r="F1352" s="90" t="s">
        <v>375</v>
      </c>
      <c r="G1352" s="90" t="s">
        <v>376</v>
      </c>
      <c r="H1352" s="90">
        <v>0.59</v>
      </c>
      <c r="I1352" s="90">
        <v>0.64</v>
      </c>
      <c r="J1352" s="90" t="s">
        <v>244</v>
      </c>
      <c r="K1352" s="90">
        <v>4.7095229564949999E-2</v>
      </c>
      <c r="L1352" s="90">
        <v>3680.9217918587501</v>
      </c>
      <c r="M1352" s="90">
        <v>9.7191131614503199</v>
      </c>
      <c r="N1352" s="90">
        <v>1.61351510507424</v>
      </c>
      <c r="O1352" s="90">
        <v>0.45772386550623001</v>
      </c>
      <c r="P1352" s="90">
        <v>7.5988864279980001E-2</v>
      </c>
      <c r="Q1352" s="90">
        <v>173.35385679821499</v>
      </c>
      <c r="R1352" s="90">
        <v>1300</v>
      </c>
      <c r="S1352" s="90" t="s">
        <v>387</v>
      </c>
      <c r="T1352" s="90">
        <v>1300</v>
      </c>
      <c r="U1352" s="90" t="s">
        <v>378</v>
      </c>
      <c r="V1352" s="90" t="s">
        <v>244</v>
      </c>
      <c r="Z1352" s="90">
        <v>0</v>
      </c>
      <c r="AA1352" s="90">
        <v>1</v>
      </c>
      <c r="AB1352" s="90">
        <v>0.45772386550623001</v>
      </c>
      <c r="AC1352" s="90">
        <v>7.5988864279980001E-2</v>
      </c>
      <c r="AD1352" s="90">
        <v>173.35385679821599</v>
      </c>
      <c r="AF1352" s="90">
        <v>-1</v>
      </c>
      <c r="AG1352" s="90">
        <v>-1</v>
      </c>
      <c r="AH1352" s="90">
        <v>-1</v>
      </c>
      <c r="AI1352" s="90">
        <v>-1</v>
      </c>
      <c r="AJ1352" s="90">
        <v>0</v>
      </c>
      <c r="AM1352" s="90" t="s">
        <v>379</v>
      </c>
      <c r="AN1352" s="90">
        <v>-1</v>
      </c>
      <c r="AQ1352" s="90">
        <v>357</v>
      </c>
      <c r="AR1352" s="90" t="s">
        <v>405</v>
      </c>
      <c r="AS1352" s="90" t="s">
        <v>406</v>
      </c>
      <c r="AT1352" s="90" t="s">
        <v>244</v>
      </c>
      <c r="AU1352" s="90">
        <v>122.34610000000001</v>
      </c>
      <c r="AV1352" s="90">
        <v>71.465055044688697</v>
      </c>
      <c r="AW1352" s="90">
        <v>190.587632229321</v>
      </c>
      <c r="AX1352" s="90">
        <v>0.14059517990000001</v>
      </c>
    </row>
    <row r="1353" spans="1:50" x14ac:dyDescent="0.25">
      <c r="A1353" s="102">
        <v>830000</v>
      </c>
      <c r="B1353" s="102">
        <v>2400000</v>
      </c>
      <c r="C1353" s="102">
        <v>2400000</v>
      </c>
      <c r="D1353" s="90" t="s">
        <v>374</v>
      </c>
      <c r="E1353" s="90" t="s">
        <v>68</v>
      </c>
      <c r="F1353" s="90" t="s">
        <v>375</v>
      </c>
      <c r="G1353" s="90" t="s">
        <v>376</v>
      </c>
      <c r="H1353" s="90">
        <v>0.59</v>
      </c>
      <c r="I1353" s="90">
        <v>0.64</v>
      </c>
      <c r="J1353" s="90" t="s">
        <v>244</v>
      </c>
      <c r="K1353" s="90">
        <v>8.3796401389300001E-3</v>
      </c>
      <c r="L1353" s="90">
        <v>3779.6699366682501</v>
      </c>
      <c r="M1353" s="90">
        <v>10.6320362905861</v>
      </c>
      <c r="N1353" s="90">
        <v>1.9281669434622799</v>
      </c>
      <c r="O1353" s="90">
        <v>8.9092638059220006E-2</v>
      </c>
      <c r="P1353" s="90">
        <v>1.6157345114E-2</v>
      </c>
      <c r="Q1353" s="90">
        <v>31.6722739132349</v>
      </c>
      <c r="R1353" s="90">
        <v>1300</v>
      </c>
      <c r="S1353" s="90" t="s">
        <v>387</v>
      </c>
      <c r="T1353" s="90">
        <v>1300</v>
      </c>
      <c r="U1353" s="90" t="s">
        <v>378</v>
      </c>
      <c r="V1353" s="90" t="s">
        <v>244</v>
      </c>
      <c r="Z1353" s="90">
        <v>0</v>
      </c>
      <c r="AA1353" s="90">
        <v>1</v>
      </c>
      <c r="AB1353" s="90">
        <v>8.9092638059220006E-2</v>
      </c>
      <c r="AC1353" s="90">
        <v>1.6157345114E-2</v>
      </c>
      <c r="AD1353" s="90">
        <v>164.55279331556</v>
      </c>
      <c r="AF1353" s="90">
        <v>-1</v>
      </c>
      <c r="AG1353" s="90">
        <v>-1</v>
      </c>
      <c r="AH1353" s="90">
        <v>-1</v>
      </c>
      <c r="AI1353" s="90">
        <v>-1</v>
      </c>
      <c r="AJ1353" s="90">
        <v>0</v>
      </c>
      <c r="AM1353" s="90" t="s">
        <v>379</v>
      </c>
      <c r="AN1353" s="90">
        <v>-1</v>
      </c>
      <c r="AQ1353" s="90">
        <v>357</v>
      </c>
      <c r="AR1353" s="90" t="s">
        <v>405</v>
      </c>
      <c r="AS1353" s="90" t="s">
        <v>406</v>
      </c>
      <c r="AT1353" s="90" t="s">
        <v>244</v>
      </c>
      <c r="AU1353" s="90">
        <v>122.34610000000001</v>
      </c>
      <c r="AV1353" s="90">
        <v>23.381881939638099</v>
      </c>
      <c r="AW1353" s="90">
        <v>33.911200513653597</v>
      </c>
      <c r="AX1353" s="90">
        <v>0.13345725329999999</v>
      </c>
    </row>
    <row r="1354" spans="1:50" x14ac:dyDescent="0.25">
      <c r="A1354" s="102">
        <v>830000</v>
      </c>
      <c r="B1354" s="102">
        <v>2400000</v>
      </c>
      <c r="C1354" s="102">
        <v>2400000</v>
      </c>
      <c r="D1354" s="90" t="s">
        <v>374</v>
      </c>
      <c r="E1354" s="90" t="s">
        <v>68</v>
      </c>
      <c r="F1354" s="90" t="s">
        <v>375</v>
      </c>
      <c r="G1354" s="90" t="s">
        <v>376</v>
      </c>
      <c r="H1354" s="90">
        <v>0.59</v>
      </c>
      <c r="I1354" s="90">
        <v>0.64</v>
      </c>
      <c r="J1354" s="90" t="s">
        <v>244</v>
      </c>
      <c r="K1354" s="90">
        <v>8.0790678227119994E-2</v>
      </c>
      <c r="L1354" s="90">
        <v>3779.6699366682501</v>
      </c>
      <c r="M1354" s="90">
        <v>10.6320362905861</v>
      </c>
      <c r="N1354" s="90">
        <v>1.9281669434622799</v>
      </c>
      <c r="O1354" s="90">
        <v>0.85896942285189004</v>
      </c>
      <c r="P1354" s="90">
        <v>0.15577791509743999</v>
      </c>
      <c r="Q1354" s="90">
        <v>305.36209765811401</v>
      </c>
      <c r="R1354" s="90">
        <v>1300</v>
      </c>
      <c r="S1354" s="90" t="s">
        <v>387</v>
      </c>
      <c r="T1354" s="90">
        <v>1300</v>
      </c>
      <c r="U1354" s="90" t="s">
        <v>378</v>
      </c>
      <c r="V1354" s="90" t="s">
        <v>244</v>
      </c>
      <c r="Z1354" s="90">
        <v>0</v>
      </c>
      <c r="AA1354" s="90">
        <v>1</v>
      </c>
      <c r="AB1354" s="90">
        <v>0.85896942285189004</v>
      </c>
      <c r="AC1354" s="90">
        <v>0.15577791509743999</v>
      </c>
      <c r="AD1354" s="90">
        <v>1269.01917818979</v>
      </c>
      <c r="AF1354" s="90">
        <v>-1</v>
      </c>
      <c r="AG1354" s="90">
        <v>-1</v>
      </c>
      <c r="AH1354" s="90">
        <v>-1</v>
      </c>
      <c r="AI1354" s="90">
        <v>-1</v>
      </c>
      <c r="AJ1354" s="90">
        <v>0</v>
      </c>
      <c r="AM1354" s="90" t="s">
        <v>379</v>
      </c>
      <c r="AN1354" s="90">
        <v>-1</v>
      </c>
      <c r="AQ1354" s="90">
        <v>357</v>
      </c>
      <c r="AR1354" s="90" t="s">
        <v>405</v>
      </c>
      <c r="AS1354" s="90" t="s">
        <v>406</v>
      </c>
      <c r="AT1354" s="90" t="s">
        <v>244</v>
      </c>
      <c r="AU1354" s="90">
        <v>122.34610000000001</v>
      </c>
      <c r="AV1354" s="90">
        <v>102.540858970196</v>
      </c>
      <c r="AW1354" s="90">
        <v>326.94827505350298</v>
      </c>
      <c r="AX1354" s="90">
        <v>1.0292126344000001</v>
      </c>
    </row>
    <row r="1355" spans="1:50" x14ac:dyDescent="0.25">
      <c r="A1355" s="102">
        <v>830000</v>
      </c>
      <c r="B1355" s="102">
        <v>2400000</v>
      </c>
      <c r="C1355" s="102">
        <v>2400000</v>
      </c>
      <c r="D1355" s="90" t="s">
        <v>374</v>
      </c>
      <c r="E1355" s="90" t="s">
        <v>68</v>
      </c>
      <c r="F1355" s="90" t="s">
        <v>375</v>
      </c>
      <c r="G1355" s="90" t="s">
        <v>376</v>
      </c>
      <c r="H1355" s="90">
        <v>0.59</v>
      </c>
      <c r="I1355" s="90">
        <v>0.64</v>
      </c>
      <c r="J1355" s="90" t="s">
        <v>244</v>
      </c>
      <c r="K1355" s="90">
        <v>0.18676470794693001</v>
      </c>
      <c r="L1355" s="90">
        <v>3678.7829118453101</v>
      </c>
      <c r="M1355" s="90">
        <v>9.4375577489819698</v>
      </c>
      <c r="N1355" s="90">
        <v>1.47802769219029</v>
      </c>
      <c r="O1355" s="90">
        <v>1.7626027167209499</v>
      </c>
      <c r="P1355" s="90">
        <v>0.27604341026939999</v>
      </c>
      <c r="Q1355" s="90">
        <v>687.066816130966</v>
      </c>
      <c r="R1355" s="90">
        <v>1200</v>
      </c>
      <c r="S1355" s="90" t="s">
        <v>384</v>
      </c>
      <c r="T1355" s="90">
        <v>1200</v>
      </c>
      <c r="U1355" s="90" t="s">
        <v>378</v>
      </c>
      <c r="V1355" s="90" t="s">
        <v>244</v>
      </c>
      <c r="Z1355" s="90">
        <v>0</v>
      </c>
      <c r="AA1355" s="90">
        <v>1</v>
      </c>
      <c r="AB1355" s="90">
        <v>1.7626027167209499</v>
      </c>
      <c r="AC1355" s="90">
        <v>0.27604341026939999</v>
      </c>
      <c r="AD1355" s="90">
        <v>687.066816130966</v>
      </c>
      <c r="AF1355" s="90">
        <v>-1</v>
      </c>
      <c r="AG1355" s="90">
        <v>-1</v>
      </c>
      <c r="AH1355" s="90">
        <v>-1</v>
      </c>
      <c r="AI1355" s="90">
        <v>-1</v>
      </c>
      <c r="AJ1355" s="90">
        <v>0</v>
      </c>
      <c r="AM1355" s="90" t="s">
        <v>379</v>
      </c>
      <c r="AN1355" s="90">
        <v>-1</v>
      </c>
      <c r="AQ1355" s="90">
        <v>357</v>
      </c>
      <c r="AR1355" s="90" t="s">
        <v>405</v>
      </c>
      <c r="AS1355" s="90" t="s">
        <v>406</v>
      </c>
      <c r="AT1355" s="90" t="s">
        <v>244</v>
      </c>
      <c r="AU1355" s="90">
        <v>122.34610000000001</v>
      </c>
      <c r="AV1355" s="90">
        <v>179.37586404985899</v>
      </c>
      <c r="AW1355" s="90">
        <v>755.80995783271396</v>
      </c>
      <c r="AX1355" s="90">
        <v>0.55723180549999995</v>
      </c>
    </row>
    <row r="1356" spans="1:50" x14ac:dyDescent="0.25">
      <c r="A1356" s="102">
        <v>830000</v>
      </c>
      <c r="B1356" s="102">
        <v>2400000</v>
      </c>
      <c r="C1356" s="102">
        <v>2400000</v>
      </c>
      <c r="D1356" s="90" t="s">
        <v>374</v>
      </c>
      <c r="E1356" s="90" t="s">
        <v>68</v>
      </c>
      <c r="F1356" s="90" t="s">
        <v>375</v>
      </c>
      <c r="G1356" s="90" t="s">
        <v>376</v>
      </c>
      <c r="H1356" s="90">
        <v>0.59</v>
      </c>
      <c r="I1356" s="90">
        <v>0.64</v>
      </c>
      <c r="J1356" s="90" t="s">
        <v>244</v>
      </c>
      <c r="K1356" s="90">
        <v>0.10772959775745999</v>
      </c>
      <c r="L1356" s="90">
        <v>3678.7829118453101</v>
      </c>
      <c r="M1356" s="90">
        <v>9.4375577489819698</v>
      </c>
      <c r="N1356" s="90">
        <v>1.47802769219029</v>
      </c>
      <c r="O1356" s="90">
        <v>1.0167043001107099</v>
      </c>
      <c r="P1356" s="90">
        <v>0.15922732875406001</v>
      </c>
      <c r="Q1356" s="90">
        <v>396.31380333014602</v>
      </c>
      <c r="R1356" s="90">
        <v>1300</v>
      </c>
      <c r="S1356" s="90" t="s">
        <v>387</v>
      </c>
      <c r="T1356" s="90">
        <v>1300</v>
      </c>
      <c r="U1356" s="90" t="s">
        <v>378</v>
      </c>
      <c r="V1356" s="90" t="s">
        <v>244</v>
      </c>
      <c r="Z1356" s="90">
        <v>0</v>
      </c>
      <c r="AA1356" s="90">
        <v>1</v>
      </c>
      <c r="AB1356" s="90">
        <v>1.0167043001107099</v>
      </c>
      <c r="AC1356" s="90">
        <v>0.15922732875406001</v>
      </c>
      <c r="AD1356" s="90">
        <v>396.31380333014602</v>
      </c>
      <c r="AF1356" s="90">
        <v>-1</v>
      </c>
      <c r="AG1356" s="90">
        <v>-1</v>
      </c>
      <c r="AH1356" s="90">
        <v>-1</v>
      </c>
      <c r="AI1356" s="90">
        <v>-1</v>
      </c>
      <c r="AJ1356" s="90">
        <v>0</v>
      </c>
      <c r="AM1356" s="90" t="s">
        <v>379</v>
      </c>
      <c r="AN1356" s="90">
        <v>-1</v>
      </c>
      <c r="AQ1356" s="90">
        <v>357</v>
      </c>
      <c r="AR1356" s="90" t="s">
        <v>405</v>
      </c>
      <c r="AS1356" s="90" t="s">
        <v>406</v>
      </c>
      <c r="AT1356" s="90" t="s">
        <v>244</v>
      </c>
      <c r="AU1356" s="90">
        <v>122.34610000000001</v>
      </c>
      <c r="AV1356" s="90">
        <v>118.03160302336801</v>
      </c>
      <c r="AW1356" s="90">
        <v>435.966214567382</v>
      </c>
      <c r="AX1356" s="90">
        <v>0.32142238709999998</v>
      </c>
    </row>
    <row r="1357" spans="1:50" x14ac:dyDescent="0.25">
      <c r="A1357" s="102">
        <v>830000</v>
      </c>
      <c r="B1357" s="102">
        <v>2400000</v>
      </c>
      <c r="C1357" s="102">
        <v>2400000</v>
      </c>
      <c r="D1357" s="90" t="s">
        <v>374</v>
      </c>
      <c r="E1357" s="90" t="s">
        <v>68</v>
      </c>
      <c r="F1357" s="90" t="s">
        <v>375</v>
      </c>
      <c r="G1357" s="90" t="s">
        <v>376</v>
      </c>
      <c r="H1357" s="90">
        <v>0.59</v>
      </c>
      <c r="I1357" s="90">
        <v>0.64</v>
      </c>
      <c r="J1357" s="90" t="s">
        <v>244</v>
      </c>
      <c r="K1357" s="90">
        <v>3.264432415547E-2</v>
      </c>
      <c r="L1357" s="90">
        <v>3678.7829118453101</v>
      </c>
      <c r="M1357" s="90">
        <v>9.4375577489819698</v>
      </c>
      <c r="N1357" s="90">
        <v>1.47802769219029</v>
      </c>
      <c r="O1357" s="90">
        <v>0.30808269439375002</v>
      </c>
      <c r="P1357" s="90">
        <v>4.8249215094619997E-2</v>
      </c>
      <c r="Q1357" s="90">
        <v>120.091381871889</v>
      </c>
      <c r="R1357" s="90">
        <v>1210</v>
      </c>
      <c r="S1357" s="90" t="s">
        <v>385</v>
      </c>
      <c r="T1357" s="90">
        <v>1210</v>
      </c>
      <c r="U1357" s="90" t="s">
        <v>378</v>
      </c>
      <c r="V1357" s="90" t="s">
        <v>244</v>
      </c>
      <c r="Z1357" s="90">
        <v>0</v>
      </c>
      <c r="AA1357" s="90">
        <v>1</v>
      </c>
      <c r="AB1357" s="90">
        <v>0.30808269439375002</v>
      </c>
      <c r="AC1357" s="90">
        <v>4.8249215094619997E-2</v>
      </c>
      <c r="AD1357" s="90">
        <v>120.091381871889</v>
      </c>
      <c r="AF1357" s="90">
        <v>-1</v>
      </c>
      <c r="AG1357" s="90">
        <v>-1</v>
      </c>
      <c r="AH1357" s="90">
        <v>-1</v>
      </c>
      <c r="AI1357" s="90">
        <v>-1</v>
      </c>
      <c r="AJ1357" s="90">
        <v>0</v>
      </c>
      <c r="AM1357" s="90" t="s">
        <v>379</v>
      </c>
      <c r="AN1357" s="90">
        <v>-1</v>
      </c>
      <c r="AQ1357" s="90">
        <v>357</v>
      </c>
      <c r="AR1357" s="90" t="s">
        <v>405</v>
      </c>
      <c r="AS1357" s="90" t="s">
        <v>406</v>
      </c>
      <c r="AT1357" s="90" t="s">
        <v>244</v>
      </c>
      <c r="AU1357" s="90">
        <v>122.34610000000001</v>
      </c>
      <c r="AV1357" s="90">
        <v>61.952826371018098</v>
      </c>
      <c r="AW1357" s="90">
        <v>132.10689286347801</v>
      </c>
      <c r="AX1357" s="90">
        <v>9.7397714400000002E-2</v>
      </c>
    </row>
    <row r="1358" spans="1:50" x14ac:dyDescent="0.25">
      <c r="A1358" s="102">
        <v>830000</v>
      </c>
      <c r="B1358" s="102">
        <v>2400000</v>
      </c>
      <c r="C1358" s="102">
        <v>2400000</v>
      </c>
      <c r="D1358" s="90" t="s">
        <v>374</v>
      </c>
      <c r="E1358" s="90" t="s">
        <v>68</v>
      </c>
      <c r="F1358" s="90" t="s">
        <v>375</v>
      </c>
      <c r="G1358" s="90" t="s">
        <v>376</v>
      </c>
      <c r="H1358" s="90">
        <v>0.59</v>
      </c>
      <c r="I1358" s="90">
        <v>0.64</v>
      </c>
      <c r="J1358" s="90" t="s">
        <v>244</v>
      </c>
      <c r="K1358" s="90">
        <v>4.0225362394000002E-4</v>
      </c>
      <c r="L1358" s="90">
        <v>3678.7829118453101</v>
      </c>
      <c r="M1358" s="90">
        <v>9.4375577489819698</v>
      </c>
      <c r="N1358" s="90">
        <v>1.47802769219029</v>
      </c>
      <c r="O1358" s="90">
        <v>3.7962918056700001E-3</v>
      </c>
      <c r="P1358" s="90">
        <v>5.9454199545999999E-4</v>
      </c>
      <c r="Q1358" s="90">
        <v>1.4798037579783201</v>
      </c>
      <c r="R1358" s="90">
        <v>1210</v>
      </c>
      <c r="S1358" s="90" t="s">
        <v>385</v>
      </c>
      <c r="T1358" s="90">
        <v>1210</v>
      </c>
      <c r="U1358" s="90" t="s">
        <v>378</v>
      </c>
      <c r="V1358" s="90" t="s">
        <v>244</v>
      </c>
      <c r="Z1358" s="90">
        <v>0</v>
      </c>
      <c r="AA1358" s="90">
        <v>1</v>
      </c>
      <c r="AB1358" s="90">
        <v>3.7962918056700001E-3</v>
      </c>
      <c r="AC1358" s="90">
        <v>5.9454199545999999E-4</v>
      </c>
      <c r="AD1358" s="90">
        <v>1.47980375797676</v>
      </c>
      <c r="AF1358" s="90">
        <v>-1</v>
      </c>
      <c r="AG1358" s="90">
        <v>-1</v>
      </c>
      <c r="AH1358" s="90">
        <v>-1</v>
      </c>
      <c r="AI1358" s="90">
        <v>-1</v>
      </c>
      <c r="AJ1358" s="90">
        <v>0</v>
      </c>
      <c r="AM1358" s="90" t="s">
        <v>379</v>
      </c>
      <c r="AN1358" s="90">
        <v>-1</v>
      </c>
      <c r="AQ1358" s="90">
        <v>357</v>
      </c>
      <c r="AR1358" s="90" t="s">
        <v>405</v>
      </c>
      <c r="AS1358" s="90" t="s">
        <v>406</v>
      </c>
      <c r="AT1358" s="90" t="s">
        <v>244</v>
      </c>
      <c r="AU1358" s="90">
        <v>122.34610000000001</v>
      </c>
      <c r="AV1358" s="90">
        <v>11.260397225518901</v>
      </c>
      <c r="AW1358" s="90">
        <v>1.6278626614735401</v>
      </c>
      <c r="AX1358" s="90">
        <v>1.2001653000000001E-3</v>
      </c>
    </row>
    <row r="1359" spans="1:50" x14ac:dyDescent="0.25">
      <c r="A1359" s="102">
        <v>830000</v>
      </c>
      <c r="B1359" s="102">
        <v>2400000</v>
      </c>
      <c r="C1359" s="102">
        <v>2400000</v>
      </c>
      <c r="D1359" s="90" t="s">
        <v>374</v>
      </c>
      <c r="E1359" s="90" t="s">
        <v>68</v>
      </c>
      <c r="F1359" s="90" t="s">
        <v>375</v>
      </c>
      <c r="G1359" s="90" t="s">
        <v>376</v>
      </c>
      <c r="H1359" s="90">
        <v>0.59</v>
      </c>
      <c r="I1359" s="90">
        <v>0.64</v>
      </c>
      <c r="J1359" s="90" t="s">
        <v>244</v>
      </c>
      <c r="K1359" s="90">
        <v>0.23418022385970999</v>
      </c>
      <c r="L1359" s="90">
        <v>3678.7829118453101</v>
      </c>
      <c r="M1359" s="90">
        <v>9.4375577489819698</v>
      </c>
      <c r="N1359" s="90">
        <v>1.47802769219029</v>
      </c>
      <c r="O1359" s="90">
        <v>2.2100893863455502</v>
      </c>
      <c r="P1359" s="90">
        <v>0.34612485582796998</v>
      </c>
      <c r="Q1359" s="90">
        <v>861.49820582721895</v>
      </c>
      <c r="R1359" s="90">
        <v>1210</v>
      </c>
      <c r="S1359" s="90" t="s">
        <v>385</v>
      </c>
      <c r="T1359" s="90">
        <v>1210</v>
      </c>
      <c r="U1359" s="90" t="s">
        <v>378</v>
      </c>
      <c r="V1359" s="90" t="s">
        <v>244</v>
      </c>
      <c r="Z1359" s="90">
        <v>0</v>
      </c>
      <c r="AA1359" s="90">
        <v>1</v>
      </c>
      <c r="AB1359" s="90">
        <v>2.2100893863455502</v>
      </c>
      <c r="AC1359" s="90">
        <v>0.34612485582796998</v>
      </c>
      <c r="AD1359" s="90">
        <v>861.49820582721895</v>
      </c>
      <c r="AF1359" s="90">
        <v>-1</v>
      </c>
      <c r="AG1359" s="90">
        <v>-1</v>
      </c>
      <c r="AH1359" s="90">
        <v>-1</v>
      </c>
      <c r="AI1359" s="90">
        <v>-1</v>
      </c>
      <c r="AJ1359" s="90">
        <v>0</v>
      </c>
      <c r="AM1359" s="90" t="s">
        <v>379</v>
      </c>
      <c r="AN1359" s="90">
        <v>-1</v>
      </c>
      <c r="AQ1359" s="90">
        <v>357</v>
      </c>
      <c r="AR1359" s="90" t="s">
        <v>405</v>
      </c>
      <c r="AS1359" s="90" t="s">
        <v>406</v>
      </c>
      <c r="AT1359" s="90" t="s">
        <v>244</v>
      </c>
      <c r="AU1359" s="90">
        <v>122.34610000000001</v>
      </c>
      <c r="AV1359" s="90">
        <v>125.01646926787799</v>
      </c>
      <c r="AW1359" s="90">
        <v>947.69374292574503</v>
      </c>
      <c r="AX1359" s="90">
        <v>0.69870089690000003</v>
      </c>
    </row>
    <row r="1360" spans="1:50" x14ac:dyDescent="0.25">
      <c r="A1360" s="102">
        <v>830000</v>
      </c>
      <c r="B1360" s="102">
        <v>2400000</v>
      </c>
      <c r="C1360" s="102">
        <v>2400000</v>
      </c>
      <c r="D1360" s="90" t="s">
        <v>374</v>
      </c>
      <c r="E1360" s="90" t="s">
        <v>68</v>
      </c>
      <c r="F1360" s="90" t="s">
        <v>375</v>
      </c>
      <c r="G1360" s="90" t="s">
        <v>376</v>
      </c>
      <c r="H1360" s="90">
        <v>0.59</v>
      </c>
      <c r="I1360" s="90">
        <v>0.64</v>
      </c>
      <c r="J1360" s="90" t="s">
        <v>244</v>
      </c>
      <c r="K1360" s="90">
        <v>2.4754407718140001E-2</v>
      </c>
      <c r="L1360" s="90">
        <v>3678.7829118453101</v>
      </c>
      <c r="M1360" s="90">
        <v>9.4375577489819698</v>
      </c>
      <c r="N1360" s="90">
        <v>1.47802769219029</v>
      </c>
      <c r="O1360" s="90">
        <v>0.23362115238181999</v>
      </c>
      <c r="P1360" s="90">
        <v>3.6587700111179997E-2</v>
      </c>
      <c r="Q1360" s="90">
        <v>91.066092106356294</v>
      </c>
      <c r="R1360" s="90">
        <v>1210</v>
      </c>
      <c r="S1360" s="90" t="s">
        <v>385</v>
      </c>
      <c r="T1360" s="90">
        <v>1210</v>
      </c>
      <c r="U1360" s="90" t="s">
        <v>378</v>
      </c>
      <c r="V1360" s="90" t="s">
        <v>244</v>
      </c>
      <c r="Z1360" s="90">
        <v>0</v>
      </c>
      <c r="AA1360" s="90">
        <v>1</v>
      </c>
      <c r="AB1360" s="90">
        <v>0.23362115238181999</v>
      </c>
      <c r="AC1360" s="90">
        <v>3.6587700111179997E-2</v>
      </c>
      <c r="AD1360" s="90">
        <v>91.0660921063578</v>
      </c>
      <c r="AF1360" s="90">
        <v>-1</v>
      </c>
      <c r="AG1360" s="90">
        <v>-1</v>
      </c>
      <c r="AH1360" s="90">
        <v>-1</v>
      </c>
      <c r="AI1360" s="90">
        <v>-1</v>
      </c>
      <c r="AJ1360" s="90">
        <v>0</v>
      </c>
      <c r="AM1360" s="90" t="s">
        <v>379</v>
      </c>
      <c r="AN1360" s="90">
        <v>-1</v>
      </c>
      <c r="AQ1360" s="90">
        <v>357</v>
      </c>
      <c r="AR1360" s="90" t="s">
        <v>405</v>
      </c>
      <c r="AS1360" s="90" t="s">
        <v>406</v>
      </c>
      <c r="AT1360" s="90" t="s">
        <v>244</v>
      </c>
      <c r="AU1360" s="90">
        <v>122.34610000000001</v>
      </c>
      <c r="AV1360" s="90">
        <v>79.016873343430206</v>
      </c>
      <c r="AW1360" s="90">
        <v>100.177533856876</v>
      </c>
      <c r="AX1360" s="90">
        <v>7.3857333400000003E-2</v>
      </c>
    </row>
    <row r="1361" spans="1:50" x14ac:dyDescent="0.25">
      <c r="A1361" s="102">
        <v>830000</v>
      </c>
      <c r="B1361" s="102">
        <v>2400000</v>
      </c>
      <c r="C1361" s="102">
        <v>2400000</v>
      </c>
      <c r="D1361" s="90" t="s">
        <v>374</v>
      </c>
      <c r="E1361" s="90" t="s">
        <v>68</v>
      </c>
      <c r="F1361" s="90" t="s">
        <v>375</v>
      </c>
      <c r="G1361" s="90" t="s">
        <v>376</v>
      </c>
      <c r="H1361" s="90">
        <v>0.59</v>
      </c>
      <c r="I1361" s="90">
        <v>0.64</v>
      </c>
      <c r="J1361" s="90" t="s">
        <v>244</v>
      </c>
      <c r="K1361" s="90">
        <v>0.13191647758509001</v>
      </c>
      <c r="L1361" s="90">
        <v>3666.8022040303799</v>
      </c>
      <c r="M1361" s="90">
        <v>9.1449516373431603</v>
      </c>
      <c r="N1361" s="90">
        <v>1.3451366194457399</v>
      </c>
      <c r="O1361" s="90">
        <v>1.2063698076843401</v>
      </c>
      <c r="P1361" s="90">
        <v>0.17744568470800001</v>
      </c>
      <c r="Q1361" s="90">
        <v>483.71163075694699</v>
      </c>
      <c r="R1361" s="90">
        <v>1200</v>
      </c>
      <c r="S1361" s="90" t="s">
        <v>384</v>
      </c>
      <c r="T1361" s="90">
        <v>1200</v>
      </c>
      <c r="U1361" s="90" t="s">
        <v>378</v>
      </c>
      <c r="V1361" s="90" t="s">
        <v>244</v>
      </c>
      <c r="Z1361" s="90">
        <v>0</v>
      </c>
      <c r="AA1361" s="90">
        <v>1</v>
      </c>
      <c r="AB1361" s="90">
        <v>1.2063698076843401</v>
      </c>
      <c r="AC1361" s="90">
        <v>0.17744568470800001</v>
      </c>
      <c r="AD1361" s="90">
        <v>483.71163075694699</v>
      </c>
      <c r="AF1361" s="90">
        <v>-1</v>
      </c>
      <c r="AG1361" s="90">
        <v>-1</v>
      </c>
      <c r="AH1361" s="90">
        <v>-1</v>
      </c>
      <c r="AI1361" s="90">
        <v>-1</v>
      </c>
      <c r="AJ1361" s="90">
        <v>0</v>
      </c>
      <c r="AM1361" s="90" t="s">
        <v>379</v>
      </c>
      <c r="AN1361" s="90">
        <v>-1</v>
      </c>
      <c r="AQ1361" s="90">
        <v>357</v>
      </c>
      <c r="AR1361" s="90" t="s">
        <v>405</v>
      </c>
      <c r="AS1361" s="90" t="s">
        <v>406</v>
      </c>
      <c r="AT1361" s="90" t="s">
        <v>244</v>
      </c>
      <c r="AU1361" s="90">
        <v>122.34610000000001</v>
      </c>
      <c r="AV1361" s="90">
        <v>200.54660797554601</v>
      </c>
      <c r="AW1361" s="90">
        <v>533.84704453562301</v>
      </c>
      <c r="AX1361" s="90">
        <v>0.39230464780000002</v>
      </c>
    </row>
    <row r="1362" spans="1:50" x14ac:dyDescent="0.25">
      <c r="A1362" s="102">
        <v>830000</v>
      </c>
      <c r="B1362" s="102">
        <v>2400000</v>
      </c>
      <c r="C1362" s="102">
        <v>2400000</v>
      </c>
      <c r="D1362" s="90" t="s">
        <v>374</v>
      </c>
      <c r="E1362" s="90" t="s">
        <v>68</v>
      </c>
      <c r="F1362" s="90" t="s">
        <v>375</v>
      </c>
      <c r="G1362" s="90" t="s">
        <v>376</v>
      </c>
      <c r="H1362" s="90">
        <v>0.59</v>
      </c>
      <c r="I1362" s="90">
        <v>0.64</v>
      </c>
      <c r="J1362" s="90" t="s">
        <v>244</v>
      </c>
      <c r="K1362" s="90">
        <v>0.27262496080607002</v>
      </c>
      <c r="L1362" s="90">
        <v>3666.8022040303799</v>
      </c>
      <c r="M1362" s="90">
        <v>9.1449516373431603</v>
      </c>
      <c r="N1362" s="90">
        <v>1.3451366194457399</v>
      </c>
      <c r="O1362" s="90">
        <v>2.4931420817041201</v>
      </c>
      <c r="P1362" s="90">
        <v>0.36671781815520998</v>
      </c>
      <c r="Q1362" s="90">
        <v>999.66180715740802</v>
      </c>
      <c r="R1362" s="90">
        <v>1210</v>
      </c>
      <c r="S1362" s="90" t="s">
        <v>385</v>
      </c>
      <c r="T1362" s="90">
        <v>1210</v>
      </c>
      <c r="U1362" s="90" t="s">
        <v>378</v>
      </c>
      <c r="V1362" s="90" t="s">
        <v>244</v>
      </c>
      <c r="Z1362" s="90">
        <v>0</v>
      </c>
      <c r="AA1362" s="90">
        <v>1</v>
      </c>
      <c r="AB1362" s="90">
        <v>2.4931420817041201</v>
      </c>
      <c r="AC1362" s="90">
        <v>0.36671781815520998</v>
      </c>
      <c r="AD1362" s="90">
        <v>999.66180715740802</v>
      </c>
      <c r="AF1362" s="90">
        <v>-1</v>
      </c>
      <c r="AG1362" s="90">
        <v>-1</v>
      </c>
      <c r="AH1362" s="90">
        <v>-1</v>
      </c>
      <c r="AI1362" s="90">
        <v>-1</v>
      </c>
      <c r="AJ1362" s="90">
        <v>0</v>
      </c>
      <c r="AM1362" s="90" t="s">
        <v>379</v>
      </c>
      <c r="AN1362" s="90">
        <v>-1</v>
      </c>
      <c r="AQ1362" s="90">
        <v>357</v>
      </c>
      <c r="AR1362" s="90" t="s">
        <v>405</v>
      </c>
      <c r="AS1362" s="90" t="s">
        <v>406</v>
      </c>
      <c r="AT1362" s="90" t="s">
        <v>244</v>
      </c>
      <c r="AU1362" s="90">
        <v>122.34610000000001</v>
      </c>
      <c r="AV1362" s="90">
        <v>136.53253377879099</v>
      </c>
      <c r="AW1362" s="90">
        <v>1103.2740735446</v>
      </c>
      <c r="AX1362" s="90">
        <v>0.81075572360000003</v>
      </c>
    </row>
    <row r="1363" spans="1:50" x14ac:dyDescent="0.25">
      <c r="A1363" s="102">
        <v>830000</v>
      </c>
      <c r="B1363" s="102">
        <v>2400000</v>
      </c>
      <c r="C1363" s="102">
        <v>2400000</v>
      </c>
      <c r="D1363" s="90" t="s">
        <v>374</v>
      </c>
      <c r="E1363" s="90" t="s">
        <v>68</v>
      </c>
      <c r="F1363" s="90" t="s">
        <v>375</v>
      </c>
      <c r="G1363" s="90" t="s">
        <v>376</v>
      </c>
      <c r="H1363" s="90">
        <v>0.59</v>
      </c>
      <c r="I1363" s="90">
        <v>0.64</v>
      </c>
      <c r="J1363" s="90" t="s">
        <v>244</v>
      </c>
      <c r="K1363" s="90">
        <v>0.20773839044060999</v>
      </c>
      <c r="L1363" s="90">
        <v>3666.8022040303799</v>
      </c>
      <c r="M1363" s="90">
        <v>9.1449516373431603</v>
      </c>
      <c r="N1363" s="90">
        <v>1.3451366194457399</v>
      </c>
      <c r="O1363" s="90">
        <v>1.8997575337989101</v>
      </c>
      <c r="P1363" s="90">
        <v>0.27943651624638</v>
      </c>
      <c r="Q1363" s="90">
        <v>761.73558792936296</v>
      </c>
      <c r="R1363" s="90">
        <v>1210</v>
      </c>
      <c r="S1363" s="90" t="s">
        <v>385</v>
      </c>
      <c r="T1363" s="90">
        <v>1210</v>
      </c>
      <c r="U1363" s="90" t="s">
        <v>378</v>
      </c>
      <c r="V1363" s="90" t="s">
        <v>244</v>
      </c>
      <c r="Z1363" s="90">
        <v>0</v>
      </c>
      <c r="AA1363" s="90">
        <v>1</v>
      </c>
      <c r="AB1363" s="90">
        <v>1.8997575337989101</v>
      </c>
      <c r="AC1363" s="90">
        <v>0.27943651624638</v>
      </c>
      <c r="AD1363" s="90">
        <v>761.73558792936296</v>
      </c>
      <c r="AF1363" s="90">
        <v>-1</v>
      </c>
      <c r="AG1363" s="90">
        <v>-1</v>
      </c>
      <c r="AH1363" s="90">
        <v>-1</v>
      </c>
      <c r="AI1363" s="90">
        <v>-1</v>
      </c>
      <c r="AJ1363" s="90">
        <v>0</v>
      </c>
      <c r="AM1363" s="90" t="s">
        <v>379</v>
      </c>
      <c r="AN1363" s="90">
        <v>-1</v>
      </c>
      <c r="AQ1363" s="90">
        <v>357</v>
      </c>
      <c r="AR1363" s="90" t="s">
        <v>405</v>
      </c>
      <c r="AS1363" s="90" t="s">
        <v>406</v>
      </c>
      <c r="AT1363" s="90" t="s">
        <v>244</v>
      </c>
      <c r="AU1363" s="90">
        <v>122.34610000000001</v>
      </c>
      <c r="AV1363" s="90">
        <v>122.963424629521</v>
      </c>
      <c r="AW1363" s="90">
        <v>840.68743953363401</v>
      </c>
      <c r="AX1363" s="90">
        <v>0.61779042009999996</v>
      </c>
    </row>
    <row r="1364" spans="1:50" x14ac:dyDescent="0.25">
      <c r="A1364" s="102">
        <v>830000</v>
      </c>
      <c r="B1364" s="102">
        <v>2400000</v>
      </c>
      <c r="C1364" s="102">
        <v>2400000</v>
      </c>
      <c r="D1364" s="90" t="s">
        <v>374</v>
      </c>
      <c r="E1364" s="90" t="s">
        <v>68</v>
      </c>
      <c r="F1364" s="90" t="s">
        <v>375</v>
      </c>
      <c r="G1364" s="90" t="s">
        <v>376</v>
      </c>
      <c r="H1364" s="90">
        <v>0.59</v>
      </c>
      <c r="I1364" s="90">
        <v>0.64</v>
      </c>
      <c r="J1364" s="90" t="s">
        <v>244</v>
      </c>
      <c r="K1364" s="90">
        <v>5.4836247900999996E-3</v>
      </c>
      <c r="L1364" s="90">
        <v>3666.8022040303799</v>
      </c>
      <c r="M1364" s="90">
        <v>9.1449516373431603</v>
      </c>
      <c r="N1364" s="90">
        <v>1.3451366194457399</v>
      </c>
      <c r="O1364" s="90">
        <v>5.0147483502839998E-2</v>
      </c>
      <c r="P1364" s="90">
        <v>7.3762245124700003E-3</v>
      </c>
      <c r="Q1364" s="90">
        <v>20.107367466432599</v>
      </c>
      <c r="R1364" s="90">
        <v>1210</v>
      </c>
      <c r="S1364" s="90" t="s">
        <v>385</v>
      </c>
      <c r="T1364" s="90">
        <v>1210</v>
      </c>
      <c r="U1364" s="90" t="s">
        <v>378</v>
      </c>
      <c r="V1364" s="90" t="s">
        <v>244</v>
      </c>
      <c r="Z1364" s="90">
        <v>0</v>
      </c>
      <c r="AA1364" s="90">
        <v>1</v>
      </c>
      <c r="AB1364" s="90">
        <v>5.0147483502839998E-2</v>
      </c>
      <c r="AC1364" s="90">
        <v>7.3762245124700003E-3</v>
      </c>
      <c r="AD1364" s="90">
        <v>20.107367466432301</v>
      </c>
      <c r="AF1364" s="90">
        <v>-1</v>
      </c>
      <c r="AG1364" s="90">
        <v>-1</v>
      </c>
      <c r="AH1364" s="90">
        <v>-1</v>
      </c>
      <c r="AI1364" s="90">
        <v>-1</v>
      </c>
      <c r="AJ1364" s="90">
        <v>0</v>
      </c>
      <c r="AM1364" s="90" t="s">
        <v>379</v>
      </c>
      <c r="AN1364" s="90">
        <v>-1</v>
      </c>
      <c r="AQ1364" s="90">
        <v>357</v>
      </c>
      <c r="AR1364" s="90" t="s">
        <v>405</v>
      </c>
      <c r="AS1364" s="90" t="s">
        <v>406</v>
      </c>
      <c r="AT1364" s="90" t="s">
        <v>244</v>
      </c>
      <c r="AU1364" s="90">
        <v>122.34610000000001</v>
      </c>
      <c r="AV1364" s="90">
        <v>41.396642110088003</v>
      </c>
      <c r="AW1364" s="90">
        <v>22.1914421998679</v>
      </c>
      <c r="AX1364" s="90">
        <v>1.6307678400000001E-2</v>
      </c>
    </row>
    <row r="1365" spans="1:50" x14ac:dyDescent="0.25">
      <c r="A1365" s="102">
        <v>830000</v>
      </c>
      <c r="B1365" s="102">
        <v>2400000</v>
      </c>
      <c r="C1365" s="102">
        <v>2400000</v>
      </c>
      <c r="D1365" s="90" t="s">
        <v>374</v>
      </c>
      <c r="E1365" s="90" t="s">
        <v>68</v>
      </c>
      <c r="F1365" s="90" t="s">
        <v>375</v>
      </c>
      <c r="G1365" s="90" t="s">
        <v>376</v>
      </c>
      <c r="H1365" s="90">
        <v>0.59</v>
      </c>
      <c r="I1365" s="90">
        <v>0.64</v>
      </c>
      <c r="J1365" s="90" t="s">
        <v>244</v>
      </c>
      <c r="K1365" s="90">
        <v>4.0706348348999998E-4</v>
      </c>
      <c r="L1365" s="90">
        <v>3668.6363522549</v>
      </c>
      <c r="M1365" s="90">
        <v>9.1493131557923402</v>
      </c>
      <c r="N1365" s="90">
        <v>1.34577093044481</v>
      </c>
      <c r="O1365" s="90">
        <v>3.7243512847299999E-3</v>
      </c>
      <c r="P1365" s="90">
        <v>5.4781420292000001E-4</v>
      </c>
      <c r="Q1365" s="90">
        <v>1.4933678932069201</v>
      </c>
      <c r="R1365" s="90">
        <v>1200</v>
      </c>
      <c r="S1365" s="90" t="s">
        <v>384</v>
      </c>
      <c r="T1365" s="90">
        <v>1200</v>
      </c>
      <c r="U1365" s="90" t="s">
        <v>378</v>
      </c>
      <c r="V1365" s="90" t="s">
        <v>244</v>
      </c>
      <c r="Z1365" s="90">
        <v>0</v>
      </c>
      <c r="AA1365" s="90">
        <v>1</v>
      </c>
      <c r="AB1365" s="90">
        <v>3.7243512847299999E-3</v>
      </c>
      <c r="AC1365" s="90">
        <v>5.4781420292000001E-4</v>
      </c>
      <c r="AD1365" s="90">
        <v>10.4652381840337</v>
      </c>
      <c r="AF1365" s="90">
        <v>-1</v>
      </c>
      <c r="AG1365" s="90">
        <v>-1</v>
      </c>
      <c r="AH1365" s="90">
        <v>-1</v>
      </c>
      <c r="AI1365" s="90">
        <v>-1</v>
      </c>
      <c r="AJ1365" s="90">
        <v>0</v>
      </c>
      <c r="AM1365" s="90" t="s">
        <v>379</v>
      </c>
      <c r="AN1365" s="90">
        <v>-1</v>
      </c>
      <c r="AQ1365" s="90">
        <v>357</v>
      </c>
      <c r="AR1365" s="90" t="s">
        <v>405</v>
      </c>
      <c r="AS1365" s="90" t="s">
        <v>406</v>
      </c>
      <c r="AT1365" s="90" t="s">
        <v>244</v>
      </c>
      <c r="AU1365" s="90">
        <v>122.34610000000001</v>
      </c>
      <c r="AV1365" s="90">
        <v>11.284886427580799</v>
      </c>
      <c r="AW1365" s="90">
        <v>1.64732747248671</v>
      </c>
      <c r="AX1365" s="90">
        <v>8.4876221999999994E-3</v>
      </c>
    </row>
    <row r="1366" spans="1:50" x14ac:dyDescent="0.25">
      <c r="A1366" s="102">
        <v>830000</v>
      </c>
      <c r="B1366" s="102">
        <v>2400000</v>
      </c>
      <c r="C1366" s="102">
        <v>2400000</v>
      </c>
      <c r="D1366" s="90" t="s">
        <v>374</v>
      </c>
      <c r="E1366" s="90" t="s">
        <v>68</v>
      </c>
      <c r="F1366" s="90" t="s">
        <v>375</v>
      </c>
      <c r="G1366" s="90" t="s">
        <v>376</v>
      </c>
      <c r="H1366" s="90">
        <v>0.59</v>
      </c>
      <c r="I1366" s="90">
        <v>0.64</v>
      </c>
      <c r="J1366" s="90" t="s">
        <v>244</v>
      </c>
      <c r="K1366" s="90">
        <v>4.5996546770500002E-3</v>
      </c>
      <c r="L1366" s="90">
        <v>3668.6363522549</v>
      </c>
      <c r="M1366" s="90">
        <v>9.1493131557923402</v>
      </c>
      <c r="N1366" s="90">
        <v>1.34577093044481</v>
      </c>
      <c r="O1366" s="90">
        <v>4.2083681048909999E-2</v>
      </c>
      <c r="P1366" s="90">
        <v>6.1900815544700004E-3</v>
      </c>
      <c r="Q1366" s="90">
        <v>16.874460356077901</v>
      </c>
      <c r="R1366" s="90">
        <v>1210</v>
      </c>
      <c r="S1366" s="90" t="s">
        <v>385</v>
      </c>
      <c r="T1366" s="90">
        <v>1210</v>
      </c>
      <c r="U1366" s="90" t="s">
        <v>378</v>
      </c>
      <c r="V1366" s="90" t="s">
        <v>244</v>
      </c>
      <c r="Z1366" s="90">
        <v>0</v>
      </c>
      <c r="AA1366" s="90">
        <v>1</v>
      </c>
      <c r="AB1366" s="90">
        <v>4.2083681048909999E-2</v>
      </c>
      <c r="AC1366" s="90">
        <v>6.1900815544700004E-3</v>
      </c>
      <c r="AD1366" s="90">
        <v>16.874460356076899</v>
      </c>
      <c r="AF1366" s="90">
        <v>-1</v>
      </c>
      <c r="AG1366" s="90">
        <v>-1</v>
      </c>
      <c r="AH1366" s="90">
        <v>-1</v>
      </c>
      <c r="AI1366" s="90">
        <v>-1</v>
      </c>
      <c r="AJ1366" s="90">
        <v>0</v>
      </c>
      <c r="AM1366" s="90" t="s">
        <v>379</v>
      </c>
      <c r="AN1366" s="90">
        <v>-1</v>
      </c>
      <c r="AQ1366" s="90">
        <v>357</v>
      </c>
      <c r="AR1366" s="90" t="s">
        <v>405</v>
      </c>
      <c r="AS1366" s="90" t="s">
        <v>406</v>
      </c>
      <c r="AT1366" s="90" t="s">
        <v>244</v>
      </c>
      <c r="AU1366" s="90">
        <v>122.34610000000001</v>
      </c>
      <c r="AV1366" s="90">
        <v>28.105951348844101</v>
      </c>
      <c r="AW1366" s="90">
        <v>18.6141420706773</v>
      </c>
      <c r="AX1366" s="90">
        <v>1.3685693699999999E-2</v>
      </c>
    </row>
    <row r="1367" spans="1:50" x14ac:dyDescent="0.25">
      <c r="A1367" s="102">
        <v>830000</v>
      </c>
      <c r="B1367" s="102">
        <v>2400000</v>
      </c>
      <c r="C1367" s="102">
        <v>2400000</v>
      </c>
      <c r="D1367" s="90" t="s">
        <v>374</v>
      </c>
      <c r="E1367" s="90" t="s">
        <v>68</v>
      </c>
      <c r="F1367" s="90" t="s">
        <v>375</v>
      </c>
      <c r="G1367" s="90" t="s">
        <v>376</v>
      </c>
      <c r="H1367" s="90">
        <v>0.59</v>
      </c>
      <c r="I1367" s="90">
        <v>0.64</v>
      </c>
      <c r="J1367" s="90" t="s">
        <v>244</v>
      </c>
      <c r="K1367" s="90">
        <v>3.7610228845629999E-2</v>
      </c>
      <c r="L1367" s="90">
        <v>3668.6363522549</v>
      </c>
      <c r="M1367" s="90">
        <v>9.1493131557923402</v>
      </c>
      <c r="N1367" s="90">
        <v>1.34577093044481</v>
      </c>
      <c r="O1367" s="90">
        <v>0.34410776156974998</v>
      </c>
      <c r="P1367" s="90">
        <v>5.0614752667829999E-2</v>
      </c>
      <c r="Q1367" s="90">
        <v>137.97825275973301</v>
      </c>
      <c r="R1367" s="90">
        <v>1210</v>
      </c>
      <c r="S1367" s="90" t="s">
        <v>385</v>
      </c>
      <c r="T1367" s="90">
        <v>1210</v>
      </c>
      <c r="U1367" s="90" t="s">
        <v>378</v>
      </c>
      <c r="V1367" s="90" t="s">
        <v>244</v>
      </c>
      <c r="Z1367" s="90">
        <v>0</v>
      </c>
      <c r="AA1367" s="90">
        <v>1</v>
      </c>
      <c r="AB1367" s="90">
        <v>0.34410776156974998</v>
      </c>
      <c r="AC1367" s="90">
        <v>5.0614752667829999E-2</v>
      </c>
      <c r="AD1367" s="90">
        <v>331.936052839507</v>
      </c>
      <c r="AF1367" s="90">
        <v>-1</v>
      </c>
      <c r="AG1367" s="90">
        <v>-1</v>
      </c>
      <c r="AH1367" s="90">
        <v>-1</v>
      </c>
      <c r="AI1367" s="90">
        <v>-1</v>
      </c>
      <c r="AJ1367" s="90">
        <v>0</v>
      </c>
      <c r="AM1367" s="90" t="s">
        <v>379</v>
      </c>
      <c r="AN1367" s="90">
        <v>-1</v>
      </c>
      <c r="AQ1367" s="90">
        <v>357</v>
      </c>
      <c r="AR1367" s="90" t="s">
        <v>405</v>
      </c>
      <c r="AS1367" s="90" t="s">
        <v>406</v>
      </c>
      <c r="AT1367" s="90" t="s">
        <v>244</v>
      </c>
      <c r="AU1367" s="90">
        <v>122.34610000000001</v>
      </c>
      <c r="AV1367" s="90">
        <v>49.549762691182899</v>
      </c>
      <c r="AW1367" s="90">
        <v>152.20319615190201</v>
      </c>
      <c r="AX1367" s="90">
        <v>0.26921009959999997</v>
      </c>
    </row>
    <row r="1368" spans="1:50" x14ac:dyDescent="0.25">
      <c r="A1368" s="102">
        <v>830000</v>
      </c>
      <c r="B1368" s="102">
        <v>2400000</v>
      </c>
      <c r="C1368" s="102">
        <v>2400000</v>
      </c>
      <c r="D1368" s="90" t="s">
        <v>374</v>
      </c>
      <c r="E1368" s="90" t="s">
        <v>68</v>
      </c>
      <c r="F1368" s="90" t="s">
        <v>375</v>
      </c>
      <c r="G1368" s="90" t="s">
        <v>376</v>
      </c>
      <c r="H1368" s="90">
        <v>0.59</v>
      </c>
      <c r="I1368" s="90">
        <v>0.64</v>
      </c>
      <c r="J1368" s="90" t="s">
        <v>244</v>
      </c>
      <c r="K1368" s="90">
        <v>6.2007091675999996E-4</v>
      </c>
      <c r="L1368" s="90">
        <v>3668.6363522549</v>
      </c>
      <c r="M1368" s="90">
        <v>9.1493131557923402</v>
      </c>
      <c r="N1368" s="90">
        <v>1.34577093044481</v>
      </c>
      <c r="O1368" s="90">
        <v>5.6732229962799998E-3</v>
      </c>
      <c r="P1368" s="90">
        <v>8.3447341458999999E-4</v>
      </c>
      <c r="Q1368" s="90">
        <v>2.2748147062200998</v>
      </c>
      <c r="R1368" s="90">
        <v>1210</v>
      </c>
      <c r="S1368" s="90" t="s">
        <v>385</v>
      </c>
      <c r="T1368" s="90">
        <v>1210</v>
      </c>
      <c r="U1368" s="90" t="s">
        <v>378</v>
      </c>
      <c r="V1368" s="90" t="s">
        <v>244</v>
      </c>
      <c r="Z1368" s="90">
        <v>0</v>
      </c>
      <c r="AA1368" s="90">
        <v>1</v>
      </c>
      <c r="AB1368" s="90">
        <v>5.6732229962799998E-3</v>
      </c>
      <c r="AC1368" s="90">
        <v>8.3447341458999999E-4</v>
      </c>
      <c r="AD1368" s="90">
        <v>2.27481470621878</v>
      </c>
      <c r="AF1368" s="90">
        <v>-1</v>
      </c>
      <c r="AG1368" s="90">
        <v>-1</v>
      </c>
      <c r="AH1368" s="90">
        <v>-1</v>
      </c>
      <c r="AI1368" s="90">
        <v>-1</v>
      </c>
      <c r="AJ1368" s="90">
        <v>0</v>
      </c>
      <c r="AM1368" s="90" t="s">
        <v>379</v>
      </c>
      <c r="AN1368" s="90">
        <v>-1</v>
      </c>
      <c r="AQ1368" s="90">
        <v>357</v>
      </c>
      <c r="AR1368" s="90" t="s">
        <v>405</v>
      </c>
      <c r="AS1368" s="90" t="s">
        <v>406</v>
      </c>
      <c r="AT1368" s="90" t="s">
        <v>244</v>
      </c>
      <c r="AU1368" s="90">
        <v>122.34610000000001</v>
      </c>
      <c r="AV1368" s="90">
        <v>13.9806839668076</v>
      </c>
      <c r="AW1368" s="90">
        <v>2.5093379718524398</v>
      </c>
      <c r="AX1368" s="90">
        <v>1.8449429999999999E-3</v>
      </c>
    </row>
    <row r="1369" spans="1:50" x14ac:dyDescent="0.25">
      <c r="A1369" s="102">
        <v>830000</v>
      </c>
      <c r="B1369" s="102">
        <v>2400000</v>
      </c>
      <c r="C1369" s="102">
        <v>2400000</v>
      </c>
      <c r="D1369" s="90" t="s">
        <v>374</v>
      </c>
      <c r="E1369" s="90" t="s">
        <v>68</v>
      </c>
      <c r="F1369" s="90" t="s">
        <v>375</v>
      </c>
      <c r="G1369" s="90" t="s">
        <v>376</v>
      </c>
      <c r="H1369" s="90">
        <v>0.59</v>
      </c>
      <c r="I1369" s="90">
        <v>0.64</v>
      </c>
      <c r="J1369" s="90" t="s">
        <v>244</v>
      </c>
      <c r="K1369" s="90">
        <v>9.7694687883779996E-2</v>
      </c>
      <c r="L1369" s="90">
        <v>3668.6363522549</v>
      </c>
      <c r="M1369" s="90">
        <v>9.1493131557923402</v>
      </c>
      <c r="N1369" s="90">
        <v>1.34577093044481</v>
      </c>
      <c r="O1369" s="90">
        <v>0.89383929310613996</v>
      </c>
      <c r="P1369" s="90">
        <v>0.13147467101287</v>
      </c>
      <c r="Q1369" s="90">
        <v>358.40628339264998</v>
      </c>
      <c r="R1369" s="90">
        <v>1210</v>
      </c>
      <c r="S1369" s="90" t="s">
        <v>385</v>
      </c>
      <c r="T1369" s="90">
        <v>1210</v>
      </c>
      <c r="U1369" s="90" t="s">
        <v>378</v>
      </c>
      <c r="V1369" s="90" t="s">
        <v>244</v>
      </c>
      <c r="Z1369" s="90">
        <v>0</v>
      </c>
      <c r="AA1369" s="90">
        <v>1</v>
      </c>
      <c r="AB1369" s="90">
        <v>0.89383929310613996</v>
      </c>
      <c r="AC1369" s="90">
        <v>0.13147467101287</v>
      </c>
      <c r="AD1369" s="90">
        <v>796.39973333294995</v>
      </c>
      <c r="AF1369" s="90">
        <v>-1</v>
      </c>
      <c r="AG1369" s="90">
        <v>-1</v>
      </c>
      <c r="AH1369" s="90">
        <v>-1</v>
      </c>
      <c r="AI1369" s="90">
        <v>-1</v>
      </c>
      <c r="AJ1369" s="90">
        <v>0</v>
      </c>
      <c r="AM1369" s="90" t="s">
        <v>379</v>
      </c>
      <c r="AN1369" s="90">
        <v>-1</v>
      </c>
      <c r="AQ1369" s="90">
        <v>357</v>
      </c>
      <c r="AR1369" s="90" t="s">
        <v>405</v>
      </c>
      <c r="AS1369" s="90" t="s">
        <v>406</v>
      </c>
      <c r="AT1369" s="90" t="s">
        <v>244</v>
      </c>
      <c r="AU1369" s="90">
        <v>122.34610000000001</v>
      </c>
      <c r="AV1369" s="90">
        <v>94.072170927213307</v>
      </c>
      <c r="AW1369" s="90">
        <v>395.35637509685898</v>
      </c>
      <c r="AX1369" s="90">
        <v>0.64590408219999995</v>
      </c>
    </row>
    <row r="1370" spans="1:50" x14ac:dyDescent="0.25">
      <c r="A1370" s="102">
        <v>830000</v>
      </c>
      <c r="B1370" s="102">
        <v>2400000</v>
      </c>
      <c r="C1370" s="102">
        <v>2400000</v>
      </c>
      <c r="D1370" s="90" t="s">
        <v>374</v>
      </c>
      <c r="E1370" s="90" t="s">
        <v>68</v>
      </c>
      <c r="F1370" s="90" t="s">
        <v>375</v>
      </c>
      <c r="G1370" s="90" t="s">
        <v>376</v>
      </c>
      <c r="H1370" s="90">
        <v>0.59</v>
      </c>
      <c r="I1370" s="90">
        <v>0.64</v>
      </c>
      <c r="J1370" s="90" t="s">
        <v>244</v>
      </c>
      <c r="K1370" s="90">
        <v>9.8779552408999999E-4</v>
      </c>
      <c r="L1370" s="90">
        <v>3660.0898214396798</v>
      </c>
      <c r="M1370" s="90">
        <v>9.1290630246924707</v>
      </c>
      <c r="N1370" s="90">
        <v>1.3428284867987901</v>
      </c>
      <c r="O1370" s="90">
        <v>9.0176475949700005E-3</v>
      </c>
      <c r="P1370" s="90">
        <v>1.3264399688800001E-3</v>
      </c>
      <c r="Q1370" s="90">
        <v>3.6154203434037799</v>
      </c>
      <c r="R1370" s="90">
        <v>1200</v>
      </c>
      <c r="S1370" s="90" t="s">
        <v>384</v>
      </c>
      <c r="T1370" s="90">
        <v>1200</v>
      </c>
      <c r="U1370" s="90" t="s">
        <v>378</v>
      </c>
      <c r="V1370" s="90" t="s">
        <v>244</v>
      </c>
      <c r="Z1370" s="90">
        <v>0</v>
      </c>
      <c r="AA1370" s="90">
        <v>1</v>
      </c>
      <c r="AB1370" s="90">
        <v>9.0176475949700005E-3</v>
      </c>
      <c r="AC1370" s="90">
        <v>1.3264399688800001E-3</v>
      </c>
      <c r="AD1370" s="90">
        <v>3.6154203434055701</v>
      </c>
      <c r="AF1370" s="90">
        <v>-1</v>
      </c>
      <c r="AG1370" s="90">
        <v>-1</v>
      </c>
      <c r="AH1370" s="90">
        <v>-1</v>
      </c>
      <c r="AI1370" s="90">
        <v>-1</v>
      </c>
      <c r="AJ1370" s="90">
        <v>0</v>
      </c>
      <c r="AM1370" s="90" t="s">
        <v>379</v>
      </c>
      <c r="AN1370" s="90">
        <v>-1</v>
      </c>
      <c r="AQ1370" s="90">
        <v>357</v>
      </c>
      <c r="AR1370" s="90" t="s">
        <v>405</v>
      </c>
      <c r="AS1370" s="90" t="s">
        <v>406</v>
      </c>
      <c r="AT1370" s="90" t="s">
        <v>244</v>
      </c>
      <c r="AU1370" s="90">
        <v>122.34610000000001</v>
      </c>
      <c r="AV1370" s="90">
        <v>17.5695569974236</v>
      </c>
      <c r="AW1370" s="90">
        <v>3.9974666607037901</v>
      </c>
      <c r="AX1370" s="90">
        <v>2.9322144E-3</v>
      </c>
    </row>
    <row r="1371" spans="1:50" x14ac:dyDescent="0.25">
      <c r="A1371" s="102">
        <v>830000</v>
      </c>
      <c r="B1371" s="102">
        <v>2400000</v>
      </c>
      <c r="C1371" s="102">
        <v>2400000</v>
      </c>
      <c r="D1371" s="90" t="s">
        <v>374</v>
      </c>
      <c r="E1371" s="90" t="s">
        <v>68</v>
      </c>
      <c r="F1371" s="90" t="s">
        <v>375</v>
      </c>
      <c r="G1371" s="90" t="s">
        <v>376</v>
      </c>
      <c r="H1371" s="90">
        <v>0.59</v>
      </c>
      <c r="I1371" s="90">
        <v>0.64</v>
      </c>
      <c r="J1371" s="90" t="s">
        <v>244</v>
      </c>
      <c r="K1371" s="90">
        <v>5.7877870771209997E-2</v>
      </c>
      <c r="L1371" s="90">
        <v>3660.0898214396798</v>
      </c>
      <c r="M1371" s="90">
        <v>9.1290630246924707</v>
      </c>
      <c r="N1371" s="90">
        <v>1.3428284867987901</v>
      </c>
      <c r="O1371" s="90">
        <v>0.52837073000542001</v>
      </c>
      <c r="P1371" s="90">
        <v>7.7720053626839994E-2</v>
      </c>
      <c r="Q1371" s="90">
        <v>211.83820569632499</v>
      </c>
      <c r="R1371" s="90">
        <v>1210</v>
      </c>
      <c r="S1371" s="90" t="s">
        <v>385</v>
      </c>
      <c r="T1371" s="90">
        <v>1210</v>
      </c>
      <c r="U1371" s="90" t="s">
        <v>378</v>
      </c>
      <c r="V1371" s="90" t="s">
        <v>244</v>
      </c>
      <c r="Z1371" s="90">
        <v>0</v>
      </c>
      <c r="AA1371" s="90">
        <v>1</v>
      </c>
      <c r="AB1371" s="90">
        <v>0.52837073000542001</v>
      </c>
      <c r="AC1371" s="90">
        <v>7.7720053626839994E-2</v>
      </c>
      <c r="AD1371" s="90">
        <v>211.83820569632499</v>
      </c>
      <c r="AF1371" s="90">
        <v>-1</v>
      </c>
      <c r="AG1371" s="90">
        <v>-1</v>
      </c>
      <c r="AH1371" s="90">
        <v>-1</v>
      </c>
      <c r="AI1371" s="90">
        <v>-1</v>
      </c>
      <c r="AJ1371" s="90">
        <v>0</v>
      </c>
      <c r="AM1371" s="90" t="s">
        <v>379</v>
      </c>
      <c r="AN1371" s="90">
        <v>-1</v>
      </c>
      <c r="AQ1371" s="90">
        <v>357</v>
      </c>
      <c r="AR1371" s="90" t="s">
        <v>405</v>
      </c>
      <c r="AS1371" s="90" t="s">
        <v>406</v>
      </c>
      <c r="AT1371" s="90" t="s">
        <v>244</v>
      </c>
      <c r="AU1371" s="90">
        <v>122.34610000000001</v>
      </c>
      <c r="AV1371" s="90">
        <v>79.379508142235906</v>
      </c>
      <c r="AW1371" s="90">
        <v>234.22343304532899</v>
      </c>
      <c r="AX1371" s="90">
        <v>0.1718071417</v>
      </c>
    </row>
    <row r="1372" spans="1:50" x14ac:dyDescent="0.25">
      <c r="A1372" s="102">
        <v>830000</v>
      </c>
      <c r="B1372" s="102">
        <v>2400000</v>
      </c>
      <c r="C1372" s="102">
        <v>2400000</v>
      </c>
      <c r="D1372" s="90" t="s">
        <v>374</v>
      </c>
      <c r="E1372" s="90" t="s">
        <v>68</v>
      </c>
      <c r="F1372" s="90" t="s">
        <v>375</v>
      </c>
      <c r="G1372" s="90" t="s">
        <v>376</v>
      </c>
      <c r="H1372" s="90">
        <v>0.59</v>
      </c>
      <c r="I1372" s="90">
        <v>0.64</v>
      </c>
      <c r="J1372" s="90" t="s">
        <v>244</v>
      </c>
      <c r="K1372" s="90">
        <v>0.2196501230373</v>
      </c>
      <c r="L1372" s="90">
        <v>3660.0898214396798</v>
      </c>
      <c r="M1372" s="90">
        <v>9.1290630246924707</v>
      </c>
      <c r="N1372" s="90">
        <v>1.3428284867987901</v>
      </c>
      <c r="O1372" s="90">
        <v>2.0051998165890299</v>
      </c>
      <c r="P1372" s="90">
        <v>0.29495244234335</v>
      </c>
      <c r="Q1372" s="90">
        <v>803.93917960682097</v>
      </c>
      <c r="R1372" s="90">
        <v>1210</v>
      </c>
      <c r="S1372" s="90" t="s">
        <v>385</v>
      </c>
      <c r="T1372" s="90">
        <v>1210</v>
      </c>
      <c r="U1372" s="90" t="s">
        <v>378</v>
      </c>
      <c r="V1372" s="90" t="s">
        <v>244</v>
      </c>
      <c r="Z1372" s="90">
        <v>0</v>
      </c>
      <c r="AA1372" s="90">
        <v>1</v>
      </c>
      <c r="AB1372" s="90">
        <v>2.0051998165890299</v>
      </c>
      <c r="AC1372" s="90">
        <v>0.29495244234335</v>
      </c>
      <c r="AD1372" s="90">
        <v>803.93917960682097</v>
      </c>
      <c r="AF1372" s="90">
        <v>-1</v>
      </c>
      <c r="AG1372" s="90">
        <v>-1</v>
      </c>
      <c r="AH1372" s="90">
        <v>-1</v>
      </c>
      <c r="AI1372" s="90">
        <v>-1</v>
      </c>
      <c r="AJ1372" s="90">
        <v>0</v>
      </c>
      <c r="AM1372" s="90" t="s">
        <v>379</v>
      </c>
      <c r="AN1372" s="90">
        <v>-1</v>
      </c>
      <c r="AQ1372" s="90">
        <v>357</v>
      </c>
      <c r="AR1372" s="90" t="s">
        <v>405</v>
      </c>
      <c r="AS1372" s="90" t="s">
        <v>406</v>
      </c>
      <c r="AT1372" s="90" t="s">
        <v>244</v>
      </c>
      <c r="AU1372" s="90">
        <v>122.34610000000001</v>
      </c>
      <c r="AV1372" s="90">
        <v>120.64079936071499</v>
      </c>
      <c r="AW1372" s="90">
        <v>888.89251109447798</v>
      </c>
      <c r="AX1372" s="90">
        <v>0.65201879939999996</v>
      </c>
    </row>
    <row r="1373" spans="1:50" x14ac:dyDescent="0.25">
      <c r="A1373" s="102">
        <v>830000</v>
      </c>
      <c r="B1373" s="102">
        <v>2400000</v>
      </c>
      <c r="C1373" s="102">
        <v>2400000</v>
      </c>
      <c r="D1373" s="90" t="s">
        <v>374</v>
      </c>
      <c r="E1373" s="90" t="s">
        <v>68</v>
      </c>
      <c r="F1373" s="90" t="s">
        <v>375</v>
      </c>
      <c r="G1373" s="90" t="s">
        <v>376</v>
      </c>
      <c r="H1373" s="90">
        <v>0.59</v>
      </c>
      <c r="I1373" s="90">
        <v>0.64</v>
      </c>
      <c r="J1373" s="90" t="s">
        <v>244</v>
      </c>
      <c r="K1373" s="90">
        <v>0.15325304644776</v>
      </c>
      <c r="L1373" s="90">
        <v>3660.0898214396798</v>
      </c>
      <c r="M1373" s="90">
        <v>9.1290630246924707</v>
      </c>
      <c r="N1373" s="90">
        <v>1.3428284867987901</v>
      </c>
      <c r="O1373" s="90">
        <v>1.3990567197477199</v>
      </c>
      <c r="P1373" s="90">
        <v>0.20579255645875</v>
      </c>
      <c r="Q1373" s="90">
        <v>560.91991540806896</v>
      </c>
      <c r="R1373" s="90">
        <v>1210</v>
      </c>
      <c r="S1373" s="90" t="s">
        <v>385</v>
      </c>
      <c r="T1373" s="90">
        <v>1210</v>
      </c>
      <c r="U1373" s="90" t="s">
        <v>378</v>
      </c>
      <c r="V1373" s="90" t="s">
        <v>244</v>
      </c>
      <c r="Z1373" s="90">
        <v>0</v>
      </c>
      <c r="AA1373" s="90">
        <v>1</v>
      </c>
      <c r="AB1373" s="90">
        <v>1.3990567197477199</v>
      </c>
      <c r="AC1373" s="90">
        <v>0.20579255645875</v>
      </c>
      <c r="AD1373" s="90">
        <v>560.91991540806896</v>
      </c>
      <c r="AF1373" s="90">
        <v>-1</v>
      </c>
      <c r="AG1373" s="90">
        <v>-1</v>
      </c>
      <c r="AH1373" s="90">
        <v>-1</v>
      </c>
      <c r="AI1373" s="90">
        <v>-1</v>
      </c>
      <c r="AJ1373" s="90">
        <v>0</v>
      </c>
      <c r="AM1373" s="90" t="s">
        <v>379</v>
      </c>
      <c r="AN1373" s="90">
        <v>-1</v>
      </c>
      <c r="AQ1373" s="90">
        <v>357</v>
      </c>
      <c r="AR1373" s="90" t="s">
        <v>405</v>
      </c>
      <c r="AS1373" s="90" t="s">
        <v>406</v>
      </c>
      <c r="AT1373" s="90" t="s">
        <v>244</v>
      </c>
      <c r="AU1373" s="90">
        <v>122.34610000000001</v>
      </c>
      <c r="AV1373" s="90">
        <v>106.809833891148</v>
      </c>
      <c r="AW1373" s="90">
        <v>620.19307526948398</v>
      </c>
      <c r="AX1373" s="90">
        <v>0.45492288349999999</v>
      </c>
    </row>
    <row r="1374" spans="1:50" x14ac:dyDescent="0.25">
      <c r="A1374" s="102">
        <v>830000</v>
      </c>
      <c r="B1374" s="102">
        <v>2400000</v>
      </c>
      <c r="C1374" s="102">
        <v>2400000</v>
      </c>
      <c r="D1374" s="90" t="s">
        <v>374</v>
      </c>
      <c r="E1374" s="90" t="s">
        <v>68</v>
      </c>
      <c r="F1374" s="90" t="s">
        <v>375</v>
      </c>
      <c r="G1374" s="90" t="s">
        <v>376</v>
      </c>
      <c r="H1374" s="90">
        <v>0.59</v>
      </c>
      <c r="I1374" s="90">
        <v>0.64</v>
      </c>
      <c r="J1374" s="90" t="s">
        <v>244</v>
      </c>
      <c r="K1374" s="90">
        <v>1.898974646877E-2</v>
      </c>
      <c r="L1374" s="90">
        <v>3660.0898214396798</v>
      </c>
      <c r="M1374" s="90">
        <v>9.1290630246924707</v>
      </c>
      <c r="N1374" s="90">
        <v>1.3428284867987901</v>
      </c>
      <c r="O1374" s="90">
        <v>0.17335859233639</v>
      </c>
      <c r="P1374" s="90">
        <v>2.549997251536E-2</v>
      </c>
      <c r="Q1374" s="90">
        <v>69.504177762090904</v>
      </c>
      <c r="R1374" s="90">
        <v>1210</v>
      </c>
      <c r="S1374" s="90" t="s">
        <v>385</v>
      </c>
      <c r="T1374" s="90">
        <v>1210</v>
      </c>
      <c r="U1374" s="90" t="s">
        <v>378</v>
      </c>
      <c r="V1374" s="90" t="s">
        <v>244</v>
      </c>
      <c r="Z1374" s="90">
        <v>0</v>
      </c>
      <c r="AA1374" s="90">
        <v>1</v>
      </c>
      <c r="AB1374" s="90">
        <v>0.17335859233639</v>
      </c>
      <c r="AC1374" s="90">
        <v>2.549997251536E-2</v>
      </c>
      <c r="AD1374" s="90">
        <v>69.504177762089398</v>
      </c>
      <c r="AF1374" s="90">
        <v>-1</v>
      </c>
      <c r="AG1374" s="90">
        <v>-1</v>
      </c>
      <c r="AH1374" s="90">
        <v>-1</v>
      </c>
      <c r="AI1374" s="90">
        <v>-1</v>
      </c>
      <c r="AJ1374" s="90">
        <v>0</v>
      </c>
      <c r="AM1374" s="90" t="s">
        <v>379</v>
      </c>
      <c r="AN1374" s="90">
        <v>-1</v>
      </c>
      <c r="AQ1374" s="90">
        <v>357</v>
      </c>
      <c r="AR1374" s="90" t="s">
        <v>405</v>
      </c>
      <c r="AS1374" s="90" t="s">
        <v>406</v>
      </c>
      <c r="AT1374" s="90" t="s">
        <v>244</v>
      </c>
      <c r="AU1374" s="90">
        <v>122.34610000000001</v>
      </c>
      <c r="AV1374" s="90">
        <v>44.142656501614397</v>
      </c>
      <c r="AW1374" s="90">
        <v>76.848777456916196</v>
      </c>
      <c r="AX1374" s="90">
        <v>5.6369973900000002E-2</v>
      </c>
    </row>
    <row r="1375" spans="1:50" x14ac:dyDescent="0.25">
      <c r="A1375" s="102">
        <v>830000</v>
      </c>
      <c r="B1375" s="102">
        <v>2400000</v>
      </c>
      <c r="C1375" s="102">
        <v>2400000</v>
      </c>
      <c r="D1375" s="90" t="s">
        <v>374</v>
      </c>
      <c r="E1375" s="90" t="s">
        <v>68</v>
      </c>
      <c r="F1375" s="90" t="s">
        <v>375</v>
      </c>
      <c r="G1375" s="90" t="s">
        <v>376</v>
      </c>
      <c r="H1375" s="90">
        <v>0.59</v>
      </c>
      <c r="I1375" s="90">
        <v>0.64</v>
      </c>
      <c r="J1375" s="90" t="s">
        <v>244</v>
      </c>
      <c r="K1375" s="90">
        <v>0.10195137873394999</v>
      </c>
      <c r="L1375" s="90">
        <v>3660.0898214396798</v>
      </c>
      <c r="M1375" s="90">
        <v>9.1290630246924707</v>
      </c>
      <c r="N1375" s="90">
        <v>1.3428284867987901</v>
      </c>
      <c r="O1375" s="90">
        <v>0.93072056191659003</v>
      </c>
      <c r="P1375" s="90">
        <v>0.13690321563237001</v>
      </c>
      <c r="Q1375" s="90">
        <v>373.15120358590201</v>
      </c>
      <c r="R1375" s="90">
        <v>1210</v>
      </c>
      <c r="S1375" s="90" t="s">
        <v>385</v>
      </c>
      <c r="T1375" s="90">
        <v>1210</v>
      </c>
      <c r="U1375" s="90" t="s">
        <v>378</v>
      </c>
      <c r="V1375" s="90" t="s">
        <v>244</v>
      </c>
      <c r="Z1375" s="90">
        <v>0</v>
      </c>
      <c r="AA1375" s="90">
        <v>1</v>
      </c>
      <c r="AB1375" s="90">
        <v>0.93072056191659003</v>
      </c>
      <c r="AC1375" s="90">
        <v>0.13690321563237001</v>
      </c>
      <c r="AD1375" s="90">
        <v>373.15120358590201</v>
      </c>
      <c r="AF1375" s="90">
        <v>-1</v>
      </c>
      <c r="AG1375" s="90">
        <v>-1</v>
      </c>
      <c r="AH1375" s="90">
        <v>-1</v>
      </c>
      <c r="AI1375" s="90">
        <v>-1</v>
      </c>
      <c r="AJ1375" s="90">
        <v>0</v>
      </c>
      <c r="AM1375" s="90" t="s">
        <v>379</v>
      </c>
      <c r="AN1375" s="90">
        <v>-1</v>
      </c>
      <c r="AQ1375" s="90">
        <v>357</v>
      </c>
      <c r="AR1375" s="90" t="s">
        <v>405</v>
      </c>
      <c r="AS1375" s="90" t="s">
        <v>406</v>
      </c>
      <c r="AT1375" s="90" t="s">
        <v>244</v>
      </c>
      <c r="AU1375" s="90">
        <v>122.34610000000001</v>
      </c>
      <c r="AV1375" s="90">
        <v>83.7990894385335</v>
      </c>
      <c r="AW1375" s="90">
        <v>412.58259180205198</v>
      </c>
      <c r="AX1375" s="90">
        <v>0.3026368237</v>
      </c>
    </row>
    <row r="1376" spans="1:50" x14ac:dyDescent="0.25">
      <c r="A1376" s="102">
        <v>830000</v>
      </c>
      <c r="B1376" s="102">
        <v>2400000</v>
      </c>
      <c r="C1376" s="102">
        <v>2400000</v>
      </c>
      <c r="D1376" s="90" t="s">
        <v>374</v>
      </c>
      <c r="E1376" s="90" t="s">
        <v>68</v>
      </c>
      <c r="F1376" s="90" t="s">
        <v>375</v>
      </c>
      <c r="G1376" s="90" t="s">
        <v>376</v>
      </c>
      <c r="H1376" s="90">
        <v>0.59</v>
      </c>
      <c r="I1376" s="90">
        <v>0.64</v>
      </c>
      <c r="J1376" s="90" t="s">
        <v>244</v>
      </c>
      <c r="K1376" s="90">
        <v>6.505349263877E-2</v>
      </c>
      <c r="L1376" s="90">
        <v>3660.0898214396798</v>
      </c>
      <c r="M1376" s="90">
        <v>9.1290630246924707</v>
      </c>
      <c r="N1376" s="90">
        <v>1.3428284867987901</v>
      </c>
      <c r="O1376" s="90">
        <v>0.59387743427572004</v>
      </c>
      <c r="P1376" s="90">
        <v>8.7355683081100005E-2</v>
      </c>
      <c r="Q1376" s="90">
        <v>238.10162625627399</v>
      </c>
      <c r="R1376" s="90">
        <v>1210</v>
      </c>
      <c r="S1376" s="90" t="s">
        <v>385</v>
      </c>
      <c r="T1376" s="90">
        <v>1210</v>
      </c>
      <c r="U1376" s="90" t="s">
        <v>378</v>
      </c>
      <c r="V1376" s="90" t="s">
        <v>244</v>
      </c>
      <c r="Z1376" s="90">
        <v>0</v>
      </c>
      <c r="AA1376" s="90">
        <v>1</v>
      </c>
      <c r="AB1376" s="90">
        <v>0.59387743427572004</v>
      </c>
      <c r="AC1376" s="90">
        <v>8.7355683081100005E-2</v>
      </c>
      <c r="AD1376" s="90">
        <v>238.10162625627501</v>
      </c>
      <c r="AF1376" s="90">
        <v>-1</v>
      </c>
      <c r="AG1376" s="90">
        <v>-1</v>
      </c>
      <c r="AH1376" s="90">
        <v>-1</v>
      </c>
      <c r="AI1376" s="90">
        <v>-1</v>
      </c>
      <c r="AJ1376" s="90">
        <v>0</v>
      </c>
      <c r="AM1376" s="90" t="s">
        <v>379</v>
      </c>
      <c r="AN1376" s="90">
        <v>-1</v>
      </c>
      <c r="AQ1376" s="90">
        <v>357</v>
      </c>
      <c r="AR1376" s="90" t="s">
        <v>405</v>
      </c>
      <c r="AS1376" s="90" t="s">
        <v>406</v>
      </c>
      <c r="AT1376" s="90" t="s">
        <v>244</v>
      </c>
      <c r="AU1376" s="90">
        <v>122.34610000000001</v>
      </c>
      <c r="AV1376" s="90">
        <v>66.330892424685004</v>
      </c>
      <c r="AW1376" s="90">
        <v>263.26214448476998</v>
      </c>
      <c r="AX1376" s="90">
        <v>0.1931075639</v>
      </c>
    </row>
    <row r="1377" spans="1:50" x14ac:dyDescent="0.25">
      <c r="A1377" s="102">
        <v>830000</v>
      </c>
      <c r="B1377" s="102">
        <v>2400000</v>
      </c>
      <c r="C1377" s="102">
        <v>2400000</v>
      </c>
      <c r="D1377" s="90" t="s">
        <v>374</v>
      </c>
      <c r="E1377" s="90" t="s">
        <v>68</v>
      </c>
      <c r="F1377" s="90" t="s">
        <v>375</v>
      </c>
      <c r="G1377" s="90" t="s">
        <v>376</v>
      </c>
      <c r="H1377" s="90">
        <v>0.59</v>
      </c>
      <c r="I1377" s="90">
        <v>0.64</v>
      </c>
      <c r="J1377" s="90" t="s">
        <v>244</v>
      </c>
      <c r="K1377" s="90">
        <v>0.1067244398378</v>
      </c>
      <c r="L1377" s="90">
        <v>3660.0898214396798</v>
      </c>
      <c r="M1377" s="90">
        <v>9.12906302469246</v>
      </c>
      <c r="N1377" s="90">
        <v>1.3428284867987901</v>
      </c>
      <c r="O1377" s="90">
        <v>0.97429413755432004</v>
      </c>
      <c r="P1377" s="90">
        <v>0.14331261805184001</v>
      </c>
      <c r="Q1377" s="90">
        <v>390.621035949202</v>
      </c>
      <c r="R1377" s="90">
        <v>1200</v>
      </c>
      <c r="S1377" s="90" t="s">
        <v>384</v>
      </c>
      <c r="T1377" s="90">
        <v>1200</v>
      </c>
      <c r="U1377" s="90" t="s">
        <v>378</v>
      </c>
      <c r="V1377" s="90" t="s">
        <v>244</v>
      </c>
      <c r="Z1377" s="90">
        <v>0</v>
      </c>
      <c r="AA1377" s="90">
        <v>1</v>
      </c>
      <c r="AB1377" s="90">
        <v>0.97429413755432004</v>
      </c>
      <c r="AC1377" s="90">
        <v>0.14331261805184001</v>
      </c>
      <c r="AD1377" s="90">
        <v>521.52691194788304</v>
      </c>
      <c r="AF1377" s="90">
        <v>-1</v>
      </c>
      <c r="AG1377" s="90">
        <v>-1</v>
      </c>
      <c r="AH1377" s="90">
        <v>-1</v>
      </c>
      <c r="AI1377" s="90">
        <v>-1</v>
      </c>
      <c r="AJ1377" s="90">
        <v>0</v>
      </c>
      <c r="AM1377" s="90" t="s">
        <v>379</v>
      </c>
      <c r="AN1377" s="90">
        <v>-1</v>
      </c>
      <c r="AQ1377" s="90">
        <v>357</v>
      </c>
      <c r="AR1377" s="90" t="s">
        <v>405</v>
      </c>
      <c r="AS1377" s="90" t="s">
        <v>406</v>
      </c>
      <c r="AT1377" s="90" t="s">
        <v>244</v>
      </c>
      <c r="AU1377" s="90">
        <v>122.34610000000001</v>
      </c>
      <c r="AV1377" s="90">
        <v>94.603908691820706</v>
      </c>
      <c r="AW1377" s="90">
        <v>431.898484784662</v>
      </c>
      <c r="AX1377" s="90">
        <v>0.4229739756</v>
      </c>
    </row>
    <row r="1378" spans="1:50" x14ac:dyDescent="0.25">
      <c r="A1378" s="102">
        <v>830000</v>
      </c>
      <c r="B1378" s="102">
        <v>2400000</v>
      </c>
      <c r="C1378" s="102">
        <v>2400000</v>
      </c>
      <c r="D1378" s="90" t="s">
        <v>374</v>
      </c>
      <c r="E1378" s="90" t="s">
        <v>68</v>
      </c>
      <c r="F1378" s="90" t="s">
        <v>375</v>
      </c>
      <c r="G1378" s="90" t="s">
        <v>376</v>
      </c>
      <c r="H1378" s="90">
        <v>0.59</v>
      </c>
      <c r="I1378" s="90">
        <v>0.64</v>
      </c>
      <c r="J1378" s="90" t="s">
        <v>244</v>
      </c>
      <c r="K1378" s="90">
        <v>4.5978397906000002E-4</v>
      </c>
      <c r="L1378" s="90">
        <v>3660.0898214396798</v>
      </c>
      <c r="M1378" s="90">
        <v>9.12906302469246</v>
      </c>
      <c r="N1378" s="90">
        <v>1.3428284867987901</v>
      </c>
      <c r="O1378" s="90">
        <v>4.1973969226300001E-3</v>
      </c>
      <c r="P1378" s="90">
        <v>6.1741102486000002E-4</v>
      </c>
      <c r="Q1378" s="90">
        <v>1.6828506618404999</v>
      </c>
      <c r="R1378" s="90">
        <v>1210</v>
      </c>
      <c r="S1378" s="90" t="s">
        <v>385</v>
      </c>
      <c r="T1378" s="90">
        <v>1210</v>
      </c>
      <c r="U1378" s="90" t="s">
        <v>378</v>
      </c>
      <c r="V1378" s="90" t="s">
        <v>244</v>
      </c>
      <c r="Z1378" s="90">
        <v>0</v>
      </c>
      <c r="AA1378" s="90">
        <v>1</v>
      </c>
      <c r="AB1378" s="90">
        <v>4.1973969226300001E-3</v>
      </c>
      <c r="AC1378" s="90">
        <v>6.1741102486000002E-4</v>
      </c>
      <c r="AD1378" s="90">
        <v>1.6828506618413599</v>
      </c>
      <c r="AF1378" s="90">
        <v>-1</v>
      </c>
      <c r="AG1378" s="90">
        <v>-1</v>
      </c>
      <c r="AH1378" s="90">
        <v>-1</v>
      </c>
      <c r="AI1378" s="90">
        <v>-1</v>
      </c>
      <c r="AJ1378" s="90">
        <v>0</v>
      </c>
      <c r="AM1378" s="90" t="s">
        <v>379</v>
      </c>
      <c r="AN1378" s="90">
        <v>-1</v>
      </c>
      <c r="AQ1378" s="90">
        <v>357</v>
      </c>
      <c r="AR1378" s="90" t="s">
        <v>405</v>
      </c>
      <c r="AS1378" s="90" t="s">
        <v>406</v>
      </c>
      <c r="AT1378" s="90" t="s">
        <v>244</v>
      </c>
      <c r="AU1378" s="90">
        <v>122.34610000000001</v>
      </c>
      <c r="AV1378" s="90">
        <v>11.987131632537199</v>
      </c>
      <c r="AW1378" s="90">
        <v>1.86067974860082</v>
      </c>
      <c r="AX1378" s="90">
        <v>1.3648423999999999E-3</v>
      </c>
    </row>
    <row r="1379" spans="1:50" x14ac:dyDescent="0.25">
      <c r="A1379" s="102">
        <v>830000</v>
      </c>
      <c r="B1379" s="102">
        <v>2400000</v>
      </c>
      <c r="C1379" s="102">
        <v>2400000</v>
      </c>
      <c r="D1379" s="90" t="s">
        <v>374</v>
      </c>
      <c r="E1379" s="90" t="s">
        <v>68</v>
      </c>
      <c r="F1379" s="90" t="s">
        <v>375</v>
      </c>
      <c r="G1379" s="90" t="s">
        <v>376</v>
      </c>
      <c r="H1379" s="90">
        <v>0.59</v>
      </c>
      <c r="I1379" s="90">
        <v>0.64</v>
      </c>
      <c r="J1379" s="90" t="s">
        <v>244</v>
      </c>
      <c r="K1379" s="90">
        <v>9.9015392052300005E-3</v>
      </c>
      <c r="L1379" s="90">
        <v>3660.0898214396798</v>
      </c>
      <c r="M1379" s="90">
        <v>9.12906302469246</v>
      </c>
      <c r="N1379" s="90">
        <v>1.3428284867987901</v>
      </c>
      <c r="O1379" s="90">
        <v>9.0391775446029998E-2</v>
      </c>
      <c r="P1379" s="90">
        <v>1.329606890794E-2</v>
      </c>
      <c r="Q1379" s="90">
        <v>36.240522861659201</v>
      </c>
      <c r="R1379" s="90">
        <v>1210</v>
      </c>
      <c r="S1379" s="90" t="s">
        <v>385</v>
      </c>
      <c r="T1379" s="90">
        <v>1210</v>
      </c>
      <c r="U1379" s="90" t="s">
        <v>378</v>
      </c>
      <c r="V1379" s="90" t="s">
        <v>244</v>
      </c>
      <c r="Z1379" s="90">
        <v>0</v>
      </c>
      <c r="AA1379" s="90">
        <v>1</v>
      </c>
      <c r="AB1379" s="90">
        <v>9.0391775446029998E-2</v>
      </c>
      <c r="AC1379" s="90">
        <v>1.329606890794E-2</v>
      </c>
      <c r="AD1379" s="90">
        <v>50.722904052656702</v>
      </c>
      <c r="AF1379" s="90">
        <v>-1</v>
      </c>
      <c r="AG1379" s="90">
        <v>-1</v>
      </c>
      <c r="AH1379" s="90">
        <v>-1</v>
      </c>
      <c r="AI1379" s="90">
        <v>-1</v>
      </c>
      <c r="AJ1379" s="90">
        <v>0</v>
      </c>
      <c r="AM1379" s="90" t="s">
        <v>379</v>
      </c>
      <c r="AN1379" s="90">
        <v>-1</v>
      </c>
      <c r="AQ1379" s="90">
        <v>357</v>
      </c>
      <c r="AR1379" s="90" t="s">
        <v>405</v>
      </c>
      <c r="AS1379" s="90" t="s">
        <v>406</v>
      </c>
      <c r="AT1379" s="90" t="s">
        <v>244</v>
      </c>
      <c r="AU1379" s="90">
        <v>122.34610000000001</v>
      </c>
      <c r="AV1379" s="90">
        <v>46.231172498927698</v>
      </c>
      <c r="AW1379" s="90">
        <v>40.070107524341203</v>
      </c>
      <c r="AX1379" s="90">
        <v>4.1137797300000001E-2</v>
      </c>
    </row>
    <row r="1380" spans="1:50" x14ac:dyDescent="0.25">
      <c r="A1380" s="102">
        <v>830000</v>
      </c>
      <c r="B1380" s="102">
        <v>2400000</v>
      </c>
      <c r="C1380" s="102">
        <v>2400000</v>
      </c>
      <c r="D1380" s="90" t="s">
        <v>374</v>
      </c>
      <c r="E1380" s="90" t="s">
        <v>68</v>
      </c>
      <c r="F1380" s="90" t="s">
        <v>375</v>
      </c>
      <c r="G1380" s="90" t="s">
        <v>376</v>
      </c>
      <c r="H1380" s="90">
        <v>0.59</v>
      </c>
      <c r="I1380" s="90">
        <v>0.64</v>
      </c>
      <c r="J1380" s="90" t="s">
        <v>244</v>
      </c>
      <c r="K1380" s="90">
        <v>0.13553807289955999</v>
      </c>
      <c r="L1380" s="90">
        <v>3660.0898214396798</v>
      </c>
      <c r="M1380" s="90">
        <v>9.12906302469246</v>
      </c>
      <c r="N1380" s="90">
        <v>1.3428284867987901</v>
      </c>
      <c r="O1380" s="90">
        <v>1.23733560974547</v>
      </c>
      <c r="P1380" s="90">
        <v>0.18200438533534</v>
      </c>
      <c r="Q1380" s="90">
        <v>496.08152103724001</v>
      </c>
      <c r="R1380" s="90">
        <v>1210</v>
      </c>
      <c r="S1380" s="90" t="s">
        <v>385</v>
      </c>
      <c r="T1380" s="90">
        <v>1210</v>
      </c>
      <c r="U1380" s="90" t="s">
        <v>378</v>
      </c>
      <c r="V1380" s="90" t="s">
        <v>244</v>
      </c>
      <c r="Z1380" s="90">
        <v>0</v>
      </c>
      <c r="AA1380" s="90">
        <v>1</v>
      </c>
      <c r="AB1380" s="90">
        <v>1.23733560974547</v>
      </c>
      <c r="AC1380" s="90">
        <v>0.18200438533534</v>
      </c>
      <c r="AD1380" s="90">
        <v>496.08152103724001</v>
      </c>
      <c r="AF1380" s="90">
        <v>-1</v>
      </c>
      <c r="AG1380" s="90">
        <v>-1</v>
      </c>
      <c r="AH1380" s="90">
        <v>-1</v>
      </c>
      <c r="AI1380" s="90">
        <v>-1</v>
      </c>
      <c r="AJ1380" s="90">
        <v>0</v>
      </c>
      <c r="AM1380" s="90" t="s">
        <v>379</v>
      </c>
      <c r="AN1380" s="90">
        <v>-1</v>
      </c>
      <c r="AQ1380" s="90">
        <v>357</v>
      </c>
      <c r="AR1380" s="90" t="s">
        <v>405</v>
      </c>
      <c r="AS1380" s="90" t="s">
        <v>406</v>
      </c>
      <c r="AT1380" s="90" t="s">
        <v>244</v>
      </c>
      <c r="AU1380" s="90">
        <v>122.34610000000001</v>
      </c>
      <c r="AV1380" s="90">
        <v>102.477964796752</v>
      </c>
      <c r="AW1380" s="90">
        <v>548.50312079331502</v>
      </c>
      <c r="AX1380" s="90">
        <v>0.402337</v>
      </c>
    </row>
    <row r="1381" spans="1:50" x14ac:dyDescent="0.25">
      <c r="A1381" s="102">
        <v>830000</v>
      </c>
      <c r="B1381" s="102">
        <v>2400000</v>
      </c>
      <c r="C1381" s="102">
        <v>2400000</v>
      </c>
      <c r="D1381" s="90" t="s">
        <v>374</v>
      </c>
      <c r="E1381" s="90" t="s">
        <v>68</v>
      </c>
      <c r="F1381" s="90" t="s">
        <v>375</v>
      </c>
      <c r="G1381" s="90" t="s">
        <v>376</v>
      </c>
      <c r="H1381" s="90">
        <v>0.59</v>
      </c>
      <c r="I1381" s="90">
        <v>0.64</v>
      </c>
      <c r="J1381" s="90" t="s">
        <v>244</v>
      </c>
      <c r="K1381" s="90">
        <v>0.19734292393569</v>
      </c>
      <c r="L1381" s="90">
        <v>3660.0898214396798</v>
      </c>
      <c r="M1381" s="90">
        <v>9.12906302469246</v>
      </c>
      <c r="N1381" s="90">
        <v>1.3428284867987901</v>
      </c>
      <c r="O1381" s="90">
        <v>1.8015559900860401</v>
      </c>
      <c r="P1381" s="90">
        <v>0.26499769992901001</v>
      </c>
      <c r="Q1381" s="90">
        <v>722.292827230179</v>
      </c>
      <c r="R1381" s="90">
        <v>1210</v>
      </c>
      <c r="S1381" s="90" t="s">
        <v>385</v>
      </c>
      <c r="T1381" s="90">
        <v>1210</v>
      </c>
      <c r="U1381" s="90" t="s">
        <v>378</v>
      </c>
      <c r="V1381" s="90" t="s">
        <v>244</v>
      </c>
      <c r="Z1381" s="90">
        <v>0</v>
      </c>
      <c r="AA1381" s="90">
        <v>1</v>
      </c>
      <c r="AB1381" s="90">
        <v>1.8015559900860401</v>
      </c>
      <c r="AC1381" s="90">
        <v>0.26499769992901001</v>
      </c>
      <c r="AD1381" s="90">
        <v>857.10033038259598</v>
      </c>
      <c r="AF1381" s="90">
        <v>-1</v>
      </c>
      <c r="AG1381" s="90">
        <v>-1</v>
      </c>
      <c r="AH1381" s="90">
        <v>-1</v>
      </c>
      <c r="AI1381" s="90">
        <v>-1</v>
      </c>
      <c r="AJ1381" s="90">
        <v>0</v>
      </c>
      <c r="AM1381" s="90" t="s">
        <v>379</v>
      </c>
      <c r="AN1381" s="90">
        <v>-1</v>
      </c>
      <c r="AQ1381" s="90">
        <v>357</v>
      </c>
      <c r="AR1381" s="90" t="s">
        <v>405</v>
      </c>
      <c r="AS1381" s="90" t="s">
        <v>406</v>
      </c>
      <c r="AT1381" s="90" t="s">
        <v>244</v>
      </c>
      <c r="AU1381" s="90">
        <v>122.34610000000001</v>
      </c>
      <c r="AV1381" s="90">
        <v>116.90116723397099</v>
      </c>
      <c r="AW1381" s="90">
        <v>798.61847914435702</v>
      </c>
      <c r="AX1381" s="90">
        <v>0.69513408789999998</v>
      </c>
    </row>
    <row r="1382" spans="1:50" x14ac:dyDescent="0.25">
      <c r="A1382" s="102">
        <v>830000</v>
      </c>
      <c r="B1382" s="102">
        <v>2400000</v>
      </c>
      <c r="C1382" s="102">
        <v>2400000</v>
      </c>
      <c r="D1382" s="90" t="s">
        <v>374</v>
      </c>
      <c r="E1382" s="90" t="s">
        <v>68</v>
      </c>
      <c r="F1382" s="90" t="s">
        <v>375</v>
      </c>
      <c r="G1382" s="90" t="s">
        <v>376</v>
      </c>
      <c r="H1382" s="90">
        <v>0.59</v>
      </c>
      <c r="I1382" s="90">
        <v>0.64</v>
      </c>
      <c r="J1382" s="90" t="s">
        <v>244</v>
      </c>
      <c r="K1382" s="90">
        <v>8.9191348143719998E-2</v>
      </c>
      <c r="L1382" s="90">
        <v>3753.1364843710799</v>
      </c>
      <c r="M1382" s="90">
        <v>11.5356527605854</v>
      </c>
      <c r="N1382" s="90">
        <v>1.52295624301905</v>
      </c>
      <c r="O1382" s="90">
        <v>1.02888042143444</v>
      </c>
      <c r="P1382" s="90">
        <v>0.13583452047875999</v>
      </c>
      <c r="Q1382" s="90">
        <v>334.74730280843801</v>
      </c>
      <c r="R1382" s="90">
        <v>1400</v>
      </c>
      <c r="S1382" s="90" t="s">
        <v>324</v>
      </c>
      <c r="T1382" s="90">
        <v>1400</v>
      </c>
      <c r="U1382" s="90" t="s">
        <v>378</v>
      </c>
      <c r="V1382" s="90" t="s">
        <v>244</v>
      </c>
      <c r="Z1382" s="90">
        <v>0</v>
      </c>
      <c r="AA1382" s="90">
        <v>1</v>
      </c>
      <c r="AB1382" s="90">
        <v>1.02888042143444</v>
      </c>
      <c r="AC1382" s="90">
        <v>0.13583452047875999</v>
      </c>
      <c r="AD1382" s="90">
        <v>617.51109183946903</v>
      </c>
      <c r="AF1382" s="90">
        <v>-1</v>
      </c>
      <c r="AG1382" s="90">
        <v>-1</v>
      </c>
      <c r="AH1382" s="90">
        <v>-1</v>
      </c>
      <c r="AI1382" s="90">
        <v>-1</v>
      </c>
      <c r="AJ1382" s="90">
        <v>0</v>
      </c>
      <c r="AM1382" s="90" t="s">
        <v>379</v>
      </c>
      <c r="AN1382" s="90">
        <v>-1</v>
      </c>
      <c r="AQ1382" s="90">
        <v>357</v>
      </c>
      <c r="AR1382" s="90" t="s">
        <v>405</v>
      </c>
      <c r="AS1382" s="90" t="s">
        <v>406</v>
      </c>
      <c r="AT1382" s="90" t="s">
        <v>244</v>
      </c>
      <c r="AU1382" s="90">
        <v>122.34610000000001</v>
      </c>
      <c r="AV1382" s="90">
        <v>139.55905030552699</v>
      </c>
      <c r="AW1382" s="90">
        <v>360.944580057927</v>
      </c>
      <c r="AX1382" s="90">
        <v>0.50082002579999996</v>
      </c>
    </row>
    <row r="1383" spans="1:50" x14ac:dyDescent="0.25">
      <c r="A1383" s="102">
        <v>830000</v>
      </c>
      <c r="B1383" s="102">
        <v>2400000</v>
      </c>
      <c r="C1383" s="102">
        <v>2400000</v>
      </c>
      <c r="D1383" s="90" t="s">
        <v>374</v>
      </c>
      <c r="E1383" s="90" t="s">
        <v>68</v>
      </c>
      <c r="F1383" s="90" t="s">
        <v>375</v>
      </c>
      <c r="G1383" s="90" t="s">
        <v>376</v>
      </c>
      <c r="H1383" s="90">
        <v>0.59</v>
      </c>
      <c r="I1383" s="90">
        <v>0.64</v>
      </c>
      <c r="J1383" s="90" t="s">
        <v>244</v>
      </c>
      <c r="K1383" s="90">
        <v>0.17641984744280001</v>
      </c>
      <c r="L1383" s="90">
        <v>3753.1364843710799</v>
      </c>
      <c r="M1383" s="90">
        <v>11.5356527605854</v>
      </c>
      <c r="N1383" s="90">
        <v>1.52295624301905</v>
      </c>
      <c r="O1383" s="90">
        <v>2.0351181001756702</v>
      </c>
      <c r="P1383" s="90">
        <v>0.26867970805549002</v>
      </c>
      <c r="Q1383" s="90">
        <v>662.12776600477503</v>
      </c>
      <c r="R1383" s="90">
        <v>1430</v>
      </c>
      <c r="S1383" s="90" t="s">
        <v>326</v>
      </c>
      <c r="T1383" s="90">
        <v>1430</v>
      </c>
      <c r="U1383" s="90" t="s">
        <v>378</v>
      </c>
      <c r="V1383" s="90" t="s">
        <v>244</v>
      </c>
      <c r="Z1383" s="90">
        <v>0</v>
      </c>
      <c r="AA1383" s="90">
        <v>1</v>
      </c>
      <c r="AB1383" s="90">
        <v>2.0351181001756702</v>
      </c>
      <c r="AC1383" s="90">
        <v>0.26867970805549002</v>
      </c>
      <c r="AD1383" s="90">
        <v>1396.51205980654</v>
      </c>
      <c r="AF1383" s="90">
        <v>-1</v>
      </c>
      <c r="AG1383" s="90">
        <v>-1</v>
      </c>
      <c r="AH1383" s="90">
        <v>-1</v>
      </c>
      <c r="AI1383" s="90">
        <v>-1</v>
      </c>
      <c r="AJ1383" s="90">
        <v>0</v>
      </c>
      <c r="AM1383" s="90" t="s">
        <v>379</v>
      </c>
      <c r="AN1383" s="90">
        <v>-1</v>
      </c>
      <c r="AQ1383" s="90">
        <v>357</v>
      </c>
      <c r="AR1383" s="90" t="s">
        <v>405</v>
      </c>
      <c r="AS1383" s="90" t="s">
        <v>406</v>
      </c>
      <c r="AT1383" s="90" t="s">
        <v>244</v>
      </c>
      <c r="AU1383" s="90">
        <v>122.34610000000001</v>
      </c>
      <c r="AV1383" s="90">
        <v>112.54306668384601</v>
      </c>
      <c r="AW1383" s="90">
        <v>713.94579266274695</v>
      </c>
      <c r="AX1383" s="90">
        <v>1.1326131872</v>
      </c>
    </row>
    <row r="1384" spans="1:50" x14ac:dyDescent="0.25">
      <c r="A1384" s="102">
        <v>830000</v>
      </c>
      <c r="B1384" s="102">
        <v>2400000</v>
      </c>
      <c r="C1384" s="102">
        <v>2400000</v>
      </c>
      <c r="D1384" s="90" t="s">
        <v>374</v>
      </c>
      <c r="E1384" s="90" t="s">
        <v>68</v>
      </c>
      <c r="F1384" s="90" t="s">
        <v>375</v>
      </c>
      <c r="G1384" s="90" t="s">
        <v>376</v>
      </c>
      <c r="H1384" s="90">
        <v>0.59</v>
      </c>
      <c r="I1384" s="90">
        <v>0.64</v>
      </c>
      <c r="J1384" s="90" t="s">
        <v>244</v>
      </c>
      <c r="K1384" s="90">
        <v>8.1139443498849995E-2</v>
      </c>
      <c r="L1384" s="90">
        <v>3753.1364843710799</v>
      </c>
      <c r="M1384" s="90">
        <v>11.5356527605854</v>
      </c>
      <c r="N1384" s="90">
        <v>1.52295624301905</v>
      </c>
      <c r="O1384" s="90">
        <v>0.93599644538987004</v>
      </c>
      <c r="P1384" s="90">
        <v>0.12357182203166001</v>
      </c>
      <c r="Q1384" s="90">
        <v>304.52740571710001</v>
      </c>
      <c r="R1384" s="90">
        <v>1410</v>
      </c>
      <c r="S1384" s="90" t="s">
        <v>325</v>
      </c>
      <c r="T1384" s="90">
        <v>1410</v>
      </c>
      <c r="U1384" s="90" t="s">
        <v>378</v>
      </c>
      <c r="V1384" s="90" t="s">
        <v>244</v>
      </c>
      <c r="Z1384" s="90">
        <v>0</v>
      </c>
      <c r="AA1384" s="90">
        <v>1</v>
      </c>
      <c r="AB1384" s="90">
        <v>0.93599644538987004</v>
      </c>
      <c r="AC1384" s="90">
        <v>0.12357182203166001</v>
      </c>
      <c r="AD1384" s="90">
        <v>304.52740571710001</v>
      </c>
      <c r="AF1384" s="90">
        <v>-1</v>
      </c>
      <c r="AG1384" s="90">
        <v>-1</v>
      </c>
      <c r="AH1384" s="90">
        <v>-1</v>
      </c>
      <c r="AI1384" s="90">
        <v>-1</v>
      </c>
      <c r="AJ1384" s="90">
        <v>0</v>
      </c>
      <c r="AM1384" s="90" t="s">
        <v>379</v>
      </c>
      <c r="AN1384" s="90">
        <v>-1</v>
      </c>
      <c r="AQ1384" s="90">
        <v>357</v>
      </c>
      <c r="AR1384" s="90" t="s">
        <v>405</v>
      </c>
      <c r="AS1384" s="90" t="s">
        <v>406</v>
      </c>
      <c r="AT1384" s="90" t="s">
        <v>244</v>
      </c>
      <c r="AU1384" s="90">
        <v>122.34610000000001</v>
      </c>
      <c r="AV1384" s="90">
        <v>91.254296782412098</v>
      </c>
      <c r="AW1384" s="90">
        <v>328.35967803328299</v>
      </c>
      <c r="AX1384" s="90">
        <v>0.24698086429999999</v>
      </c>
    </row>
    <row r="1385" spans="1:50" x14ac:dyDescent="0.25">
      <c r="A1385" s="102">
        <v>830000</v>
      </c>
      <c r="B1385" s="102">
        <v>2400000</v>
      </c>
      <c r="C1385" s="102">
        <v>2400000</v>
      </c>
      <c r="D1385" s="90" t="s">
        <v>374</v>
      </c>
      <c r="E1385" s="90" t="s">
        <v>68</v>
      </c>
      <c r="F1385" s="90" t="s">
        <v>375</v>
      </c>
      <c r="G1385" s="90" t="s">
        <v>376</v>
      </c>
      <c r="H1385" s="90">
        <v>0.59</v>
      </c>
      <c r="I1385" s="90">
        <v>0.64</v>
      </c>
      <c r="J1385" s="90" t="s">
        <v>244</v>
      </c>
      <c r="K1385" s="90">
        <v>3.2461960167049997E-2</v>
      </c>
      <c r="L1385" s="90">
        <v>3666.8022040303799</v>
      </c>
      <c r="M1385" s="90">
        <v>9.1449516373431603</v>
      </c>
      <c r="N1385" s="90">
        <v>1.3451366194457399</v>
      </c>
      <c r="O1385" s="90">
        <v>0.29686305578106997</v>
      </c>
      <c r="P1385" s="90">
        <v>4.3665771359689999E-2</v>
      </c>
      <c r="Q1385" s="90">
        <v>119.031587087703</v>
      </c>
      <c r="R1385" s="90">
        <v>1200</v>
      </c>
      <c r="S1385" s="90" t="s">
        <v>384</v>
      </c>
      <c r="T1385" s="90">
        <v>1200</v>
      </c>
      <c r="U1385" s="90" t="s">
        <v>378</v>
      </c>
      <c r="V1385" s="90" t="s">
        <v>244</v>
      </c>
      <c r="Z1385" s="90">
        <v>0</v>
      </c>
      <c r="AA1385" s="90">
        <v>1</v>
      </c>
      <c r="AB1385" s="90">
        <v>0.29686305578106997</v>
      </c>
      <c r="AC1385" s="90">
        <v>4.3665771359689999E-2</v>
      </c>
      <c r="AD1385" s="90">
        <v>703.38629875673905</v>
      </c>
      <c r="AF1385" s="90">
        <v>-1</v>
      </c>
      <c r="AG1385" s="90">
        <v>-1</v>
      </c>
      <c r="AH1385" s="90">
        <v>-1</v>
      </c>
      <c r="AI1385" s="90">
        <v>-1</v>
      </c>
      <c r="AJ1385" s="90">
        <v>0</v>
      </c>
      <c r="AM1385" s="90" t="s">
        <v>379</v>
      </c>
      <c r="AN1385" s="90">
        <v>-1</v>
      </c>
      <c r="AQ1385" s="90">
        <v>357</v>
      </c>
      <c r="AR1385" s="90" t="s">
        <v>405</v>
      </c>
      <c r="AS1385" s="90" t="s">
        <v>406</v>
      </c>
      <c r="AT1385" s="90" t="s">
        <v>244</v>
      </c>
      <c r="AU1385" s="90">
        <v>122.34610000000001</v>
      </c>
      <c r="AV1385" s="90">
        <v>47.418859150582797</v>
      </c>
      <c r="AW1385" s="90">
        <v>131.36889198573999</v>
      </c>
      <c r="AX1385" s="90">
        <v>0.57046739560000004</v>
      </c>
    </row>
    <row r="1386" spans="1:50" x14ac:dyDescent="0.25">
      <c r="A1386" s="102">
        <v>830000</v>
      </c>
      <c r="B1386" s="102">
        <v>2400000</v>
      </c>
      <c r="C1386" s="102">
        <v>2400000</v>
      </c>
      <c r="D1386" s="90" t="s">
        <v>374</v>
      </c>
      <c r="E1386" s="90" t="s">
        <v>68</v>
      </c>
      <c r="F1386" s="90" t="s">
        <v>375</v>
      </c>
      <c r="G1386" s="90" t="s">
        <v>376</v>
      </c>
      <c r="H1386" s="90">
        <v>0.59</v>
      </c>
      <c r="I1386" s="90">
        <v>0.64</v>
      </c>
      <c r="J1386" s="90" t="s">
        <v>244</v>
      </c>
      <c r="K1386" s="90">
        <v>2.2951064507000001E-4</v>
      </c>
      <c r="L1386" s="90">
        <v>3666.8022040303799</v>
      </c>
      <c r="M1386" s="90">
        <v>9.1449516373431603</v>
      </c>
      <c r="N1386" s="90">
        <v>1.3451366194457399</v>
      </c>
      <c r="O1386" s="90">
        <v>2.0988637494300001E-3</v>
      </c>
      <c r="P1386" s="90">
        <v>3.0872317323000001E-4</v>
      </c>
      <c r="Q1386" s="90">
        <v>0.84157013919476997</v>
      </c>
      <c r="R1386" s="90">
        <v>1210</v>
      </c>
      <c r="S1386" s="90" t="s">
        <v>385</v>
      </c>
      <c r="T1386" s="90">
        <v>1210</v>
      </c>
      <c r="U1386" s="90" t="s">
        <v>378</v>
      </c>
      <c r="V1386" s="90" t="s">
        <v>244</v>
      </c>
      <c r="Z1386" s="90">
        <v>0</v>
      </c>
      <c r="AA1386" s="90">
        <v>1</v>
      </c>
      <c r="AB1386" s="90">
        <v>2.0988637494300001E-3</v>
      </c>
      <c r="AC1386" s="90">
        <v>3.0872317323000001E-4</v>
      </c>
      <c r="AD1386" s="90">
        <v>15.3245066805031</v>
      </c>
      <c r="AF1386" s="90">
        <v>-1</v>
      </c>
      <c r="AG1386" s="90">
        <v>-1</v>
      </c>
      <c r="AH1386" s="90">
        <v>-1</v>
      </c>
      <c r="AI1386" s="90">
        <v>-1</v>
      </c>
      <c r="AJ1386" s="90">
        <v>0</v>
      </c>
      <c r="AM1386" s="90" t="s">
        <v>379</v>
      </c>
      <c r="AN1386" s="90">
        <v>-1</v>
      </c>
      <c r="AQ1386" s="90">
        <v>357</v>
      </c>
      <c r="AR1386" s="90" t="s">
        <v>405</v>
      </c>
      <c r="AS1386" s="90" t="s">
        <v>406</v>
      </c>
      <c r="AT1386" s="90" t="s">
        <v>244</v>
      </c>
      <c r="AU1386" s="90">
        <v>122.34610000000001</v>
      </c>
      <c r="AV1386" s="90">
        <v>8.4729135576296404</v>
      </c>
      <c r="AW1386" s="90">
        <v>0.92879662801528995</v>
      </c>
      <c r="AX1386" s="90">
        <v>1.2428634799999999E-2</v>
      </c>
    </row>
    <row r="1387" spans="1:50" x14ac:dyDescent="0.25">
      <c r="A1387" s="102">
        <v>830000</v>
      </c>
      <c r="B1387" s="102">
        <v>2400000</v>
      </c>
      <c r="C1387" s="102">
        <v>2400000</v>
      </c>
      <c r="D1387" s="90" t="s">
        <v>374</v>
      </c>
      <c r="E1387" s="90" t="s">
        <v>68</v>
      </c>
      <c r="F1387" s="90" t="s">
        <v>375</v>
      </c>
      <c r="G1387" s="90" t="s">
        <v>376</v>
      </c>
      <c r="H1387" s="90">
        <v>0.59</v>
      </c>
      <c r="I1387" s="90">
        <v>0.64</v>
      </c>
      <c r="J1387" s="90" t="s">
        <v>244</v>
      </c>
      <c r="K1387" s="90">
        <v>5.6785501633400001E-2</v>
      </c>
      <c r="L1387" s="90">
        <v>3666.8022040303799</v>
      </c>
      <c r="M1387" s="90">
        <v>9.1449516373431603</v>
      </c>
      <c r="N1387" s="90">
        <v>1.3451366194457399</v>
      </c>
      <c r="O1387" s="90">
        <v>0.51930066613971004</v>
      </c>
      <c r="P1387" s="90">
        <v>7.6384257700679997E-2</v>
      </c>
      <c r="Q1387" s="90">
        <v>208.221202546321</v>
      </c>
      <c r="R1387" s="90">
        <v>1210</v>
      </c>
      <c r="S1387" s="90" t="s">
        <v>385</v>
      </c>
      <c r="T1387" s="90">
        <v>1210</v>
      </c>
      <c r="U1387" s="90" t="s">
        <v>378</v>
      </c>
      <c r="V1387" s="90" t="s">
        <v>244</v>
      </c>
      <c r="Z1387" s="90">
        <v>0</v>
      </c>
      <c r="AA1387" s="90">
        <v>1</v>
      </c>
      <c r="AB1387" s="90">
        <v>0.51930066613971004</v>
      </c>
      <c r="AC1387" s="90">
        <v>7.6384257700679997E-2</v>
      </c>
      <c r="AD1387" s="90">
        <v>575.12768984938498</v>
      </c>
      <c r="AF1387" s="90">
        <v>-1</v>
      </c>
      <c r="AG1387" s="90">
        <v>-1</v>
      </c>
      <c r="AH1387" s="90">
        <v>-1</v>
      </c>
      <c r="AI1387" s="90">
        <v>-1</v>
      </c>
      <c r="AJ1387" s="90">
        <v>0</v>
      </c>
      <c r="AM1387" s="90" t="s">
        <v>379</v>
      </c>
      <c r="AN1387" s="90">
        <v>-1</v>
      </c>
      <c r="AQ1387" s="90">
        <v>357</v>
      </c>
      <c r="AR1387" s="90" t="s">
        <v>405</v>
      </c>
      <c r="AS1387" s="90" t="s">
        <v>406</v>
      </c>
      <c r="AT1387" s="90" t="s">
        <v>244</v>
      </c>
      <c r="AU1387" s="90">
        <v>122.34610000000001</v>
      </c>
      <c r="AV1387" s="90">
        <v>82.905407924755096</v>
      </c>
      <c r="AW1387" s="90">
        <v>229.80277198432901</v>
      </c>
      <c r="AX1387" s="90">
        <v>0.46644581499999999</v>
      </c>
    </row>
    <row r="1388" spans="1:50" x14ac:dyDescent="0.25">
      <c r="A1388" s="102">
        <v>830000</v>
      </c>
      <c r="B1388" s="102">
        <v>2400000</v>
      </c>
      <c r="C1388" s="102">
        <v>2400000</v>
      </c>
      <c r="D1388" s="90" t="s">
        <v>374</v>
      </c>
      <c r="E1388" s="90" t="s">
        <v>68</v>
      </c>
      <c r="F1388" s="90" t="s">
        <v>375</v>
      </c>
      <c r="G1388" s="90" t="s">
        <v>376</v>
      </c>
      <c r="H1388" s="90">
        <v>0.59</v>
      </c>
      <c r="I1388" s="90">
        <v>0.64</v>
      </c>
      <c r="J1388" s="90" t="s">
        <v>244</v>
      </c>
      <c r="K1388" s="90">
        <v>1.25437712914E-3</v>
      </c>
      <c r="L1388" s="90">
        <v>3666.80220375718</v>
      </c>
      <c r="M1388" s="90">
        <v>9.1449516366617996</v>
      </c>
      <c r="N1388" s="90">
        <v>1.3451366193455201</v>
      </c>
      <c r="O1388" s="90">
        <v>1.147121818014E-2</v>
      </c>
      <c r="P1388" s="90">
        <v>1.68730861088E-3</v>
      </c>
      <c r="Q1388" s="90">
        <v>4.5995528214841599</v>
      </c>
      <c r="R1388" s="90">
        <v>1200</v>
      </c>
      <c r="S1388" s="90" t="s">
        <v>384</v>
      </c>
      <c r="T1388" s="90">
        <v>1200</v>
      </c>
      <c r="U1388" s="90" t="s">
        <v>378</v>
      </c>
      <c r="V1388" s="90" t="s">
        <v>244</v>
      </c>
      <c r="Z1388" s="90">
        <v>0</v>
      </c>
      <c r="AA1388" s="90">
        <v>1</v>
      </c>
      <c r="AB1388" s="90">
        <v>1.147121818014E-2</v>
      </c>
      <c r="AC1388" s="90">
        <v>1.68730861088E-3</v>
      </c>
      <c r="AD1388" s="90">
        <v>696.61873740336705</v>
      </c>
      <c r="AF1388" s="90">
        <v>-1</v>
      </c>
      <c r="AG1388" s="90">
        <v>-1</v>
      </c>
      <c r="AH1388" s="90">
        <v>-1</v>
      </c>
      <c r="AI1388" s="90">
        <v>-1</v>
      </c>
      <c r="AJ1388" s="90">
        <v>0</v>
      </c>
      <c r="AM1388" s="90" t="s">
        <v>379</v>
      </c>
      <c r="AN1388" s="90">
        <v>-1</v>
      </c>
      <c r="AQ1388" s="90">
        <v>357</v>
      </c>
      <c r="AR1388" s="90" t="s">
        <v>405</v>
      </c>
      <c r="AS1388" s="90" t="s">
        <v>406</v>
      </c>
      <c r="AT1388" s="90" t="s">
        <v>244</v>
      </c>
      <c r="AU1388" s="90">
        <v>122.34610000000001</v>
      </c>
      <c r="AV1388" s="90">
        <v>23.040535367793201</v>
      </c>
      <c r="AW1388" s="90">
        <v>5.07628414118542</v>
      </c>
      <c r="AX1388" s="90">
        <v>0.56497870019999996</v>
      </c>
    </row>
    <row r="1389" spans="1:50" x14ac:dyDescent="0.25">
      <c r="A1389" s="102">
        <v>830000</v>
      </c>
      <c r="B1389" s="102">
        <v>2400000</v>
      </c>
      <c r="C1389" s="102">
        <v>2400000</v>
      </c>
      <c r="D1389" s="90" t="s">
        <v>374</v>
      </c>
      <c r="E1389" s="90" t="s">
        <v>68</v>
      </c>
      <c r="F1389" s="90" t="s">
        <v>375</v>
      </c>
      <c r="G1389" s="90" t="s">
        <v>376</v>
      </c>
      <c r="H1389" s="90">
        <v>0.59</v>
      </c>
      <c r="I1389" s="90">
        <v>0.64</v>
      </c>
      <c r="J1389" s="90" t="s">
        <v>244</v>
      </c>
      <c r="K1389" s="90">
        <v>2.1452456749999999E-4</v>
      </c>
      <c r="L1389" s="90">
        <v>3666.80220375718</v>
      </c>
      <c r="M1389" s="90">
        <v>9.1449516366617996</v>
      </c>
      <c r="N1389" s="90">
        <v>1.3451366193455201</v>
      </c>
      <c r="O1389" s="90">
        <v>1.9618167947399998E-3</v>
      </c>
      <c r="P1389" s="90">
        <v>2.8856485150000001E-4</v>
      </c>
      <c r="Q1389" s="90">
        <v>0.78661915690204998</v>
      </c>
      <c r="R1389" s="90">
        <v>1210</v>
      </c>
      <c r="S1389" s="90" t="s">
        <v>385</v>
      </c>
      <c r="T1389" s="90">
        <v>1210</v>
      </c>
      <c r="U1389" s="90" t="s">
        <v>378</v>
      </c>
      <c r="V1389" s="90" t="s">
        <v>244</v>
      </c>
      <c r="Z1389" s="90">
        <v>0</v>
      </c>
      <c r="AA1389" s="90">
        <v>1</v>
      </c>
      <c r="AB1389" s="90">
        <v>1.9618167947399998E-3</v>
      </c>
      <c r="AC1389" s="90">
        <v>2.8856485150000001E-4</v>
      </c>
      <c r="AD1389" s="90">
        <v>14.457164256674201</v>
      </c>
      <c r="AF1389" s="90">
        <v>-1</v>
      </c>
      <c r="AG1389" s="90">
        <v>-1</v>
      </c>
      <c r="AH1389" s="90">
        <v>-1</v>
      </c>
      <c r="AI1389" s="90">
        <v>-1</v>
      </c>
      <c r="AJ1389" s="90">
        <v>0</v>
      </c>
      <c r="AM1389" s="90" t="s">
        <v>379</v>
      </c>
      <c r="AN1389" s="90">
        <v>-1</v>
      </c>
      <c r="AQ1389" s="90">
        <v>357</v>
      </c>
      <c r="AR1389" s="90" t="s">
        <v>405</v>
      </c>
      <c r="AS1389" s="90" t="s">
        <v>406</v>
      </c>
      <c r="AT1389" s="90" t="s">
        <v>244</v>
      </c>
      <c r="AU1389" s="90">
        <v>122.34610000000001</v>
      </c>
      <c r="AV1389" s="90">
        <v>3.7331887136161601</v>
      </c>
      <c r="AW1389" s="90">
        <v>0.86815012378739997</v>
      </c>
      <c r="AX1389" s="90">
        <v>1.1725194E-2</v>
      </c>
    </row>
    <row r="1390" spans="1:50" x14ac:dyDescent="0.25">
      <c r="A1390" s="102">
        <v>830000</v>
      </c>
      <c r="B1390" s="102">
        <v>2400000</v>
      </c>
      <c r="C1390" s="102">
        <v>2400000</v>
      </c>
      <c r="D1390" s="90" t="s">
        <v>374</v>
      </c>
      <c r="E1390" s="90" t="s">
        <v>68</v>
      </c>
      <c r="F1390" s="90" t="s">
        <v>375</v>
      </c>
      <c r="G1390" s="90" t="s">
        <v>376</v>
      </c>
      <c r="H1390" s="90">
        <v>0.59</v>
      </c>
      <c r="I1390" s="90">
        <v>0.64</v>
      </c>
      <c r="J1390" s="90" t="s">
        <v>244</v>
      </c>
      <c r="K1390" s="90">
        <v>0.21797408423754999</v>
      </c>
      <c r="L1390" s="90">
        <v>3670.9472340898901</v>
      </c>
      <c r="M1390" s="90">
        <v>9.4354928650335594</v>
      </c>
      <c r="N1390" s="90">
        <v>1.48337775952575</v>
      </c>
      <c r="O1390" s="90">
        <v>2.0566929165856802</v>
      </c>
      <c r="P1390" s="90">
        <v>0.32333790871098</v>
      </c>
      <c r="Q1390" s="90">
        <v>800.17136163513305</v>
      </c>
      <c r="R1390" s="90">
        <v>1200</v>
      </c>
      <c r="S1390" s="90" t="s">
        <v>384</v>
      </c>
      <c r="T1390" s="90">
        <v>1200</v>
      </c>
      <c r="U1390" s="90" t="s">
        <v>378</v>
      </c>
      <c r="V1390" s="90" t="s">
        <v>244</v>
      </c>
      <c r="Z1390" s="90">
        <v>0</v>
      </c>
      <c r="AA1390" s="90">
        <v>1</v>
      </c>
      <c r="AB1390" s="90">
        <v>2.0566929165856802</v>
      </c>
      <c r="AC1390" s="90">
        <v>0.32333790871098</v>
      </c>
      <c r="AD1390" s="90">
        <v>800.17136163513305</v>
      </c>
      <c r="AF1390" s="90">
        <v>-1</v>
      </c>
      <c r="AG1390" s="90">
        <v>-1</v>
      </c>
      <c r="AH1390" s="90">
        <v>-1</v>
      </c>
      <c r="AI1390" s="90">
        <v>-1</v>
      </c>
      <c r="AJ1390" s="90">
        <v>0</v>
      </c>
      <c r="AM1390" s="90" t="s">
        <v>379</v>
      </c>
      <c r="AN1390" s="90">
        <v>-1</v>
      </c>
      <c r="AQ1390" s="90">
        <v>357</v>
      </c>
      <c r="AR1390" s="90" t="s">
        <v>405</v>
      </c>
      <c r="AS1390" s="90" t="s">
        <v>406</v>
      </c>
      <c r="AT1390" s="90" t="s">
        <v>244</v>
      </c>
      <c r="AU1390" s="90">
        <v>122.34610000000001</v>
      </c>
      <c r="AV1390" s="90">
        <v>171.63246117392401</v>
      </c>
      <c r="AW1390" s="90">
        <v>882.10982271351202</v>
      </c>
      <c r="AX1390" s="90">
        <v>0.64896298590000001</v>
      </c>
    </row>
    <row r="1391" spans="1:50" x14ac:dyDescent="0.25">
      <c r="A1391" s="102">
        <v>830000</v>
      </c>
      <c r="B1391" s="102">
        <v>2400000</v>
      </c>
      <c r="C1391" s="102">
        <v>2400000</v>
      </c>
      <c r="D1391" s="90" t="s">
        <v>374</v>
      </c>
      <c r="E1391" s="90" t="s">
        <v>68</v>
      </c>
      <c r="F1391" s="90" t="s">
        <v>375</v>
      </c>
      <c r="G1391" s="90" t="s">
        <v>376</v>
      </c>
      <c r="H1391" s="90">
        <v>0.59</v>
      </c>
      <c r="I1391" s="90">
        <v>0.64</v>
      </c>
      <c r="J1391" s="90" t="s">
        <v>244</v>
      </c>
      <c r="K1391" s="90">
        <v>0.10633576825657</v>
      </c>
      <c r="L1391" s="90">
        <v>3670.9472340898901</v>
      </c>
      <c r="M1391" s="90">
        <v>9.4354928650335594</v>
      </c>
      <c r="N1391" s="90">
        <v>1.48337775952575</v>
      </c>
      <c r="O1391" s="90">
        <v>1.00333038268277</v>
      </c>
      <c r="P1391" s="90">
        <v>0.15773611367387999</v>
      </c>
      <c r="Q1391" s="90">
        <v>390.35299436629799</v>
      </c>
      <c r="R1391" s="90">
        <v>1300</v>
      </c>
      <c r="S1391" s="90" t="s">
        <v>387</v>
      </c>
      <c r="T1391" s="90">
        <v>1300</v>
      </c>
      <c r="U1391" s="90" t="s">
        <v>378</v>
      </c>
      <c r="V1391" s="90" t="s">
        <v>244</v>
      </c>
      <c r="Z1391" s="90">
        <v>0</v>
      </c>
      <c r="AA1391" s="90">
        <v>1</v>
      </c>
      <c r="AB1391" s="90">
        <v>1.00333038268277</v>
      </c>
      <c r="AC1391" s="90">
        <v>0.15773611367387999</v>
      </c>
      <c r="AD1391" s="90">
        <v>390.35299436629799</v>
      </c>
      <c r="AF1391" s="90">
        <v>-1</v>
      </c>
      <c r="AG1391" s="90">
        <v>-1</v>
      </c>
      <c r="AH1391" s="90">
        <v>-1</v>
      </c>
      <c r="AI1391" s="90">
        <v>-1</v>
      </c>
      <c r="AJ1391" s="90">
        <v>0</v>
      </c>
      <c r="AM1391" s="90" t="s">
        <v>379</v>
      </c>
      <c r="AN1391" s="90">
        <v>-1</v>
      </c>
      <c r="AQ1391" s="90">
        <v>357</v>
      </c>
      <c r="AR1391" s="90" t="s">
        <v>405</v>
      </c>
      <c r="AS1391" s="90" t="s">
        <v>406</v>
      </c>
      <c r="AT1391" s="90" t="s">
        <v>244</v>
      </c>
      <c r="AU1391" s="90">
        <v>122.34610000000001</v>
      </c>
      <c r="AV1391" s="90">
        <v>117.78413427573901</v>
      </c>
      <c r="AW1391" s="90">
        <v>430.32558669995802</v>
      </c>
      <c r="AX1391" s="90">
        <v>0.3165879922</v>
      </c>
    </row>
    <row r="1392" spans="1:50" x14ac:dyDescent="0.25">
      <c r="A1392" s="102">
        <v>830000</v>
      </c>
      <c r="B1392" s="102">
        <v>2400000</v>
      </c>
      <c r="C1392" s="102">
        <v>2400000</v>
      </c>
      <c r="D1392" s="90" t="s">
        <v>374</v>
      </c>
      <c r="E1392" s="90" t="s">
        <v>68</v>
      </c>
      <c r="F1392" s="90" t="s">
        <v>375</v>
      </c>
      <c r="G1392" s="90" t="s">
        <v>376</v>
      </c>
      <c r="H1392" s="90">
        <v>0.59</v>
      </c>
      <c r="I1392" s="90">
        <v>0.64</v>
      </c>
      <c r="J1392" s="90" t="s">
        <v>244</v>
      </c>
      <c r="K1392" s="90">
        <v>0.10245980116763</v>
      </c>
      <c r="L1392" s="90">
        <v>3670.9472340898901</v>
      </c>
      <c r="M1392" s="90">
        <v>9.4354928650335594</v>
      </c>
      <c r="N1392" s="90">
        <v>1.48337775952575</v>
      </c>
      <c r="O1392" s="90">
        <v>0.96675872286996001</v>
      </c>
      <c r="P1392" s="90">
        <v>0.15198659029749001</v>
      </c>
      <c r="Q1392" s="90">
        <v>376.12452370172599</v>
      </c>
      <c r="R1392" s="90">
        <v>1210</v>
      </c>
      <c r="S1392" s="90" t="s">
        <v>385</v>
      </c>
      <c r="T1392" s="90">
        <v>1210</v>
      </c>
      <c r="U1392" s="90" t="s">
        <v>378</v>
      </c>
      <c r="V1392" s="90" t="s">
        <v>244</v>
      </c>
      <c r="Z1392" s="90">
        <v>0</v>
      </c>
      <c r="AA1392" s="90">
        <v>1</v>
      </c>
      <c r="AB1392" s="90">
        <v>0.96675872286996001</v>
      </c>
      <c r="AC1392" s="90">
        <v>0.15198659029749001</v>
      </c>
      <c r="AD1392" s="90">
        <v>376.12452370172599</v>
      </c>
      <c r="AF1392" s="90">
        <v>-1</v>
      </c>
      <c r="AG1392" s="90">
        <v>-1</v>
      </c>
      <c r="AH1392" s="90">
        <v>-1</v>
      </c>
      <c r="AI1392" s="90">
        <v>-1</v>
      </c>
      <c r="AJ1392" s="90">
        <v>0</v>
      </c>
      <c r="AM1392" s="90" t="s">
        <v>379</v>
      </c>
      <c r="AN1392" s="90">
        <v>-1</v>
      </c>
      <c r="AQ1392" s="90">
        <v>357</v>
      </c>
      <c r="AR1392" s="90" t="s">
        <v>405</v>
      </c>
      <c r="AS1392" s="90" t="s">
        <v>406</v>
      </c>
      <c r="AT1392" s="90" t="s">
        <v>244</v>
      </c>
      <c r="AU1392" s="90">
        <v>122.34610000000001</v>
      </c>
      <c r="AV1392" s="90">
        <v>82.514580386445999</v>
      </c>
      <c r="AW1392" s="90">
        <v>414.64010439306497</v>
      </c>
      <c r="AX1392" s="90">
        <v>0.30504827550000002</v>
      </c>
    </row>
    <row r="1393" spans="1:50" x14ac:dyDescent="0.25">
      <c r="A1393" s="102">
        <v>830000</v>
      </c>
      <c r="B1393" s="102">
        <v>2400000</v>
      </c>
      <c r="C1393" s="102">
        <v>2400000</v>
      </c>
      <c r="D1393" s="90" t="s">
        <v>374</v>
      </c>
      <c r="E1393" s="90" t="s">
        <v>68</v>
      </c>
      <c r="F1393" s="90" t="s">
        <v>375</v>
      </c>
      <c r="G1393" s="90" t="s">
        <v>376</v>
      </c>
      <c r="H1393" s="90">
        <v>0.59</v>
      </c>
      <c r="I1393" s="90">
        <v>0.64</v>
      </c>
      <c r="J1393" s="90" t="s">
        <v>244</v>
      </c>
      <c r="K1393" s="90">
        <v>0.11109298298718</v>
      </c>
      <c r="L1393" s="90">
        <v>3670.9472340898901</v>
      </c>
      <c r="M1393" s="90">
        <v>9.4354928650335594</v>
      </c>
      <c r="N1393" s="90">
        <v>1.48337775952575</v>
      </c>
      <c r="O1393" s="90">
        <v>1.0482170483308799</v>
      </c>
      <c r="P1393" s="90">
        <v>0.16479286020256001</v>
      </c>
      <c r="Q1393" s="90">
        <v>407.81647862360597</v>
      </c>
      <c r="R1393" s="90">
        <v>1210</v>
      </c>
      <c r="S1393" s="90" t="s">
        <v>385</v>
      </c>
      <c r="T1393" s="90">
        <v>1210</v>
      </c>
      <c r="U1393" s="90" t="s">
        <v>378</v>
      </c>
      <c r="V1393" s="90" t="s">
        <v>244</v>
      </c>
      <c r="Z1393" s="90">
        <v>0</v>
      </c>
      <c r="AA1393" s="90">
        <v>1</v>
      </c>
      <c r="AB1393" s="90">
        <v>1.0482170483308799</v>
      </c>
      <c r="AC1393" s="90">
        <v>0.16479286020256001</v>
      </c>
      <c r="AD1393" s="90">
        <v>407.81647862360597</v>
      </c>
      <c r="AF1393" s="90">
        <v>-1</v>
      </c>
      <c r="AG1393" s="90">
        <v>-1</v>
      </c>
      <c r="AH1393" s="90">
        <v>-1</v>
      </c>
      <c r="AI1393" s="90">
        <v>-1</v>
      </c>
      <c r="AJ1393" s="90">
        <v>0</v>
      </c>
      <c r="AM1393" s="90" t="s">
        <v>379</v>
      </c>
      <c r="AN1393" s="90">
        <v>-1</v>
      </c>
      <c r="AQ1393" s="90">
        <v>357</v>
      </c>
      <c r="AR1393" s="90" t="s">
        <v>405</v>
      </c>
      <c r="AS1393" s="90" t="s">
        <v>406</v>
      </c>
      <c r="AT1393" s="90" t="s">
        <v>244</v>
      </c>
      <c r="AU1393" s="90">
        <v>122.34610000000001</v>
      </c>
      <c r="AV1393" s="90">
        <v>86.660685314152005</v>
      </c>
      <c r="AW1393" s="90">
        <v>449.577351685265</v>
      </c>
      <c r="AX1393" s="90">
        <v>0.33075140200000003</v>
      </c>
    </row>
    <row r="1394" spans="1:50" x14ac:dyDescent="0.25">
      <c r="A1394" s="102">
        <v>830000</v>
      </c>
      <c r="B1394" s="102">
        <v>2400000</v>
      </c>
      <c r="C1394" s="102">
        <v>2400000</v>
      </c>
      <c r="D1394" s="90" t="s">
        <v>374</v>
      </c>
      <c r="E1394" s="90" t="s">
        <v>68</v>
      </c>
      <c r="F1394" s="90" t="s">
        <v>375</v>
      </c>
      <c r="G1394" s="90" t="s">
        <v>376</v>
      </c>
      <c r="H1394" s="90">
        <v>0.59</v>
      </c>
      <c r="I1394" s="90">
        <v>0.64</v>
      </c>
      <c r="J1394" s="90" t="s">
        <v>244</v>
      </c>
      <c r="K1394" s="90">
        <v>5.9979978938800001E-3</v>
      </c>
      <c r="L1394" s="90">
        <v>3670.9472340898901</v>
      </c>
      <c r="M1394" s="90">
        <v>9.4354928650335594</v>
      </c>
      <c r="N1394" s="90">
        <v>1.48337775952575</v>
      </c>
      <c r="O1394" s="90">
        <v>5.6594066332270002E-2</v>
      </c>
      <c r="P1394" s="90">
        <v>8.8972966774699992E-3</v>
      </c>
      <c r="Q1394" s="90">
        <v>22.018333778648799</v>
      </c>
      <c r="R1394" s="90">
        <v>1210</v>
      </c>
      <c r="S1394" s="90" t="s">
        <v>385</v>
      </c>
      <c r="T1394" s="90">
        <v>1210</v>
      </c>
      <c r="U1394" s="90" t="s">
        <v>378</v>
      </c>
      <c r="V1394" s="90" t="s">
        <v>244</v>
      </c>
      <c r="Z1394" s="90">
        <v>0</v>
      </c>
      <c r="AA1394" s="90">
        <v>1</v>
      </c>
      <c r="AB1394" s="90">
        <v>5.6594066332270002E-2</v>
      </c>
      <c r="AC1394" s="90">
        <v>8.8972966774699992E-3</v>
      </c>
      <c r="AD1394" s="90">
        <v>22.018333778648401</v>
      </c>
      <c r="AF1394" s="90">
        <v>-1</v>
      </c>
      <c r="AG1394" s="90">
        <v>-1</v>
      </c>
      <c r="AH1394" s="90">
        <v>-1</v>
      </c>
      <c r="AI1394" s="90">
        <v>-1</v>
      </c>
      <c r="AJ1394" s="90">
        <v>0</v>
      </c>
      <c r="AM1394" s="90" t="s">
        <v>379</v>
      </c>
      <c r="AN1394" s="90">
        <v>-1</v>
      </c>
      <c r="AQ1394" s="90">
        <v>357</v>
      </c>
      <c r="AR1394" s="90" t="s">
        <v>405</v>
      </c>
      <c r="AS1394" s="90" t="s">
        <v>406</v>
      </c>
      <c r="AT1394" s="90" t="s">
        <v>244</v>
      </c>
      <c r="AU1394" s="90">
        <v>122.34610000000001</v>
      </c>
      <c r="AV1394" s="90">
        <v>34.660831019292502</v>
      </c>
      <c r="AW1394" s="90">
        <v>24.2730362984259</v>
      </c>
      <c r="AX1394" s="90">
        <v>1.7857529399999999E-2</v>
      </c>
    </row>
    <row r="1395" spans="1:50" x14ac:dyDescent="0.25">
      <c r="A1395" s="102">
        <v>830000</v>
      </c>
      <c r="B1395" s="102">
        <v>2400000</v>
      </c>
      <c r="C1395" s="102">
        <v>2400000</v>
      </c>
      <c r="D1395" s="90" t="s">
        <v>374</v>
      </c>
      <c r="E1395" s="90" t="s">
        <v>68</v>
      </c>
      <c r="F1395" s="90" t="s">
        <v>375</v>
      </c>
      <c r="G1395" s="90" t="s">
        <v>376</v>
      </c>
      <c r="H1395" s="90">
        <v>0.59</v>
      </c>
      <c r="I1395" s="90">
        <v>0.64</v>
      </c>
      <c r="J1395" s="90" t="s">
        <v>244</v>
      </c>
      <c r="K1395" s="90">
        <v>0.13425562501026</v>
      </c>
      <c r="L1395" s="90">
        <v>3730.8236978958898</v>
      </c>
      <c r="M1395" s="90">
        <v>9.5410064548442399</v>
      </c>
      <c r="N1395" s="90">
        <v>1.6996010264158801</v>
      </c>
      <c r="O1395" s="90">
        <v>1.2809337848221201</v>
      </c>
      <c r="P1395" s="90">
        <v>0.22818099806955999</v>
      </c>
      <c r="Q1395" s="90">
        <v>500.884067364136</v>
      </c>
      <c r="R1395" s="90">
        <v>1300</v>
      </c>
      <c r="S1395" s="90" t="s">
        <v>387</v>
      </c>
      <c r="T1395" s="90">
        <v>1300</v>
      </c>
      <c r="U1395" s="90" t="s">
        <v>378</v>
      </c>
      <c r="V1395" s="90" t="s">
        <v>244</v>
      </c>
      <c r="Z1395" s="90">
        <v>0</v>
      </c>
      <c r="AA1395" s="90">
        <v>1</v>
      </c>
      <c r="AB1395" s="90">
        <v>1.2809337848221201</v>
      </c>
      <c r="AC1395" s="90">
        <v>0.22818099806955999</v>
      </c>
      <c r="AD1395" s="90">
        <v>500.884067364136</v>
      </c>
      <c r="AF1395" s="90">
        <v>-1</v>
      </c>
      <c r="AG1395" s="90">
        <v>-1</v>
      </c>
      <c r="AH1395" s="90">
        <v>-1</v>
      </c>
      <c r="AI1395" s="90">
        <v>-1</v>
      </c>
      <c r="AJ1395" s="90">
        <v>0</v>
      </c>
      <c r="AM1395" s="90" t="s">
        <v>379</v>
      </c>
      <c r="AN1395" s="90">
        <v>-1</v>
      </c>
      <c r="AQ1395" s="90">
        <v>357</v>
      </c>
      <c r="AR1395" s="90" t="s">
        <v>405</v>
      </c>
      <c r="AS1395" s="90" t="s">
        <v>406</v>
      </c>
      <c r="AT1395" s="90" t="s">
        <v>244</v>
      </c>
      <c r="AU1395" s="90">
        <v>122.34610000000001</v>
      </c>
      <c r="AV1395" s="90">
        <v>158.30435080781299</v>
      </c>
      <c r="AW1395" s="90">
        <v>543.31323831613099</v>
      </c>
      <c r="AX1395" s="90">
        <v>0.40623200920000002</v>
      </c>
    </row>
    <row r="1396" spans="1:50" x14ac:dyDescent="0.25">
      <c r="A1396" s="102">
        <v>830000</v>
      </c>
      <c r="B1396" s="102">
        <v>2400000</v>
      </c>
      <c r="C1396" s="102">
        <v>2400000</v>
      </c>
      <c r="D1396" s="90" t="s">
        <v>374</v>
      </c>
      <c r="E1396" s="90" t="s">
        <v>68</v>
      </c>
      <c r="F1396" s="90" t="s">
        <v>375</v>
      </c>
      <c r="G1396" s="90" t="s">
        <v>376</v>
      </c>
      <c r="H1396" s="90">
        <v>0.59</v>
      </c>
      <c r="I1396" s="90">
        <v>0.64</v>
      </c>
      <c r="J1396" s="90" t="s">
        <v>244</v>
      </c>
      <c r="K1396" s="90">
        <v>0.20002244025454999</v>
      </c>
      <c r="L1396" s="90">
        <v>3730.8236978958898</v>
      </c>
      <c r="M1396" s="90">
        <v>9.5410064548442399</v>
      </c>
      <c r="N1396" s="90">
        <v>1.6996010264158801</v>
      </c>
      <c r="O1396" s="90">
        <v>1.90841539358239</v>
      </c>
      <c r="P1396" s="90">
        <v>0.33995834476284997</v>
      </c>
      <c r="Q1396" s="90">
        <v>746.24846021265603</v>
      </c>
      <c r="R1396" s="90">
        <v>1340</v>
      </c>
      <c r="S1396" s="90" t="s">
        <v>407</v>
      </c>
      <c r="T1396" s="90">
        <v>1340</v>
      </c>
      <c r="U1396" s="90" t="s">
        <v>378</v>
      </c>
      <c r="V1396" s="90" t="s">
        <v>244</v>
      </c>
      <c r="Z1396" s="90">
        <v>0</v>
      </c>
      <c r="AA1396" s="90">
        <v>1</v>
      </c>
      <c r="AB1396" s="90">
        <v>1.90841539358239</v>
      </c>
      <c r="AC1396" s="90">
        <v>0.33995834476284997</v>
      </c>
      <c r="AD1396" s="90">
        <v>746.24846021265603</v>
      </c>
      <c r="AF1396" s="90">
        <v>-1</v>
      </c>
      <c r="AG1396" s="90">
        <v>-1</v>
      </c>
      <c r="AH1396" s="90">
        <v>-1</v>
      </c>
      <c r="AI1396" s="90">
        <v>-1</v>
      </c>
      <c r="AJ1396" s="90">
        <v>0</v>
      </c>
      <c r="AM1396" s="90" t="s">
        <v>379</v>
      </c>
      <c r="AN1396" s="90">
        <v>-1</v>
      </c>
      <c r="AQ1396" s="90">
        <v>357</v>
      </c>
      <c r="AR1396" s="90" t="s">
        <v>405</v>
      </c>
      <c r="AS1396" s="90" t="s">
        <v>406</v>
      </c>
      <c r="AT1396" s="90" t="s">
        <v>244</v>
      </c>
      <c r="AU1396" s="90">
        <v>122.34610000000001</v>
      </c>
      <c r="AV1396" s="90">
        <v>122.018274375812</v>
      </c>
      <c r="AW1396" s="90">
        <v>809.46209696826304</v>
      </c>
      <c r="AX1396" s="90">
        <v>0.60522989469999999</v>
      </c>
    </row>
    <row r="1397" spans="1:50" x14ac:dyDescent="0.25">
      <c r="A1397" s="102">
        <v>830000</v>
      </c>
      <c r="B1397" s="102">
        <v>2400000</v>
      </c>
      <c r="C1397" s="102">
        <v>2400000</v>
      </c>
      <c r="D1397" s="90" t="s">
        <v>374</v>
      </c>
      <c r="E1397" s="90" t="s">
        <v>68</v>
      </c>
      <c r="F1397" s="90" t="s">
        <v>375</v>
      </c>
      <c r="G1397" s="90" t="s">
        <v>376</v>
      </c>
      <c r="H1397" s="90">
        <v>0.59</v>
      </c>
      <c r="I1397" s="90">
        <v>0.64</v>
      </c>
      <c r="J1397" s="90" t="s">
        <v>244</v>
      </c>
      <c r="K1397" s="90">
        <v>0.28348538833405001</v>
      </c>
      <c r="L1397" s="90">
        <v>3730.8236978958898</v>
      </c>
      <c r="M1397" s="90">
        <v>9.5410064548442399</v>
      </c>
      <c r="N1397" s="90">
        <v>1.6996010264158801</v>
      </c>
      <c r="O1397" s="90">
        <v>2.70473591994919</v>
      </c>
      <c r="P1397" s="90">
        <v>0.48181205698645002</v>
      </c>
      <c r="Q1397" s="90">
        <v>1057.6340048038901</v>
      </c>
      <c r="R1397" s="90">
        <v>1300</v>
      </c>
      <c r="S1397" s="90" t="s">
        <v>387</v>
      </c>
      <c r="T1397" s="90">
        <v>1300</v>
      </c>
      <c r="U1397" s="90" t="s">
        <v>378</v>
      </c>
      <c r="V1397" s="90" t="s">
        <v>244</v>
      </c>
      <c r="Z1397" s="90">
        <v>0</v>
      </c>
      <c r="AA1397" s="90">
        <v>1</v>
      </c>
      <c r="AB1397" s="90">
        <v>2.70473591994919</v>
      </c>
      <c r="AC1397" s="90">
        <v>0.48181205698645002</v>
      </c>
      <c r="AD1397" s="90">
        <v>1057.6340048038901</v>
      </c>
      <c r="AF1397" s="90">
        <v>-1</v>
      </c>
      <c r="AG1397" s="90">
        <v>-1</v>
      </c>
      <c r="AH1397" s="90">
        <v>-1</v>
      </c>
      <c r="AI1397" s="90">
        <v>-1</v>
      </c>
      <c r="AJ1397" s="90">
        <v>0</v>
      </c>
      <c r="AM1397" s="90" t="s">
        <v>379</v>
      </c>
      <c r="AN1397" s="90">
        <v>-1</v>
      </c>
      <c r="AQ1397" s="90">
        <v>357</v>
      </c>
      <c r="AR1397" s="90" t="s">
        <v>405</v>
      </c>
      <c r="AS1397" s="90" t="s">
        <v>406</v>
      </c>
      <c r="AT1397" s="90" t="s">
        <v>244</v>
      </c>
      <c r="AU1397" s="90">
        <v>122.34610000000001</v>
      </c>
      <c r="AV1397" s="90">
        <v>145.870071964245</v>
      </c>
      <c r="AW1397" s="90">
        <v>1147.2246644362001</v>
      </c>
      <c r="AX1397" s="90">
        <v>0.85777291550000001</v>
      </c>
    </row>
    <row r="1398" spans="1:50" x14ac:dyDescent="0.25">
      <c r="A1398" s="102">
        <v>830000</v>
      </c>
      <c r="B1398" s="102">
        <v>2400000</v>
      </c>
      <c r="C1398" s="102">
        <v>2400000</v>
      </c>
      <c r="D1398" s="90" t="s">
        <v>374</v>
      </c>
      <c r="E1398" s="90" t="s">
        <v>68</v>
      </c>
      <c r="F1398" s="90" t="s">
        <v>375</v>
      </c>
      <c r="G1398" s="90" t="s">
        <v>376</v>
      </c>
      <c r="H1398" s="90">
        <v>0.59</v>
      </c>
      <c r="I1398" s="90">
        <v>0.64</v>
      </c>
      <c r="J1398" s="90" t="s">
        <v>244</v>
      </c>
      <c r="K1398" s="90">
        <v>9.8469698301040007E-2</v>
      </c>
      <c r="L1398" s="90">
        <v>3710.45435828987</v>
      </c>
      <c r="M1398" s="90">
        <v>11.727572462558999</v>
      </c>
      <c r="N1398" s="90">
        <v>2.3820605535641599</v>
      </c>
      <c r="O1398" s="90">
        <v>1.1548105221918701</v>
      </c>
      <c r="P1398" s="90">
        <v>0.23456078404429001</v>
      </c>
      <c r="Q1398" s="90">
        <v>365.36732122061198</v>
      </c>
      <c r="R1398" s="90">
        <v>1300</v>
      </c>
      <c r="S1398" s="90" t="s">
        <v>387</v>
      </c>
      <c r="T1398" s="90">
        <v>1300</v>
      </c>
      <c r="U1398" s="90" t="s">
        <v>378</v>
      </c>
      <c r="V1398" s="90" t="s">
        <v>244</v>
      </c>
      <c r="Z1398" s="90">
        <v>0</v>
      </c>
      <c r="AA1398" s="90">
        <v>1</v>
      </c>
      <c r="AB1398" s="90">
        <v>1.1548105221918701</v>
      </c>
      <c r="AC1398" s="90">
        <v>0.23456078404429001</v>
      </c>
      <c r="AD1398" s="90">
        <v>1112.4874751571001</v>
      </c>
      <c r="AF1398" s="90">
        <v>-1</v>
      </c>
      <c r="AG1398" s="90">
        <v>-1</v>
      </c>
      <c r="AH1398" s="90">
        <v>-1</v>
      </c>
      <c r="AI1398" s="90">
        <v>-1</v>
      </c>
      <c r="AJ1398" s="90">
        <v>0</v>
      </c>
      <c r="AM1398" s="90" t="s">
        <v>379</v>
      </c>
      <c r="AN1398" s="90">
        <v>-1</v>
      </c>
      <c r="AQ1398" s="90">
        <v>357</v>
      </c>
      <c r="AR1398" s="90" t="s">
        <v>405</v>
      </c>
      <c r="AS1398" s="90" t="s">
        <v>406</v>
      </c>
      <c r="AT1398" s="90" t="s">
        <v>244</v>
      </c>
      <c r="AU1398" s="90">
        <v>122.34610000000001</v>
      </c>
      <c r="AV1398" s="90">
        <v>165.99841413190401</v>
      </c>
      <c r="AW1398" s="90">
        <v>398.49273098138798</v>
      </c>
      <c r="AX1398" s="90">
        <v>0.90226072599999996</v>
      </c>
    </row>
    <row r="1399" spans="1:50" x14ac:dyDescent="0.25">
      <c r="A1399" s="102">
        <v>830000</v>
      </c>
      <c r="B1399" s="102">
        <v>2400000</v>
      </c>
      <c r="C1399" s="102">
        <v>2400000</v>
      </c>
      <c r="D1399" s="90" t="s">
        <v>374</v>
      </c>
      <c r="E1399" s="90" t="s">
        <v>68</v>
      </c>
      <c r="F1399" s="90" t="s">
        <v>375</v>
      </c>
      <c r="G1399" s="90" t="s">
        <v>376</v>
      </c>
      <c r="H1399" s="90">
        <v>0.59</v>
      </c>
      <c r="I1399" s="90">
        <v>0.64</v>
      </c>
      <c r="J1399" s="90" t="s">
        <v>244</v>
      </c>
      <c r="K1399" s="90">
        <v>0.23417934261677001</v>
      </c>
      <c r="L1399" s="90">
        <v>3710.45435828987</v>
      </c>
      <c r="M1399" s="90">
        <v>11.727572462558999</v>
      </c>
      <c r="N1399" s="90">
        <v>2.3820605535641599</v>
      </c>
      <c r="O1399" s="90">
        <v>2.7463552097726498</v>
      </c>
      <c r="P1399" s="90">
        <v>0.55782937450699999</v>
      </c>
      <c r="Q1399" s="90">
        <v>868.91176243386303</v>
      </c>
      <c r="R1399" s="90">
        <v>1330</v>
      </c>
      <c r="S1399" s="90" t="s">
        <v>397</v>
      </c>
      <c r="T1399" s="90">
        <v>1330</v>
      </c>
      <c r="U1399" s="90" t="s">
        <v>378</v>
      </c>
      <c r="V1399" s="90" t="s">
        <v>244</v>
      </c>
      <c r="Z1399" s="90">
        <v>0</v>
      </c>
      <c r="AA1399" s="90">
        <v>1</v>
      </c>
      <c r="AB1399" s="90">
        <v>2.7463552097726498</v>
      </c>
      <c r="AC1399" s="90">
        <v>0.55782937450699999</v>
      </c>
      <c r="AD1399" s="90">
        <v>868.91176243386303</v>
      </c>
      <c r="AF1399" s="90">
        <v>-1</v>
      </c>
      <c r="AG1399" s="90">
        <v>-1</v>
      </c>
      <c r="AH1399" s="90">
        <v>-1</v>
      </c>
      <c r="AI1399" s="90">
        <v>-1</v>
      </c>
      <c r="AJ1399" s="90">
        <v>0</v>
      </c>
      <c r="AM1399" s="90" t="s">
        <v>379</v>
      </c>
      <c r="AN1399" s="90">
        <v>-1</v>
      </c>
      <c r="AQ1399" s="90">
        <v>357</v>
      </c>
      <c r="AR1399" s="90" t="s">
        <v>405</v>
      </c>
      <c r="AS1399" s="90" t="s">
        <v>406</v>
      </c>
      <c r="AT1399" s="90" t="s">
        <v>244</v>
      </c>
      <c r="AU1399" s="90">
        <v>122.34610000000001</v>
      </c>
      <c r="AV1399" s="90">
        <v>125.016922989042</v>
      </c>
      <c r="AW1399" s="90">
        <v>947.69017666209902</v>
      </c>
      <c r="AX1399" s="90">
        <v>0.70471351370000002</v>
      </c>
    </row>
    <row r="1400" spans="1:50" x14ac:dyDescent="0.25">
      <c r="A1400" s="102">
        <v>830000</v>
      </c>
      <c r="B1400" s="102">
        <v>2400000</v>
      </c>
      <c r="C1400" s="102">
        <v>2400000</v>
      </c>
      <c r="D1400" s="90" t="s">
        <v>374</v>
      </c>
      <c r="E1400" s="90" t="s">
        <v>68</v>
      </c>
      <c r="F1400" s="90" t="s">
        <v>375</v>
      </c>
      <c r="G1400" s="90" t="s">
        <v>376</v>
      </c>
      <c r="H1400" s="90">
        <v>0.59</v>
      </c>
      <c r="I1400" s="90">
        <v>0.64</v>
      </c>
      <c r="J1400" s="90" t="s">
        <v>244</v>
      </c>
      <c r="K1400" s="90">
        <v>8.2767111887199998E-2</v>
      </c>
      <c r="L1400" s="90">
        <v>3710.45435828987</v>
      </c>
      <c r="M1400" s="90">
        <v>11.727572462558999</v>
      </c>
      <c r="N1400" s="90">
        <v>2.3820605535641599</v>
      </c>
      <c r="O1400" s="90">
        <v>0.97065730217395996</v>
      </c>
      <c r="P1400" s="90">
        <v>0.19715627235895</v>
      </c>
      <c r="Q1400" s="90">
        <v>307.10359102495602</v>
      </c>
      <c r="R1400" s="90">
        <v>1300</v>
      </c>
      <c r="S1400" s="90" t="s">
        <v>387</v>
      </c>
      <c r="T1400" s="90">
        <v>1300</v>
      </c>
      <c r="U1400" s="90" t="s">
        <v>378</v>
      </c>
      <c r="V1400" s="90" t="s">
        <v>244</v>
      </c>
      <c r="Z1400" s="90">
        <v>0</v>
      </c>
      <c r="AA1400" s="90">
        <v>1</v>
      </c>
      <c r="AB1400" s="90">
        <v>0.97065730217395996</v>
      </c>
      <c r="AC1400" s="90">
        <v>0.19715627235895</v>
      </c>
      <c r="AD1400" s="90">
        <v>307.10359102495499</v>
      </c>
      <c r="AF1400" s="90">
        <v>-1</v>
      </c>
      <c r="AG1400" s="90">
        <v>-1</v>
      </c>
      <c r="AH1400" s="90">
        <v>-1</v>
      </c>
      <c r="AI1400" s="90">
        <v>-1</v>
      </c>
      <c r="AJ1400" s="90">
        <v>0</v>
      </c>
      <c r="AM1400" s="90" t="s">
        <v>379</v>
      </c>
      <c r="AN1400" s="90">
        <v>-1</v>
      </c>
      <c r="AQ1400" s="90">
        <v>357</v>
      </c>
      <c r="AR1400" s="90" t="s">
        <v>405</v>
      </c>
      <c r="AS1400" s="90" t="s">
        <v>406</v>
      </c>
      <c r="AT1400" s="90" t="s">
        <v>244</v>
      </c>
      <c r="AU1400" s="90">
        <v>122.34610000000001</v>
      </c>
      <c r="AV1400" s="90">
        <v>148.11043104328701</v>
      </c>
      <c r="AW1400" s="90">
        <v>334.94661830424502</v>
      </c>
      <c r="AX1400" s="90">
        <v>0.2490702279</v>
      </c>
    </row>
    <row r="1401" spans="1:50" x14ac:dyDescent="0.25">
      <c r="A1401" s="102">
        <v>830000</v>
      </c>
      <c r="B1401" s="102">
        <v>2400000</v>
      </c>
      <c r="C1401" s="102">
        <v>2400000</v>
      </c>
      <c r="D1401" s="90" t="s">
        <v>374</v>
      </c>
      <c r="E1401" s="90" t="s">
        <v>68</v>
      </c>
      <c r="F1401" s="90" t="s">
        <v>375</v>
      </c>
      <c r="G1401" s="90" t="s">
        <v>376</v>
      </c>
      <c r="H1401" s="90">
        <v>0.59</v>
      </c>
      <c r="I1401" s="90">
        <v>0.64</v>
      </c>
      <c r="J1401" s="90" t="s">
        <v>244</v>
      </c>
      <c r="K1401" s="90">
        <v>6.2573827281109995E-2</v>
      </c>
      <c r="L1401" s="90">
        <v>3781.5900517142099</v>
      </c>
      <c r="M1401" s="90">
        <v>9.5217805310154606</v>
      </c>
      <c r="N1401" s="90">
        <v>1.31701882407087</v>
      </c>
      <c r="O1401" s="90">
        <v>0.59581425035647995</v>
      </c>
      <c r="P1401" s="90">
        <v>8.2410908423389995E-2</v>
      </c>
      <c r="Q1401" s="90">
        <v>236.62856274396299</v>
      </c>
      <c r="R1401" s="90">
        <v>1200</v>
      </c>
      <c r="S1401" s="90" t="s">
        <v>384</v>
      </c>
      <c r="T1401" s="90">
        <v>1200</v>
      </c>
      <c r="U1401" s="90" t="s">
        <v>378</v>
      </c>
      <c r="V1401" s="90" t="s">
        <v>244</v>
      </c>
      <c r="Z1401" s="90">
        <v>0</v>
      </c>
      <c r="AA1401" s="90">
        <v>1</v>
      </c>
      <c r="AB1401" s="90">
        <v>0.59581425035647995</v>
      </c>
      <c r="AC1401" s="90">
        <v>8.2410908423389995E-2</v>
      </c>
      <c r="AD1401" s="90">
        <v>516.84639863770701</v>
      </c>
      <c r="AF1401" s="90">
        <v>-1</v>
      </c>
      <c r="AG1401" s="90">
        <v>-1</v>
      </c>
      <c r="AH1401" s="90">
        <v>-1</v>
      </c>
      <c r="AI1401" s="90">
        <v>-1</v>
      </c>
      <c r="AJ1401" s="90">
        <v>0</v>
      </c>
      <c r="AM1401" s="90" t="s">
        <v>379</v>
      </c>
      <c r="AN1401" s="90">
        <v>-1</v>
      </c>
      <c r="AQ1401" s="90">
        <v>357</v>
      </c>
      <c r="AR1401" s="90" t="s">
        <v>405</v>
      </c>
      <c r="AS1401" s="90" t="s">
        <v>406</v>
      </c>
      <c r="AT1401" s="90" t="s">
        <v>244</v>
      </c>
      <c r="AU1401" s="90">
        <v>122.34610000000001</v>
      </c>
      <c r="AV1401" s="90">
        <v>66.419565834588795</v>
      </c>
      <c r="AW1401" s="90">
        <v>253.227294806743</v>
      </c>
      <c r="AX1401" s="90">
        <v>0.41917793889999999</v>
      </c>
    </row>
    <row r="1402" spans="1:50" x14ac:dyDescent="0.25">
      <c r="A1402" s="102">
        <v>830000</v>
      </c>
      <c r="B1402" s="102">
        <v>2400000</v>
      </c>
      <c r="C1402" s="102">
        <v>2400000</v>
      </c>
      <c r="D1402" s="90" t="s">
        <v>374</v>
      </c>
      <c r="E1402" s="90" t="s">
        <v>68</v>
      </c>
      <c r="F1402" s="90" t="s">
        <v>375</v>
      </c>
      <c r="G1402" s="90" t="s">
        <v>376</v>
      </c>
      <c r="H1402" s="90">
        <v>0.59</v>
      </c>
      <c r="I1402" s="90">
        <v>0.64</v>
      </c>
      <c r="J1402" s="90" t="s">
        <v>244</v>
      </c>
      <c r="K1402" s="90">
        <v>4.3772919102440001E-2</v>
      </c>
      <c r="L1402" s="90">
        <v>3781.5900517142099</v>
      </c>
      <c r="M1402" s="90">
        <v>9.5217805310154606</v>
      </c>
      <c r="N1402" s="90">
        <v>1.31701882407087</v>
      </c>
      <c r="O1402" s="90">
        <v>0.41679612889531997</v>
      </c>
      <c r="P1402" s="90">
        <v>5.7649758442439997E-2</v>
      </c>
      <c r="Q1402" s="90">
        <v>165.53123541227799</v>
      </c>
      <c r="R1402" s="90">
        <v>1400</v>
      </c>
      <c r="S1402" s="90" t="s">
        <v>324</v>
      </c>
      <c r="T1402" s="90">
        <v>1400</v>
      </c>
      <c r="U1402" s="90" t="s">
        <v>378</v>
      </c>
      <c r="V1402" s="90" t="s">
        <v>244</v>
      </c>
      <c r="Z1402" s="90">
        <v>0</v>
      </c>
      <c r="AA1402" s="90">
        <v>1</v>
      </c>
      <c r="AB1402" s="90">
        <v>0.41679612889531997</v>
      </c>
      <c r="AC1402" s="90">
        <v>5.7649758442439997E-2</v>
      </c>
      <c r="AD1402" s="90">
        <v>401.93352467837701</v>
      </c>
      <c r="AF1402" s="90">
        <v>-1</v>
      </c>
      <c r="AG1402" s="90">
        <v>-1</v>
      </c>
      <c r="AH1402" s="90">
        <v>-1</v>
      </c>
      <c r="AI1402" s="90">
        <v>-1</v>
      </c>
      <c r="AJ1402" s="90">
        <v>0</v>
      </c>
      <c r="AM1402" s="90" t="s">
        <v>379</v>
      </c>
      <c r="AN1402" s="90">
        <v>-1</v>
      </c>
      <c r="AQ1402" s="90">
        <v>357</v>
      </c>
      <c r="AR1402" s="90" t="s">
        <v>405</v>
      </c>
      <c r="AS1402" s="90" t="s">
        <v>406</v>
      </c>
      <c r="AT1402" s="90" t="s">
        <v>244</v>
      </c>
      <c r="AU1402" s="90">
        <v>122.34610000000001</v>
      </c>
      <c r="AV1402" s="90">
        <v>58.246158344663797</v>
      </c>
      <c r="AW1402" s="90">
        <v>177.142718796905</v>
      </c>
      <c r="AX1402" s="90">
        <v>0.32598014980000001</v>
      </c>
    </row>
    <row r="1403" spans="1:50" x14ac:dyDescent="0.25">
      <c r="A1403" s="102">
        <v>830000</v>
      </c>
      <c r="B1403" s="102">
        <v>2400000</v>
      </c>
      <c r="C1403" s="102">
        <v>2400000</v>
      </c>
      <c r="D1403" s="90" t="s">
        <v>374</v>
      </c>
      <c r="E1403" s="90" t="s">
        <v>68</v>
      </c>
      <c r="F1403" s="90" t="s">
        <v>375</v>
      </c>
      <c r="G1403" s="90" t="s">
        <v>376</v>
      </c>
      <c r="H1403" s="90">
        <v>0.59</v>
      </c>
      <c r="I1403" s="90">
        <v>0.64</v>
      </c>
      <c r="J1403" s="90" t="s">
        <v>244</v>
      </c>
      <c r="K1403" s="90">
        <v>0.13718777177902</v>
      </c>
      <c r="L1403" s="90">
        <v>3781.5900517142099</v>
      </c>
      <c r="M1403" s="90">
        <v>9.5217805310154606</v>
      </c>
      <c r="N1403" s="90">
        <v>1.31701882407087</v>
      </c>
      <c r="O1403" s="90">
        <v>1.30627185441893</v>
      </c>
      <c r="P1403" s="90">
        <v>0.18067887786531001</v>
      </c>
      <c r="Q1403" s="90">
        <v>518.78791297640896</v>
      </c>
      <c r="R1403" s="90">
        <v>1450</v>
      </c>
      <c r="S1403" s="90" t="s">
        <v>391</v>
      </c>
      <c r="T1403" s="90">
        <v>1450</v>
      </c>
      <c r="U1403" s="90" t="s">
        <v>378</v>
      </c>
      <c r="V1403" s="90" t="s">
        <v>244</v>
      </c>
      <c r="Z1403" s="90">
        <v>0</v>
      </c>
      <c r="AA1403" s="90">
        <v>1</v>
      </c>
      <c r="AB1403" s="90">
        <v>1.30627185441893</v>
      </c>
      <c r="AC1403" s="90">
        <v>0.18067887786531001</v>
      </c>
      <c r="AD1403" s="90">
        <v>1319.53249679033</v>
      </c>
      <c r="AF1403" s="90">
        <v>-1</v>
      </c>
      <c r="AG1403" s="90">
        <v>-1</v>
      </c>
      <c r="AH1403" s="90">
        <v>-1</v>
      </c>
      <c r="AI1403" s="90">
        <v>-1</v>
      </c>
      <c r="AJ1403" s="90">
        <v>0</v>
      </c>
      <c r="AM1403" s="90" t="s">
        <v>379</v>
      </c>
      <c r="AN1403" s="90">
        <v>-1</v>
      </c>
      <c r="AQ1403" s="90">
        <v>357</v>
      </c>
      <c r="AR1403" s="90" t="s">
        <v>405</v>
      </c>
      <c r="AS1403" s="90" t="s">
        <v>406</v>
      </c>
      <c r="AT1403" s="90" t="s">
        <v>244</v>
      </c>
      <c r="AU1403" s="90">
        <v>122.34610000000001</v>
      </c>
      <c r="AV1403" s="90">
        <v>96.698883016034102</v>
      </c>
      <c r="AW1403" s="90">
        <v>555.17921529870102</v>
      </c>
      <c r="AX1403" s="90">
        <v>1.0701804516</v>
      </c>
    </row>
    <row r="1404" spans="1:50" x14ac:dyDescent="0.25">
      <c r="A1404" s="102">
        <v>830000</v>
      </c>
      <c r="B1404" s="102">
        <v>2400000</v>
      </c>
      <c r="C1404" s="102">
        <v>2400000</v>
      </c>
      <c r="D1404" s="90" t="s">
        <v>374</v>
      </c>
      <c r="E1404" s="90" t="s">
        <v>68</v>
      </c>
      <c r="F1404" s="90" t="s">
        <v>375</v>
      </c>
      <c r="G1404" s="90" t="s">
        <v>376</v>
      </c>
      <c r="H1404" s="90">
        <v>0.59</v>
      </c>
      <c r="I1404" s="90">
        <v>0.64</v>
      </c>
      <c r="J1404" s="90" t="s">
        <v>244</v>
      </c>
      <c r="K1404" s="90">
        <v>9.881397278404E-2</v>
      </c>
      <c r="L1404" s="90">
        <v>3704.9911123790198</v>
      </c>
      <c r="M1404" s="90">
        <v>11.092548928530899</v>
      </c>
      <c r="N1404" s="90">
        <v>2.0802155147040402</v>
      </c>
      <c r="O1404" s="90">
        <v>1.09609882792956</v>
      </c>
      <c r="P1404" s="90">
        <v>0.20555435925491</v>
      </c>
      <c r="Q1404" s="90">
        <v>366.10489094375299</v>
      </c>
      <c r="R1404" s="90">
        <v>1200</v>
      </c>
      <c r="S1404" s="90" t="s">
        <v>384</v>
      </c>
      <c r="T1404" s="90">
        <v>1200</v>
      </c>
      <c r="U1404" s="90" t="s">
        <v>378</v>
      </c>
      <c r="V1404" s="90" t="s">
        <v>244</v>
      </c>
      <c r="Z1404" s="90">
        <v>0</v>
      </c>
      <c r="AA1404" s="90">
        <v>1</v>
      </c>
      <c r="AB1404" s="90">
        <v>1.09609882792956</v>
      </c>
      <c r="AC1404" s="90">
        <v>0.20555435925491</v>
      </c>
      <c r="AD1404" s="90">
        <v>366.10489094375203</v>
      </c>
      <c r="AF1404" s="90">
        <v>-1</v>
      </c>
      <c r="AG1404" s="90">
        <v>-1</v>
      </c>
      <c r="AH1404" s="90">
        <v>-1</v>
      </c>
      <c r="AI1404" s="90">
        <v>-1</v>
      </c>
      <c r="AJ1404" s="90">
        <v>0</v>
      </c>
      <c r="AM1404" s="90" t="s">
        <v>379</v>
      </c>
      <c r="AN1404" s="90">
        <v>-1</v>
      </c>
      <c r="AQ1404" s="90">
        <v>357</v>
      </c>
      <c r="AR1404" s="90" t="s">
        <v>405</v>
      </c>
      <c r="AS1404" s="90" t="s">
        <v>406</v>
      </c>
      <c r="AT1404" s="90" t="s">
        <v>244</v>
      </c>
      <c r="AU1404" s="90">
        <v>122.34610000000001</v>
      </c>
      <c r="AV1404" s="90">
        <v>128.902990866924</v>
      </c>
      <c r="AW1404" s="90">
        <v>399.88596038397401</v>
      </c>
      <c r="AX1404" s="90">
        <v>0.29692205269999999</v>
      </c>
    </row>
    <row r="1405" spans="1:50" x14ac:dyDescent="0.25">
      <c r="A1405" s="102">
        <v>830000</v>
      </c>
      <c r="B1405" s="102">
        <v>2400000</v>
      </c>
      <c r="C1405" s="102">
        <v>2400000</v>
      </c>
      <c r="D1405" s="90" t="s">
        <v>374</v>
      </c>
      <c r="E1405" s="90" t="s">
        <v>68</v>
      </c>
      <c r="F1405" s="90" t="s">
        <v>375</v>
      </c>
      <c r="G1405" s="90" t="s">
        <v>376</v>
      </c>
      <c r="H1405" s="90">
        <v>0.59</v>
      </c>
      <c r="I1405" s="90">
        <v>0.64</v>
      </c>
      <c r="J1405" s="90" t="s">
        <v>244</v>
      </c>
      <c r="K1405" s="90">
        <v>0.21772411664989</v>
      </c>
      <c r="L1405" s="90">
        <v>3704.9911123790198</v>
      </c>
      <c r="M1405" s="90">
        <v>11.092548928530899</v>
      </c>
      <c r="N1405" s="90">
        <v>2.0802155147040402</v>
      </c>
      <c r="O1405" s="90">
        <v>2.4151154168600999</v>
      </c>
      <c r="P1405" s="90">
        <v>0.45291308538032998</v>
      </c>
      <c r="Q1405" s="90">
        <v>806.66591713842001</v>
      </c>
      <c r="R1405" s="90">
        <v>1300</v>
      </c>
      <c r="S1405" s="90" t="s">
        <v>387</v>
      </c>
      <c r="T1405" s="90">
        <v>1300</v>
      </c>
      <c r="U1405" s="90" t="s">
        <v>378</v>
      </c>
      <c r="V1405" s="90" t="s">
        <v>244</v>
      </c>
      <c r="Z1405" s="90">
        <v>0</v>
      </c>
      <c r="AA1405" s="90">
        <v>1</v>
      </c>
      <c r="AB1405" s="90">
        <v>2.4151154168600999</v>
      </c>
      <c r="AC1405" s="90">
        <v>0.45291308538032998</v>
      </c>
      <c r="AD1405" s="90">
        <v>806.66591713842001</v>
      </c>
      <c r="AF1405" s="90">
        <v>-1</v>
      </c>
      <c r="AG1405" s="90">
        <v>-1</v>
      </c>
      <c r="AH1405" s="90">
        <v>-1</v>
      </c>
      <c r="AI1405" s="90">
        <v>-1</v>
      </c>
      <c r="AJ1405" s="90">
        <v>0</v>
      </c>
      <c r="AM1405" s="90" t="s">
        <v>379</v>
      </c>
      <c r="AN1405" s="90">
        <v>-1</v>
      </c>
      <c r="AQ1405" s="90">
        <v>357</v>
      </c>
      <c r="AR1405" s="90" t="s">
        <v>405</v>
      </c>
      <c r="AS1405" s="90" t="s">
        <v>406</v>
      </c>
      <c r="AT1405" s="90" t="s">
        <v>244</v>
      </c>
      <c r="AU1405" s="90">
        <v>122.34610000000001</v>
      </c>
      <c r="AV1405" s="90">
        <v>135.57986429522299</v>
      </c>
      <c r="AW1405" s="90">
        <v>881.09823977597603</v>
      </c>
      <c r="AX1405" s="90">
        <v>0.65423026529999995</v>
      </c>
    </row>
    <row r="1406" spans="1:50" x14ac:dyDescent="0.25">
      <c r="A1406" s="102">
        <v>830000</v>
      </c>
      <c r="B1406" s="102">
        <v>2400000</v>
      </c>
      <c r="C1406" s="102">
        <v>2400000</v>
      </c>
      <c r="D1406" s="90" t="s">
        <v>374</v>
      </c>
      <c r="E1406" s="90" t="s">
        <v>68</v>
      </c>
      <c r="F1406" s="90" t="s">
        <v>375</v>
      </c>
      <c r="G1406" s="90" t="s">
        <v>376</v>
      </c>
      <c r="H1406" s="90">
        <v>0.59</v>
      </c>
      <c r="I1406" s="90">
        <v>0.64</v>
      </c>
      <c r="J1406" s="90" t="s">
        <v>244</v>
      </c>
      <c r="K1406" s="90">
        <v>8.7843020195600002E-3</v>
      </c>
      <c r="L1406" s="90">
        <v>3704.9911123790198</v>
      </c>
      <c r="M1406" s="90">
        <v>11.092548928530899</v>
      </c>
      <c r="N1406" s="90">
        <v>2.0802155147040402</v>
      </c>
      <c r="O1406" s="90">
        <v>9.7440299955000004E-2</v>
      </c>
      <c r="P1406" s="90">
        <v>1.827324134694E-2</v>
      </c>
      <c r="Q1406" s="90">
        <v>32.545760910937702</v>
      </c>
      <c r="R1406" s="90">
        <v>1330</v>
      </c>
      <c r="S1406" s="90" t="s">
        <v>397</v>
      </c>
      <c r="T1406" s="90">
        <v>1330</v>
      </c>
      <c r="U1406" s="90" t="s">
        <v>378</v>
      </c>
      <c r="V1406" s="90" t="s">
        <v>244</v>
      </c>
      <c r="Z1406" s="90">
        <v>0</v>
      </c>
      <c r="AA1406" s="90">
        <v>1</v>
      </c>
      <c r="AB1406" s="90">
        <v>9.7440299955000004E-2</v>
      </c>
      <c r="AC1406" s="90">
        <v>1.827324134694E-2</v>
      </c>
      <c r="AD1406" s="90">
        <v>32.545760910937801</v>
      </c>
      <c r="AF1406" s="90">
        <v>-1</v>
      </c>
      <c r="AG1406" s="90">
        <v>-1</v>
      </c>
      <c r="AH1406" s="90">
        <v>-1</v>
      </c>
      <c r="AI1406" s="90">
        <v>-1</v>
      </c>
      <c r="AJ1406" s="90">
        <v>0</v>
      </c>
      <c r="AM1406" s="90" t="s">
        <v>379</v>
      </c>
      <c r="AN1406" s="90">
        <v>-1</v>
      </c>
      <c r="AQ1406" s="90">
        <v>357</v>
      </c>
      <c r="AR1406" s="90" t="s">
        <v>405</v>
      </c>
      <c r="AS1406" s="90" t="s">
        <v>406</v>
      </c>
      <c r="AT1406" s="90" t="s">
        <v>244</v>
      </c>
      <c r="AU1406" s="90">
        <v>122.34610000000001</v>
      </c>
      <c r="AV1406" s="90">
        <v>23.945694847066701</v>
      </c>
      <c r="AW1406" s="90">
        <v>35.5488090441739</v>
      </c>
      <c r="AX1406" s="90">
        <v>2.63955887E-2</v>
      </c>
    </row>
    <row r="1407" spans="1:50" x14ac:dyDescent="0.25">
      <c r="A1407" s="102">
        <v>830000</v>
      </c>
      <c r="B1407" s="102">
        <v>2400000</v>
      </c>
      <c r="C1407" s="102">
        <v>2400000</v>
      </c>
      <c r="D1407" s="90" t="s">
        <v>374</v>
      </c>
      <c r="E1407" s="90" t="s">
        <v>68</v>
      </c>
      <c r="F1407" s="90" t="s">
        <v>375</v>
      </c>
      <c r="G1407" s="90" t="s">
        <v>376</v>
      </c>
      <c r="H1407" s="90">
        <v>0.59</v>
      </c>
      <c r="I1407" s="90">
        <v>0.64</v>
      </c>
      <c r="J1407" s="90" t="s">
        <v>244</v>
      </c>
      <c r="K1407" s="90">
        <v>1.795772222629E-2</v>
      </c>
      <c r="L1407" s="90">
        <v>3704.9911123790198</v>
      </c>
      <c r="M1407" s="90">
        <v>11.092548928530899</v>
      </c>
      <c r="N1407" s="90">
        <v>2.0802155147040402</v>
      </c>
      <c r="O1407" s="90">
        <v>0.19919691244014001</v>
      </c>
      <c r="P1407" s="90">
        <v>3.7355932383879999E-2</v>
      </c>
      <c r="Q1407" s="90">
        <v>66.533201246994196</v>
      </c>
      <c r="R1407" s="90">
        <v>1330</v>
      </c>
      <c r="S1407" s="90" t="s">
        <v>397</v>
      </c>
      <c r="T1407" s="90">
        <v>1330</v>
      </c>
      <c r="U1407" s="90" t="s">
        <v>378</v>
      </c>
      <c r="V1407" s="90" t="s">
        <v>244</v>
      </c>
      <c r="Z1407" s="90">
        <v>0</v>
      </c>
      <c r="AA1407" s="90">
        <v>1</v>
      </c>
      <c r="AB1407" s="90">
        <v>0.19919691244014001</v>
      </c>
      <c r="AC1407" s="90">
        <v>3.7355932383879999E-2</v>
      </c>
      <c r="AD1407" s="90">
        <v>66.533201246993499</v>
      </c>
      <c r="AF1407" s="90">
        <v>-1</v>
      </c>
      <c r="AG1407" s="90">
        <v>-1</v>
      </c>
      <c r="AH1407" s="90">
        <v>-1</v>
      </c>
      <c r="AI1407" s="90">
        <v>-1</v>
      </c>
      <c r="AJ1407" s="90">
        <v>0</v>
      </c>
      <c r="AM1407" s="90" t="s">
        <v>379</v>
      </c>
      <c r="AN1407" s="90">
        <v>-1</v>
      </c>
      <c r="AQ1407" s="90">
        <v>357</v>
      </c>
      <c r="AR1407" s="90" t="s">
        <v>405</v>
      </c>
      <c r="AS1407" s="90" t="s">
        <v>406</v>
      </c>
      <c r="AT1407" s="90" t="s">
        <v>244</v>
      </c>
      <c r="AU1407" s="90">
        <v>122.34610000000001</v>
      </c>
      <c r="AV1407" s="90">
        <v>35.771400050631897</v>
      </c>
      <c r="AW1407" s="90">
        <v>72.672323523156507</v>
      </c>
      <c r="AX1407" s="90">
        <v>5.3960422700000003E-2</v>
      </c>
    </row>
    <row r="1408" spans="1:50" x14ac:dyDescent="0.25">
      <c r="A1408" s="102">
        <v>830000</v>
      </c>
      <c r="B1408" s="102">
        <v>2400000</v>
      </c>
      <c r="C1408" s="102">
        <v>2400000</v>
      </c>
      <c r="D1408" s="90" t="s">
        <v>374</v>
      </c>
      <c r="E1408" s="90" t="s">
        <v>68</v>
      </c>
      <c r="F1408" s="90" t="s">
        <v>375</v>
      </c>
      <c r="G1408" s="90" t="s">
        <v>376</v>
      </c>
      <c r="H1408" s="90">
        <v>0.59</v>
      </c>
      <c r="I1408" s="90">
        <v>0.64</v>
      </c>
      <c r="J1408" s="90" t="s">
        <v>244</v>
      </c>
      <c r="K1408" s="90">
        <v>3.5907256779790002E-2</v>
      </c>
      <c r="L1408" s="90">
        <v>3704.9911123790198</v>
      </c>
      <c r="M1408" s="90">
        <v>11.092548928530899</v>
      </c>
      <c r="N1408" s="90">
        <v>2.0802155147040402</v>
      </c>
      <c r="O1408" s="90">
        <v>0.39830300271924002</v>
      </c>
      <c r="P1408" s="90">
        <v>7.4694832643800002E-2</v>
      </c>
      <c r="Q1408" s="90">
        <v>133.036067239066</v>
      </c>
      <c r="R1408" s="90">
        <v>1330</v>
      </c>
      <c r="S1408" s="90" t="s">
        <v>397</v>
      </c>
      <c r="T1408" s="90">
        <v>1330</v>
      </c>
      <c r="U1408" s="90" t="s">
        <v>378</v>
      </c>
      <c r="V1408" s="90" t="s">
        <v>244</v>
      </c>
      <c r="Z1408" s="90">
        <v>0</v>
      </c>
      <c r="AA1408" s="90">
        <v>1</v>
      </c>
      <c r="AB1408" s="90">
        <v>0.39830300271924002</v>
      </c>
      <c r="AC1408" s="90">
        <v>7.4694832643800002E-2</v>
      </c>
      <c r="AD1408" s="90">
        <v>133.03606723906799</v>
      </c>
      <c r="AF1408" s="90">
        <v>-1</v>
      </c>
      <c r="AG1408" s="90">
        <v>-1</v>
      </c>
      <c r="AH1408" s="90">
        <v>-1</v>
      </c>
      <c r="AI1408" s="90">
        <v>-1</v>
      </c>
      <c r="AJ1408" s="90">
        <v>0</v>
      </c>
      <c r="AM1408" s="90" t="s">
        <v>379</v>
      </c>
      <c r="AN1408" s="90">
        <v>-1</v>
      </c>
      <c r="AQ1408" s="90">
        <v>357</v>
      </c>
      <c r="AR1408" s="90" t="s">
        <v>405</v>
      </c>
      <c r="AS1408" s="90" t="s">
        <v>406</v>
      </c>
      <c r="AT1408" s="90" t="s">
        <v>244</v>
      </c>
      <c r="AU1408" s="90">
        <v>122.34610000000001</v>
      </c>
      <c r="AV1408" s="90">
        <v>53.6473837464548</v>
      </c>
      <c r="AW1408" s="90">
        <v>145.31151271009699</v>
      </c>
      <c r="AX1408" s="90">
        <v>0.10789624270000001</v>
      </c>
    </row>
    <row r="1409" spans="1:50" x14ac:dyDescent="0.25">
      <c r="A1409" s="102">
        <v>830000</v>
      </c>
      <c r="B1409" s="102">
        <v>2400000</v>
      </c>
      <c r="C1409" s="102">
        <v>2400000</v>
      </c>
      <c r="D1409" s="90" t="s">
        <v>374</v>
      </c>
      <c r="E1409" s="90" t="s">
        <v>68</v>
      </c>
      <c r="F1409" s="90" t="s">
        <v>375</v>
      </c>
      <c r="G1409" s="90" t="s">
        <v>376</v>
      </c>
      <c r="H1409" s="90">
        <v>0.59</v>
      </c>
      <c r="I1409" s="90">
        <v>0.64</v>
      </c>
      <c r="J1409" s="90" t="s">
        <v>244</v>
      </c>
      <c r="K1409" s="90">
        <v>0.20256361953081001</v>
      </c>
      <c r="L1409" s="90">
        <v>3714.64918604997</v>
      </c>
      <c r="M1409" s="90">
        <v>11.743402285905001</v>
      </c>
      <c r="N1409" s="90">
        <v>2.3855480996312202</v>
      </c>
      <c r="O1409" s="90">
        <v>2.3787860726393499</v>
      </c>
      <c r="P1409" s="90">
        <v>0.48322525762614998</v>
      </c>
      <c r="Q1409" s="90">
        <v>752.45278441347295</v>
      </c>
      <c r="R1409" s="90">
        <v>1300</v>
      </c>
      <c r="S1409" s="90" t="s">
        <v>387</v>
      </c>
      <c r="T1409" s="90">
        <v>1300</v>
      </c>
      <c r="U1409" s="90" t="s">
        <v>378</v>
      </c>
      <c r="V1409" s="90" t="s">
        <v>244</v>
      </c>
      <c r="Z1409" s="90">
        <v>0</v>
      </c>
      <c r="AA1409" s="90">
        <v>1</v>
      </c>
      <c r="AB1409" s="90">
        <v>2.3787860726393499</v>
      </c>
      <c r="AC1409" s="90">
        <v>0.48322525762614998</v>
      </c>
      <c r="AD1409" s="90">
        <v>752.45278441347295</v>
      </c>
      <c r="AF1409" s="90">
        <v>-1</v>
      </c>
      <c r="AG1409" s="90">
        <v>-1</v>
      </c>
      <c r="AH1409" s="90">
        <v>-1</v>
      </c>
      <c r="AI1409" s="90">
        <v>-1</v>
      </c>
      <c r="AJ1409" s="90">
        <v>0</v>
      </c>
      <c r="AM1409" s="90" t="s">
        <v>379</v>
      </c>
      <c r="AN1409" s="90">
        <v>-1</v>
      </c>
      <c r="AQ1409" s="90">
        <v>357</v>
      </c>
      <c r="AR1409" s="90" t="s">
        <v>405</v>
      </c>
      <c r="AS1409" s="90" t="s">
        <v>406</v>
      </c>
      <c r="AT1409" s="90" t="s">
        <v>244</v>
      </c>
      <c r="AU1409" s="90">
        <v>122.34610000000001</v>
      </c>
      <c r="AV1409" s="90">
        <v>132.961991241226</v>
      </c>
      <c r="AW1409" s="90">
        <v>819.74588464286296</v>
      </c>
      <c r="AX1409" s="90">
        <v>0.61026178779999996</v>
      </c>
    </row>
    <row r="1410" spans="1:50" x14ac:dyDescent="0.25">
      <c r="A1410" s="102">
        <v>830000</v>
      </c>
      <c r="B1410" s="102">
        <v>2400000</v>
      </c>
      <c r="C1410" s="102">
        <v>2400000</v>
      </c>
      <c r="D1410" s="90" t="s">
        <v>374</v>
      </c>
      <c r="E1410" s="90" t="s">
        <v>68</v>
      </c>
      <c r="F1410" s="90" t="s">
        <v>375</v>
      </c>
      <c r="G1410" s="90" t="s">
        <v>376</v>
      </c>
      <c r="H1410" s="90">
        <v>0.59</v>
      </c>
      <c r="I1410" s="90">
        <v>0.64</v>
      </c>
      <c r="J1410" s="90" t="s">
        <v>244</v>
      </c>
      <c r="K1410" s="90">
        <v>0.21560646514196</v>
      </c>
      <c r="L1410" s="90">
        <v>3679.0692442152799</v>
      </c>
      <c r="M1410" s="90">
        <v>9.3947031815527495</v>
      </c>
      <c r="N1410" s="90">
        <v>1.4291914092687401</v>
      </c>
      <c r="O1410" s="90">
        <v>2.0255587440325402</v>
      </c>
      <c r="P1410" s="90">
        <v>0.30814290776369002</v>
      </c>
      <c r="Q1410" s="90">
        <v>793.23111475777102</v>
      </c>
      <c r="R1410" s="90">
        <v>1200</v>
      </c>
      <c r="S1410" s="90" t="s">
        <v>384</v>
      </c>
      <c r="T1410" s="90">
        <v>1200</v>
      </c>
      <c r="U1410" s="90" t="s">
        <v>378</v>
      </c>
      <c r="V1410" s="90" t="s">
        <v>244</v>
      </c>
      <c r="Z1410" s="90">
        <v>0</v>
      </c>
      <c r="AA1410" s="90">
        <v>1</v>
      </c>
      <c r="AB1410" s="90">
        <v>2.0255587440325402</v>
      </c>
      <c r="AC1410" s="90">
        <v>0.30814290776369002</v>
      </c>
      <c r="AD1410" s="90">
        <v>1718.6172570856099</v>
      </c>
      <c r="AF1410" s="90">
        <v>-1</v>
      </c>
      <c r="AG1410" s="90">
        <v>-1</v>
      </c>
      <c r="AH1410" s="90">
        <v>-1</v>
      </c>
      <c r="AI1410" s="90">
        <v>-1</v>
      </c>
      <c r="AJ1410" s="90">
        <v>0</v>
      </c>
      <c r="AM1410" s="90" t="s">
        <v>379</v>
      </c>
      <c r="AN1410" s="90">
        <v>-1</v>
      </c>
      <c r="AQ1410" s="90">
        <v>357</v>
      </c>
      <c r="AR1410" s="90" t="s">
        <v>405</v>
      </c>
      <c r="AS1410" s="90" t="s">
        <v>406</v>
      </c>
      <c r="AT1410" s="90" t="s">
        <v>244</v>
      </c>
      <c r="AU1410" s="90">
        <v>122.34610000000001</v>
      </c>
      <c r="AV1410" s="90">
        <v>120.593984721095</v>
      </c>
      <c r="AW1410" s="90">
        <v>872.52840817071399</v>
      </c>
      <c r="AX1410" s="90">
        <v>1.3938501679999999</v>
      </c>
    </row>
    <row r="1411" spans="1:50" x14ac:dyDescent="0.25">
      <c r="A1411" s="102">
        <v>830000</v>
      </c>
      <c r="B1411" s="102">
        <v>2400000</v>
      </c>
      <c r="C1411" s="102">
        <v>2400000</v>
      </c>
      <c r="D1411" s="90" t="s">
        <v>374</v>
      </c>
      <c r="E1411" s="90" t="s">
        <v>68</v>
      </c>
      <c r="F1411" s="90" t="s">
        <v>375</v>
      </c>
      <c r="G1411" s="90" t="s">
        <v>376</v>
      </c>
      <c r="H1411" s="90">
        <v>0.59</v>
      </c>
      <c r="I1411" s="90">
        <v>0.64</v>
      </c>
      <c r="J1411" s="90" t="s">
        <v>244</v>
      </c>
      <c r="K1411" s="90">
        <v>1.202665698398E-2</v>
      </c>
      <c r="L1411" s="90">
        <v>3679.0692442152799</v>
      </c>
      <c r="M1411" s="90">
        <v>9.3947031815527495</v>
      </c>
      <c r="N1411" s="90">
        <v>1.4291914092687401</v>
      </c>
      <c r="O1411" s="90">
        <v>0.11298687263087</v>
      </c>
      <c r="P1411" s="90">
        <v>1.7188394843730002E-2</v>
      </c>
      <c r="Q1411" s="90">
        <v>44.246903820502503</v>
      </c>
      <c r="R1411" s="90">
        <v>1400</v>
      </c>
      <c r="S1411" s="90" t="s">
        <v>324</v>
      </c>
      <c r="T1411" s="90">
        <v>1400</v>
      </c>
      <c r="U1411" s="90" t="s">
        <v>378</v>
      </c>
      <c r="V1411" s="90" t="s">
        <v>244</v>
      </c>
      <c r="Z1411" s="90">
        <v>0</v>
      </c>
      <c r="AA1411" s="90">
        <v>1</v>
      </c>
      <c r="AB1411" s="90">
        <v>0.11298687263087</v>
      </c>
      <c r="AC1411" s="90">
        <v>1.7188394843730002E-2</v>
      </c>
      <c r="AD1411" s="90">
        <v>68.900795110855299</v>
      </c>
      <c r="AF1411" s="90">
        <v>-1</v>
      </c>
      <c r="AG1411" s="90">
        <v>-1</v>
      </c>
      <c r="AH1411" s="90">
        <v>-1</v>
      </c>
      <c r="AI1411" s="90">
        <v>-1</v>
      </c>
      <c r="AJ1411" s="90">
        <v>0</v>
      </c>
      <c r="AM1411" s="90" t="s">
        <v>379</v>
      </c>
      <c r="AN1411" s="90">
        <v>-1</v>
      </c>
      <c r="AQ1411" s="90">
        <v>357</v>
      </c>
      <c r="AR1411" s="90" t="s">
        <v>405</v>
      </c>
      <c r="AS1411" s="90" t="s">
        <v>406</v>
      </c>
      <c r="AT1411" s="90" t="s">
        <v>244</v>
      </c>
      <c r="AU1411" s="90">
        <v>122.34610000000001</v>
      </c>
      <c r="AV1411" s="90">
        <v>55.6153189457658</v>
      </c>
      <c r="AW1411" s="90">
        <v>48.670154055638399</v>
      </c>
      <c r="AX1411" s="90">
        <v>5.5880612400000002E-2</v>
      </c>
    </row>
    <row r="1412" spans="1:50" x14ac:dyDescent="0.25">
      <c r="A1412" s="102">
        <v>830000</v>
      </c>
      <c r="B1412" s="102">
        <v>2400000</v>
      </c>
      <c r="C1412" s="102">
        <v>2400000</v>
      </c>
      <c r="D1412" s="90" t="s">
        <v>374</v>
      </c>
      <c r="E1412" s="90" t="s">
        <v>68</v>
      </c>
      <c r="F1412" s="90" t="s">
        <v>375</v>
      </c>
      <c r="G1412" s="90" t="s">
        <v>376</v>
      </c>
      <c r="H1412" s="90">
        <v>0.59</v>
      </c>
      <c r="I1412" s="90">
        <v>0.64</v>
      </c>
      <c r="J1412" s="90" t="s">
        <v>244</v>
      </c>
      <c r="K1412" s="90">
        <v>4.5558474219780001E-2</v>
      </c>
      <c r="L1412" s="90">
        <v>3679.0692442152799</v>
      </c>
      <c r="M1412" s="90">
        <v>9.3947031815527495</v>
      </c>
      <c r="N1412" s="90">
        <v>1.4291914092687401</v>
      </c>
      <c r="O1412" s="90">
        <v>0.42800834269930998</v>
      </c>
      <c r="P1412" s="90">
        <v>6.5111779974310002E-2</v>
      </c>
      <c r="Q1412" s="90">
        <v>167.61278131538899</v>
      </c>
      <c r="R1412" s="90">
        <v>1210</v>
      </c>
      <c r="S1412" s="90" t="s">
        <v>385</v>
      </c>
      <c r="T1412" s="90">
        <v>1210</v>
      </c>
      <c r="U1412" s="90" t="s">
        <v>378</v>
      </c>
      <c r="V1412" s="90" t="s">
        <v>244</v>
      </c>
      <c r="Z1412" s="90">
        <v>0</v>
      </c>
      <c r="AA1412" s="90">
        <v>1</v>
      </c>
      <c r="AB1412" s="90">
        <v>0.42800834269930998</v>
      </c>
      <c r="AC1412" s="90">
        <v>6.5111779974310002E-2</v>
      </c>
      <c r="AD1412" s="90">
        <v>167.61278131538799</v>
      </c>
      <c r="AF1412" s="90">
        <v>-1</v>
      </c>
      <c r="AG1412" s="90">
        <v>-1</v>
      </c>
      <c r="AH1412" s="90">
        <v>-1</v>
      </c>
      <c r="AI1412" s="90">
        <v>-1</v>
      </c>
      <c r="AJ1412" s="90">
        <v>0</v>
      </c>
      <c r="AM1412" s="90" t="s">
        <v>379</v>
      </c>
      <c r="AN1412" s="90">
        <v>-1</v>
      </c>
      <c r="AQ1412" s="90">
        <v>357</v>
      </c>
      <c r="AR1412" s="90" t="s">
        <v>405</v>
      </c>
      <c r="AS1412" s="90" t="s">
        <v>406</v>
      </c>
      <c r="AT1412" s="90" t="s">
        <v>244</v>
      </c>
      <c r="AU1412" s="90">
        <v>122.34610000000001</v>
      </c>
      <c r="AV1412" s="90">
        <v>54.518378189427501</v>
      </c>
      <c r="AW1412" s="90">
        <v>184.368603991084</v>
      </c>
      <c r="AX1412" s="90">
        <v>0.13593899540000001</v>
      </c>
    </row>
    <row r="1413" spans="1:50" x14ac:dyDescent="0.25">
      <c r="A1413" s="102">
        <v>830000</v>
      </c>
      <c r="B1413" s="102">
        <v>2400000</v>
      </c>
      <c r="C1413" s="102">
        <v>2400000</v>
      </c>
      <c r="D1413" s="90" t="s">
        <v>374</v>
      </c>
      <c r="E1413" s="90" t="s">
        <v>68</v>
      </c>
      <c r="F1413" s="90" t="s">
        <v>375</v>
      </c>
      <c r="G1413" s="90" t="s">
        <v>376</v>
      </c>
      <c r="H1413" s="90">
        <v>0.59</v>
      </c>
      <c r="I1413" s="90">
        <v>0.64</v>
      </c>
      <c r="J1413" s="90" t="s">
        <v>244</v>
      </c>
      <c r="K1413" s="90">
        <v>2.210430931521E-2</v>
      </c>
      <c r="L1413" s="90">
        <v>3679.0692442152799</v>
      </c>
      <c r="M1413" s="90">
        <v>9.3947031815527495</v>
      </c>
      <c r="N1413" s="90">
        <v>1.4291914092687401</v>
      </c>
      <c r="O1413" s="90">
        <v>0.20766342504963001</v>
      </c>
      <c r="P1413" s="90">
        <v>3.1591288981110001E-2</v>
      </c>
      <c r="Q1413" s="90">
        <v>81.323284566210503</v>
      </c>
      <c r="R1413" s="90">
        <v>1330</v>
      </c>
      <c r="S1413" s="90" t="s">
        <v>397</v>
      </c>
      <c r="T1413" s="90">
        <v>1330</v>
      </c>
      <c r="U1413" s="90" t="s">
        <v>378</v>
      </c>
      <c r="V1413" s="90" t="s">
        <v>244</v>
      </c>
      <c r="Z1413" s="90">
        <v>0</v>
      </c>
      <c r="AA1413" s="90">
        <v>1</v>
      </c>
      <c r="AB1413" s="90">
        <v>0.20766342504963001</v>
      </c>
      <c r="AC1413" s="90">
        <v>3.1591288981110001E-2</v>
      </c>
      <c r="AD1413" s="90">
        <v>244.39103156445299</v>
      </c>
      <c r="AF1413" s="90">
        <v>-1</v>
      </c>
      <c r="AG1413" s="90">
        <v>-1</v>
      </c>
      <c r="AH1413" s="90">
        <v>-1</v>
      </c>
      <c r="AI1413" s="90">
        <v>-1</v>
      </c>
      <c r="AJ1413" s="90">
        <v>0</v>
      </c>
      <c r="AM1413" s="90" t="s">
        <v>379</v>
      </c>
      <c r="AN1413" s="90">
        <v>-1</v>
      </c>
      <c r="AQ1413" s="90">
        <v>357</v>
      </c>
      <c r="AR1413" s="90" t="s">
        <v>405</v>
      </c>
      <c r="AS1413" s="90" t="s">
        <v>406</v>
      </c>
      <c r="AT1413" s="90" t="s">
        <v>244</v>
      </c>
      <c r="AU1413" s="90">
        <v>122.34610000000001</v>
      </c>
      <c r="AV1413" s="90">
        <v>38.562567960319299</v>
      </c>
      <c r="AW1413" s="90">
        <v>89.452966114972497</v>
      </c>
      <c r="AX1413" s="90">
        <v>0.1982084603</v>
      </c>
    </row>
    <row r="1414" spans="1:50" x14ac:dyDescent="0.25">
      <c r="A1414" s="102">
        <v>830000</v>
      </c>
      <c r="B1414" s="102">
        <v>2400000</v>
      </c>
      <c r="C1414" s="102">
        <v>2400000</v>
      </c>
      <c r="D1414" s="90" t="s">
        <v>374</v>
      </c>
      <c r="E1414" s="90" t="s">
        <v>68</v>
      </c>
      <c r="F1414" s="90" t="s">
        <v>375</v>
      </c>
      <c r="G1414" s="90" t="s">
        <v>376</v>
      </c>
      <c r="H1414" s="90">
        <v>0.59</v>
      </c>
      <c r="I1414" s="90">
        <v>0.64</v>
      </c>
      <c r="J1414" s="90" t="s">
        <v>244</v>
      </c>
      <c r="K1414" s="90">
        <v>9.056548001202E-2</v>
      </c>
      <c r="L1414" s="90">
        <v>3739.8375652242098</v>
      </c>
      <c r="M1414" s="90">
        <v>8.9203298963218405</v>
      </c>
      <c r="N1414" s="90">
        <v>1.5047971532959199</v>
      </c>
      <c r="O1414" s="90">
        <v>0.80787395892596003</v>
      </c>
      <c r="P1414" s="90">
        <v>0.13628267650896</v>
      </c>
      <c r="Q1414" s="90">
        <v>338.70018426151898</v>
      </c>
      <c r="R1414" s="90">
        <v>1300</v>
      </c>
      <c r="S1414" s="90" t="s">
        <v>387</v>
      </c>
      <c r="T1414" s="90">
        <v>1300</v>
      </c>
      <c r="U1414" s="90" t="s">
        <v>378</v>
      </c>
      <c r="V1414" s="90" t="s">
        <v>244</v>
      </c>
      <c r="Z1414" s="90">
        <v>0</v>
      </c>
      <c r="AA1414" s="90">
        <v>1</v>
      </c>
      <c r="AB1414" s="90">
        <v>0.80787395892596003</v>
      </c>
      <c r="AC1414" s="90">
        <v>0.13628267650896</v>
      </c>
      <c r="AD1414" s="90">
        <v>677.63142632875895</v>
      </c>
      <c r="AF1414" s="90">
        <v>-1</v>
      </c>
      <c r="AG1414" s="90">
        <v>-1</v>
      </c>
      <c r="AH1414" s="90">
        <v>-1</v>
      </c>
      <c r="AI1414" s="90">
        <v>-1</v>
      </c>
      <c r="AJ1414" s="90">
        <v>0</v>
      </c>
      <c r="AM1414" s="90" t="s">
        <v>379</v>
      </c>
      <c r="AN1414" s="90">
        <v>-1</v>
      </c>
      <c r="AQ1414" s="90">
        <v>357</v>
      </c>
      <c r="AR1414" s="90" t="s">
        <v>405</v>
      </c>
      <c r="AS1414" s="90" t="s">
        <v>406</v>
      </c>
      <c r="AT1414" s="90" t="s">
        <v>244</v>
      </c>
      <c r="AU1414" s="90">
        <v>122.34610000000001</v>
      </c>
      <c r="AV1414" s="90">
        <v>114.680094787866</v>
      </c>
      <c r="AW1414" s="90">
        <v>366.50549443438598</v>
      </c>
      <c r="AX1414" s="90">
        <v>0.54957942120000003</v>
      </c>
    </row>
    <row r="1415" spans="1:50" x14ac:dyDescent="0.25">
      <c r="A1415" s="102">
        <v>830000</v>
      </c>
      <c r="B1415" s="102">
        <v>2400000</v>
      </c>
      <c r="C1415" s="102">
        <v>2400000</v>
      </c>
      <c r="D1415" s="90" t="s">
        <v>374</v>
      </c>
      <c r="E1415" s="90" t="s">
        <v>68</v>
      </c>
      <c r="F1415" s="90" t="s">
        <v>375</v>
      </c>
      <c r="G1415" s="90" t="s">
        <v>376</v>
      </c>
      <c r="H1415" s="90">
        <v>0.59</v>
      </c>
      <c r="I1415" s="90">
        <v>0.64</v>
      </c>
      <c r="J1415" s="90" t="s">
        <v>244</v>
      </c>
      <c r="K1415" s="90">
        <v>0.35057055015181998</v>
      </c>
      <c r="L1415" s="90">
        <v>3739.8375652242098</v>
      </c>
      <c r="M1415" s="90">
        <v>8.9203298963218405</v>
      </c>
      <c r="N1415" s="90">
        <v>1.5047971532959199</v>
      </c>
      <c r="O1415" s="90">
        <v>3.1272049592892999</v>
      </c>
      <c r="P1415" s="90">
        <v>0.52753756589784995</v>
      </c>
      <c r="Q1415" s="90">
        <v>1311.0769127190999</v>
      </c>
      <c r="R1415" s="90">
        <v>1300</v>
      </c>
      <c r="S1415" s="90" t="s">
        <v>387</v>
      </c>
      <c r="T1415" s="90">
        <v>1300</v>
      </c>
      <c r="U1415" s="90" t="s">
        <v>378</v>
      </c>
      <c r="V1415" s="90" t="s">
        <v>244</v>
      </c>
      <c r="Z1415" s="90">
        <v>0</v>
      </c>
      <c r="AA1415" s="90">
        <v>1</v>
      </c>
      <c r="AB1415" s="90">
        <v>3.1272049592892999</v>
      </c>
      <c r="AC1415" s="90">
        <v>0.52753756589784995</v>
      </c>
      <c r="AD1415" s="90">
        <v>1311.0769127190999</v>
      </c>
      <c r="AF1415" s="90">
        <v>-1</v>
      </c>
      <c r="AG1415" s="90">
        <v>-1</v>
      </c>
      <c r="AH1415" s="90">
        <v>-1</v>
      </c>
      <c r="AI1415" s="90">
        <v>-1</v>
      </c>
      <c r="AJ1415" s="90">
        <v>0</v>
      </c>
      <c r="AM1415" s="90" t="s">
        <v>379</v>
      </c>
      <c r="AN1415" s="90">
        <v>-1</v>
      </c>
      <c r="AQ1415" s="90">
        <v>357</v>
      </c>
      <c r="AR1415" s="90" t="s">
        <v>405</v>
      </c>
      <c r="AS1415" s="90" t="s">
        <v>406</v>
      </c>
      <c r="AT1415" s="90" t="s">
        <v>244</v>
      </c>
      <c r="AU1415" s="90">
        <v>122.34610000000001</v>
      </c>
      <c r="AV1415" s="90">
        <v>156.76676065273199</v>
      </c>
      <c r="AW1415" s="90">
        <v>1418.7086823862001</v>
      </c>
      <c r="AX1415" s="90">
        <v>1.0633227192000001</v>
      </c>
    </row>
    <row r="1416" spans="1:50" x14ac:dyDescent="0.25">
      <c r="A1416" s="102">
        <v>830000</v>
      </c>
      <c r="B1416" s="102">
        <v>2400000</v>
      </c>
      <c r="C1416" s="102">
        <v>2400000</v>
      </c>
      <c r="D1416" s="90" t="s">
        <v>374</v>
      </c>
      <c r="E1416" s="90" t="s">
        <v>68</v>
      </c>
      <c r="F1416" s="90" t="s">
        <v>375</v>
      </c>
      <c r="G1416" s="90" t="s">
        <v>376</v>
      </c>
      <c r="H1416" s="90">
        <v>0.59</v>
      </c>
      <c r="I1416" s="90">
        <v>0.64</v>
      </c>
      <c r="J1416" s="90" t="s">
        <v>244</v>
      </c>
      <c r="K1416" s="90">
        <v>6.7350427100200004E-3</v>
      </c>
      <c r="L1416" s="90">
        <v>3746.8989417441499</v>
      </c>
      <c r="M1416" s="90">
        <v>11.312425714829301</v>
      </c>
      <c r="N1416" s="90">
        <v>1.5024997661957</v>
      </c>
      <c r="O1416" s="90">
        <v>7.6189670343339996E-2</v>
      </c>
      <c r="P1416" s="90">
        <v>1.011940009712E-2</v>
      </c>
      <c r="Q1416" s="90">
        <v>25.235524402790599</v>
      </c>
      <c r="R1416" s="90">
        <v>1300</v>
      </c>
      <c r="S1416" s="90" t="s">
        <v>387</v>
      </c>
      <c r="T1416" s="90">
        <v>1300</v>
      </c>
      <c r="U1416" s="90" t="s">
        <v>378</v>
      </c>
      <c r="V1416" s="90" t="s">
        <v>244</v>
      </c>
      <c r="Z1416" s="90">
        <v>0</v>
      </c>
      <c r="AA1416" s="90">
        <v>1</v>
      </c>
      <c r="AB1416" s="90">
        <v>7.6189670343339996E-2</v>
      </c>
      <c r="AC1416" s="90">
        <v>1.011940009712E-2</v>
      </c>
      <c r="AD1416" s="90">
        <v>25.2355244027891</v>
      </c>
      <c r="AF1416" s="90">
        <v>-1</v>
      </c>
      <c r="AG1416" s="90">
        <v>-1</v>
      </c>
      <c r="AH1416" s="90">
        <v>-1</v>
      </c>
      <c r="AI1416" s="90">
        <v>-1</v>
      </c>
      <c r="AJ1416" s="90">
        <v>0</v>
      </c>
      <c r="AM1416" s="90" t="s">
        <v>379</v>
      </c>
      <c r="AN1416" s="90">
        <v>-1</v>
      </c>
      <c r="AQ1416" s="90">
        <v>357</v>
      </c>
      <c r="AR1416" s="90" t="s">
        <v>405</v>
      </c>
      <c r="AS1416" s="90" t="s">
        <v>406</v>
      </c>
      <c r="AT1416" s="90" t="s">
        <v>244</v>
      </c>
      <c r="AU1416" s="90">
        <v>122.34610000000001</v>
      </c>
      <c r="AV1416" s="90">
        <v>27.9439242085218</v>
      </c>
      <c r="AW1416" s="90">
        <v>27.255750846197301</v>
      </c>
      <c r="AX1416" s="90">
        <v>2.0466767600000001E-2</v>
      </c>
    </row>
    <row r="1417" spans="1:50" x14ac:dyDescent="0.25">
      <c r="A1417" s="102">
        <v>830000</v>
      </c>
      <c r="B1417" s="102">
        <v>2400000</v>
      </c>
      <c r="C1417" s="102">
        <v>2400000</v>
      </c>
      <c r="D1417" s="90" t="s">
        <v>374</v>
      </c>
      <c r="E1417" s="90" t="s">
        <v>68</v>
      </c>
      <c r="F1417" s="90" t="s">
        <v>375</v>
      </c>
      <c r="G1417" s="90" t="s">
        <v>376</v>
      </c>
      <c r="H1417" s="90">
        <v>0.59</v>
      </c>
      <c r="I1417" s="90">
        <v>0.64</v>
      </c>
      <c r="J1417" s="90" t="s">
        <v>244</v>
      </c>
      <c r="K1417" s="90">
        <v>0.20205653479489</v>
      </c>
      <c r="L1417" s="90">
        <v>3746.8989417441499</v>
      </c>
      <c r="M1417" s="90">
        <v>11.312425714829301</v>
      </c>
      <c r="N1417" s="90">
        <v>1.5024997661957</v>
      </c>
      <c r="O1417" s="90">
        <v>2.2857495400630898</v>
      </c>
      <c r="P1417" s="90">
        <v>0.30358989628763999</v>
      </c>
      <c r="Q1417" s="90">
        <v>757.08541639549105</v>
      </c>
      <c r="R1417" s="90">
        <v>1400</v>
      </c>
      <c r="S1417" s="90" t="s">
        <v>324</v>
      </c>
      <c r="T1417" s="90">
        <v>1400</v>
      </c>
      <c r="U1417" s="90" t="s">
        <v>378</v>
      </c>
      <c r="V1417" s="90" t="s">
        <v>244</v>
      </c>
      <c r="Z1417" s="90">
        <v>0</v>
      </c>
      <c r="AA1417" s="90">
        <v>1</v>
      </c>
      <c r="AB1417" s="90">
        <v>2.2857495400630898</v>
      </c>
      <c r="AC1417" s="90">
        <v>0.30358989628763999</v>
      </c>
      <c r="AD1417" s="90">
        <v>757.08541639549105</v>
      </c>
      <c r="AF1417" s="90">
        <v>-1</v>
      </c>
      <c r="AG1417" s="90">
        <v>-1</v>
      </c>
      <c r="AH1417" s="90">
        <v>-1</v>
      </c>
      <c r="AI1417" s="90">
        <v>-1</v>
      </c>
      <c r="AJ1417" s="90">
        <v>0</v>
      </c>
      <c r="AM1417" s="90" t="s">
        <v>379</v>
      </c>
      <c r="AN1417" s="90">
        <v>-1</v>
      </c>
      <c r="AQ1417" s="90">
        <v>357</v>
      </c>
      <c r="AR1417" s="90" t="s">
        <v>405</v>
      </c>
      <c r="AS1417" s="90" t="s">
        <v>406</v>
      </c>
      <c r="AT1417" s="90" t="s">
        <v>244</v>
      </c>
      <c r="AU1417" s="90">
        <v>122.34610000000001</v>
      </c>
      <c r="AV1417" s="90">
        <v>200.35125990071401</v>
      </c>
      <c r="AW1417" s="90">
        <v>817.69378552261799</v>
      </c>
      <c r="AX1417" s="90">
        <v>0.61401899140000005</v>
      </c>
    </row>
    <row r="1418" spans="1:50" x14ac:dyDescent="0.25">
      <c r="A1418" s="102">
        <v>830000</v>
      </c>
      <c r="B1418" s="102">
        <v>2400000</v>
      </c>
      <c r="C1418" s="102">
        <v>2400000</v>
      </c>
      <c r="D1418" s="90" t="s">
        <v>374</v>
      </c>
      <c r="E1418" s="90" t="s">
        <v>68</v>
      </c>
      <c r="F1418" s="90" t="s">
        <v>375</v>
      </c>
      <c r="G1418" s="90" t="s">
        <v>376</v>
      </c>
      <c r="H1418" s="90">
        <v>0.59</v>
      </c>
      <c r="I1418" s="90">
        <v>0.64</v>
      </c>
      <c r="J1418" s="90" t="s">
        <v>244</v>
      </c>
      <c r="K1418" s="90">
        <v>1.7221669124080002E-2</v>
      </c>
      <c r="L1418" s="90">
        <v>3746.8989417441499</v>
      </c>
      <c r="M1418" s="90">
        <v>11.312425714829301</v>
      </c>
      <c r="N1418" s="90">
        <v>1.5024997661957</v>
      </c>
      <c r="O1418" s="90">
        <v>0.19481885265155</v>
      </c>
      <c r="P1418" s="90">
        <v>2.5875553832429999E-2</v>
      </c>
      <c r="Q1418" s="90">
        <v>64.527853816094606</v>
      </c>
      <c r="R1418" s="90">
        <v>1410</v>
      </c>
      <c r="S1418" s="90" t="s">
        <v>325</v>
      </c>
      <c r="T1418" s="90">
        <v>1410</v>
      </c>
      <c r="U1418" s="90" t="s">
        <v>378</v>
      </c>
      <c r="V1418" s="90" t="s">
        <v>244</v>
      </c>
      <c r="Z1418" s="90">
        <v>0</v>
      </c>
      <c r="AA1418" s="90">
        <v>1</v>
      </c>
      <c r="AB1418" s="90">
        <v>0.19481885265155</v>
      </c>
      <c r="AC1418" s="90">
        <v>2.5875553832429999E-2</v>
      </c>
      <c r="AD1418" s="90">
        <v>64.527853816095302</v>
      </c>
      <c r="AF1418" s="90">
        <v>-1</v>
      </c>
      <c r="AG1418" s="90">
        <v>-1</v>
      </c>
      <c r="AH1418" s="90">
        <v>-1</v>
      </c>
      <c r="AI1418" s="90">
        <v>-1</v>
      </c>
      <c r="AJ1418" s="90">
        <v>0</v>
      </c>
      <c r="AM1418" s="90" t="s">
        <v>379</v>
      </c>
      <c r="AN1418" s="90">
        <v>-1</v>
      </c>
      <c r="AQ1418" s="90">
        <v>357</v>
      </c>
      <c r="AR1418" s="90" t="s">
        <v>405</v>
      </c>
      <c r="AS1418" s="90" t="s">
        <v>406</v>
      </c>
      <c r="AT1418" s="90" t="s">
        <v>244</v>
      </c>
      <c r="AU1418" s="90">
        <v>122.34610000000001</v>
      </c>
      <c r="AV1418" s="90">
        <v>65.518277253516999</v>
      </c>
      <c r="AW1418" s="90">
        <v>69.6936222992437</v>
      </c>
      <c r="AX1418" s="90">
        <v>5.2334025800000003E-2</v>
      </c>
    </row>
    <row r="1419" spans="1:50" x14ac:dyDescent="0.25">
      <c r="A1419" s="102">
        <v>830000</v>
      </c>
      <c r="B1419" s="102">
        <v>2400000</v>
      </c>
      <c r="C1419" s="102">
        <v>2400000</v>
      </c>
      <c r="D1419" s="90" t="s">
        <v>374</v>
      </c>
      <c r="E1419" s="90" t="s">
        <v>68</v>
      </c>
      <c r="F1419" s="90" t="s">
        <v>375</v>
      </c>
      <c r="G1419" s="90" t="s">
        <v>376</v>
      </c>
      <c r="H1419" s="90">
        <v>0.59</v>
      </c>
      <c r="I1419" s="90">
        <v>0.64</v>
      </c>
      <c r="J1419" s="90" t="s">
        <v>244</v>
      </c>
      <c r="K1419" s="90">
        <v>3.6810097846380001E-2</v>
      </c>
      <c r="L1419" s="90">
        <v>3746.8989417441499</v>
      </c>
      <c r="M1419" s="90">
        <v>11.312425714829301</v>
      </c>
      <c r="N1419" s="90">
        <v>1.5024997661957</v>
      </c>
      <c r="O1419" s="90">
        <v>0.41641149744286998</v>
      </c>
      <c r="P1419" s="90">
        <v>5.5307163407839997E-2</v>
      </c>
      <c r="Q1419" s="90">
        <v>137.923716666133</v>
      </c>
      <c r="R1419" s="90">
        <v>1450</v>
      </c>
      <c r="S1419" s="90" t="s">
        <v>391</v>
      </c>
      <c r="T1419" s="90">
        <v>1450</v>
      </c>
      <c r="U1419" s="90" t="s">
        <v>378</v>
      </c>
      <c r="V1419" s="90" t="s">
        <v>244</v>
      </c>
      <c r="Z1419" s="90">
        <v>0</v>
      </c>
      <c r="AA1419" s="90">
        <v>1</v>
      </c>
      <c r="AB1419" s="90">
        <v>0.41641149744286998</v>
      </c>
      <c r="AC1419" s="90">
        <v>5.5307163407839997E-2</v>
      </c>
      <c r="AD1419" s="90">
        <v>137.923716666134</v>
      </c>
      <c r="AF1419" s="90">
        <v>-1</v>
      </c>
      <c r="AG1419" s="90">
        <v>-1</v>
      </c>
      <c r="AH1419" s="90">
        <v>-1</v>
      </c>
      <c r="AI1419" s="90">
        <v>-1</v>
      </c>
      <c r="AJ1419" s="90">
        <v>0</v>
      </c>
      <c r="AM1419" s="90" t="s">
        <v>379</v>
      </c>
      <c r="AN1419" s="90">
        <v>-1</v>
      </c>
      <c r="AQ1419" s="90">
        <v>357</v>
      </c>
      <c r="AR1419" s="90" t="s">
        <v>405</v>
      </c>
      <c r="AS1419" s="90" t="s">
        <v>406</v>
      </c>
      <c r="AT1419" s="90" t="s">
        <v>244</v>
      </c>
      <c r="AU1419" s="90">
        <v>122.34610000000001</v>
      </c>
      <c r="AV1419" s="90">
        <v>97.975080299502494</v>
      </c>
      <c r="AW1419" s="90">
        <v>148.965180878832</v>
      </c>
      <c r="AX1419" s="90">
        <v>0.111860273</v>
      </c>
    </row>
    <row r="1420" spans="1:50" x14ac:dyDescent="0.25">
      <c r="A1420" s="102">
        <v>830000</v>
      </c>
      <c r="B1420" s="102">
        <v>2400000</v>
      </c>
      <c r="C1420" s="102">
        <v>2400000</v>
      </c>
      <c r="D1420" s="90" t="s">
        <v>374</v>
      </c>
      <c r="E1420" s="90" t="s">
        <v>68</v>
      </c>
      <c r="F1420" s="90" t="s">
        <v>375</v>
      </c>
      <c r="G1420" s="90" t="s">
        <v>376</v>
      </c>
      <c r="H1420" s="90">
        <v>0.59</v>
      </c>
      <c r="I1420" s="90">
        <v>0.64</v>
      </c>
      <c r="J1420" s="90" t="s">
        <v>244</v>
      </c>
      <c r="K1420" s="90">
        <v>0.35494010912348001</v>
      </c>
      <c r="L1420" s="90">
        <v>3746.8989417441499</v>
      </c>
      <c r="M1420" s="90">
        <v>11.312425714829301</v>
      </c>
      <c r="N1420" s="90">
        <v>1.5024997661957</v>
      </c>
      <c r="O1420" s="90">
        <v>4.0152336176727701</v>
      </c>
      <c r="P1420" s="90">
        <v>0.53329743097149995</v>
      </c>
      <c r="Q1420" s="90">
        <v>1329.92471925732</v>
      </c>
      <c r="R1420" s="90">
        <v>1450</v>
      </c>
      <c r="S1420" s="90" t="s">
        <v>391</v>
      </c>
      <c r="T1420" s="90">
        <v>1450</v>
      </c>
      <c r="U1420" s="90" t="s">
        <v>378</v>
      </c>
      <c r="V1420" s="90" t="s">
        <v>244</v>
      </c>
      <c r="Z1420" s="90">
        <v>0</v>
      </c>
      <c r="AA1420" s="90">
        <v>1</v>
      </c>
      <c r="AB1420" s="90">
        <v>4.0152336176727701</v>
      </c>
      <c r="AC1420" s="90">
        <v>0.53329743097149995</v>
      </c>
      <c r="AD1420" s="90">
        <v>1329.92471925732</v>
      </c>
      <c r="AF1420" s="90">
        <v>-1</v>
      </c>
      <c r="AG1420" s="90">
        <v>-1</v>
      </c>
      <c r="AH1420" s="90">
        <v>-1</v>
      </c>
      <c r="AI1420" s="90">
        <v>-1</v>
      </c>
      <c r="AJ1420" s="90">
        <v>0</v>
      </c>
      <c r="AM1420" s="90" t="s">
        <v>379</v>
      </c>
      <c r="AN1420" s="90">
        <v>-1</v>
      </c>
      <c r="AQ1420" s="90">
        <v>357</v>
      </c>
      <c r="AR1420" s="90" t="s">
        <v>405</v>
      </c>
      <c r="AS1420" s="90" t="s">
        <v>406</v>
      </c>
      <c r="AT1420" s="90" t="s">
        <v>244</v>
      </c>
      <c r="AU1420" s="90">
        <v>122.34610000000001</v>
      </c>
      <c r="AV1420" s="90">
        <v>159.52587124361301</v>
      </c>
      <c r="AW1420" s="90">
        <v>1436.3916601737101</v>
      </c>
      <c r="AX1420" s="90">
        <v>1.0786088558</v>
      </c>
    </row>
    <row r="1421" spans="1:50" x14ac:dyDescent="0.25">
      <c r="A1421" s="102">
        <v>830000</v>
      </c>
      <c r="B1421" s="102">
        <v>2400000</v>
      </c>
      <c r="C1421" s="102">
        <v>2400000</v>
      </c>
      <c r="D1421" s="90" t="s">
        <v>374</v>
      </c>
      <c r="E1421" s="90" t="s">
        <v>68</v>
      </c>
      <c r="F1421" s="90" t="s">
        <v>375</v>
      </c>
      <c r="G1421" s="90" t="s">
        <v>376</v>
      </c>
      <c r="H1421" s="90">
        <v>0.59</v>
      </c>
      <c r="I1421" s="90">
        <v>0.64</v>
      </c>
      <c r="J1421" s="90" t="s">
        <v>244</v>
      </c>
      <c r="K1421" s="90">
        <v>3.5569364888230003E-2</v>
      </c>
      <c r="L1421" s="90">
        <v>3672.8043873305</v>
      </c>
      <c r="M1421" s="90">
        <v>9.3149864605386092</v>
      </c>
      <c r="N1421" s="90">
        <v>1.42314231496216</v>
      </c>
      <c r="O1421" s="90">
        <v>0.33132815234382001</v>
      </c>
      <c r="P1421" s="90">
        <v>5.0620268288769997E-2</v>
      </c>
      <c r="Q1421" s="90">
        <v>130.63931941605401</v>
      </c>
      <c r="R1421" s="90">
        <v>1300</v>
      </c>
      <c r="S1421" s="90" t="s">
        <v>387</v>
      </c>
      <c r="T1421" s="90">
        <v>1300</v>
      </c>
      <c r="U1421" s="90" t="s">
        <v>378</v>
      </c>
      <c r="V1421" s="90" t="s">
        <v>244</v>
      </c>
      <c r="Z1421" s="90">
        <v>0</v>
      </c>
      <c r="AA1421" s="90">
        <v>1</v>
      </c>
      <c r="AB1421" s="90">
        <v>0.33132815234382001</v>
      </c>
      <c r="AC1421" s="90">
        <v>5.0620268288769997E-2</v>
      </c>
      <c r="AD1421" s="90">
        <v>130.63931941605199</v>
      </c>
      <c r="AF1421" s="90">
        <v>-1</v>
      </c>
      <c r="AG1421" s="90">
        <v>-1</v>
      </c>
      <c r="AH1421" s="90">
        <v>-1</v>
      </c>
      <c r="AI1421" s="90">
        <v>-1</v>
      </c>
      <c r="AJ1421" s="90">
        <v>0</v>
      </c>
      <c r="AM1421" s="90" t="s">
        <v>379</v>
      </c>
      <c r="AN1421" s="90">
        <v>-1</v>
      </c>
      <c r="AQ1421" s="90">
        <v>357</v>
      </c>
      <c r="AR1421" s="90" t="s">
        <v>405</v>
      </c>
      <c r="AS1421" s="90" t="s">
        <v>406</v>
      </c>
      <c r="AT1421" s="90" t="s">
        <v>244</v>
      </c>
      <c r="AU1421" s="90">
        <v>122.34610000000001</v>
      </c>
      <c r="AV1421" s="90">
        <v>105.982415720413</v>
      </c>
      <c r="AW1421" s="90">
        <v>143.94411273862499</v>
      </c>
      <c r="AX1421" s="90">
        <v>0.10595240829999999</v>
      </c>
    </row>
    <row r="1422" spans="1:50" x14ac:dyDescent="0.25">
      <c r="A1422" s="102">
        <v>830000</v>
      </c>
      <c r="B1422" s="102">
        <v>2400000</v>
      </c>
      <c r="C1422" s="102">
        <v>2400000</v>
      </c>
      <c r="D1422" s="90" t="s">
        <v>374</v>
      </c>
      <c r="E1422" s="90" t="s">
        <v>68</v>
      </c>
      <c r="F1422" s="90" t="s">
        <v>375</v>
      </c>
      <c r="G1422" s="90" t="s">
        <v>376</v>
      </c>
      <c r="H1422" s="90">
        <v>0.59</v>
      </c>
      <c r="I1422" s="90">
        <v>0.64</v>
      </c>
      <c r="J1422" s="90" t="s">
        <v>244</v>
      </c>
      <c r="K1422" s="90">
        <v>0.10525045696888</v>
      </c>
      <c r="L1422" s="90">
        <v>3713.4430424188099</v>
      </c>
      <c r="M1422" s="90">
        <v>11.7361874308409</v>
      </c>
      <c r="N1422" s="90">
        <v>2.3837223730023598</v>
      </c>
      <c r="O1422" s="90">
        <v>1.2352390901685</v>
      </c>
      <c r="P1422" s="90">
        <v>0.25088786904545002</v>
      </c>
      <c r="Q1422" s="90">
        <v>390.84157714251</v>
      </c>
      <c r="R1422" s="90">
        <v>1300</v>
      </c>
      <c r="S1422" s="90" t="s">
        <v>387</v>
      </c>
      <c r="T1422" s="90">
        <v>1300</v>
      </c>
      <c r="U1422" s="90" t="s">
        <v>378</v>
      </c>
      <c r="V1422" s="90" t="s">
        <v>244</v>
      </c>
      <c r="Z1422" s="90">
        <v>0</v>
      </c>
      <c r="AA1422" s="90">
        <v>1</v>
      </c>
      <c r="AB1422" s="90">
        <v>1.2352390901685</v>
      </c>
      <c r="AC1422" s="90">
        <v>0.25088786904545002</v>
      </c>
      <c r="AD1422" s="90">
        <v>390.84157714251</v>
      </c>
      <c r="AF1422" s="90">
        <v>-1</v>
      </c>
      <c r="AG1422" s="90">
        <v>-1</v>
      </c>
      <c r="AH1422" s="90">
        <v>-1</v>
      </c>
      <c r="AI1422" s="90">
        <v>-1</v>
      </c>
      <c r="AJ1422" s="90">
        <v>0</v>
      </c>
      <c r="AM1422" s="90" t="s">
        <v>379</v>
      </c>
      <c r="AN1422" s="90">
        <v>-1</v>
      </c>
      <c r="AQ1422" s="90">
        <v>357</v>
      </c>
      <c r="AR1422" s="90" t="s">
        <v>405</v>
      </c>
      <c r="AS1422" s="90" t="s">
        <v>406</v>
      </c>
      <c r="AT1422" s="90" t="s">
        <v>244</v>
      </c>
      <c r="AU1422" s="90">
        <v>122.34610000000001</v>
      </c>
      <c r="AV1422" s="90">
        <v>117.198361011847</v>
      </c>
      <c r="AW1422" s="90">
        <v>425.93348774507098</v>
      </c>
      <c r="AX1422" s="90">
        <v>0.31698424749999998</v>
      </c>
    </row>
    <row r="1423" spans="1:50" x14ac:dyDescent="0.25">
      <c r="A1423" s="102">
        <v>830000</v>
      </c>
      <c r="B1423" s="102">
        <v>2400000</v>
      </c>
      <c r="C1423" s="102">
        <v>2400000</v>
      </c>
      <c r="D1423" s="90" t="s">
        <v>374</v>
      </c>
      <c r="E1423" s="90" t="s">
        <v>68</v>
      </c>
      <c r="F1423" s="90" t="s">
        <v>375</v>
      </c>
      <c r="G1423" s="90" t="s">
        <v>376</v>
      </c>
      <c r="H1423" s="90">
        <v>0.59</v>
      </c>
      <c r="I1423" s="90">
        <v>0.64</v>
      </c>
      <c r="J1423" s="90" t="s">
        <v>244</v>
      </c>
      <c r="K1423" s="90">
        <v>0.51251299676805995</v>
      </c>
      <c r="L1423" s="90">
        <v>3713.4430424188099</v>
      </c>
      <c r="M1423" s="90">
        <v>11.7361874308409</v>
      </c>
      <c r="N1423" s="90">
        <v>2.3837223730023598</v>
      </c>
      <c r="O1423" s="90">
        <v>6.0149485908120104</v>
      </c>
      <c r="P1423" s="90">
        <v>1.2216886968505301</v>
      </c>
      <c r="Q1423" s="90">
        <v>1903.1878219975899</v>
      </c>
      <c r="R1423" s="90">
        <v>1300</v>
      </c>
      <c r="S1423" s="90" t="s">
        <v>387</v>
      </c>
      <c r="T1423" s="90">
        <v>1300</v>
      </c>
      <c r="U1423" s="90" t="s">
        <v>378</v>
      </c>
      <c r="V1423" s="90" t="s">
        <v>244</v>
      </c>
      <c r="Z1423" s="90">
        <v>0</v>
      </c>
      <c r="AA1423" s="90">
        <v>1</v>
      </c>
      <c r="AB1423" s="90">
        <v>6.0149485908120104</v>
      </c>
      <c r="AC1423" s="90">
        <v>1.2216886968505301</v>
      </c>
      <c r="AD1423" s="90">
        <v>1903.1878219975899</v>
      </c>
      <c r="AF1423" s="90">
        <v>-1</v>
      </c>
      <c r="AG1423" s="90">
        <v>-1</v>
      </c>
      <c r="AH1423" s="90">
        <v>-1</v>
      </c>
      <c r="AI1423" s="90">
        <v>-1</v>
      </c>
      <c r="AJ1423" s="90">
        <v>0</v>
      </c>
      <c r="AM1423" s="90" t="s">
        <v>379</v>
      </c>
      <c r="AN1423" s="90">
        <v>-1</v>
      </c>
      <c r="AQ1423" s="90">
        <v>357</v>
      </c>
      <c r="AR1423" s="90" t="s">
        <v>405</v>
      </c>
      <c r="AS1423" s="90" t="s">
        <v>406</v>
      </c>
      <c r="AT1423" s="90" t="s">
        <v>244</v>
      </c>
      <c r="AU1423" s="90">
        <v>122.34610000000001</v>
      </c>
      <c r="AV1423" s="90">
        <v>183.12368199850599</v>
      </c>
      <c r="AW1423" s="90">
        <v>2074.0665125343198</v>
      </c>
      <c r="AX1423" s="90">
        <v>1.5435424347</v>
      </c>
    </row>
    <row r="1424" spans="1:50" x14ac:dyDescent="0.25">
      <c r="A1424" s="102">
        <v>830000</v>
      </c>
      <c r="B1424" s="102">
        <v>2400000</v>
      </c>
      <c r="C1424" s="102">
        <v>2400000</v>
      </c>
      <c r="D1424" s="90" t="s">
        <v>374</v>
      </c>
      <c r="E1424" s="90" t="s">
        <v>68</v>
      </c>
      <c r="F1424" s="90" t="s">
        <v>375</v>
      </c>
      <c r="G1424" s="90" t="s">
        <v>376</v>
      </c>
      <c r="H1424" s="90">
        <v>0.59</v>
      </c>
      <c r="I1424" s="90">
        <v>0.64</v>
      </c>
      <c r="J1424" s="90" t="s">
        <v>244</v>
      </c>
      <c r="K1424" s="90">
        <v>0.10309259748757001</v>
      </c>
      <c r="L1424" s="90">
        <v>3845.18546895692</v>
      </c>
      <c r="M1424" s="90">
        <v>8.5592586497737901</v>
      </c>
      <c r="N1424" s="90">
        <v>1.1622771140324799</v>
      </c>
      <c r="O1424" s="90">
        <v>0.88239620677314001</v>
      </c>
      <c r="P1424" s="90">
        <v>0.11982216668596</v>
      </c>
      <c r="Q1424" s="90">
        <v>396.41015781623298</v>
      </c>
      <c r="R1424" s="90">
        <v>1450</v>
      </c>
      <c r="S1424" s="90" t="s">
        <v>391</v>
      </c>
      <c r="T1424" s="90">
        <v>1450</v>
      </c>
      <c r="U1424" s="90" t="s">
        <v>378</v>
      </c>
      <c r="V1424" s="90" t="s">
        <v>244</v>
      </c>
      <c r="Z1424" s="90">
        <v>0</v>
      </c>
      <c r="AA1424" s="90">
        <v>1</v>
      </c>
      <c r="AB1424" s="90">
        <v>0.88239620677314001</v>
      </c>
      <c r="AC1424" s="90">
        <v>0.11982216668596</v>
      </c>
      <c r="AD1424" s="90">
        <v>612.80510759631102</v>
      </c>
      <c r="AF1424" s="90">
        <v>-1</v>
      </c>
      <c r="AG1424" s="90">
        <v>-1</v>
      </c>
      <c r="AH1424" s="90">
        <v>-1</v>
      </c>
      <c r="AI1424" s="90">
        <v>-1</v>
      </c>
      <c r="AJ1424" s="90">
        <v>0</v>
      </c>
      <c r="AM1424" s="90" t="s">
        <v>379</v>
      </c>
      <c r="AN1424" s="90">
        <v>-1</v>
      </c>
      <c r="AQ1424" s="90">
        <v>357</v>
      </c>
      <c r="AR1424" s="90" t="s">
        <v>405</v>
      </c>
      <c r="AS1424" s="90" t="s">
        <v>406</v>
      </c>
      <c r="AT1424" s="90" t="s">
        <v>244</v>
      </c>
      <c r="AU1424" s="90">
        <v>122.34610000000001</v>
      </c>
      <c r="AV1424" s="90">
        <v>161.074310752125</v>
      </c>
      <c r="AW1424" s="90">
        <v>417.20094024447599</v>
      </c>
      <c r="AX1424" s="90">
        <v>0.49700333140000003</v>
      </c>
    </row>
    <row r="1425" spans="1:50" x14ac:dyDescent="0.25">
      <c r="A1425" s="102">
        <v>830000</v>
      </c>
      <c r="B1425" s="102">
        <v>2400000</v>
      </c>
      <c r="C1425" s="102">
        <v>2400000</v>
      </c>
      <c r="D1425" s="90" t="s">
        <v>374</v>
      </c>
      <c r="E1425" s="90" t="s">
        <v>68</v>
      </c>
      <c r="F1425" s="90" t="s">
        <v>375</v>
      </c>
      <c r="G1425" s="90" t="s">
        <v>376</v>
      </c>
      <c r="H1425" s="90">
        <v>0.59</v>
      </c>
      <c r="I1425" s="90">
        <v>0.64</v>
      </c>
      <c r="J1425" s="90" t="s">
        <v>244</v>
      </c>
      <c r="K1425" s="90">
        <v>0.29572608325243999</v>
      </c>
      <c r="L1425" s="90">
        <v>3845.18546895692</v>
      </c>
      <c r="M1425" s="90">
        <v>8.5592586497737901</v>
      </c>
      <c r="N1425" s="90">
        <v>1.1622771140324799</v>
      </c>
      <c r="O1425" s="90">
        <v>2.5311960360421799</v>
      </c>
      <c r="P1425" s="90">
        <v>0.34371565858677</v>
      </c>
      <c r="Q1425" s="90">
        <v>1137.1216381138299</v>
      </c>
      <c r="R1425" s="90">
        <v>1410</v>
      </c>
      <c r="S1425" s="90" t="s">
        <v>325</v>
      </c>
      <c r="T1425" s="90">
        <v>1410</v>
      </c>
      <c r="U1425" s="90" t="s">
        <v>378</v>
      </c>
      <c r="V1425" s="90" t="s">
        <v>244</v>
      </c>
      <c r="Z1425" s="90">
        <v>0</v>
      </c>
      <c r="AA1425" s="90">
        <v>1</v>
      </c>
      <c r="AB1425" s="90">
        <v>2.5311960360421799</v>
      </c>
      <c r="AC1425" s="90">
        <v>0.34371565858677</v>
      </c>
      <c r="AD1425" s="90">
        <v>1762.6099475231999</v>
      </c>
      <c r="AF1425" s="90">
        <v>-1</v>
      </c>
      <c r="AG1425" s="90">
        <v>-1</v>
      </c>
      <c r="AH1425" s="90">
        <v>-1</v>
      </c>
      <c r="AI1425" s="90">
        <v>-1</v>
      </c>
      <c r="AJ1425" s="90">
        <v>0</v>
      </c>
      <c r="AM1425" s="90" t="s">
        <v>379</v>
      </c>
      <c r="AN1425" s="90">
        <v>-1</v>
      </c>
      <c r="AQ1425" s="90">
        <v>357</v>
      </c>
      <c r="AR1425" s="90" t="s">
        <v>405</v>
      </c>
      <c r="AS1425" s="90" t="s">
        <v>406</v>
      </c>
      <c r="AT1425" s="90" t="s">
        <v>244</v>
      </c>
      <c r="AU1425" s="90">
        <v>122.34610000000001</v>
      </c>
      <c r="AV1425" s="90">
        <v>139.41949122227899</v>
      </c>
      <c r="AW1425" s="90">
        <v>1196.76099928134</v>
      </c>
      <c r="AX1425" s="90">
        <v>1.42952956</v>
      </c>
    </row>
    <row r="1426" spans="1:50" x14ac:dyDescent="0.25">
      <c r="A1426" s="102">
        <v>830000</v>
      </c>
      <c r="B1426" s="102">
        <v>2400000</v>
      </c>
      <c r="C1426" s="102">
        <v>2400000</v>
      </c>
      <c r="D1426" s="90" t="s">
        <v>374</v>
      </c>
      <c r="E1426" s="90" t="s">
        <v>68</v>
      </c>
      <c r="F1426" s="90" t="s">
        <v>375</v>
      </c>
      <c r="G1426" s="90" t="s">
        <v>376</v>
      </c>
      <c r="H1426" s="90">
        <v>0.59</v>
      </c>
      <c r="I1426" s="90">
        <v>0.64</v>
      </c>
      <c r="J1426" s="90" t="s">
        <v>244</v>
      </c>
      <c r="K1426" s="90">
        <v>0.10475165664658</v>
      </c>
      <c r="L1426" s="90">
        <v>3722.3415648369801</v>
      </c>
      <c r="M1426" s="90">
        <v>10.050769364816899</v>
      </c>
      <c r="N1426" s="90">
        <v>1.8599549431463001</v>
      </c>
      <c r="O1426" s="90">
        <v>1.0528347415372901</v>
      </c>
      <c r="P1426" s="90">
        <v>0.19483336158257</v>
      </c>
      <c r="Q1426" s="90">
        <v>389.92144552110398</v>
      </c>
      <c r="R1426" s="90">
        <v>1300</v>
      </c>
      <c r="S1426" s="90" t="s">
        <v>387</v>
      </c>
      <c r="T1426" s="90">
        <v>1300</v>
      </c>
      <c r="U1426" s="90" t="s">
        <v>378</v>
      </c>
      <c r="V1426" s="90" t="s">
        <v>244</v>
      </c>
      <c r="Z1426" s="90">
        <v>0</v>
      </c>
      <c r="AA1426" s="90">
        <v>1</v>
      </c>
      <c r="AB1426" s="90">
        <v>1.0528347415372901</v>
      </c>
      <c r="AC1426" s="90">
        <v>0.19483336158257</v>
      </c>
      <c r="AD1426" s="90">
        <v>389.92144552110398</v>
      </c>
      <c r="AF1426" s="90">
        <v>-1</v>
      </c>
      <c r="AG1426" s="90">
        <v>-1</v>
      </c>
      <c r="AH1426" s="90">
        <v>-1</v>
      </c>
      <c r="AI1426" s="90">
        <v>-1</v>
      </c>
      <c r="AJ1426" s="90">
        <v>0</v>
      </c>
      <c r="AM1426" s="90" t="s">
        <v>379</v>
      </c>
      <c r="AN1426" s="90">
        <v>-1</v>
      </c>
      <c r="AQ1426" s="90">
        <v>357</v>
      </c>
      <c r="AR1426" s="90" t="s">
        <v>405</v>
      </c>
      <c r="AS1426" s="90" t="s">
        <v>406</v>
      </c>
      <c r="AT1426" s="90" t="s">
        <v>244</v>
      </c>
      <c r="AU1426" s="90">
        <v>122.34610000000001</v>
      </c>
      <c r="AV1426" s="90">
        <v>123.211186422599</v>
      </c>
      <c r="AW1426" s="90">
        <v>423.91491445725802</v>
      </c>
      <c r="AX1426" s="90">
        <v>0.3162379931</v>
      </c>
    </row>
    <row r="1427" spans="1:50" x14ac:dyDescent="0.25">
      <c r="A1427" s="102">
        <v>830000</v>
      </c>
      <c r="B1427" s="102">
        <v>2400000</v>
      </c>
      <c r="C1427" s="102">
        <v>2400000</v>
      </c>
      <c r="D1427" s="90" t="s">
        <v>374</v>
      </c>
      <c r="E1427" s="90" t="s">
        <v>68</v>
      </c>
      <c r="F1427" s="90" t="s">
        <v>375</v>
      </c>
      <c r="G1427" s="90" t="s">
        <v>376</v>
      </c>
      <c r="H1427" s="90">
        <v>0.59</v>
      </c>
      <c r="I1427" s="90">
        <v>0.64</v>
      </c>
      <c r="J1427" s="90" t="s">
        <v>244</v>
      </c>
      <c r="K1427" s="90">
        <v>2.6633626318110001E-2</v>
      </c>
      <c r="L1427" s="90">
        <v>3722.3415648369801</v>
      </c>
      <c r="M1427" s="90">
        <v>10.050769364816899</v>
      </c>
      <c r="N1427" s="90">
        <v>1.8599549431463001</v>
      </c>
      <c r="O1427" s="90">
        <v>0.26768843547211002</v>
      </c>
      <c r="P1427" s="90">
        <v>4.9537344924290003E-2</v>
      </c>
      <c r="Q1427" s="90">
        <v>99.139454266263201</v>
      </c>
      <c r="R1427" s="90">
        <v>1300</v>
      </c>
      <c r="S1427" s="90" t="s">
        <v>387</v>
      </c>
      <c r="T1427" s="90">
        <v>1300</v>
      </c>
      <c r="U1427" s="90" t="s">
        <v>378</v>
      </c>
      <c r="V1427" s="90" t="s">
        <v>244</v>
      </c>
      <c r="Z1427" s="90">
        <v>0</v>
      </c>
      <c r="AA1427" s="90">
        <v>1</v>
      </c>
      <c r="AB1427" s="90">
        <v>0.26768843547211002</v>
      </c>
      <c r="AC1427" s="90">
        <v>4.9537344924290003E-2</v>
      </c>
      <c r="AD1427" s="90">
        <v>99.139454266261694</v>
      </c>
      <c r="AF1427" s="90">
        <v>-1</v>
      </c>
      <c r="AG1427" s="90">
        <v>-1</v>
      </c>
      <c r="AH1427" s="90">
        <v>-1</v>
      </c>
      <c r="AI1427" s="90">
        <v>-1</v>
      </c>
      <c r="AJ1427" s="90">
        <v>0</v>
      </c>
      <c r="AM1427" s="90" t="s">
        <v>379</v>
      </c>
      <c r="AN1427" s="90">
        <v>-1</v>
      </c>
      <c r="AQ1427" s="90">
        <v>357</v>
      </c>
      <c r="AR1427" s="90" t="s">
        <v>405</v>
      </c>
      <c r="AS1427" s="90" t="s">
        <v>406</v>
      </c>
      <c r="AT1427" s="90" t="s">
        <v>244</v>
      </c>
      <c r="AU1427" s="90">
        <v>122.34610000000001</v>
      </c>
      <c r="AV1427" s="90">
        <v>60.768962342487796</v>
      </c>
      <c r="AW1427" s="90">
        <v>107.782461717271</v>
      </c>
      <c r="AX1427" s="90">
        <v>8.0405072399999999E-2</v>
      </c>
    </row>
    <row r="1428" spans="1:50" x14ac:dyDescent="0.25">
      <c r="A1428" s="102">
        <v>830000</v>
      </c>
      <c r="B1428" s="102">
        <v>2400000</v>
      </c>
      <c r="C1428" s="102">
        <v>2400000</v>
      </c>
      <c r="D1428" s="90" t="s">
        <v>374</v>
      </c>
      <c r="E1428" s="90" t="s">
        <v>68</v>
      </c>
      <c r="F1428" s="90" t="s">
        <v>375</v>
      </c>
      <c r="G1428" s="90" t="s">
        <v>376</v>
      </c>
      <c r="H1428" s="90">
        <v>0.59</v>
      </c>
      <c r="I1428" s="90">
        <v>0.64</v>
      </c>
      <c r="J1428" s="90" t="s">
        <v>244</v>
      </c>
      <c r="K1428" s="90">
        <v>9.1353013216699998E-3</v>
      </c>
      <c r="L1428" s="90">
        <v>3722.3415648369801</v>
      </c>
      <c r="M1428" s="90">
        <v>10.050769364816899</v>
      </c>
      <c r="N1428" s="90">
        <v>1.8599549431463001</v>
      </c>
      <c r="O1428" s="90">
        <v>9.1816806662220002E-2</v>
      </c>
      <c r="P1428" s="90">
        <v>1.6991248850370001E-2</v>
      </c>
      <c r="Q1428" s="90">
        <v>34.0047118169662</v>
      </c>
      <c r="R1428" s="90">
        <v>1300</v>
      </c>
      <c r="S1428" s="90" t="s">
        <v>387</v>
      </c>
      <c r="T1428" s="90">
        <v>1300</v>
      </c>
      <c r="U1428" s="90" t="s">
        <v>378</v>
      </c>
      <c r="V1428" s="90" t="s">
        <v>244</v>
      </c>
      <c r="Z1428" s="90">
        <v>0</v>
      </c>
      <c r="AA1428" s="90">
        <v>1</v>
      </c>
      <c r="AB1428" s="90">
        <v>9.1816806662220002E-2</v>
      </c>
      <c r="AC1428" s="90">
        <v>1.6991248850370001E-2</v>
      </c>
      <c r="AD1428" s="90">
        <v>34.004711816965703</v>
      </c>
      <c r="AF1428" s="90">
        <v>-1</v>
      </c>
      <c r="AG1428" s="90">
        <v>-1</v>
      </c>
      <c r="AH1428" s="90">
        <v>-1</v>
      </c>
      <c r="AI1428" s="90">
        <v>-1</v>
      </c>
      <c r="AJ1428" s="90">
        <v>0</v>
      </c>
      <c r="AM1428" s="90" t="s">
        <v>379</v>
      </c>
      <c r="AN1428" s="90">
        <v>-1</v>
      </c>
      <c r="AQ1428" s="90">
        <v>357</v>
      </c>
      <c r="AR1428" s="90" t="s">
        <v>405</v>
      </c>
      <c r="AS1428" s="90" t="s">
        <v>406</v>
      </c>
      <c r="AT1428" s="90" t="s">
        <v>244</v>
      </c>
      <c r="AU1428" s="90">
        <v>122.34610000000001</v>
      </c>
      <c r="AV1428" s="90">
        <v>26.273297262780499</v>
      </c>
      <c r="AW1428" s="90">
        <v>36.969252824162901</v>
      </c>
      <c r="AX1428" s="90">
        <v>2.7578841699999999E-2</v>
      </c>
    </row>
    <row r="1429" spans="1:50" x14ac:dyDescent="0.25">
      <c r="A1429" s="102">
        <v>830000</v>
      </c>
      <c r="B1429" s="102">
        <v>2400000</v>
      </c>
      <c r="C1429" s="102">
        <v>2400000</v>
      </c>
      <c r="D1429" s="90" t="s">
        <v>374</v>
      </c>
      <c r="E1429" s="90" t="s">
        <v>68</v>
      </c>
      <c r="F1429" s="90" t="s">
        <v>375</v>
      </c>
      <c r="G1429" s="90" t="s">
        <v>376</v>
      </c>
      <c r="H1429" s="90">
        <v>0.59</v>
      </c>
      <c r="I1429" s="90">
        <v>0.64</v>
      </c>
      <c r="J1429" s="90" t="s">
        <v>244</v>
      </c>
      <c r="K1429" s="90">
        <v>6.5651722524859998E-2</v>
      </c>
      <c r="L1429" s="90">
        <v>3827.54117768074</v>
      </c>
      <c r="M1429" s="90">
        <v>9.7664854989016003</v>
      </c>
      <c r="N1429" s="90">
        <v>1.51618396463381</v>
      </c>
      <c r="O1429" s="90">
        <v>0.64118659601702999</v>
      </c>
      <c r="P1429" s="90">
        <v>9.9540088942789998E-2</v>
      </c>
      <c r="Q1429" s="90">
        <v>251.28467134960201</v>
      </c>
      <c r="R1429" s="90">
        <v>1300</v>
      </c>
      <c r="S1429" s="90" t="s">
        <v>387</v>
      </c>
      <c r="T1429" s="90">
        <v>1300</v>
      </c>
      <c r="U1429" s="90" t="s">
        <v>378</v>
      </c>
      <c r="V1429" s="90" t="s">
        <v>244</v>
      </c>
      <c r="Z1429" s="90">
        <v>0</v>
      </c>
      <c r="AA1429" s="90">
        <v>1</v>
      </c>
      <c r="AB1429" s="90">
        <v>0.64118659601702999</v>
      </c>
      <c r="AC1429" s="90">
        <v>9.9540088942789998E-2</v>
      </c>
      <c r="AD1429" s="90">
        <v>251.28467134960101</v>
      </c>
      <c r="AF1429" s="90">
        <v>-1</v>
      </c>
      <c r="AG1429" s="90">
        <v>-1</v>
      </c>
      <c r="AH1429" s="90">
        <v>-1</v>
      </c>
      <c r="AI1429" s="90">
        <v>-1</v>
      </c>
      <c r="AJ1429" s="90">
        <v>0</v>
      </c>
      <c r="AM1429" s="90" t="s">
        <v>379</v>
      </c>
      <c r="AN1429" s="90">
        <v>-1</v>
      </c>
      <c r="AQ1429" s="90">
        <v>357</v>
      </c>
      <c r="AR1429" s="90" t="s">
        <v>405</v>
      </c>
      <c r="AS1429" s="90" t="s">
        <v>406</v>
      </c>
      <c r="AT1429" s="90" t="s">
        <v>244</v>
      </c>
      <c r="AU1429" s="90">
        <v>122.34610000000001</v>
      </c>
      <c r="AV1429" s="90">
        <v>65.596578911922293</v>
      </c>
      <c r="AW1429" s="90">
        <v>265.68309494138299</v>
      </c>
      <c r="AX1429" s="90">
        <v>0.20379940899999999</v>
      </c>
    </row>
    <row r="1430" spans="1:50" x14ac:dyDescent="0.25">
      <c r="A1430" s="102">
        <v>830000</v>
      </c>
      <c r="B1430" s="102">
        <v>2400000</v>
      </c>
      <c r="C1430" s="102">
        <v>2400000</v>
      </c>
      <c r="D1430" s="90" t="s">
        <v>374</v>
      </c>
      <c r="E1430" s="90" t="s">
        <v>68</v>
      </c>
      <c r="F1430" s="90" t="s">
        <v>375</v>
      </c>
      <c r="G1430" s="90" t="s">
        <v>376</v>
      </c>
      <c r="H1430" s="90">
        <v>0.59</v>
      </c>
      <c r="I1430" s="90">
        <v>0.64</v>
      </c>
      <c r="J1430" s="90" t="s">
        <v>244</v>
      </c>
      <c r="K1430" s="90">
        <v>2.0439473599140001E-2</v>
      </c>
      <c r="L1430" s="90">
        <v>3827.54117768074</v>
      </c>
      <c r="M1430" s="90">
        <v>9.7664854989016003</v>
      </c>
      <c r="N1430" s="90">
        <v>1.51618396463381</v>
      </c>
      <c r="O1430" s="90">
        <v>0.19962182251124</v>
      </c>
      <c r="P1430" s="90">
        <v>3.0990002116580002E-2</v>
      </c>
      <c r="Q1430" s="90">
        <v>78.232926850849694</v>
      </c>
      <c r="R1430" s="90">
        <v>1400</v>
      </c>
      <c r="S1430" s="90" t="s">
        <v>324</v>
      </c>
      <c r="T1430" s="90">
        <v>1400</v>
      </c>
      <c r="U1430" s="90" t="s">
        <v>378</v>
      </c>
      <c r="V1430" s="90" t="s">
        <v>244</v>
      </c>
      <c r="Z1430" s="90">
        <v>0</v>
      </c>
      <c r="AA1430" s="90">
        <v>1</v>
      </c>
      <c r="AB1430" s="90">
        <v>0.19962182251124</v>
      </c>
      <c r="AC1430" s="90">
        <v>3.0990002116580002E-2</v>
      </c>
      <c r="AD1430" s="90">
        <v>78.232926850849296</v>
      </c>
      <c r="AF1430" s="90">
        <v>-1</v>
      </c>
      <c r="AG1430" s="90">
        <v>-1</v>
      </c>
      <c r="AH1430" s="90">
        <v>-1</v>
      </c>
      <c r="AI1430" s="90">
        <v>-1</v>
      </c>
      <c r="AJ1430" s="90">
        <v>0</v>
      </c>
      <c r="AM1430" s="90" t="s">
        <v>379</v>
      </c>
      <c r="AN1430" s="90">
        <v>-1</v>
      </c>
      <c r="AQ1430" s="90">
        <v>357</v>
      </c>
      <c r="AR1430" s="90" t="s">
        <v>405</v>
      </c>
      <c r="AS1430" s="90" t="s">
        <v>406</v>
      </c>
      <c r="AT1430" s="90" t="s">
        <v>244</v>
      </c>
      <c r="AU1430" s="90">
        <v>122.34610000000001</v>
      </c>
      <c r="AV1430" s="90">
        <v>41.218693941571402</v>
      </c>
      <c r="AW1430" s="90">
        <v>82.715615005178904</v>
      </c>
      <c r="AX1430" s="90">
        <v>6.3449251299999995E-2</v>
      </c>
    </row>
    <row r="1431" spans="1:50" x14ac:dyDescent="0.25">
      <c r="A1431" s="102">
        <v>830000</v>
      </c>
      <c r="B1431" s="102">
        <v>2400000</v>
      </c>
      <c r="C1431" s="102">
        <v>2400000</v>
      </c>
      <c r="D1431" s="90" t="s">
        <v>374</v>
      </c>
      <c r="E1431" s="90" t="s">
        <v>68</v>
      </c>
      <c r="F1431" s="90" t="s">
        <v>375</v>
      </c>
      <c r="G1431" s="90" t="s">
        <v>376</v>
      </c>
      <c r="H1431" s="90">
        <v>0.59</v>
      </c>
      <c r="I1431" s="90">
        <v>0.64</v>
      </c>
      <c r="J1431" s="90" t="s">
        <v>244</v>
      </c>
      <c r="K1431" s="90">
        <v>0.20422582809032</v>
      </c>
      <c r="L1431" s="90">
        <v>3827.54117768074</v>
      </c>
      <c r="M1431" s="90">
        <v>9.7664854989016003</v>
      </c>
      <c r="N1431" s="90">
        <v>1.51618396463381</v>
      </c>
      <c r="O1431" s="90">
        <v>1.9945685885453299</v>
      </c>
      <c r="P1431" s="90">
        <v>0.30964392571461002</v>
      </c>
      <c r="Q1431" s="90">
        <v>781.68276656166699</v>
      </c>
      <c r="R1431" s="90">
        <v>1450</v>
      </c>
      <c r="S1431" s="90" t="s">
        <v>391</v>
      </c>
      <c r="T1431" s="90">
        <v>1450</v>
      </c>
      <c r="U1431" s="90" t="s">
        <v>378</v>
      </c>
      <c r="V1431" s="90" t="s">
        <v>244</v>
      </c>
      <c r="Z1431" s="90">
        <v>0</v>
      </c>
      <c r="AA1431" s="90">
        <v>1</v>
      </c>
      <c r="AB1431" s="90">
        <v>1.9945685885453299</v>
      </c>
      <c r="AC1431" s="90">
        <v>0.30964392571461002</v>
      </c>
      <c r="AD1431" s="90">
        <v>781.68276656166699</v>
      </c>
      <c r="AF1431" s="90">
        <v>-1</v>
      </c>
      <c r="AG1431" s="90">
        <v>-1</v>
      </c>
      <c r="AH1431" s="90">
        <v>-1</v>
      </c>
      <c r="AI1431" s="90">
        <v>-1</v>
      </c>
      <c r="AJ1431" s="90">
        <v>0</v>
      </c>
      <c r="AM1431" s="90" t="s">
        <v>379</v>
      </c>
      <c r="AN1431" s="90">
        <v>-1</v>
      </c>
      <c r="AQ1431" s="90">
        <v>357</v>
      </c>
      <c r="AR1431" s="90" t="s">
        <v>405</v>
      </c>
      <c r="AS1431" s="90" t="s">
        <v>406</v>
      </c>
      <c r="AT1431" s="90" t="s">
        <v>244</v>
      </c>
      <c r="AU1431" s="90">
        <v>122.34610000000001</v>
      </c>
      <c r="AV1431" s="90">
        <v>141.01258496607699</v>
      </c>
      <c r="AW1431" s="90">
        <v>826.47260402729103</v>
      </c>
      <c r="AX1431" s="90">
        <v>0.63396818050000003</v>
      </c>
    </row>
    <row r="1432" spans="1:50" x14ac:dyDescent="0.25">
      <c r="A1432" s="102">
        <v>830000</v>
      </c>
      <c r="B1432" s="102">
        <v>2400000</v>
      </c>
      <c r="C1432" s="102">
        <v>2400000</v>
      </c>
      <c r="D1432" s="90" t="s">
        <v>374</v>
      </c>
      <c r="E1432" s="90" t="s">
        <v>68</v>
      </c>
      <c r="F1432" s="90" t="s">
        <v>375</v>
      </c>
      <c r="G1432" s="90" t="s">
        <v>376</v>
      </c>
      <c r="H1432" s="90">
        <v>0.59</v>
      </c>
      <c r="I1432" s="90">
        <v>0.64</v>
      </c>
      <c r="J1432" s="90" t="s">
        <v>244</v>
      </c>
      <c r="K1432" s="90">
        <v>0.12149718795741</v>
      </c>
      <c r="L1432" s="90">
        <v>3689.62023253801</v>
      </c>
      <c r="M1432" s="90">
        <v>9.7954920720454393</v>
      </c>
      <c r="N1432" s="90">
        <v>1.6436795223587599</v>
      </c>
      <c r="O1432" s="90">
        <v>1.1901247414126399</v>
      </c>
      <c r="P1432" s="90">
        <v>0.19970243986976999</v>
      </c>
      <c r="Q1432" s="90">
        <v>448.278482884141</v>
      </c>
      <c r="R1432" s="90">
        <v>1200</v>
      </c>
      <c r="S1432" s="90" t="s">
        <v>384</v>
      </c>
      <c r="T1432" s="90">
        <v>1200</v>
      </c>
      <c r="U1432" s="90" t="s">
        <v>378</v>
      </c>
      <c r="V1432" s="90" t="s">
        <v>244</v>
      </c>
      <c r="Z1432" s="90">
        <v>0</v>
      </c>
      <c r="AA1432" s="90">
        <v>1</v>
      </c>
      <c r="AB1432" s="90">
        <v>1.1901247414126399</v>
      </c>
      <c r="AC1432" s="90">
        <v>0.19970243986976999</v>
      </c>
      <c r="AD1432" s="90">
        <v>496.02607179839498</v>
      </c>
      <c r="AF1432" s="90">
        <v>-1</v>
      </c>
      <c r="AG1432" s="90">
        <v>-1</v>
      </c>
      <c r="AH1432" s="90">
        <v>-1</v>
      </c>
      <c r="AI1432" s="90">
        <v>-1</v>
      </c>
      <c r="AJ1432" s="90">
        <v>0</v>
      </c>
      <c r="AM1432" s="90" t="s">
        <v>379</v>
      </c>
      <c r="AN1432" s="90">
        <v>-1</v>
      </c>
      <c r="AQ1432" s="90">
        <v>357</v>
      </c>
      <c r="AR1432" s="90" t="s">
        <v>405</v>
      </c>
      <c r="AS1432" s="90" t="s">
        <v>406</v>
      </c>
      <c r="AT1432" s="90" t="s">
        <v>244</v>
      </c>
      <c r="AU1432" s="90">
        <v>122.34610000000001</v>
      </c>
      <c r="AV1432" s="90">
        <v>119.39376035863999</v>
      </c>
      <c r="AW1432" s="90">
        <v>491.68167538899303</v>
      </c>
      <c r="AX1432" s="90">
        <v>0.402292029</v>
      </c>
    </row>
    <row r="1433" spans="1:50" x14ac:dyDescent="0.25">
      <c r="A1433" s="102">
        <v>830000</v>
      </c>
      <c r="B1433" s="102">
        <v>2400000</v>
      </c>
      <c r="C1433" s="102">
        <v>2400000</v>
      </c>
      <c r="D1433" s="90" t="s">
        <v>374</v>
      </c>
      <c r="E1433" s="90" t="s">
        <v>68</v>
      </c>
      <c r="F1433" s="90" t="s">
        <v>375</v>
      </c>
      <c r="G1433" s="90" t="s">
        <v>376</v>
      </c>
      <c r="H1433" s="90">
        <v>0.59</v>
      </c>
      <c r="I1433" s="90">
        <v>0.64</v>
      </c>
      <c r="J1433" s="90" t="s">
        <v>244</v>
      </c>
      <c r="K1433" s="90">
        <v>8.455534009382E-2</v>
      </c>
      <c r="L1433" s="90">
        <v>3689.62023253801</v>
      </c>
      <c r="M1433" s="90">
        <v>9.7954920720454393</v>
      </c>
      <c r="N1433" s="90">
        <v>1.6436795223587599</v>
      </c>
      <c r="O1433" s="90">
        <v>0.82826116353817003</v>
      </c>
      <c r="P1433" s="90">
        <v>0.1389818810183</v>
      </c>
      <c r="Q1433" s="90">
        <v>311.97709357931302</v>
      </c>
      <c r="R1433" s="90">
        <v>1300</v>
      </c>
      <c r="S1433" s="90" t="s">
        <v>387</v>
      </c>
      <c r="T1433" s="90">
        <v>1300</v>
      </c>
      <c r="U1433" s="90" t="s">
        <v>378</v>
      </c>
      <c r="V1433" s="90" t="s">
        <v>244</v>
      </c>
      <c r="Z1433" s="90">
        <v>0</v>
      </c>
      <c r="AA1433" s="90">
        <v>1</v>
      </c>
      <c r="AB1433" s="90">
        <v>0.82826116353817003</v>
      </c>
      <c r="AC1433" s="90">
        <v>0.1389818810183</v>
      </c>
      <c r="AD1433" s="90">
        <v>390.38516934199401</v>
      </c>
      <c r="AF1433" s="90">
        <v>-1</v>
      </c>
      <c r="AG1433" s="90">
        <v>-1</v>
      </c>
      <c r="AH1433" s="90">
        <v>-1</v>
      </c>
      <c r="AI1433" s="90">
        <v>-1</v>
      </c>
      <c r="AJ1433" s="90">
        <v>0</v>
      </c>
      <c r="AM1433" s="90" t="s">
        <v>379</v>
      </c>
      <c r="AN1433" s="90">
        <v>-1</v>
      </c>
      <c r="AQ1433" s="90">
        <v>357</v>
      </c>
      <c r="AR1433" s="90" t="s">
        <v>405</v>
      </c>
      <c r="AS1433" s="90" t="s">
        <v>406</v>
      </c>
      <c r="AT1433" s="90" t="s">
        <v>244</v>
      </c>
      <c r="AU1433" s="90">
        <v>122.34610000000001</v>
      </c>
      <c r="AV1433" s="90">
        <v>98.044350907479199</v>
      </c>
      <c r="AW1433" s="90">
        <v>342.183321106915</v>
      </c>
      <c r="AX1433" s="90">
        <v>0.3166140871</v>
      </c>
    </row>
    <row r="1434" spans="1:50" x14ac:dyDescent="0.25">
      <c r="A1434" s="102">
        <v>830000</v>
      </c>
      <c r="B1434" s="102">
        <v>2400000</v>
      </c>
      <c r="C1434" s="102">
        <v>2400000</v>
      </c>
      <c r="D1434" s="90" t="s">
        <v>374</v>
      </c>
      <c r="E1434" s="90" t="s">
        <v>68</v>
      </c>
      <c r="F1434" s="90" t="s">
        <v>375</v>
      </c>
      <c r="G1434" s="90" t="s">
        <v>376</v>
      </c>
      <c r="H1434" s="90">
        <v>0.59</v>
      </c>
      <c r="I1434" s="90">
        <v>0.64</v>
      </c>
      <c r="J1434" s="90" t="s">
        <v>244</v>
      </c>
      <c r="K1434" s="90">
        <v>1.4815419188919999E-2</v>
      </c>
      <c r="L1434" s="90">
        <v>3689.62023253801</v>
      </c>
      <c r="M1434" s="90">
        <v>9.7954920720454393</v>
      </c>
      <c r="N1434" s="90">
        <v>1.6436795223587599</v>
      </c>
      <c r="O1434" s="90">
        <v>0.14512432120916999</v>
      </c>
      <c r="P1434" s="90">
        <v>2.4351801135999999E-2</v>
      </c>
      <c r="Q1434" s="90">
        <v>54.663270393000602</v>
      </c>
      <c r="R1434" s="90">
        <v>1210</v>
      </c>
      <c r="S1434" s="90" t="s">
        <v>385</v>
      </c>
      <c r="T1434" s="90">
        <v>1210</v>
      </c>
      <c r="U1434" s="90" t="s">
        <v>378</v>
      </c>
      <c r="V1434" s="90" t="s">
        <v>244</v>
      </c>
      <c r="Z1434" s="90">
        <v>0</v>
      </c>
      <c r="AA1434" s="90">
        <v>1</v>
      </c>
      <c r="AB1434" s="90">
        <v>0.14512432120916999</v>
      </c>
      <c r="AC1434" s="90">
        <v>2.4351801135999999E-2</v>
      </c>
      <c r="AD1434" s="90">
        <v>54.663270393001703</v>
      </c>
      <c r="AF1434" s="90">
        <v>-1</v>
      </c>
      <c r="AG1434" s="90">
        <v>-1</v>
      </c>
      <c r="AH1434" s="90">
        <v>-1</v>
      </c>
      <c r="AI1434" s="90">
        <v>-1</v>
      </c>
      <c r="AJ1434" s="90">
        <v>0</v>
      </c>
      <c r="AM1434" s="90" t="s">
        <v>379</v>
      </c>
      <c r="AN1434" s="90">
        <v>-1</v>
      </c>
      <c r="AQ1434" s="90">
        <v>357</v>
      </c>
      <c r="AR1434" s="90" t="s">
        <v>405</v>
      </c>
      <c r="AS1434" s="90" t="s">
        <v>406</v>
      </c>
      <c r="AT1434" s="90" t="s">
        <v>244</v>
      </c>
      <c r="AU1434" s="90">
        <v>122.34610000000001</v>
      </c>
      <c r="AV1434" s="90">
        <v>68.337831550248296</v>
      </c>
      <c r="AW1434" s="90">
        <v>59.955874295262703</v>
      </c>
      <c r="AX1434" s="90">
        <v>4.4333552599999999E-2</v>
      </c>
    </row>
    <row r="1435" spans="1:50" x14ac:dyDescent="0.25">
      <c r="A1435" s="102">
        <v>830000</v>
      </c>
      <c r="B1435" s="102">
        <v>2400000</v>
      </c>
      <c r="C1435" s="102">
        <v>2400000</v>
      </c>
      <c r="D1435" s="90" t="s">
        <v>374</v>
      </c>
      <c r="E1435" s="90" t="s">
        <v>68</v>
      </c>
      <c r="F1435" s="90" t="s">
        <v>375</v>
      </c>
      <c r="G1435" s="90" t="s">
        <v>376</v>
      </c>
      <c r="H1435" s="90">
        <v>0.59</v>
      </c>
      <c r="I1435" s="90">
        <v>0.64</v>
      </c>
      <c r="J1435" s="90" t="s">
        <v>244</v>
      </c>
      <c r="K1435" s="90">
        <v>0.2527780512401</v>
      </c>
      <c r="L1435" s="90">
        <v>3739.3597701071399</v>
      </c>
      <c r="M1435" s="90">
        <v>10.760536736673901</v>
      </c>
      <c r="N1435" s="90">
        <v>2.0735758341126398</v>
      </c>
      <c r="O1435" s="90">
        <v>2.7200275065939801</v>
      </c>
      <c r="P1435" s="90">
        <v>0.52415445844555997</v>
      </c>
      <c r="Q1435" s="90">
        <v>945.22807557332305</v>
      </c>
      <c r="R1435" s="90">
        <v>1300</v>
      </c>
      <c r="S1435" s="90" t="s">
        <v>387</v>
      </c>
      <c r="T1435" s="90">
        <v>1300</v>
      </c>
      <c r="U1435" s="90" t="s">
        <v>378</v>
      </c>
      <c r="V1435" s="90" t="s">
        <v>244</v>
      </c>
      <c r="Z1435" s="90">
        <v>0</v>
      </c>
      <c r="AA1435" s="90">
        <v>1</v>
      </c>
      <c r="AB1435" s="90">
        <v>2.7200275065939801</v>
      </c>
      <c r="AC1435" s="90">
        <v>0.52415445844555997</v>
      </c>
      <c r="AD1435" s="90">
        <v>945.22807557332305</v>
      </c>
      <c r="AF1435" s="90">
        <v>-1</v>
      </c>
      <c r="AG1435" s="90">
        <v>-1</v>
      </c>
      <c r="AH1435" s="90">
        <v>-1</v>
      </c>
      <c r="AI1435" s="90">
        <v>-1</v>
      </c>
      <c r="AJ1435" s="90">
        <v>0</v>
      </c>
      <c r="AM1435" s="90" t="s">
        <v>379</v>
      </c>
      <c r="AN1435" s="90">
        <v>-1</v>
      </c>
      <c r="AQ1435" s="90">
        <v>357</v>
      </c>
      <c r="AR1435" s="90" t="s">
        <v>405</v>
      </c>
      <c r="AS1435" s="90" t="s">
        <v>406</v>
      </c>
      <c r="AT1435" s="90" t="s">
        <v>244</v>
      </c>
      <c r="AU1435" s="90">
        <v>122.34610000000001</v>
      </c>
      <c r="AV1435" s="90">
        <v>141.09306144401799</v>
      </c>
      <c r="AW1435" s="90">
        <v>1022.95648010276</v>
      </c>
      <c r="AX1435" s="90">
        <v>0.76660833380000004</v>
      </c>
    </row>
    <row r="1436" spans="1:50" x14ac:dyDescent="0.25">
      <c r="A1436" s="102">
        <v>830000</v>
      </c>
      <c r="B1436" s="102">
        <v>2400000</v>
      </c>
      <c r="C1436" s="102">
        <v>2400000</v>
      </c>
      <c r="D1436" s="90" t="s">
        <v>374</v>
      </c>
      <c r="E1436" s="90" t="s">
        <v>68</v>
      </c>
      <c r="F1436" s="90" t="s">
        <v>375</v>
      </c>
      <c r="G1436" s="90" t="s">
        <v>376</v>
      </c>
      <c r="H1436" s="90">
        <v>0.59</v>
      </c>
      <c r="I1436" s="90">
        <v>0.64</v>
      </c>
      <c r="J1436" s="90" t="s">
        <v>244</v>
      </c>
      <c r="K1436" s="90">
        <v>0.24803013330081</v>
      </c>
      <c r="L1436" s="90">
        <v>3739.3597701071399</v>
      </c>
      <c r="M1436" s="90">
        <v>10.760536736673901</v>
      </c>
      <c r="N1436" s="90">
        <v>2.0735758341126398</v>
      </c>
      <c r="O1436" s="90">
        <v>2.6689373611855798</v>
      </c>
      <c r="P1436" s="90">
        <v>0.51430929054430996</v>
      </c>
      <c r="Q1436" s="90">
        <v>927.47390223938703</v>
      </c>
      <c r="R1436" s="90">
        <v>1300</v>
      </c>
      <c r="S1436" s="90" t="s">
        <v>387</v>
      </c>
      <c r="T1436" s="90">
        <v>1300</v>
      </c>
      <c r="U1436" s="90" t="s">
        <v>378</v>
      </c>
      <c r="V1436" s="90" t="s">
        <v>244</v>
      </c>
      <c r="Z1436" s="90">
        <v>0</v>
      </c>
      <c r="AA1436" s="90">
        <v>1</v>
      </c>
      <c r="AB1436" s="90">
        <v>2.6689373611855798</v>
      </c>
      <c r="AC1436" s="90">
        <v>0.51430929054430996</v>
      </c>
      <c r="AD1436" s="90">
        <v>1364.81172931014</v>
      </c>
      <c r="AF1436" s="90">
        <v>-1</v>
      </c>
      <c r="AG1436" s="90">
        <v>-1</v>
      </c>
      <c r="AH1436" s="90">
        <v>-1</v>
      </c>
      <c r="AI1436" s="90">
        <v>-1</v>
      </c>
      <c r="AJ1436" s="90">
        <v>0</v>
      </c>
      <c r="AM1436" s="90" t="s">
        <v>379</v>
      </c>
      <c r="AN1436" s="90">
        <v>-1</v>
      </c>
      <c r="AQ1436" s="90">
        <v>357</v>
      </c>
      <c r="AR1436" s="90" t="s">
        <v>405</v>
      </c>
      <c r="AS1436" s="90" t="s">
        <v>406</v>
      </c>
      <c r="AT1436" s="90" t="s">
        <v>244</v>
      </c>
      <c r="AU1436" s="90">
        <v>122.34610000000001</v>
      </c>
      <c r="AV1436" s="90">
        <v>140.49763477927999</v>
      </c>
      <c r="AW1436" s="90">
        <v>1003.74233789714</v>
      </c>
      <c r="AX1436" s="90">
        <v>1.1069032678999999</v>
      </c>
    </row>
    <row r="1437" spans="1:50" x14ac:dyDescent="0.25">
      <c r="A1437" s="102">
        <v>830000</v>
      </c>
      <c r="B1437" s="102">
        <v>2400000</v>
      </c>
      <c r="C1437" s="102">
        <v>2400000</v>
      </c>
      <c r="D1437" s="90" t="s">
        <v>374</v>
      </c>
      <c r="E1437" s="90" t="s">
        <v>68</v>
      </c>
      <c r="F1437" s="90" t="s">
        <v>375</v>
      </c>
      <c r="G1437" s="90" t="s">
        <v>376</v>
      </c>
      <c r="H1437" s="90">
        <v>0.59</v>
      </c>
      <c r="I1437" s="90">
        <v>0.64</v>
      </c>
      <c r="J1437" s="90" t="s">
        <v>409</v>
      </c>
      <c r="K1437" s="90">
        <v>0.30922548115770998</v>
      </c>
      <c r="L1437" s="90">
        <v>3700.7516301760102</v>
      </c>
      <c r="M1437" s="90">
        <v>10.6447919259736</v>
      </c>
      <c r="N1437" s="90">
        <v>2.0484843099927099</v>
      </c>
      <c r="O1437" s="90">
        <v>3.29164090513299</v>
      </c>
      <c r="P1437" s="90">
        <v>0.63344354640153</v>
      </c>
      <c r="Q1437" s="90">
        <v>1144.36670348639</v>
      </c>
      <c r="R1437" s="90">
        <v>1300</v>
      </c>
      <c r="S1437" s="90" t="s">
        <v>387</v>
      </c>
      <c r="T1437" s="90">
        <v>1300</v>
      </c>
      <c r="U1437" s="90" t="s">
        <v>409</v>
      </c>
      <c r="V1437" s="90" t="s">
        <v>409</v>
      </c>
      <c r="Z1437" s="90">
        <v>0</v>
      </c>
      <c r="AA1437" s="90">
        <v>1</v>
      </c>
      <c r="AB1437" s="90">
        <v>3.29164090513299</v>
      </c>
      <c r="AC1437" s="90">
        <v>0.63344354640153</v>
      </c>
      <c r="AD1437" s="90">
        <v>1144.36670348639</v>
      </c>
      <c r="AF1437" s="90">
        <v>-1</v>
      </c>
      <c r="AG1437" s="90">
        <v>-1</v>
      </c>
      <c r="AH1437" s="90">
        <v>-1</v>
      </c>
      <c r="AI1437" s="90">
        <v>-1</v>
      </c>
      <c r="AJ1437" s="90">
        <v>0</v>
      </c>
      <c r="AM1437" s="90" t="s">
        <v>379</v>
      </c>
      <c r="AN1437" s="90">
        <v>-1</v>
      </c>
      <c r="AQ1437" s="90">
        <v>357</v>
      </c>
      <c r="AR1437" s="90" t="s">
        <v>405</v>
      </c>
      <c r="AS1437" s="90" t="s">
        <v>406</v>
      </c>
      <c r="AT1437" s="90" t="s">
        <v>244</v>
      </c>
      <c r="AU1437" s="90">
        <v>122.34610000000001</v>
      </c>
      <c r="AV1437" s="90">
        <v>173.377604236579</v>
      </c>
      <c r="AW1437" s="90">
        <v>1251.3911243928401</v>
      </c>
      <c r="AX1437" s="90">
        <v>0.92811573680000004</v>
      </c>
    </row>
    <row r="1438" spans="1:50" x14ac:dyDescent="0.25">
      <c r="A1438" s="102">
        <v>830000</v>
      </c>
      <c r="B1438" s="102">
        <v>2400000</v>
      </c>
      <c r="C1438" s="102">
        <v>2400000</v>
      </c>
      <c r="D1438" s="90" t="s">
        <v>374</v>
      </c>
      <c r="E1438" s="90" t="s">
        <v>68</v>
      </c>
      <c r="F1438" s="90" t="s">
        <v>375</v>
      </c>
      <c r="G1438" s="90" t="s">
        <v>376</v>
      </c>
      <c r="H1438" s="90">
        <v>0.59</v>
      </c>
      <c r="I1438" s="90">
        <v>0.64</v>
      </c>
      <c r="J1438" s="90" t="s">
        <v>409</v>
      </c>
      <c r="K1438" s="90">
        <v>3.6292376647699999E-3</v>
      </c>
      <c r="L1438" s="90">
        <v>3700.7516301760102</v>
      </c>
      <c r="M1438" s="90">
        <v>10.6447919259736</v>
      </c>
      <c r="N1438" s="90">
        <v>2.0484843099927099</v>
      </c>
      <c r="O1438" s="90">
        <v>3.8632479791409997E-2</v>
      </c>
      <c r="P1438" s="90">
        <v>7.4344364135200004E-3</v>
      </c>
      <c r="Q1438" s="90">
        <v>13.4309072042048</v>
      </c>
      <c r="R1438" s="90">
        <v>1210</v>
      </c>
      <c r="S1438" s="90" t="s">
        <v>385</v>
      </c>
      <c r="T1438" s="90">
        <v>1210</v>
      </c>
      <c r="U1438" s="90" t="s">
        <v>409</v>
      </c>
      <c r="V1438" s="90" t="s">
        <v>409</v>
      </c>
      <c r="Z1438" s="90">
        <v>0</v>
      </c>
      <c r="AA1438" s="90">
        <v>1</v>
      </c>
      <c r="AB1438" s="90">
        <v>3.8632479791409997E-2</v>
      </c>
      <c r="AC1438" s="90">
        <v>7.4344364135200004E-3</v>
      </c>
      <c r="AD1438" s="90">
        <v>13.4309072042058</v>
      </c>
      <c r="AF1438" s="90">
        <v>-1</v>
      </c>
      <c r="AG1438" s="90">
        <v>-1</v>
      </c>
      <c r="AH1438" s="90">
        <v>-1</v>
      </c>
      <c r="AI1438" s="90">
        <v>-1</v>
      </c>
      <c r="AJ1438" s="90">
        <v>0</v>
      </c>
      <c r="AM1438" s="90" t="s">
        <v>379</v>
      </c>
      <c r="AN1438" s="90">
        <v>-1</v>
      </c>
      <c r="AQ1438" s="90">
        <v>357</v>
      </c>
      <c r="AR1438" s="90" t="s">
        <v>405</v>
      </c>
      <c r="AS1438" s="90" t="s">
        <v>406</v>
      </c>
      <c r="AT1438" s="90" t="s">
        <v>244</v>
      </c>
      <c r="AU1438" s="90">
        <v>122.34610000000001</v>
      </c>
      <c r="AV1438" s="90">
        <v>56.160200879831599</v>
      </c>
      <c r="AW1438" s="90">
        <v>14.6870037521036</v>
      </c>
      <c r="AX1438" s="90">
        <v>1.08928688E-2</v>
      </c>
    </row>
    <row r="1439" spans="1:50" x14ac:dyDescent="0.25">
      <c r="A1439" s="102">
        <v>830000</v>
      </c>
      <c r="B1439" s="102">
        <v>2400000</v>
      </c>
      <c r="C1439" s="102">
        <v>2400000</v>
      </c>
      <c r="D1439" s="90" t="s">
        <v>374</v>
      </c>
      <c r="E1439" s="90" t="s">
        <v>68</v>
      </c>
      <c r="F1439" s="90" t="s">
        <v>375</v>
      </c>
      <c r="G1439" s="90" t="s">
        <v>376</v>
      </c>
      <c r="H1439" s="90">
        <v>0.59</v>
      </c>
      <c r="I1439" s="90">
        <v>0.64</v>
      </c>
      <c r="J1439" s="90" t="s">
        <v>409</v>
      </c>
      <c r="K1439" s="90">
        <v>0.10708498554093</v>
      </c>
      <c r="L1439" s="90">
        <v>3700.7516301760102</v>
      </c>
      <c r="M1439" s="90">
        <v>10.6447919259736</v>
      </c>
      <c r="N1439" s="90">
        <v>2.0484843099927099</v>
      </c>
      <c r="O1439" s="90">
        <v>1.13989738947915</v>
      </c>
      <c r="P1439" s="90">
        <v>0.21936191271639999</v>
      </c>
      <c r="Q1439" s="90">
        <v>396.29493480799403</v>
      </c>
      <c r="R1439" s="90">
        <v>1330</v>
      </c>
      <c r="S1439" s="90" t="s">
        <v>397</v>
      </c>
      <c r="T1439" s="90">
        <v>1330</v>
      </c>
      <c r="U1439" s="90" t="s">
        <v>409</v>
      </c>
      <c r="V1439" s="90" t="s">
        <v>409</v>
      </c>
      <c r="Z1439" s="90">
        <v>0</v>
      </c>
      <c r="AA1439" s="90">
        <v>1</v>
      </c>
      <c r="AB1439" s="90">
        <v>1.13989738947915</v>
      </c>
      <c r="AC1439" s="90">
        <v>0.21936191271639999</v>
      </c>
      <c r="AD1439" s="90">
        <v>396.29493480799403</v>
      </c>
      <c r="AF1439" s="90">
        <v>-1</v>
      </c>
      <c r="AG1439" s="90">
        <v>-1</v>
      </c>
      <c r="AH1439" s="90">
        <v>-1</v>
      </c>
      <c r="AI1439" s="90">
        <v>-1</v>
      </c>
      <c r="AJ1439" s="90">
        <v>0</v>
      </c>
      <c r="AM1439" s="90" t="s">
        <v>379</v>
      </c>
      <c r="AN1439" s="90">
        <v>-1</v>
      </c>
      <c r="AQ1439" s="90">
        <v>357</v>
      </c>
      <c r="AR1439" s="90" t="s">
        <v>405</v>
      </c>
      <c r="AS1439" s="90" t="s">
        <v>406</v>
      </c>
      <c r="AT1439" s="90" t="s">
        <v>244</v>
      </c>
      <c r="AU1439" s="90">
        <v>122.34610000000001</v>
      </c>
      <c r="AV1439" s="90">
        <v>86.231148842805098</v>
      </c>
      <c r="AW1439" s="90">
        <v>433.35756147894898</v>
      </c>
      <c r="AX1439" s="90">
        <v>0.32140708420000003</v>
      </c>
    </row>
    <row r="1440" spans="1:50" x14ac:dyDescent="0.25">
      <c r="A1440" s="102">
        <v>830000</v>
      </c>
      <c r="B1440" s="102">
        <v>2400000</v>
      </c>
      <c r="C1440" s="102">
        <v>2400000</v>
      </c>
      <c r="D1440" s="90" t="s">
        <v>374</v>
      </c>
      <c r="E1440" s="90" t="s">
        <v>68</v>
      </c>
      <c r="F1440" s="90" t="s">
        <v>375</v>
      </c>
      <c r="G1440" s="90" t="s">
        <v>376</v>
      </c>
      <c r="H1440" s="90">
        <v>0.59</v>
      </c>
      <c r="I1440" s="90">
        <v>0.64</v>
      </c>
      <c r="J1440" s="90" t="s">
        <v>409</v>
      </c>
      <c r="K1440" s="90">
        <v>1.1072156584999999E-4</v>
      </c>
      <c r="L1440" s="90">
        <v>3700.7516301760102</v>
      </c>
      <c r="M1440" s="90">
        <v>10.6447919259736</v>
      </c>
      <c r="N1440" s="90">
        <v>2.0484843099927099</v>
      </c>
      <c r="O1440" s="90">
        <v>1.1786080302099999E-3</v>
      </c>
      <c r="P1440" s="90">
        <v>2.2681139042000001E-4</v>
      </c>
      <c r="Q1440" s="90">
        <v>0.40975301532243003</v>
      </c>
      <c r="R1440" s="90">
        <v>1210</v>
      </c>
      <c r="S1440" s="90" t="s">
        <v>385</v>
      </c>
      <c r="T1440" s="90">
        <v>1210</v>
      </c>
      <c r="U1440" s="90" t="s">
        <v>409</v>
      </c>
      <c r="V1440" s="90" t="s">
        <v>409</v>
      </c>
      <c r="Z1440" s="90">
        <v>0</v>
      </c>
      <c r="AA1440" s="90">
        <v>1</v>
      </c>
      <c r="AB1440" s="90">
        <v>1.1786080302099999E-3</v>
      </c>
      <c r="AC1440" s="90">
        <v>2.2681139042000001E-4</v>
      </c>
      <c r="AD1440" s="90">
        <v>0.40975301532153002</v>
      </c>
      <c r="AF1440" s="90">
        <v>-1</v>
      </c>
      <c r="AG1440" s="90">
        <v>-1</v>
      </c>
      <c r="AH1440" s="90">
        <v>-1</v>
      </c>
      <c r="AI1440" s="90">
        <v>-1</v>
      </c>
      <c r="AJ1440" s="90">
        <v>0</v>
      </c>
      <c r="AM1440" s="90" t="s">
        <v>379</v>
      </c>
      <c r="AN1440" s="90">
        <v>-1</v>
      </c>
      <c r="AQ1440" s="90">
        <v>357</v>
      </c>
      <c r="AR1440" s="90" t="s">
        <v>405</v>
      </c>
      <c r="AS1440" s="90" t="s">
        <v>406</v>
      </c>
      <c r="AT1440" s="90" t="s">
        <v>244</v>
      </c>
      <c r="AU1440" s="90">
        <v>122.34610000000001</v>
      </c>
      <c r="AV1440" s="90">
        <v>11.6043160515579</v>
      </c>
      <c r="AW1440" s="90">
        <v>0.44807427986537002</v>
      </c>
      <c r="AX1440" s="90">
        <v>3.3232200000000002E-4</v>
      </c>
    </row>
    <row r="1441" spans="1:50" x14ac:dyDescent="0.25">
      <c r="A1441" s="102">
        <v>830000</v>
      </c>
      <c r="B1441" s="102">
        <v>2400000</v>
      </c>
      <c r="C1441" s="102">
        <v>2400000</v>
      </c>
      <c r="D1441" s="90" t="s">
        <v>374</v>
      </c>
      <c r="E1441" s="90" t="s">
        <v>68</v>
      </c>
      <c r="F1441" s="90" t="s">
        <v>375</v>
      </c>
      <c r="G1441" s="90" t="s">
        <v>376</v>
      </c>
      <c r="H1441" s="90">
        <v>0.59</v>
      </c>
      <c r="I1441" s="90">
        <v>0.64</v>
      </c>
      <c r="J1441" s="90" t="s">
        <v>244</v>
      </c>
      <c r="K1441" s="90">
        <v>6.4348973595699993E-2</v>
      </c>
      <c r="L1441" s="90">
        <v>3705.8636862631402</v>
      </c>
      <c r="M1441" s="90">
        <v>11.437502910979999</v>
      </c>
      <c r="N1441" s="90">
        <v>2.1781783834805899</v>
      </c>
      <c r="O1441" s="90">
        <v>0.73599157281950001</v>
      </c>
      <c r="P1441" s="90">
        <v>0.14016354328533001</v>
      </c>
      <c r="Q1441" s="90">
        <v>238.46852449664399</v>
      </c>
      <c r="R1441" s="90">
        <v>1200</v>
      </c>
      <c r="S1441" s="90" t="s">
        <v>384</v>
      </c>
      <c r="T1441" s="90">
        <v>1200</v>
      </c>
      <c r="U1441" s="90" t="s">
        <v>378</v>
      </c>
      <c r="V1441" s="90" t="s">
        <v>244</v>
      </c>
      <c r="Z1441" s="90">
        <v>0</v>
      </c>
      <c r="AA1441" s="90">
        <v>1</v>
      </c>
      <c r="AB1441" s="90">
        <v>0.73599157281950001</v>
      </c>
      <c r="AC1441" s="90">
        <v>0.14016354328533001</v>
      </c>
      <c r="AD1441" s="90">
        <v>238.46852449664399</v>
      </c>
      <c r="AF1441" s="90">
        <v>-1</v>
      </c>
      <c r="AG1441" s="90">
        <v>-1</v>
      </c>
      <c r="AH1441" s="90">
        <v>-1</v>
      </c>
      <c r="AI1441" s="90">
        <v>-1</v>
      </c>
      <c r="AJ1441" s="90">
        <v>0</v>
      </c>
      <c r="AM1441" s="90" t="s">
        <v>379</v>
      </c>
      <c r="AN1441" s="90">
        <v>-1</v>
      </c>
      <c r="AQ1441" s="90">
        <v>357</v>
      </c>
      <c r="AR1441" s="90" t="s">
        <v>405</v>
      </c>
      <c r="AS1441" s="90" t="s">
        <v>406</v>
      </c>
      <c r="AT1441" s="90" t="s">
        <v>244</v>
      </c>
      <c r="AU1441" s="90">
        <v>122.34610000000001</v>
      </c>
      <c r="AV1441" s="90">
        <v>101.36470111805301</v>
      </c>
      <c r="AW1441" s="90">
        <v>260.41105707064202</v>
      </c>
      <c r="AX1441" s="90">
        <v>0.19340512939999999</v>
      </c>
    </row>
    <row r="1442" spans="1:50" x14ac:dyDescent="0.25">
      <c r="A1442" s="102">
        <v>830000</v>
      </c>
      <c r="B1442" s="102">
        <v>2400000</v>
      </c>
      <c r="C1442" s="102">
        <v>2400000</v>
      </c>
      <c r="D1442" s="90" t="s">
        <v>374</v>
      </c>
      <c r="E1442" s="90" t="s">
        <v>68</v>
      </c>
      <c r="F1442" s="90" t="s">
        <v>375</v>
      </c>
      <c r="G1442" s="90" t="s">
        <v>376</v>
      </c>
      <c r="H1442" s="90">
        <v>0.59</v>
      </c>
      <c r="I1442" s="90">
        <v>0.64</v>
      </c>
      <c r="J1442" s="90" t="s">
        <v>244</v>
      </c>
      <c r="K1442" s="90">
        <v>0.21907731256894</v>
      </c>
      <c r="L1442" s="90">
        <v>3705.8636862631402</v>
      </c>
      <c r="M1442" s="90">
        <v>11.437502910979999</v>
      </c>
      <c r="N1442" s="90">
        <v>2.1781783834805899</v>
      </c>
      <c r="O1442" s="90">
        <v>2.5056974002369898</v>
      </c>
      <c r="P1442" s="90">
        <v>0.47718946654868999</v>
      </c>
      <c r="Q1442" s="90">
        <v>811.87065713337404</v>
      </c>
      <c r="R1442" s="90">
        <v>1300</v>
      </c>
      <c r="S1442" s="90" t="s">
        <v>387</v>
      </c>
      <c r="T1442" s="90">
        <v>1300</v>
      </c>
      <c r="U1442" s="90" t="s">
        <v>378</v>
      </c>
      <c r="V1442" s="90" t="s">
        <v>244</v>
      </c>
      <c r="Z1442" s="90">
        <v>0</v>
      </c>
      <c r="AA1442" s="90">
        <v>1</v>
      </c>
      <c r="AB1442" s="90">
        <v>2.5056974002369898</v>
      </c>
      <c r="AC1442" s="90">
        <v>0.47718946654868999</v>
      </c>
      <c r="AD1442" s="90">
        <v>811.87065713337404</v>
      </c>
      <c r="AF1442" s="90">
        <v>-1</v>
      </c>
      <c r="AG1442" s="90">
        <v>-1</v>
      </c>
      <c r="AH1442" s="90">
        <v>-1</v>
      </c>
      <c r="AI1442" s="90">
        <v>-1</v>
      </c>
      <c r="AJ1442" s="90">
        <v>0</v>
      </c>
      <c r="AM1442" s="90" t="s">
        <v>379</v>
      </c>
      <c r="AN1442" s="90">
        <v>-1</v>
      </c>
      <c r="AQ1442" s="90">
        <v>357</v>
      </c>
      <c r="AR1442" s="90" t="s">
        <v>405</v>
      </c>
      <c r="AS1442" s="90" t="s">
        <v>406</v>
      </c>
      <c r="AT1442" s="90" t="s">
        <v>244</v>
      </c>
      <c r="AU1442" s="90">
        <v>122.34610000000001</v>
      </c>
      <c r="AV1442" s="90">
        <v>135.96602894209201</v>
      </c>
      <c r="AW1442" s="90">
        <v>886.57442937176495</v>
      </c>
      <c r="AX1442" s="90">
        <v>0.65845146560000001</v>
      </c>
    </row>
    <row r="1443" spans="1:50" x14ac:dyDescent="0.25">
      <c r="A1443" s="102">
        <v>830000</v>
      </c>
      <c r="B1443" s="102">
        <v>2400000</v>
      </c>
      <c r="C1443" s="102">
        <v>2400000</v>
      </c>
      <c r="D1443" s="90" t="s">
        <v>374</v>
      </c>
      <c r="E1443" s="90" t="s">
        <v>68</v>
      </c>
      <c r="F1443" s="90" t="s">
        <v>375</v>
      </c>
      <c r="G1443" s="90" t="s">
        <v>376</v>
      </c>
      <c r="H1443" s="90">
        <v>0.59</v>
      </c>
      <c r="I1443" s="90">
        <v>0.64</v>
      </c>
      <c r="J1443" s="90" t="s">
        <v>244</v>
      </c>
      <c r="K1443" s="90">
        <v>1.296760929024E-2</v>
      </c>
      <c r="L1443" s="90">
        <v>3705.8636862631402</v>
      </c>
      <c r="M1443" s="90">
        <v>11.437502910979999</v>
      </c>
      <c r="N1443" s="90">
        <v>2.1781783834805899</v>
      </c>
      <c r="O1443" s="90">
        <v>0.14831706900562</v>
      </c>
      <c r="P1443" s="90">
        <v>2.824576624143E-2</v>
      </c>
      <c r="Q1443" s="90">
        <v>48.056192366367497</v>
      </c>
      <c r="R1443" s="90">
        <v>1400</v>
      </c>
      <c r="S1443" s="90" t="s">
        <v>324</v>
      </c>
      <c r="T1443" s="90">
        <v>1400</v>
      </c>
      <c r="U1443" s="90" t="s">
        <v>378</v>
      </c>
      <c r="V1443" s="90" t="s">
        <v>244</v>
      </c>
      <c r="Z1443" s="90">
        <v>0</v>
      </c>
      <c r="AA1443" s="90">
        <v>1</v>
      </c>
      <c r="AB1443" s="90">
        <v>0.14831706900562</v>
      </c>
      <c r="AC1443" s="90">
        <v>2.824576624143E-2</v>
      </c>
      <c r="AD1443" s="90">
        <v>48.056192366366801</v>
      </c>
      <c r="AF1443" s="90">
        <v>-1</v>
      </c>
      <c r="AG1443" s="90">
        <v>-1</v>
      </c>
      <c r="AH1443" s="90">
        <v>-1</v>
      </c>
      <c r="AI1443" s="90">
        <v>-1</v>
      </c>
      <c r="AJ1443" s="90">
        <v>0</v>
      </c>
      <c r="AM1443" s="90" t="s">
        <v>379</v>
      </c>
      <c r="AN1443" s="90">
        <v>-1</v>
      </c>
      <c r="AQ1443" s="90">
        <v>357</v>
      </c>
      <c r="AR1443" s="90" t="s">
        <v>405</v>
      </c>
      <c r="AS1443" s="90" t="s">
        <v>406</v>
      </c>
      <c r="AT1443" s="90" t="s">
        <v>244</v>
      </c>
      <c r="AU1443" s="90">
        <v>122.34610000000001</v>
      </c>
      <c r="AV1443" s="90">
        <v>28.998045828964599</v>
      </c>
      <c r="AW1443" s="90">
        <v>52.478052939401202</v>
      </c>
      <c r="AX1443" s="90">
        <v>3.8975014099999997E-2</v>
      </c>
    </row>
    <row r="1444" spans="1:50" x14ac:dyDescent="0.25">
      <c r="A1444" s="102">
        <v>830000</v>
      </c>
      <c r="B1444" s="102">
        <v>2400000</v>
      </c>
      <c r="C1444" s="102">
        <v>2400000</v>
      </c>
      <c r="D1444" s="90" t="s">
        <v>374</v>
      </c>
      <c r="E1444" s="90" t="s">
        <v>68</v>
      </c>
      <c r="F1444" s="90" t="s">
        <v>375</v>
      </c>
      <c r="G1444" s="90" t="s">
        <v>376</v>
      </c>
      <c r="H1444" s="90">
        <v>0.59</v>
      </c>
      <c r="I1444" s="90">
        <v>0.64</v>
      </c>
      <c r="J1444" s="90" t="s">
        <v>244</v>
      </c>
      <c r="K1444" s="90">
        <v>1.4404111137259999E-2</v>
      </c>
      <c r="L1444" s="90">
        <v>3705.8636862631402</v>
      </c>
      <c r="M1444" s="90">
        <v>11.437502910979999</v>
      </c>
      <c r="N1444" s="90">
        <v>2.1781783834805899</v>
      </c>
      <c r="O1444" s="90">
        <v>0.16474706306249001</v>
      </c>
      <c r="P1444" s="90">
        <v>3.1374723512430001E-2</v>
      </c>
      <c r="Q1444" s="90">
        <v>53.379672396470298</v>
      </c>
      <c r="R1444" s="90">
        <v>1330</v>
      </c>
      <c r="S1444" s="90" t="s">
        <v>397</v>
      </c>
      <c r="T1444" s="90">
        <v>1330</v>
      </c>
      <c r="U1444" s="90" t="s">
        <v>378</v>
      </c>
      <c r="V1444" s="90" t="s">
        <v>244</v>
      </c>
      <c r="Z1444" s="90">
        <v>0</v>
      </c>
      <c r="AA1444" s="90">
        <v>1</v>
      </c>
      <c r="AB1444" s="90">
        <v>0.16474706306249001</v>
      </c>
      <c r="AC1444" s="90">
        <v>3.1374723512430001E-2</v>
      </c>
      <c r="AD1444" s="90">
        <v>53.379672396470703</v>
      </c>
      <c r="AF1444" s="90">
        <v>-1</v>
      </c>
      <c r="AG1444" s="90">
        <v>-1</v>
      </c>
      <c r="AH1444" s="90">
        <v>-1</v>
      </c>
      <c r="AI1444" s="90">
        <v>-1</v>
      </c>
      <c r="AJ1444" s="90">
        <v>0</v>
      </c>
      <c r="AM1444" s="90" t="s">
        <v>379</v>
      </c>
      <c r="AN1444" s="90">
        <v>-1</v>
      </c>
      <c r="AQ1444" s="90">
        <v>357</v>
      </c>
      <c r="AR1444" s="90" t="s">
        <v>405</v>
      </c>
      <c r="AS1444" s="90" t="s">
        <v>406</v>
      </c>
      <c r="AT1444" s="90" t="s">
        <v>244</v>
      </c>
      <c r="AU1444" s="90">
        <v>122.34610000000001</v>
      </c>
      <c r="AV1444" s="90">
        <v>44.602467520677898</v>
      </c>
      <c r="AW1444" s="90">
        <v>58.291369664784398</v>
      </c>
      <c r="AX1444" s="90">
        <v>4.3292516099999998E-2</v>
      </c>
    </row>
    <row r="1445" spans="1:50" x14ac:dyDescent="0.25">
      <c r="A1445" s="102">
        <v>830000</v>
      </c>
      <c r="B1445" s="102">
        <v>2400000</v>
      </c>
      <c r="C1445" s="102">
        <v>2400000</v>
      </c>
      <c r="D1445" s="90" t="s">
        <v>374</v>
      </c>
      <c r="E1445" s="90" t="s">
        <v>68</v>
      </c>
      <c r="F1445" s="90" t="s">
        <v>375</v>
      </c>
      <c r="G1445" s="90" t="s">
        <v>376</v>
      </c>
      <c r="H1445" s="90">
        <v>0.59</v>
      </c>
      <c r="I1445" s="90">
        <v>0.64</v>
      </c>
      <c r="J1445" s="90" t="s">
        <v>244</v>
      </c>
      <c r="K1445" s="90">
        <v>1.238900817863E-2</v>
      </c>
      <c r="L1445" s="90">
        <v>3705.8636862631402</v>
      </c>
      <c r="M1445" s="90">
        <v>11.437502910979999</v>
      </c>
      <c r="N1445" s="90">
        <v>2.1781783834805899</v>
      </c>
      <c r="O1445" s="90">
        <v>0.14169931710724001</v>
      </c>
      <c r="P1445" s="90">
        <v>2.6985469807450001E-2</v>
      </c>
      <c r="Q1445" s="90">
        <v>45.911975518005697</v>
      </c>
      <c r="R1445" s="90">
        <v>1330</v>
      </c>
      <c r="S1445" s="90" t="s">
        <v>397</v>
      </c>
      <c r="T1445" s="90">
        <v>1330</v>
      </c>
      <c r="U1445" s="90" t="s">
        <v>378</v>
      </c>
      <c r="V1445" s="90" t="s">
        <v>244</v>
      </c>
      <c r="Z1445" s="90">
        <v>0</v>
      </c>
      <c r="AA1445" s="90">
        <v>1</v>
      </c>
      <c r="AB1445" s="90">
        <v>0.14169931710724001</v>
      </c>
      <c r="AC1445" s="90">
        <v>2.6985469807450001E-2</v>
      </c>
      <c r="AD1445" s="90">
        <v>45.911975518007203</v>
      </c>
      <c r="AF1445" s="90">
        <v>-1</v>
      </c>
      <c r="AG1445" s="90">
        <v>-1</v>
      </c>
      <c r="AH1445" s="90">
        <v>-1</v>
      </c>
      <c r="AI1445" s="90">
        <v>-1</v>
      </c>
      <c r="AJ1445" s="90">
        <v>0</v>
      </c>
      <c r="AM1445" s="90" t="s">
        <v>379</v>
      </c>
      <c r="AN1445" s="90">
        <v>-1</v>
      </c>
      <c r="AQ1445" s="90">
        <v>357</v>
      </c>
      <c r="AR1445" s="90" t="s">
        <v>405</v>
      </c>
      <c r="AS1445" s="90" t="s">
        <v>406</v>
      </c>
      <c r="AT1445" s="90" t="s">
        <v>244</v>
      </c>
      <c r="AU1445" s="90">
        <v>122.34610000000001</v>
      </c>
      <c r="AV1445" s="90">
        <v>31.888339172329399</v>
      </c>
      <c r="AW1445" s="90">
        <v>50.136537314860398</v>
      </c>
      <c r="AX1445" s="90">
        <v>3.7235989900000002E-2</v>
      </c>
    </row>
    <row r="1446" spans="1:50" x14ac:dyDescent="0.25">
      <c r="A1446" s="102">
        <v>830000</v>
      </c>
      <c r="B1446" s="102">
        <v>2400000</v>
      </c>
      <c r="C1446" s="102">
        <v>2400000</v>
      </c>
      <c r="D1446" s="90" t="s">
        <v>374</v>
      </c>
      <c r="E1446" s="90" t="s">
        <v>68</v>
      </c>
      <c r="F1446" s="90" t="s">
        <v>375</v>
      </c>
      <c r="G1446" s="90" t="s">
        <v>376</v>
      </c>
      <c r="H1446" s="90">
        <v>0.59</v>
      </c>
      <c r="I1446" s="90">
        <v>0.64</v>
      </c>
      <c r="J1446" s="90" t="s">
        <v>244</v>
      </c>
      <c r="K1446" s="90">
        <v>6.3889880512700004E-3</v>
      </c>
      <c r="L1446" s="90">
        <v>3705.8636862631402</v>
      </c>
      <c r="M1446" s="90">
        <v>11.437502910979999</v>
      </c>
      <c r="N1446" s="90">
        <v>2.1781783834805899</v>
      </c>
      <c r="O1446" s="90">
        <v>7.3074069434619998E-2</v>
      </c>
      <c r="P1446" s="90">
        <v>1.391635566559E-2</v>
      </c>
      <c r="Q1446" s="90">
        <v>23.6767188111743</v>
      </c>
      <c r="R1446" s="90">
        <v>1330</v>
      </c>
      <c r="S1446" s="90" t="s">
        <v>397</v>
      </c>
      <c r="T1446" s="90">
        <v>1330</v>
      </c>
      <c r="U1446" s="90" t="s">
        <v>378</v>
      </c>
      <c r="V1446" s="90" t="s">
        <v>244</v>
      </c>
      <c r="Z1446" s="90">
        <v>0</v>
      </c>
      <c r="AA1446" s="90">
        <v>1</v>
      </c>
      <c r="AB1446" s="90">
        <v>7.3074069434619998E-2</v>
      </c>
      <c r="AC1446" s="90">
        <v>1.391635566559E-2</v>
      </c>
      <c r="AD1446" s="90">
        <v>23.6767188111737</v>
      </c>
      <c r="AF1446" s="90">
        <v>-1</v>
      </c>
      <c r="AG1446" s="90">
        <v>-1</v>
      </c>
      <c r="AH1446" s="90">
        <v>-1</v>
      </c>
      <c r="AI1446" s="90">
        <v>-1</v>
      </c>
      <c r="AJ1446" s="90">
        <v>0</v>
      </c>
      <c r="AM1446" s="90" t="s">
        <v>379</v>
      </c>
      <c r="AN1446" s="90">
        <v>-1</v>
      </c>
      <c r="AQ1446" s="90">
        <v>357</v>
      </c>
      <c r="AR1446" s="90" t="s">
        <v>405</v>
      </c>
      <c r="AS1446" s="90" t="s">
        <v>406</v>
      </c>
      <c r="AT1446" s="90" t="s">
        <v>244</v>
      </c>
      <c r="AU1446" s="90">
        <v>122.34610000000001</v>
      </c>
      <c r="AV1446" s="90">
        <v>20.3578863680886</v>
      </c>
      <c r="AW1446" s="90">
        <v>25.855317327922201</v>
      </c>
      <c r="AX1446" s="90">
        <v>1.9202529400000001E-2</v>
      </c>
    </row>
    <row r="1447" spans="1:50" x14ac:dyDescent="0.25">
      <c r="A1447" s="102">
        <v>830000</v>
      </c>
      <c r="B1447" s="102">
        <v>2400000</v>
      </c>
      <c r="C1447" s="102">
        <v>2400000</v>
      </c>
      <c r="D1447" s="90" t="s">
        <v>374</v>
      </c>
      <c r="E1447" s="90" t="s">
        <v>68</v>
      </c>
      <c r="F1447" s="90" t="s">
        <v>375</v>
      </c>
      <c r="G1447" s="90" t="s">
        <v>376</v>
      </c>
      <c r="H1447" s="90">
        <v>0.59</v>
      </c>
      <c r="I1447" s="90">
        <v>0.64</v>
      </c>
      <c r="J1447" s="90" t="s">
        <v>244</v>
      </c>
      <c r="K1447" s="90">
        <v>0.11076005149774</v>
      </c>
      <c r="L1447" s="90">
        <v>3753.8553054603399</v>
      </c>
      <c r="M1447" s="90">
        <v>11.5377905628033</v>
      </c>
      <c r="N1447" s="90">
        <v>1.5232391878345699</v>
      </c>
      <c r="O1447" s="90">
        <v>1.27792627690629</v>
      </c>
      <c r="P1447" s="90">
        <v>0.16871405088794</v>
      </c>
      <c r="Q1447" s="90">
        <v>415.77720694787098</v>
      </c>
      <c r="R1447" s="90">
        <v>1400</v>
      </c>
      <c r="S1447" s="90" t="s">
        <v>324</v>
      </c>
      <c r="T1447" s="90">
        <v>1400</v>
      </c>
      <c r="U1447" s="90" t="s">
        <v>378</v>
      </c>
      <c r="V1447" s="90" t="s">
        <v>244</v>
      </c>
      <c r="Z1447" s="90">
        <v>0</v>
      </c>
      <c r="AA1447" s="90">
        <v>1</v>
      </c>
      <c r="AB1447" s="90">
        <v>1.27792627690629</v>
      </c>
      <c r="AC1447" s="90">
        <v>0.16871405088794</v>
      </c>
      <c r="AD1447" s="90">
        <v>1002.30641344688</v>
      </c>
      <c r="AF1447" s="90">
        <v>-1</v>
      </c>
      <c r="AG1447" s="90">
        <v>-1</v>
      </c>
      <c r="AH1447" s="90">
        <v>-1</v>
      </c>
      <c r="AI1447" s="90">
        <v>-1</v>
      </c>
      <c r="AJ1447" s="90">
        <v>0</v>
      </c>
      <c r="AM1447" s="90" t="s">
        <v>379</v>
      </c>
      <c r="AN1447" s="90">
        <v>-1</v>
      </c>
      <c r="AQ1447" s="90">
        <v>357</v>
      </c>
      <c r="AR1447" s="90" t="s">
        <v>405</v>
      </c>
      <c r="AS1447" s="90" t="s">
        <v>406</v>
      </c>
      <c r="AT1447" s="90" t="s">
        <v>244</v>
      </c>
      <c r="AU1447" s="90">
        <v>122.34610000000001</v>
      </c>
      <c r="AV1447" s="90">
        <v>122.43884603097899</v>
      </c>
      <c r="AW1447" s="90">
        <v>448.230025749003</v>
      </c>
      <c r="AX1447" s="90">
        <v>0.81290057859999998</v>
      </c>
    </row>
    <row r="1448" spans="1:50" x14ac:dyDescent="0.25">
      <c r="A1448" s="102">
        <v>830000</v>
      </c>
      <c r="B1448" s="102">
        <v>2400000</v>
      </c>
      <c r="C1448" s="102">
        <v>2400000</v>
      </c>
      <c r="D1448" s="90" t="s">
        <v>374</v>
      </c>
      <c r="E1448" s="90" t="s">
        <v>68</v>
      </c>
      <c r="F1448" s="90" t="s">
        <v>375</v>
      </c>
      <c r="G1448" s="90" t="s">
        <v>376</v>
      </c>
      <c r="H1448" s="90">
        <v>0.59</v>
      </c>
      <c r="I1448" s="90">
        <v>0.64</v>
      </c>
      <c r="J1448" s="90" t="s">
        <v>244</v>
      </c>
      <c r="K1448" s="90">
        <v>7.80803814768E-3</v>
      </c>
      <c r="L1448" s="90">
        <v>3753.8553054603399</v>
      </c>
      <c r="M1448" s="90">
        <v>11.5377905628033</v>
      </c>
      <c r="N1448" s="90">
        <v>1.5232391878345699</v>
      </c>
      <c r="O1448" s="90">
        <v>9.0087508854409998E-2</v>
      </c>
      <c r="P1448" s="90">
        <v>1.189350968666E-2</v>
      </c>
      <c r="Q1448" s="90">
        <v>29.310245425939101</v>
      </c>
      <c r="R1448" s="90">
        <v>1410</v>
      </c>
      <c r="S1448" s="90" t="s">
        <v>325</v>
      </c>
      <c r="T1448" s="90">
        <v>1410</v>
      </c>
      <c r="U1448" s="90" t="s">
        <v>378</v>
      </c>
      <c r="V1448" s="90" t="s">
        <v>244</v>
      </c>
      <c r="Z1448" s="90">
        <v>0</v>
      </c>
      <c r="AA1448" s="90">
        <v>1</v>
      </c>
      <c r="AB1448" s="90">
        <v>9.0087508854409998E-2</v>
      </c>
      <c r="AC1448" s="90">
        <v>1.189350968666E-2</v>
      </c>
      <c r="AD1448" s="90">
        <v>29.310245425939499</v>
      </c>
      <c r="AF1448" s="90">
        <v>-1</v>
      </c>
      <c r="AG1448" s="90">
        <v>-1</v>
      </c>
      <c r="AH1448" s="90">
        <v>-1</v>
      </c>
      <c r="AI1448" s="90">
        <v>-1</v>
      </c>
      <c r="AJ1448" s="90">
        <v>0</v>
      </c>
      <c r="AM1448" s="90" t="s">
        <v>379</v>
      </c>
      <c r="AN1448" s="90">
        <v>-1</v>
      </c>
      <c r="AQ1448" s="90">
        <v>357</v>
      </c>
      <c r="AR1448" s="90" t="s">
        <v>405</v>
      </c>
      <c r="AS1448" s="90" t="s">
        <v>406</v>
      </c>
      <c r="AT1448" s="90" t="s">
        <v>244</v>
      </c>
      <c r="AU1448" s="90">
        <v>122.34610000000001</v>
      </c>
      <c r="AV1448" s="90">
        <v>49.620334216579302</v>
      </c>
      <c r="AW1448" s="90">
        <v>31.598009324319801</v>
      </c>
      <c r="AX1448" s="90">
        <v>2.3771488600000001E-2</v>
      </c>
    </row>
    <row r="1449" spans="1:50" x14ac:dyDescent="0.25">
      <c r="A1449" s="102">
        <v>830000</v>
      </c>
      <c r="B1449" s="102">
        <v>2400000</v>
      </c>
      <c r="C1449" s="102">
        <v>2400000</v>
      </c>
      <c r="D1449" s="90" t="s">
        <v>374</v>
      </c>
      <c r="E1449" s="90" t="s">
        <v>68</v>
      </c>
      <c r="F1449" s="90" t="s">
        <v>375</v>
      </c>
      <c r="G1449" s="90" t="s">
        <v>376</v>
      </c>
      <c r="H1449" s="90">
        <v>0.59</v>
      </c>
      <c r="I1449" s="90">
        <v>0.64</v>
      </c>
      <c r="J1449" s="90" t="s">
        <v>244</v>
      </c>
      <c r="K1449" s="90">
        <v>1.07254903871E-2</v>
      </c>
      <c r="L1449" s="90">
        <v>3738.0824041444898</v>
      </c>
      <c r="M1449" s="90">
        <v>11.436496172292999</v>
      </c>
      <c r="N1449" s="90">
        <v>1.5573020153852499</v>
      </c>
      <c r="O1449" s="90">
        <v>0.12266202975807999</v>
      </c>
      <c r="P1449" s="90">
        <v>1.6702827795829999E-2</v>
      </c>
      <c r="Q1449" s="90">
        <v>40.092766891854303</v>
      </c>
      <c r="R1449" s="90">
        <v>1300</v>
      </c>
      <c r="S1449" s="90" t="s">
        <v>387</v>
      </c>
      <c r="T1449" s="90">
        <v>1300</v>
      </c>
      <c r="U1449" s="90" t="s">
        <v>378</v>
      </c>
      <c r="V1449" s="90" t="s">
        <v>244</v>
      </c>
      <c r="Z1449" s="90">
        <v>0</v>
      </c>
      <c r="AA1449" s="90">
        <v>1</v>
      </c>
      <c r="AB1449" s="90">
        <v>0.12266202975807999</v>
      </c>
      <c r="AC1449" s="90">
        <v>1.6702827795829999E-2</v>
      </c>
      <c r="AD1449" s="90">
        <v>40.092766891852399</v>
      </c>
      <c r="AF1449" s="90">
        <v>-1</v>
      </c>
      <c r="AG1449" s="90">
        <v>-1</v>
      </c>
      <c r="AH1449" s="90">
        <v>-1</v>
      </c>
      <c r="AI1449" s="90">
        <v>-1</v>
      </c>
      <c r="AJ1449" s="90">
        <v>0</v>
      </c>
      <c r="AM1449" s="90" t="s">
        <v>379</v>
      </c>
      <c r="AN1449" s="90">
        <v>-1</v>
      </c>
      <c r="AQ1449" s="90">
        <v>357</v>
      </c>
      <c r="AR1449" s="90" t="s">
        <v>405</v>
      </c>
      <c r="AS1449" s="90" t="s">
        <v>406</v>
      </c>
      <c r="AT1449" s="90" t="s">
        <v>244</v>
      </c>
      <c r="AU1449" s="90">
        <v>122.34610000000001</v>
      </c>
      <c r="AV1449" s="90">
        <v>30.883346929992701</v>
      </c>
      <c r="AW1449" s="90">
        <v>43.404519656439298</v>
      </c>
      <c r="AX1449" s="90">
        <v>3.2516437099999997E-2</v>
      </c>
    </row>
    <row r="1450" spans="1:50" x14ac:dyDescent="0.25">
      <c r="A1450" s="102">
        <v>830000</v>
      </c>
      <c r="B1450" s="102">
        <v>2400000</v>
      </c>
      <c r="C1450" s="102">
        <v>2400000</v>
      </c>
      <c r="D1450" s="90" t="s">
        <v>374</v>
      </c>
      <c r="E1450" s="90" t="s">
        <v>68</v>
      </c>
      <c r="F1450" s="90" t="s">
        <v>375</v>
      </c>
      <c r="G1450" s="90" t="s">
        <v>376</v>
      </c>
      <c r="H1450" s="90">
        <v>0.59</v>
      </c>
      <c r="I1450" s="90">
        <v>0.64</v>
      </c>
      <c r="J1450" s="90" t="s">
        <v>244</v>
      </c>
      <c r="K1450" s="90">
        <v>0.12251733321788</v>
      </c>
      <c r="L1450" s="90">
        <v>3738.0824041444898</v>
      </c>
      <c r="M1450" s="90">
        <v>11.436496172292999</v>
      </c>
      <c r="N1450" s="90">
        <v>1.5573020153852499</v>
      </c>
      <c r="O1450" s="90">
        <v>1.40116901238587</v>
      </c>
      <c r="P1450" s="90">
        <v>0.19079648993983001</v>
      </c>
      <c r="Q1450" s="90">
        <v>457.97988750447502</v>
      </c>
      <c r="R1450" s="90">
        <v>1400</v>
      </c>
      <c r="S1450" s="90" t="s">
        <v>324</v>
      </c>
      <c r="T1450" s="90">
        <v>1400</v>
      </c>
      <c r="U1450" s="90" t="s">
        <v>378</v>
      </c>
      <c r="V1450" s="90" t="s">
        <v>244</v>
      </c>
      <c r="Z1450" s="90">
        <v>0</v>
      </c>
      <c r="AA1450" s="90">
        <v>1</v>
      </c>
      <c r="AB1450" s="90">
        <v>1.40116901238587</v>
      </c>
      <c r="AC1450" s="90">
        <v>0.19079648993983001</v>
      </c>
      <c r="AD1450" s="90">
        <v>457.97988750447502</v>
      </c>
      <c r="AF1450" s="90">
        <v>-1</v>
      </c>
      <c r="AG1450" s="90">
        <v>-1</v>
      </c>
      <c r="AH1450" s="90">
        <v>-1</v>
      </c>
      <c r="AI1450" s="90">
        <v>-1</v>
      </c>
      <c r="AJ1450" s="90">
        <v>0</v>
      </c>
      <c r="AM1450" s="90" t="s">
        <v>379</v>
      </c>
      <c r="AN1450" s="90">
        <v>-1</v>
      </c>
      <c r="AQ1450" s="90">
        <v>357</v>
      </c>
      <c r="AR1450" s="90" t="s">
        <v>405</v>
      </c>
      <c r="AS1450" s="90" t="s">
        <v>406</v>
      </c>
      <c r="AT1450" s="90" t="s">
        <v>244</v>
      </c>
      <c r="AU1450" s="90">
        <v>122.34610000000001</v>
      </c>
      <c r="AV1450" s="90">
        <v>117.338443040296</v>
      </c>
      <c r="AW1450" s="90">
        <v>495.81005678810902</v>
      </c>
      <c r="AX1450" s="90">
        <v>0.3714354319</v>
      </c>
    </row>
    <row r="1451" spans="1:50" x14ac:dyDescent="0.25">
      <c r="A1451" s="102">
        <v>830000</v>
      </c>
      <c r="B1451" s="102">
        <v>2400000</v>
      </c>
      <c r="C1451" s="102">
        <v>2400000</v>
      </c>
      <c r="D1451" s="90" t="s">
        <v>374</v>
      </c>
      <c r="E1451" s="90" t="s">
        <v>68</v>
      </c>
      <c r="F1451" s="90" t="s">
        <v>375</v>
      </c>
      <c r="G1451" s="90" t="s">
        <v>376</v>
      </c>
      <c r="H1451" s="90">
        <v>0.59</v>
      </c>
      <c r="I1451" s="90">
        <v>0.64</v>
      </c>
      <c r="J1451" s="90" t="s">
        <v>244</v>
      </c>
      <c r="K1451" s="90">
        <v>5.003075475E-5</v>
      </c>
      <c r="L1451" s="90">
        <v>3738.0824041444898</v>
      </c>
      <c r="M1451" s="90">
        <v>11.436496172292999</v>
      </c>
      <c r="N1451" s="90">
        <v>1.5573020153852499</v>
      </c>
      <c r="O1451" s="90">
        <v>5.7217653523999998E-4</v>
      </c>
      <c r="P1451" s="90">
        <v>7.7912995210000004E-5</v>
      </c>
      <c r="Q1451" s="90">
        <v>0.18701908401198999</v>
      </c>
      <c r="R1451" s="90">
        <v>1300</v>
      </c>
      <c r="S1451" s="90" t="s">
        <v>387</v>
      </c>
      <c r="T1451" s="90">
        <v>1300</v>
      </c>
      <c r="U1451" s="90" t="s">
        <v>378</v>
      </c>
      <c r="V1451" s="90" t="s">
        <v>244</v>
      </c>
      <c r="Z1451" s="90">
        <v>0</v>
      </c>
      <c r="AA1451" s="90">
        <v>1</v>
      </c>
      <c r="AB1451" s="90">
        <v>5.7217653523999998E-4</v>
      </c>
      <c r="AC1451" s="90">
        <v>7.7912995210000004E-5</v>
      </c>
      <c r="AD1451" s="90">
        <v>0.18701908401310999</v>
      </c>
      <c r="AF1451" s="90">
        <v>-1</v>
      </c>
      <c r="AG1451" s="90">
        <v>-1</v>
      </c>
      <c r="AH1451" s="90">
        <v>-1</v>
      </c>
      <c r="AI1451" s="90">
        <v>-1</v>
      </c>
      <c r="AJ1451" s="90">
        <v>0</v>
      </c>
      <c r="AM1451" s="90" t="s">
        <v>379</v>
      </c>
      <c r="AN1451" s="90">
        <v>-1</v>
      </c>
      <c r="AQ1451" s="90">
        <v>357</v>
      </c>
      <c r="AR1451" s="90" t="s">
        <v>405</v>
      </c>
      <c r="AS1451" s="90" t="s">
        <v>406</v>
      </c>
      <c r="AT1451" s="90" t="s">
        <v>244</v>
      </c>
      <c r="AU1451" s="90">
        <v>122.34610000000001</v>
      </c>
      <c r="AV1451" s="90">
        <v>4.9642193129884298</v>
      </c>
      <c r="AW1451" s="90">
        <v>0.20246728119495</v>
      </c>
      <c r="AX1451" s="90">
        <v>1.5167809999999999E-4</v>
      </c>
    </row>
    <row r="1452" spans="1:50" x14ac:dyDescent="0.25">
      <c r="A1452" s="102">
        <v>830000</v>
      </c>
      <c r="B1452" s="102">
        <v>2400000</v>
      </c>
      <c r="C1452" s="102">
        <v>2400000</v>
      </c>
      <c r="D1452" s="90" t="s">
        <v>374</v>
      </c>
      <c r="E1452" s="90" t="s">
        <v>68</v>
      </c>
      <c r="F1452" s="90" t="s">
        <v>375</v>
      </c>
      <c r="G1452" s="90" t="s">
        <v>376</v>
      </c>
      <c r="H1452" s="90">
        <v>0.59</v>
      </c>
      <c r="I1452" s="90">
        <v>0.64</v>
      </c>
      <c r="J1452" s="90" t="s">
        <v>244</v>
      </c>
      <c r="K1452" s="90">
        <v>1.358364780529E-2</v>
      </c>
      <c r="L1452" s="90">
        <v>3738.0824041444898</v>
      </c>
      <c r="M1452" s="90">
        <v>11.436496172292999</v>
      </c>
      <c r="N1452" s="90">
        <v>1.5573020153852499</v>
      </c>
      <c r="O1452" s="90">
        <v>0.15534933613096999</v>
      </c>
      <c r="P1452" s="90">
        <v>2.115384210346E-2</v>
      </c>
      <c r="Q1452" s="90">
        <v>50.776794845050397</v>
      </c>
      <c r="R1452" s="90">
        <v>1450</v>
      </c>
      <c r="S1452" s="90" t="s">
        <v>391</v>
      </c>
      <c r="T1452" s="90">
        <v>1450</v>
      </c>
      <c r="U1452" s="90" t="s">
        <v>378</v>
      </c>
      <c r="V1452" s="90" t="s">
        <v>244</v>
      </c>
      <c r="Z1452" s="90">
        <v>0</v>
      </c>
      <c r="AA1452" s="90">
        <v>1</v>
      </c>
      <c r="AB1452" s="90">
        <v>0.15534933613096999</v>
      </c>
      <c r="AC1452" s="90">
        <v>2.115384210346E-2</v>
      </c>
      <c r="AD1452" s="90">
        <v>50.776794845050397</v>
      </c>
      <c r="AF1452" s="90">
        <v>-1</v>
      </c>
      <c r="AG1452" s="90">
        <v>-1</v>
      </c>
      <c r="AH1452" s="90">
        <v>-1</v>
      </c>
      <c r="AI1452" s="90">
        <v>-1</v>
      </c>
      <c r="AJ1452" s="90">
        <v>0</v>
      </c>
      <c r="AM1452" s="90" t="s">
        <v>379</v>
      </c>
      <c r="AN1452" s="90">
        <v>-1</v>
      </c>
      <c r="AQ1452" s="90">
        <v>357</v>
      </c>
      <c r="AR1452" s="90" t="s">
        <v>405</v>
      </c>
      <c r="AS1452" s="90" t="s">
        <v>406</v>
      </c>
      <c r="AT1452" s="90" t="s">
        <v>244</v>
      </c>
      <c r="AU1452" s="90">
        <v>122.34610000000001</v>
      </c>
      <c r="AV1452" s="90">
        <v>74.833386787359899</v>
      </c>
      <c r="AW1452" s="90">
        <v>54.971072360457399</v>
      </c>
      <c r="AX1452" s="90">
        <v>4.1181504299999998E-2</v>
      </c>
    </row>
    <row r="1453" spans="1:50" x14ac:dyDescent="0.25">
      <c r="A1453" s="102">
        <v>830000</v>
      </c>
      <c r="B1453" s="102">
        <v>2400000</v>
      </c>
      <c r="C1453" s="102">
        <v>2400000</v>
      </c>
      <c r="D1453" s="90" t="s">
        <v>374</v>
      </c>
      <c r="E1453" s="90" t="s">
        <v>68</v>
      </c>
      <c r="F1453" s="90" t="s">
        <v>375</v>
      </c>
      <c r="G1453" s="90" t="s">
        <v>376</v>
      </c>
      <c r="H1453" s="90">
        <v>0.59</v>
      </c>
      <c r="I1453" s="90">
        <v>0.64</v>
      </c>
      <c r="J1453" s="90" t="s">
        <v>244</v>
      </c>
      <c r="K1453" s="90">
        <v>4.7566806847060002E-2</v>
      </c>
      <c r="L1453" s="90">
        <v>3669.8590941648499</v>
      </c>
      <c r="M1453" s="90">
        <v>9.15222078872997</v>
      </c>
      <c r="N1453" s="90">
        <v>1.34619379810725</v>
      </c>
      <c r="O1453" s="90">
        <v>0.43534191847922998</v>
      </c>
      <c r="P1453" s="90">
        <v>6.4034140373279994E-2</v>
      </c>
      <c r="Q1453" s="90">
        <v>174.563478688092</v>
      </c>
      <c r="R1453" s="90">
        <v>1210</v>
      </c>
      <c r="S1453" s="90" t="s">
        <v>385</v>
      </c>
      <c r="T1453" s="90">
        <v>1210</v>
      </c>
      <c r="U1453" s="90" t="s">
        <v>378</v>
      </c>
      <c r="V1453" s="90" t="s">
        <v>244</v>
      </c>
      <c r="Z1453" s="90">
        <v>0</v>
      </c>
      <c r="AA1453" s="90">
        <v>1</v>
      </c>
      <c r="AB1453" s="90">
        <v>0.43534191847922998</v>
      </c>
      <c r="AC1453" s="90">
        <v>6.4034140373279994E-2</v>
      </c>
      <c r="AD1453" s="90">
        <v>174.56347868808999</v>
      </c>
      <c r="AF1453" s="90">
        <v>-1</v>
      </c>
      <c r="AG1453" s="90">
        <v>-1</v>
      </c>
      <c r="AH1453" s="90">
        <v>-1</v>
      </c>
      <c r="AI1453" s="90">
        <v>-1</v>
      </c>
      <c r="AJ1453" s="90">
        <v>0</v>
      </c>
      <c r="AM1453" s="90" t="s">
        <v>379</v>
      </c>
      <c r="AN1453" s="90">
        <v>-1</v>
      </c>
      <c r="AQ1453" s="90">
        <v>357</v>
      </c>
      <c r="AR1453" s="90" t="s">
        <v>405</v>
      </c>
      <c r="AS1453" s="90" t="s">
        <v>406</v>
      </c>
      <c r="AT1453" s="90" t="s">
        <v>244</v>
      </c>
      <c r="AU1453" s="90">
        <v>122.34610000000001</v>
      </c>
      <c r="AV1453" s="90">
        <v>57.537385054709198</v>
      </c>
      <c r="AW1453" s="90">
        <v>192.49603778211099</v>
      </c>
      <c r="AX1453" s="90">
        <v>0.14157621949999999</v>
      </c>
    </row>
    <row r="1454" spans="1:50" x14ac:dyDescent="0.25">
      <c r="A1454" s="102">
        <v>830000</v>
      </c>
      <c r="B1454" s="102">
        <v>2400000</v>
      </c>
      <c r="C1454" s="102">
        <v>2400000</v>
      </c>
      <c r="D1454" s="90" t="s">
        <v>374</v>
      </c>
      <c r="E1454" s="90" t="s">
        <v>68</v>
      </c>
      <c r="F1454" s="90" t="s">
        <v>375</v>
      </c>
      <c r="G1454" s="90" t="s">
        <v>376</v>
      </c>
      <c r="H1454" s="90">
        <v>0.59</v>
      </c>
      <c r="I1454" s="90">
        <v>0.64</v>
      </c>
      <c r="J1454" s="90" t="s">
        <v>244</v>
      </c>
      <c r="K1454" s="90">
        <v>0.12921143855938999</v>
      </c>
      <c r="L1454" s="90">
        <v>3669.8590941648499</v>
      </c>
      <c r="M1454" s="90">
        <v>9.15222078872997</v>
      </c>
      <c r="N1454" s="90">
        <v>1.34619379810725</v>
      </c>
      <c r="O1454" s="90">
        <v>1.182571614125</v>
      </c>
      <c r="P1454" s="90">
        <v>0.17394363723317</v>
      </c>
      <c r="Q1454" s="90">
        <v>474.18777286731898</v>
      </c>
      <c r="R1454" s="90">
        <v>1210</v>
      </c>
      <c r="S1454" s="90" t="s">
        <v>385</v>
      </c>
      <c r="T1454" s="90">
        <v>1210</v>
      </c>
      <c r="U1454" s="90" t="s">
        <v>378</v>
      </c>
      <c r="V1454" s="90" t="s">
        <v>244</v>
      </c>
      <c r="Z1454" s="90">
        <v>0</v>
      </c>
      <c r="AA1454" s="90">
        <v>1</v>
      </c>
      <c r="AB1454" s="90">
        <v>1.182571614125</v>
      </c>
      <c r="AC1454" s="90">
        <v>0.17394363723317</v>
      </c>
      <c r="AD1454" s="90">
        <v>474.18777286731898</v>
      </c>
      <c r="AF1454" s="90">
        <v>-1</v>
      </c>
      <c r="AG1454" s="90">
        <v>-1</v>
      </c>
      <c r="AH1454" s="90">
        <v>-1</v>
      </c>
      <c r="AI1454" s="90">
        <v>-1</v>
      </c>
      <c r="AJ1454" s="90">
        <v>0</v>
      </c>
      <c r="AM1454" s="90" t="s">
        <v>379</v>
      </c>
      <c r="AN1454" s="90">
        <v>-1</v>
      </c>
      <c r="AQ1454" s="90">
        <v>357</v>
      </c>
      <c r="AR1454" s="90" t="s">
        <v>405</v>
      </c>
      <c r="AS1454" s="90" t="s">
        <v>406</v>
      </c>
      <c r="AT1454" s="90" t="s">
        <v>244</v>
      </c>
      <c r="AU1454" s="90">
        <v>122.34610000000001</v>
      </c>
      <c r="AV1454" s="90">
        <v>92.331972094970993</v>
      </c>
      <c r="AW1454" s="90">
        <v>522.90013998162794</v>
      </c>
      <c r="AX1454" s="90">
        <v>0.38458051329999998</v>
      </c>
    </row>
    <row r="1455" spans="1:50" x14ac:dyDescent="0.25">
      <c r="A1455" s="102">
        <v>830000</v>
      </c>
      <c r="B1455" s="102">
        <v>2400000</v>
      </c>
      <c r="C1455" s="102">
        <v>2400000</v>
      </c>
      <c r="D1455" s="90" t="s">
        <v>374</v>
      </c>
      <c r="E1455" s="90" t="s">
        <v>68</v>
      </c>
      <c r="F1455" s="90" t="s">
        <v>375</v>
      </c>
      <c r="G1455" s="90" t="s">
        <v>376</v>
      </c>
      <c r="H1455" s="90">
        <v>0.59</v>
      </c>
      <c r="I1455" s="90">
        <v>0.64</v>
      </c>
      <c r="J1455" s="90" t="s">
        <v>244</v>
      </c>
      <c r="K1455" s="90">
        <v>7.5159269942499995E-2</v>
      </c>
      <c r="L1455" s="90">
        <v>3669.8590941648499</v>
      </c>
      <c r="M1455" s="90">
        <v>9.15222078872997</v>
      </c>
      <c r="N1455" s="90">
        <v>1.34619379810725</v>
      </c>
      <c r="O1455" s="90">
        <v>0.68787423283358995</v>
      </c>
      <c r="P1455" s="90">
        <v>0.10117894306687</v>
      </c>
      <c r="Q1455" s="90">
        <v>275.82393030930803</v>
      </c>
      <c r="R1455" s="90">
        <v>1210</v>
      </c>
      <c r="S1455" s="90" t="s">
        <v>385</v>
      </c>
      <c r="T1455" s="90">
        <v>1210</v>
      </c>
      <c r="U1455" s="90" t="s">
        <v>378</v>
      </c>
      <c r="V1455" s="90" t="s">
        <v>244</v>
      </c>
      <c r="Z1455" s="90">
        <v>0</v>
      </c>
      <c r="AA1455" s="90">
        <v>1</v>
      </c>
      <c r="AB1455" s="90">
        <v>0.68787423283358995</v>
      </c>
      <c r="AC1455" s="90">
        <v>0.10117894306687</v>
      </c>
      <c r="AD1455" s="90">
        <v>275.823930309307</v>
      </c>
      <c r="AF1455" s="90">
        <v>-1</v>
      </c>
      <c r="AG1455" s="90">
        <v>-1</v>
      </c>
      <c r="AH1455" s="90">
        <v>-1</v>
      </c>
      <c r="AI1455" s="90">
        <v>-1</v>
      </c>
      <c r="AJ1455" s="90">
        <v>0</v>
      </c>
      <c r="AM1455" s="90" t="s">
        <v>379</v>
      </c>
      <c r="AN1455" s="90">
        <v>-1</v>
      </c>
      <c r="AQ1455" s="90">
        <v>357</v>
      </c>
      <c r="AR1455" s="90" t="s">
        <v>405</v>
      </c>
      <c r="AS1455" s="90" t="s">
        <v>406</v>
      </c>
      <c r="AT1455" s="90" t="s">
        <v>244</v>
      </c>
      <c r="AU1455" s="90">
        <v>122.34610000000001</v>
      </c>
      <c r="AV1455" s="90">
        <v>72.142415599326199</v>
      </c>
      <c r="AW1455" s="90">
        <v>304.15877426973702</v>
      </c>
      <c r="AX1455" s="90">
        <v>0.22370148440000001</v>
      </c>
    </row>
    <row r="1456" spans="1:50" x14ac:dyDescent="0.25">
      <c r="A1456" s="102">
        <v>830000</v>
      </c>
      <c r="B1456" s="102">
        <v>2400000</v>
      </c>
      <c r="C1456" s="102">
        <v>2400000</v>
      </c>
      <c r="D1456" s="90" t="s">
        <v>374</v>
      </c>
      <c r="E1456" s="90" t="s">
        <v>68</v>
      </c>
      <c r="F1456" s="90" t="s">
        <v>375</v>
      </c>
      <c r="G1456" s="90" t="s">
        <v>376</v>
      </c>
      <c r="H1456" s="90">
        <v>0.59</v>
      </c>
      <c r="I1456" s="90">
        <v>0.64</v>
      </c>
      <c r="J1456" s="90" t="s">
        <v>244</v>
      </c>
      <c r="K1456" s="90">
        <v>6.1470915240599999E-2</v>
      </c>
      <c r="L1456" s="90">
        <v>3669.8590941648499</v>
      </c>
      <c r="M1456" s="90">
        <v>9.15222078872997</v>
      </c>
      <c r="N1456" s="90">
        <v>1.34619379810725</v>
      </c>
      <c r="O1456" s="90">
        <v>0.56259538836731005</v>
      </c>
      <c r="P1456" s="90">
        <v>8.2751764860870006E-2</v>
      </c>
      <c r="Q1456" s="90">
        <v>225.58959732236701</v>
      </c>
      <c r="R1456" s="90">
        <v>1210</v>
      </c>
      <c r="S1456" s="90" t="s">
        <v>385</v>
      </c>
      <c r="T1456" s="90">
        <v>1210</v>
      </c>
      <c r="U1456" s="90" t="s">
        <v>378</v>
      </c>
      <c r="V1456" s="90" t="s">
        <v>244</v>
      </c>
      <c r="Z1456" s="90">
        <v>0</v>
      </c>
      <c r="AA1456" s="90">
        <v>1</v>
      </c>
      <c r="AB1456" s="90">
        <v>0.56259538836731005</v>
      </c>
      <c r="AC1456" s="90">
        <v>8.2751764860870006E-2</v>
      </c>
      <c r="AD1456" s="90">
        <v>225.58959732236599</v>
      </c>
      <c r="AF1456" s="90">
        <v>-1</v>
      </c>
      <c r="AG1456" s="90">
        <v>-1</v>
      </c>
      <c r="AH1456" s="90">
        <v>-1</v>
      </c>
      <c r="AI1456" s="90">
        <v>-1</v>
      </c>
      <c r="AJ1456" s="90">
        <v>0</v>
      </c>
      <c r="AM1456" s="90" t="s">
        <v>379</v>
      </c>
      <c r="AN1456" s="90">
        <v>-1</v>
      </c>
      <c r="AQ1456" s="90">
        <v>357</v>
      </c>
      <c r="AR1456" s="90" t="s">
        <v>405</v>
      </c>
      <c r="AS1456" s="90" t="s">
        <v>406</v>
      </c>
      <c r="AT1456" s="90" t="s">
        <v>244</v>
      </c>
      <c r="AU1456" s="90">
        <v>122.34610000000001</v>
      </c>
      <c r="AV1456" s="90">
        <v>79.708975767624906</v>
      </c>
      <c r="AW1456" s="90">
        <v>248.76396813224301</v>
      </c>
      <c r="AX1456" s="90">
        <v>0.18295993290000001</v>
      </c>
    </row>
    <row r="1457" spans="1:50" x14ac:dyDescent="0.25">
      <c r="A1457" s="102">
        <v>830000</v>
      </c>
      <c r="B1457" s="102">
        <v>2400000</v>
      </c>
      <c r="C1457" s="102">
        <v>2400000</v>
      </c>
      <c r="D1457" s="90" t="s">
        <v>374</v>
      </c>
      <c r="E1457" s="90" t="s">
        <v>68</v>
      </c>
      <c r="F1457" s="90" t="s">
        <v>375</v>
      </c>
      <c r="G1457" s="90" t="s">
        <v>376</v>
      </c>
      <c r="H1457" s="90">
        <v>0.59</v>
      </c>
      <c r="I1457" s="90">
        <v>0.64</v>
      </c>
      <c r="J1457" s="90" t="s">
        <v>244</v>
      </c>
      <c r="K1457" s="90">
        <v>0.19239062730293999</v>
      </c>
      <c r="L1457" s="90">
        <v>3669.8590941648499</v>
      </c>
      <c r="M1457" s="90">
        <v>9.15222078872997</v>
      </c>
      <c r="N1457" s="90">
        <v>1.34619379810725</v>
      </c>
      <c r="O1457" s="90">
        <v>1.7608014987587599</v>
      </c>
      <c r="P1457" s="90">
        <v>0.25899506928917998</v>
      </c>
      <c r="Q1457" s="90">
        <v>706.04649323977503</v>
      </c>
      <c r="R1457" s="90">
        <v>1210</v>
      </c>
      <c r="S1457" s="90" t="s">
        <v>385</v>
      </c>
      <c r="T1457" s="90">
        <v>1210</v>
      </c>
      <c r="U1457" s="90" t="s">
        <v>378</v>
      </c>
      <c r="V1457" s="90" t="s">
        <v>244</v>
      </c>
      <c r="Z1457" s="90">
        <v>0</v>
      </c>
      <c r="AA1457" s="90">
        <v>1</v>
      </c>
      <c r="AB1457" s="90">
        <v>1.7608014987587599</v>
      </c>
      <c r="AC1457" s="90">
        <v>0.25899506928917998</v>
      </c>
      <c r="AD1457" s="90">
        <v>706.04649323977503</v>
      </c>
      <c r="AF1457" s="90">
        <v>-1</v>
      </c>
      <c r="AG1457" s="90">
        <v>-1</v>
      </c>
      <c r="AH1457" s="90">
        <v>-1</v>
      </c>
      <c r="AI1457" s="90">
        <v>-1</v>
      </c>
      <c r="AJ1457" s="90">
        <v>0</v>
      </c>
      <c r="AM1457" s="90" t="s">
        <v>379</v>
      </c>
      <c r="AN1457" s="90">
        <v>-1</v>
      </c>
      <c r="AQ1457" s="90">
        <v>357</v>
      </c>
      <c r="AR1457" s="90" t="s">
        <v>405</v>
      </c>
      <c r="AS1457" s="90" t="s">
        <v>406</v>
      </c>
      <c r="AT1457" s="90" t="s">
        <v>244</v>
      </c>
      <c r="AU1457" s="90">
        <v>122.34610000000001</v>
      </c>
      <c r="AV1457" s="90">
        <v>112.108070028887</v>
      </c>
      <c r="AW1457" s="90">
        <v>778.57724571046697</v>
      </c>
      <c r="AX1457" s="90">
        <v>0.57262489309999998</v>
      </c>
    </row>
    <row r="1458" spans="1:50" x14ac:dyDescent="0.25">
      <c r="A1458" s="102">
        <v>830000</v>
      </c>
      <c r="B1458" s="102">
        <v>2400000</v>
      </c>
      <c r="C1458" s="102">
        <v>2400000</v>
      </c>
      <c r="D1458" s="90" t="s">
        <v>374</v>
      </c>
      <c r="E1458" s="90" t="s">
        <v>68</v>
      </c>
      <c r="F1458" s="90" t="s">
        <v>375</v>
      </c>
      <c r="G1458" s="90" t="s">
        <v>376</v>
      </c>
      <c r="H1458" s="90">
        <v>0.59</v>
      </c>
      <c r="I1458" s="90">
        <v>0.64</v>
      </c>
      <c r="J1458" s="90" t="s">
        <v>244</v>
      </c>
      <c r="K1458" s="90">
        <v>0.11196439598252</v>
      </c>
      <c r="L1458" s="90">
        <v>3669.8590941648499</v>
      </c>
      <c r="M1458" s="90">
        <v>9.15222078872997</v>
      </c>
      <c r="N1458" s="90">
        <v>1.34619379810725</v>
      </c>
      <c r="O1458" s="90">
        <v>1.02472287250882</v>
      </c>
      <c r="P1458" s="90">
        <v>0.15072577548048999</v>
      </c>
      <c r="Q1458" s="90">
        <v>410.893556819129</v>
      </c>
      <c r="R1458" s="90">
        <v>1210</v>
      </c>
      <c r="S1458" s="90" t="s">
        <v>385</v>
      </c>
      <c r="T1458" s="90">
        <v>1210</v>
      </c>
      <c r="U1458" s="90" t="s">
        <v>378</v>
      </c>
      <c r="V1458" s="90" t="s">
        <v>244</v>
      </c>
      <c r="Z1458" s="90">
        <v>0</v>
      </c>
      <c r="AA1458" s="90">
        <v>1</v>
      </c>
      <c r="AB1458" s="90">
        <v>1.02472287250882</v>
      </c>
      <c r="AC1458" s="90">
        <v>0.15072577548048999</v>
      </c>
      <c r="AD1458" s="90">
        <v>410.893556819129</v>
      </c>
      <c r="AF1458" s="90">
        <v>-1</v>
      </c>
      <c r="AG1458" s="90">
        <v>-1</v>
      </c>
      <c r="AH1458" s="90">
        <v>-1</v>
      </c>
      <c r="AI1458" s="90">
        <v>-1</v>
      </c>
      <c r="AJ1458" s="90">
        <v>0</v>
      </c>
      <c r="AM1458" s="90" t="s">
        <v>379</v>
      </c>
      <c r="AN1458" s="90">
        <v>-1</v>
      </c>
      <c r="AQ1458" s="90">
        <v>357</v>
      </c>
      <c r="AR1458" s="90" t="s">
        <v>405</v>
      </c>
      <c r="AS1458" s="90" t="s">
        <v>406</v>
      </c>
      <c r="AT1458" s="90" t="s">
        <v>244</v>
      </c>
      <c r="AU1458" s="90">
        <v>122.34610000000001</v>
      </c>
      <c r="AV1458" s="90">
        <v>88.182384527739998</v>
      </c>
      <c r="AW1458" s="90">
        <v>453.103834962002</v>
      </c>
      <c r="AX1458" s="90">
        <v>0.33324700470000002</v>
      </c>
    </row>
    <row r="1459" spans="1:50" x14ac:dyDescent="0.25">
      <c r="A1459" s="102">
        <v>830000</v>
      </c>
      <c r="B1459" s="102">
        <v>2400000</v>
      </c>
      <c r="C1459" s="102">
        <v>2400000</v>
      </c>
      <c r="D1459" s="90" t="s">
        <v>374</v>
      </c>
      <c r="E1459" s="90" t="s">
        <v>68</v>
      </c>
      <c r="F1459" s="90" t="s">
        <v>375</v>
      </c>
      <c r="G1459" s="90" t="s">
        <v>376</v>
      </c>
      <c r="H1459" s="90">
        <v>0.59</v>
      </c>
      <c r="I1459" s="90">
        <v>0.64</v>
      </c>
      <c r="J1459" s="90" t="s">
        <v>244</v>
      </c>
      <c r="K1459" s="90">
        <v>0.14241032832742001</v>
      </c>
      <c r="L1459" s="90">
        <v>3738.3085289572</v>
      </c>
      <c r="M1459" s="90">
        <v>11.492024991659701</v>
      </c>
      <c r="N1459" s="90">
        <v>1.51717715032534</v>
      </c>
      <c r="O1459" s="90">
        <v>1.63658305220919</v>
      </c>
      <c r="P1459" s="90">
        <v>0.21606169610869</v>
      </c>
      <c r="Q1459" s="90">
        <v>532.37374499799705</v>
      </c>
      <c r="R1459" s="90">
        <v>1400</v>
      </c>
      <c r="S1459" s="90" t="s">
        <v>324</v>
      </c>
      <c r="T1459" s="90">
        <v>1400</v>
      </c>
      <c r="U1459" s="90" t="s">
        <v>378</v>
      </c>
      <c r="V1459" s="90" t="s">
        <v>244</v>
      </c>
      <c r="Z1459" s="90">
        <v>0</v>
      </c>
      <c r="AA1459" s="90">
        <v>1</v>
      </c>
      <c r="AB1459" s="90">
        <v>1.63658305220919</v>
      </c>
      <c r="AC1459" s="90">
        <v>0.21606169610869</v>
      </c>
      <c r="AD1459" s="90">
        <v>560.75566525094098</v>
      </c>
      <c r="AF1459" s="90">
        <v>-1</v>
      </c>
      <c r="AG1459" s="90">
        <v>-1</v>
      </c>
      <c r="AH1459" s="90">
        <v>-1</v>
      </c>
      <c r="AI1459" s="90">
        <v>-1</v>
      </c>
      <c r="AJ1459" s="90">
        <v>0</v>
      </c>
      <c r="AM1459" s="90" t="s">
        <v>379</v>
      </c>
      <c r="AN1459" s="90">
        <v>-1</v>
      </c>
      <c r="AQ1459" s="90">
        <v>357</v>
      </c>
      <c r="AR1459" s="90" t="s">
        <v>405</v>
      </c>
      <c r="AS1459" s="90" t="s">
        <v>406</v>
      </c>
      <c r="AT1459" s="90" t="s">
        <v>244</v>
      </c>
      <c r="AU1459" s="90">
        <v>122.34610000000001</v>
      </c>
      <c r="AV1459" s="90">
        <v>125.814494083029</v>
      </c>
      <c r="AW1459" s="90">
        <v>576.31415180791805</v>
      </c>
      <c r="AX1459" s="90">
        <v>0.45478967170000001</v>
      </c>
    </row>
    <row r="1460" spans="1:50" x14ac:dyDescent="0.25">
      <c r="A1460" s="102">
        <v>830000</v>
      </c>
      <c r="B1460" s="102">
        <v>2400000</v>
      </c>
      <c r="C1460" s="102">
        <v>2400000</v>
      </c>
      <c r="D1460" s="90" t="s">
        <v>374</v>
      </c>
      <c r="E1460" s="90" t="s">
        <v>68</v>
      </c>
      <c r="F1460" s="90" t="s">
        <v>375</v>
      </c>
      <c r="G1460" s="90" t="s">
        <v>376</v>
      </c>
      <c r="H1460" s="90">
        <v>0.59</v>
      </c>
      <c r="I1460" s="90">
        <v>0.64</v>
      </c>
      <c r="J1460" s="90" t="s">
        <v>244</v>
      </c>
      <c r="K1460" s="90">
        <v>5.0406772508699996E-3</v>
      </c>
      <c r="L1460" s="90">
        <v>3738.3085289572</v>
      </c>
      <c r="M1460" s="90">
        <v>11.492024991659701</v>
      </c>
      <c r="N1460" s="90">
        <v>1.51717715032534</v>
      </c>
      <c r="O1460" s="90">
        <v>5.7927588941920002E-2</v>
      </c>
      <c r="P1460" s="90">
        <v>7.6476003471800001E-3</v>
      </c>
      <c r="Q1460" s="90">
        <v>18.843606758659</v>
      </c>
      <c r="R1460" s="90">
        <v>1450</v>
      </c>
      <c r="S1460" s="90" t="s">
        <v>391</v>
      </c>
      <c r="T1460" s="90">
        <v>1450</v>
      </c>
      <c r="U1460" s="90" t="s">
        <v>378</v>
      </c>
      <c r="V1460" s="90" t="s">
        <v>244</v>
      </c>
      <c r="Z1460" s="90">
        <v>0</v>
      </c>
      <c r="AA1460" s="90">
        <v>1</v>
      </c>
      <c r="AB1460" s="90">
        <v>5.7927588941920002E-2</v>
      </c>
      <c r="AC1460" s="90">
        <v>7.6476003471800001E-3</v>
      </c>
      <c r="AD1460" s="90">
        <v>18.8436067586584</v>
      </c>
      <c r="AF1460" s="90">
        <v>-1</v>
      </c>
      <c r="AG1460" s="90">
        <v>-1</v>
      </c>
      <c r="AH1460" s="90">
        <v>-1</v>
      </c>
      <c r="AI1460" s="90">
        <v>-1</v>
      </c>
      <c r="AJ1460" s="90">
        <v>0</v>
      </c>
      <c r="AM1460" s="90" t="s">
        <v>379</v>
      </c>
      <c r="AN1460" s="90">
        <v>-1</v>
      </c>
      <c r="AQ1460" s="90">
        <v>357</v>
      </c>
      <c r="AR1460" s="90" t="s">
        <v>405</v>
      </c>
      <c r="AS1460" s="90" t="s">
        <v>406</v>
      </c>
      <c r="AT1460" s="90" t="s">
        <v>244</v>
      </c>
      <c r="AU1460" s="90">
        <v>122.34610000000001</v>
      </c>
      <c r="AV1460" s="90">
        <v>78.873488613893102</v>
      </c>
      <c r="AW1460" s="90">
        <v>20.3988971059402</v>
      </c>
      <c r="AX1460" s="90">
        <v>1.5282730499999999E-2</v>
      </c>
    </row>
    <row r="1461" spans="1:50" x14ac:dyDescent="0.25">
      <c r="A1461" s="102">
        <v>830000</v>
      </c>
      <c r="B1461" s="102">
        <v>2400000</v>
      </c>
      <c r="C1461" s="102">
        <v>2400000</v>
      </c>
      <c r="D1461" s="90" t="s">
        <v>374</v>
      </c>
      <c r="E1461" s="90" t="s">
        <v>68</v>
      </c>
      <c r="F1461" s="90" t="s">
        <v>375</v>
      </c>
      <c r="G1461" s="90" t="s">
        <v>376</v>
      </c>
      <c r="H1461" s="90">
        <v>0.59</v>
      </c>
      <c r="I1461" s="90">
        <v>0.64</v>
      </c>
      <c r="J1461" s="90" t="s">
        <v>244</v>
      </c>
      <c r="K1461" s="90">
        <v>0.16535775654908</v>
      </c>
      <c r="L1461" s="90">
        <v>3695.1423574092</v>
      </c>
      <c r="M1461" s="90">
        <v>9.8302641178760695</v>
      </c>
      <c r="N1461" s="90">
        <v>1.5843568761889899</v>
      </c>
      <c r="O1461" s="90">
        <v>1.6255104208169899</v>
      </c>
      <c r="P1461" s="90">
        <v>0.26198569861972998</v>
      </c>
      <c r="Q1461" s="90">
        <v>611.02045035069796</v>
      </c>
      <c r="R1461" s="90">
        <v>1200</v>
      </c>
      <c r="S1461" s="90" t="s">
        <v>384</v>
      </c>
      <c r="T1461" s="90">
        <v>1200</v>
      </c>
      <c r="U1461" s="90" t="s">
        <v>378</v>
      </c>
      <c r="V1461" s="90" t="s">
        <v>244</v>
      </c>
      <c r="Z1461" s="90">
        <v>0</v>
      </c>
      <c r="AA1461" s="90">
        <v>1</v>
      </c>
      <c r="AB1461" s="90">
        <v>1.6255104208169899</v>
      </c>
      <c r="AC1461" s="90">
        <v>0.26198569861972998</v>
      </c>
      <c r="AD1461" s="90">
        <v>659.81950133728105</v>
      </c>
      <c r="AF1461" s="90">
        <v>-1</v>
      </c>
      <c r="AG1461" s="90">
        <v>-1</v>
      </c>
      <c r="AH1461" s="90">
        <v>-1</v>
      </c>
      <c r="AI1461" s="90">
        <v>-1</v>
      </c>
      <c r="AJ1461" s="90">
        <v>0</v>
      </c>
      <c r="AM1461" s="90" t="s">
        <v>379</v>
      </c>
      <c r="AN1461" s="90">
        <v>-1</v>
      </c>
      <c r="AQ1461" s="90">
        <v>357</v>
      </c>
      <c r="AR1461" s="90" t="s">
        <v>405</v>
      </c>
      <c r="AS1461" s="90" t="s">
        <v>406</v>
      </c>
      <c r="AT1461" s="90" t="s">
        <v>244</v>
      </c>
      <c r="AU1461" s="90">
        <v>122.34610000000001</v>
      </c>
      <c r="AV1461" s="90">
        <v>135.098554131425</v>
      </c>
      <c r="AW1461" s="90">
        <v>669.17909908433796</v>
      </c>
      <c r="AX1461" s="90">
        <v>0.53513341550000004</v>
      </c>
    </row>
    <row r="1462" spans="1:50" x14ac:dyDescent="0.25">
      <c r="A1462" s="102">
        <v>830000</v>
      </c>
      <c r="B1462" s="102">
        <v>2400000</v>
      </c>
      <c r="C1462" s="102">
        <v>2400000</v>
      </c>
      <c r="D1462" s="90" t="s">
        <v>374</v>
      </c>
      <c r="E1462" s="90" t="s">
        <v>68</v>
      </c>
      <c r="F1462" s="90" t="s">
        <v>375</v>
      </c>
      <c r="G1462" s="90" t="s">
        <v>376</v>
      </c>
      <c r="H1462" s="90">
        <v>0.59</v>
      </c>
      <c r="I1462" s="90">
        <v>0.64</v>
      </c>
      <c r="J1462" s="90" t="s">
        <v>244</v>
      </c>
      <c r="K1462" s="90">
        <v>1.7559795040410001E-2</v>
      </c>
      <c r="L1462" s="90">
        <v>3695.1423574092</v>
      </c>
      <c r="M1462" s="90">
        <v>9.8302641178760695</v>
      </c>
      <c r="N1462" s="90">
        <v>1.5843568761889899</v>
      </c>
      <c r="O1462" s="90">
        <v>0.17261742310304001</v>
      </c>
      <c r="P1462" s="90">
        <v>2.7820982016739999E-2</v>
      </c>
      <c r="Q1462" s="90">
        <v>64.885942441257896</v>
      </c>
      <c r="R1462" s="90">
        <v>1400</v>
      </c>
      <c r="S1462" s="90" t="s">
        <v>324</v>
      </c>
      <c r="T1462" s="90">
        <v>1400</v>
      </c>
      <c r="U1462" s="90" t="s">
        <v>378</v>
      </c>
      <c r="V1462" s="90" t="s">
        <v>244</v>
      </c>
      <c r="Z1462" s="90">
        <v>0</v>
      </c>
      <c r="AA1462" s="90">
        <v>1</v>
      </c>
      <c r="AB1462" s="90">
        <v>0.17261742310304001</v>
      </c>
      <c r="AC1462" s="90">
        <v>2.7820982016739999E-2</v>
      </c>
      <c r="AD1462" s="90">
        <v>115.86187935378</v>
      </c>
      <c r="AF1462" s="90">
        <v>-1</v>
      </c>
      <c r="AG1462" s="90">
        <v>-1</v>
      </c>
      <c r="AH1462" s="90">
        <v>-1</v>
      </c>
      <c r="AI1462" s="90">
        <v>-1</v>
      </c>
      <c r="AJ1462" s="90">
        <v>0</v>
      </c>
      <c r="AM1462" s="90" t="s">
        <v>379</v>
      </c>
      <c r="AN1462" s="90">
        <v>-1</v>
      </c>
      <c r="AQ1462" s="90">
        <v>357</v>
      </c>
      <c r="AR1462" s="90" t="s">
        <v>405</v>
      </c>
      <c r="AS1462" s="90" t="s">
        <v>406</v>
      </c>
      <c r="AT1462" s="90" t="s">
        <v>244</v>
      </c>
      <c r="AU1462" s="90">
        <v>122.34610000000001</v>
      </c>
      <c r="AV1462" s="90">
        <v>43.332462874073002</v>
      </c>
      <c r="AW1462" s="90">
        <v>71.061969335326594</v>
      </c>
      <c r="AX1462" s="90">
        <v>9.3967461000000002E-2</v>
      </c>
    </row>
    <row r="1463" spans="1:50" x14ac:dyDescent="0.25">
      <c r="A1463" s="102">
        <v>830000</v>
      </c>
      <c r="B1463" s="102">
        <v>2400000</v>
      </c>
      <c r="C1463" s="102">
        <v>2400000</v>
      </c>
      <c r="D1463" s="90" t="s">
        <v>374</v>
      </c>
      <c r="E1463" s="90" t="s">
        <v>68</v>
      </c>
      <c r="F1463" s="90" t="s">
        <v>375</v>
      </c>
      <c r="G1463" s="90" t="s">
        <v>376</v>
      </c>
      <c r="H1463" s="90">
        <v>0.59</v>
      </c>
      <c r="I1463" s="90">
        <v>0.64</v>
      </c>
      <c r="J1463" s="90" t="s">
        <v>244</v>
      </c>
      <c r="K1463" s="90">
        <v>1.132264846044E-2</v>
      </c>
      <c r="L1463" s="90">
        <v>3695.1423574092</v>
      </c>
      <c r="M1463" s="90">
        <v>9.8302641178760695</v>
      </c>
      <c r="N1463" s="90">
        <v>1.5843568761889899</v>
      </c>
      <c r="O1463" s="90">
        <v>0.11130462488005</v>
      </c>
      <c r="P1463" s="90">
        <v>1.7939115944979999E-2</v>
      </c>
      <c r="Q1463" s="90">
        <v>41.8387979242518</v>
      </c>
      <c r="R1463" s="90">
        <v>1300</v>
      </c>
      <c r="S1463" s="90" t="s">
        <v>387</v>
      </c>
      <c r="T1463" s="90">
        <v>1300</v>
      </c>
      <c r="U1463" s="90" t="s">
        <v>378</v>
      </c>
      <c r="V1463" s="90" t="s">
        <v>244</v>
      </c>
      <c r="Z1463" s="90">
        <v>0</v>
      </c>
      <c r="AA1463" s="90">
        <v>1</v>
      </c>
      <c r="AB1463" s="90">
        <v>0.11130462488005</v>
      </c>
      <c r="AC1463" s="90">
        <v>1.7939115944979999E-2</v>
      </c>
      <c r="AD1463" s="90">
        <v>458.85718536234401</v>
      </c>
      <c r="AF1463" s="90">
        <v>-1</v>
      </c>
      <c r="AG1463" s="90">
        <v>-1</v>
      </c>
      <c r="AH1463" s="90">
        <v>-1</v>
      </c>
      <c r="AI1463" s="90">
        <v>-1</v>
      </c>
      <c r="AJ1463" s="90">
        <v>0</v>
      </c>
      <c r="AM1463" s="90" t="s">
        <v>379</v>
      </c>
      <c r="AN1463" s="90">
        <v>-1</v>
      </c>
      <c r="AQ1463" s="90">
        <v>357</v>
      </c>
      <c r="AR1463" s="90" t="s">
        <v>405</v>
      </c>
      <c r="AS1463" s="90" t="s">
        <v>406</v>
      </c>
      <c r="AT1463" s="90" t="s">
        <v>244</v>
      </c>
      <c r="AU1463" s="90">
        <v>122.34610000000001</v>
      </c>
      <c r="AV1463" s="90">
        <v>29.980097104460299</v>
      </c>
      <c r="AW1463" s="90">
        <v>45.821132640735499</v>
      </c>
      <c r="AX1463" s="90">
        <v>0.37214694679999999</v>
      </c>
    </row>
    <row r="1464" spans="1:50" x14ac:dyDescent="0.25">
      <c r="A1464" s="102">
        <v>830000</v>
      </c>
      <c r="B1464" s="102">
        <v>2400000</v>
      </c>
      <c r="C1464" s="102">
        <v>2400000</v>
      </c>
      <c r="D1464" s="90" t="s">
        <v>374</v>
      </c>
      <c r="E1464" s="90" t="s">
        <v>68</v>
      </c>
      <c r="F1464" s="90" t="s">
        <v>375</v>
      </c>
      <c r="G1464" s="90" t="s">
        <v>376</v>
      </c>
      <c r="H1464" s="90">
        <v>0.59</v>
      </c>
      <c r="I1464" s="90">
        <v>0.64</v>
      </c>
      <c r="J1464" s="90" t="s">
        <v>244</v>
      </c>
      <c r="K1464" s="90">
        <v>6.538104868057E-2</v>
      </c>
      <c r="L1464" s="90">
        <v>3695.1423574092</v>
      </c>
      <c r="M1464" s="90">
        <v>9.8302641178760695</v>
      </c>
      <c r="N1464" s="90">
        <v>1.5843568761889899</v>
      </c>
      <c r="O1464" s="90">
        <v>0.64271297683371997</v>
      </c>
      <c r="P1464" s="90">
        <v>0.10358691404951</v>
      </c>
      <c r="Q1464" s="90">
        <v>241.592282351411</v>
      </c>
      <c r="R1464" s="90">
        <v>1210</v>
      </c>
      <c r="S1464" s="90" t="s">
        <v>385</v>
      </c>
      <c r="T1464" s="90">
        <v>1210</v>
      </c>
      <c r="U1464" s="90" t="s">
        <v>378</v>
      </c>
      <c r="V1464" s="90" t="s">
        <v>244</v>
      </c>
      <c r="Z1464" s="90">
        <v>0</v>
      </c>
      <c r="AA1464" s="90">
        <v>1</v>
      </c>
      <c r="AB1464" s="90">
        <v>0.64271297683371997</v>
      </c>
      <c r="AC1464" s="90">
        <v>0.10358691404951</v>
      </c>
      <c r="AD1464" s="90">
        <v>241.59228235140901</v>
      </c>
      <c r="AF1464" s="90">
        <v>-1</v>
      </c>
      <c r="AG1464" s="90">
        <v>-1</v>
      </c>
      <c r="AH1464" s="90">
        <v>-1</v>
      </c>
      <c r="AI1464" s="90">
        <v>-1</v>
      </c>
      <c r="AJ1464" s="90">
        <v>0</v>
      </c>
      <c r="AM1464" s="90" t="s">
        <v>379</v>
      </c>
      <c r="AN1464" s="90">
        <v>-1</v>
      </c>
      <c r="AQ1464" s="90">
        <v>357</v>
      </c>
      <c r="AR1464" s="90" t="s">
        <v>405</v>
      </c>
      <c r="AS1464" s="90" t="s">
        <v>406</v>
      </c>
      <c r="AT1464" s="90" t="s">
        <v>244</v>
      </c>
      <c r="AU1464" s="90">
        <v>122.34610000000001</v>
      </c>
      <c r="AV1464" s="90">
        <v>66.676677955752993</v>
      </c>
      <c r="AW1464" s="90">
        <v>264.58771675621398</v>
      </c>
      <c r="AX1464" s="90">
        <v>0.1959385907</v>
      </c>
    </row>
    <row r="1465" spans="1:50" x14ac:dyDescent="0.25">
      <c r="A1465" s="102">
        <v>830000</v>
      </c>
      <c r="B1465" s="102">
        <v>2400000</v>
      </c>
      <c r="C1465" s="102">
        <v>2400000</v>
      </c>
      <c r="D1465" s="90" t="s">
        <v>374</v>
      </c>
      <c r="E1465" s="90" t="s">
        <v>68</v>
      </c>
      <c r="F1465" s="90" t="s">
        <v>375</v>
      </c>
      <c r="G1465" s="90" t="s">
        <v>376</v>
      </c>
      <c r="H1465" s="90">
        <v>0.59</v>
      </c>
      <c r="I1465" s="90">
        <v>0.64</v>
      </c>
      <c r="J1465" s="90" t="s">
        <v>244</v>
      </c>
      <c r="K1465" s="90">
        <v>0.11550706799076001</v>
      </c>
      <c r="L1465" s="90">
        <v>3797.17124047273</v>
      </c>
      <c r="M1465" s="90">
        <v>10.3430578904673</v>
      </c>
      <c r="N1465" s="90">
        <v>1.79787431667743</v>
      </c>
      <c r="O1465" s="90">
        <v>1.1946962909866301</v>
      </c>
      <c r="P1465" s="90">
        <v>0.20766719093531</v>
      </c>
      <c r="Q1465" s="90">
        <v>438.60011664586199</v>
      </c>
      <c r="R1465" s="90">
        <v>1300</v>
      </c>
      <c r="S1465" s="90" t="s">
        <v>387</v>
      </c>
      <c r="T1465" s="90">
        <v>1300</v>
      </c>
      <c r="U1465" s="90" t="s">
        <v>378</v>
      </c>
      <c r="V1465" s="90" t="s">
        <v>244</v>
      </c>
      <c r="Z1465" s="90">
        <v>0</v>
      </c>
      <c r="AA1465" s="90">
        <v>1</v>
      </c>
      <c r="AB1465" s="90">
        <v>1.1946962909866301</v>
      </c>
      <c r="AC1465" s="90">
        <v>0.20766719093531</v>
      </c>
      <c r="AD1465" s="90">
        <v>438.60011664586199</v>
      </c>
      <c r="AF1465" s="90">
        <v>-1</v>
      </c>
      <c r="AG1465" s="90">
        <v>-1</v>
      </c>
      <c r="AH1465" s="90">
        <v>-1</v>
      </c>
      <c r="AI1465" s="90">
        <v>-1</v>
      </c>
      <c r="AJ1465" s="90">
        <v>0</v>
      </c>
      <c r="AM1465" s="90" t="s">
        <v>379</v>
      </c>
      <c r="AN1465" s="90">
        <v>-1</v>
      </c>
      <c r="AQ1465" s="90">
        <v>357</v>
      </c>
      <c r="AR1465" s="90" t="s">
        <v>405</v>
      </c>
      <c r="AS1465" s="90" t="s">
        <v>406</v>
      </c>
      <c r="AT1465" s="90" t="s">
        <v>244</v>
      </c>
      <c r="AU1465" s="90">
        <v>122.34610000000001</v>
      </c>
      <c r="AV1465" s="90">
        <v>87.512172458455396</v>
      </c>
      <c r="AW1465" s="90">
        <v>467.44051993102198</v>
      </c>
      <c r="AX1465" s="90">
        <v>0.35571785620000002</v>
      </c>
    </row>
    <row r="1466" spans="1:50" x14ac:dyDescent="0.25">
      <c r="A1466" s="102">
        <v>830000</v>
      </c>
      <c r="B1466" s="102">
        <v>2400000</v>
      </c>
      <c r="C1466" s="102">
        <v>2400000</v>
      </c>
      <c r="D1466" s="90" t="s">
        <v>374</v>
      </c>
      <c r="E1466" s="90" t="s">
        <v>68</v>
      </c>
      <c r="F1466" s="90" t="s">
        <v>375</v>
      </c>
      <c r="G1466" s="90" t="s">
        <v>376</v>
      </c>
      <c r="H1466" s="90">
        <v>0.59</v>
      </c>
      <c r="I1466" s="90">
        <v>0.64</v>
      </c>
      <c r="J1466" s="90" t="s">
        <v>244</v>
      </c>
      <c r="K1466" s="90">
        <v>2.2130884896200001E-3</v>
      </c>
      <c r="L1466" s="90">
        <v>3797.17124047273</v>
      </c>
      <c r="M1466" s="90">
        <v>10.3430578904673</v>
      </c>
      <c r="N1466" s="90">
        <v>1.79787431667743</v>
      </c>
      <c r="O1466" s="90">
        <v>2.2890102364859999E-2</v>
      </c>
      <c r="P1466" s="90">
        <v>3.9788549560199997E-3</v>
      </c>
      <c r="Q1466" s="90">
        <v>8.4034759654063098</v>
      </c>
      <c r="R1466" s="90">
        <v>1400</v>
      </c>
      <c r="S1466" s="90" t="s">
        <v>324</v>
      </c>
      <c r="T1466" s="90">
        <v>1400</v>
      </c>
      <c r="U1466" s="90" t="s">
        <v>378</v>
      </c>
      <c r="V1466" s="90" t="s">
        <v>244</v>
      </c>
      <c r="Z1466" s="90">
        <v>0</v>
      </c>
      <c r="AA1466" s="90">
        <v>1</v>
      </c>
      <c r="AB1466" s="90">
        <v>2.2890102364859999E-2</v>
      </c>
      <c r="AC1466" s="90">
        <v>3.9788549560199997E-3</v>
      </c>
      <c r="AD1466" s="90">
        <v>8.4034759654050593</v>
      </c>
      <c r="AF1466" s="90">
        <v>-1</v>
      </c>
      <c r="AG1466" s="90">
        <v>-1</v>
      </c>
      <c r="AH1466" s="90">
        <v>-1</v>
      </c>
      <c r="AI1466" s="90">
        <v>-1</v>
      </c>
      <c r="AJ1466" s="90">
        <v>0</v>
      </c>
      <c r="AM1466" s="90" t="s">
        <v>379</v>
      </c>
      <c r="AN1466" s="90">
        <v>-1</v>
      </c>
      <c r="AQ1466" s="90">
        <v>357</v>
      </c>
      <c r="AR1466" s="90" t="s">
        <v>405</v>
      </c>
      <c r="AS1466" s="90" t="s">
        <v>406</v>
      </c>
      <c r="AT1466" s="90" t="s">
        <v>244</v>
      </c>
      <c r="AU1466" s="90">
        <v>122.34610000000001</v>
      </c>
      <c r="AV1466" s="90">
        <v>17.956028291087499</v>
      </c>
      <c r="AW1466" s="90">
        <v>8.9560513675568796</v>
      </c>
      <c r="AX1466" s="90">
        <v>6.8154712000000001E-3</v>
      </c>
    </row>
    <row r="1467" spans="1:50" x14ac:dyDescent="0.25">
      <c r="A1467" s="102">
        <v>830000</v>
      </c>
      <c r="B1467" s="102">
        <v>2400000</v>
      </c>
      <c r="C1467" s="102">
        <v>2400000</v>
      </c>
      <c r="D1467" s="90" t="s">
        <v>374</v>
      </c>
      <c r="E1467" s="90" t="s">
        <v>68</v>
      </c>
      <c r="F1467" s="90" t="s">
        <v>375</v>
      </c>
      <c r="G1467" s="90" t="s">
        <v>376</v>
      </c>
      <c r="H1467" s="90">
        <v>0.59</v>
      </c>
      <c r="I1467" s="90">
        <v>0.64</v>
      </c>
      <c r="J1467" s="90" t="s">
        <v>244</v>
      </c>
      <c r="K1467" s="90">
        <v>0.13451163031383001</v>
      </c>
      <c r="L1467" s="90">
        <v>3797.17124047273</v>
      </c>
      <c r="M1467" s="90">
        <v>10.3430578904673</v>
      </c>
      <c r="N1467" s="90">
        <v>1.79787431667743</v>
      </c>
      <c r="O1467" s="90">
        <v>1.3912615792771199</v>
      </c>
      <c r="P1467" s="90">
        <v>0.24183500543565001</v>
      </c>
      <c r="Q1467" s="90">
        <v>510.763694136791</v>
      </c>
      <c r="R1467" s="90">
        <v>1450</v>
      </c>
      <c r="S1467" s="90" t="s">
        <v>391</v>
      </c>
      <c r="T1467" s="90">
        <v>1450</v>
      </c>
      <c r="U1467" s="90" t="s">
        <v>378</v>
      </c>
      <c r="V1467" s="90" t="s">
        <v>244</v>
      </c>
      <c r="Z1467" s="90">
        <v>0</v>
      </c>
      <c r="AA1467" s="90">
        <v>1</v>
      </c>
      <c r="AB1467" s="90">
        <v>1.3912615792771199</v>
      </c>
      <c r="AC1467" s="90">
        <v>0.24183500543565001</v>
      </c>
      <c r="AD1467" s="90">
        <v>510.763694136791</v>
      </c>
      <c r="AF1467" s="90">
        <v>-1</v>
      </c>
      <c r="AG1467" s="90">
        <v>-1</v>
      </c>
      <c r="AH1467" s="90">
        <v>-1</v>
      </c>
      <c r="AI1467" s="90">
        <v>-1</v>
      </c>
      <c r="AJ1467" s="90">
        <v>0</v>
      </c>
      <c r="AM1467" s="90" t="s">
        <v>379</v>
      </c>
      <c r="AN1467" s="90">
        <v>-1</v>
      </c>
      <c r="AQ1467" s="90">
        <v>357</v>
      </c>
      <c r="AR1467" s="90" t="s">
        <v>405</v>
      </c>
      <c r="AS1467" s="90" t="s">
        <v>406</v>
      </c>
      <c r="AT1467" s="90" t="s">
        <v>244</v>
      </c>
      <c r="AU1467" s="90">
        <v>122.34610000000001</v>
      </c>
      <c r="AV1467" s="90">
        <v>93.699422570116596</v>
      </c>
      <c r="AW1467" s="90">
        <v>544.34925502303395</v>
      </c>
      <c r="AX1467" s="90">
        <v>0.414244683</v>
      </c>
    </row>
    <row r="1468" spans="1:50" x14ac:dyDescent="0.25">
      <c r="A1468" s="102">
        <v>830000</v>
      </c>
      <c r="B1468" s="102">
        <v>2400000</v>
      </c>
      <c r="C1468" s="102">
        <v>2400000</v>
      </c>
      <c r="D1468" s="90" t="s">
        <v>374</v>
      </c>
      <c r="E1468" s="90" t="s">
        <v>68</v>
      </c>
      <c r="F1468" s="90" t="s">
        <v>375</v>
      </c>
      <c r="G1468" s="90" t="s">
        <v>376</v>
      </c>
      <c r="H1468" s="90">
        <v>0.59</v>
      </c>
      <c r="I1468" s="90">
        <v>0.64</v>
      </c>
      <c r="J1468" s="90" t="s">
        <v>409</v>
      </c>
      <c r="K1468" s="90">
        <v>0.13789563761552001</v>
      </c>
      <c r="L1468" s="90">
        <v>3700.8756541463199</v>
      </c>
      <c r="M1468" s="90">
        <v>10.657728230025899</v>
      </c>
      <c r="N1468" s="90">
        <v>2.0546872410841801</v>
      </c>
      <c r="O1468" s="90">
        <v>1.46965422981243</v>
      </c>
      <c r="P1468" s="90">
        <v>0.28333240720979003</v>
      </c>
      <c r="Q1468" s="90">
        <v>510.33460806429099</v>
      </c>
      <c r="R1468" s="90">
        <v>1300</v>
      </c>
      <c r="S1468" s="90" t="s">
        <v>387</v>
      </c>
      <c r="T1468" s="90">
        <v>1300</v>
      </c>
      <c r="U1468" s="90" t="s">
        <v>409</v>
      </c>
      <c r="V1468" s="90" t="s">
        <v>409</v>
      </c>
      <c r="Z1468" s="90">
        <v>0</v>
      </c>
      <c r="AA1468" s="90">
        <v>1</v>
      </c>
      <c r="AB1468" s="90">
        <v>1.46965422981243</v>
      </c>
      <c r="AC1468" s="90">
        <v>0.28333240720979003</v>
      </c>
      <c r="AD1468" s="90">
        <v>599.53781080202998</v>
      </c>
      <c r="AF1468" s="90">
        <v>-1</v>
      </c>
      <c r="AG1468" s="90">
        <v>-1</v>
      </c>
      <c r="AH1468" s="90">
        <v>-1</v>
      </c>
      <c r="AI1468" s="90">
        <v>-1</v>
      </c>
      <c r="AJ1468" s="90">
        <v>0</v>
      </c>
      <c r="AM1468" s="90" t="s">
        <v>379</v>
      </c>
      <c r="AN1468" s="90">
        <v>-1</v>
      </c>
      <c r="AQ1468" s="90">
        <v>357</v>
      </c>
      <c r="AR1468" s="90" t="s">
        <v>405</v>
      </c>
      <c r="AS1468" s="90" t="s">
        <v>406</v>
      </c>
      <c r="AT1468" s="90" t="s">
        <v>244</v>
      </c>
      <c r="AU1468" s="90">
        <v>122.34610000000001</v>
      </c>
      <c r="AV1468" s="90">
        <v>128.81925788621299</v>
      </c>
      <c r="AW1468" s="90">
        <v>558.04384670534205</v>
      </c>
      <c r="AX1468" s="90">
        <v>0.48624315559999998</v>
      </c>
    </row>
    <row r="1469" spans="1:50" x14ac:dyDescent="0.25">
      <c r="A1469" s="102">
        <v>830000</v>
      </c>
      <c r="B1469" s="102">
        <v>2400000</v>
      </c>
      <c r="C1469" s="102">
        <v>2400000</v>
      </c>
      <c r="D1469" s="90" t="s">
        <v>374</v>
      </c>
      <c r="E1469" s="90" t="s">
        <v>68</v>
      </c>
      <c r="F1469" s="90" t="s">
        <v>375</v>
      </c>
      <c r="G1469" s="90" t="s">
        <v>376</v>
      </c>
      <c r="H1469" s="90">
        <v>0.59</v>
      </c>
      <c r="I1469" s="90">
        <v>0.64</v>
      </c>
      <c r="J1469" s="90" t="s">
        <v>244</v>
      </c>
      <c r="K1469" s="90">
        <v>8.1898682268460005E-2</v>
      </c>
      <c r="L1469" s="90">
        <v>3700.8756541463199</v>
      </c>
      <c r="M1469" s="90">
        <v>10.657728230025899</v>
      </c>
      <c r="N1469" s="90">
        <v>2.0546872410841801</v>
      </c>
      <c r="O1469" s="90">
        <v>0.87285389801455004</v>
      </c>
      <c r="P1469" s="90">
        <v>0.16827617751862001</v>
      </c>
      <c r="Q1469" s="90">
        <v>303.096839314031</v>
      </c>
      <c r="R1469" s="90">
        <v>1300</v>
      </c>
      <c r="S1469" s="90" t="s">
        <v>387</v>
      </c>
      <c r="T1469" s="90">
        <v>1300</v>
      </c>
      <c r="U1469" s="90" t="s">
        <v>378</v>
      </c>
      <c r="V1469" s="90" t="s">
        <v>244</v>
      </c>
      <c r="Z1469" s="90">
        <v>0</v>
      </c>
      <c r="AA1469" s="90">
        <v>1</v>
      </c>
      <c r="AB1469" s="90">
        <v>0.87285389801455004</v>
      </c>
      <c r="AC1469" s="90">
        <v>0.16827617751862001</v>
      </c>
      <c r="AD1469" s="90">
        <v>452.78258252148999</v>
      </c>
      <c r="AF1469" s="90">
        <v>-1</v>
      </c>
      <c r="AG1469" s="90">
        <v>-1</v>
      </c>
      <c r="AH1469" s="90">
        <v>-1</v>
      </c>
      <c r="AI1469" s="90">
        <v>-1</v>
      </c>
      <c r="AJ1469" s="90">
        <v>0</v>
      </c>
      <c r="AM1469" s="90" t="s">
        <v>379</v>
      </c>
      <c r="AN1469" s="90">
        <v>-1</v>
      </c>
      <c r="AQ1469" s="90">
        <v>357</v>
      </c>
      <c r="AR1469" s="90" t="s">
        <v>405</v>
      </c>
      <c r="AS1469" s="90" t="s">
        <v>406</v>
      </c>
      <c r="AT1469" s="90" t="s">
        <v>244</v>
      </c>
      <c r="AU1469" s="90">
        <v>122.34610000000001</v>
      </c>
      <c r="AV1469" s="90">
        <v>75.1562976428702</v>
      </c>
      <c r="AW1469" s="90">
        <v>331.43220832423901</v>
      </c>
      <c r="AX1469" s="90">
        <v>0.36722026159999999</v>
      </c>
    </row>
    <row r="1470" spans="1:50" x14ac:dyDescent="0.25">
      <c r="A1470" s="102">
        <v>830000</v>
      </c>
      <c r="B1470" s="102">
        <v>2400000</v>
      </c>
      <c r="C1470" s="102">
        <v>2400000</v>
      </c>
      <c r="D1470" s="90" t="s">
        <v>374</v>
      </c>
      <c r="E1470" s="90" t="s">
        <v>68</v>
      </c>
      <c r="F1470" s="90" t="s">
        <v>375</v>
      </c>
      <c r="G1470" s="90" t="s">
        <v>376</v>
      </c>
      <c r="H1470" s="90">
        <v>0.59</v>
      </c>
      <c r="I1470" s="90">
        <v>0.64</v>
      </c>
      <c r="J1470" s="90" t="s">
        <v>244</v>
      </c>
      <c r="K1470" s="90">
        <v>0.61776345378298003</v>
      </c>
      <c r="L1470" s="90">
        <v>3865.4002879466898</v>
      </c>
      <c r="M1470" s="90">
        <v>8.7500976540329507</v>
      </c>
      <c r="N1470" s="90">
        <v>1.1861977173164799</v>
      </c>
      <c r="O1470" s="90">
        <v>5.40549054769376</v>
      </c>
      <c r="P1470" s="90">
        <v>0.73278959871891003</v>
      </c>
      <c r="Q1470" s="90">
        <v>2387.9030321356699</v>
      </c>
      <c r="R1470" s="90">
        <v>1450</v>
      </c>
      <c r="S1470" s="90" t="s">
        <v>391</v>
      </c>
      <c r="T1470" s="90">
        <v>1450</v>
      </c>
      <c r="U1470" s="90" t="s">
        <v>378</v>
      </c>
      <c r="V1470" s="90" t="s">
        <v>244</v>
      </c>
      <c r="Z1470" s="90">
        <v>0</v>
      </c>
      <c r="AA1470" s="90">
        <v>1</v>
      </c>
      <c r="AB1470" s="90">
        <v>5.40549054769376</v>
      </c>
      <c r="AC1470" s="90">
        <v>0.73278959871891003</v>
      </c>
      <c r="AD1470" s="90">
        <v>2387.9030321356699</v>
      </c>
      <c r="AF1470" s="90">
        <v>-1</v>
      </c>
      <c r="AG1470" s="90">
        <v>-1</v>
      </c>
      <c r="AH1470" s="90">
        <v>-1</v>
      </c>
      <c r="AI1470" s="90">
        <v>-1</v>
      </c>
      <c r="AJ1470" s="90">
        <v>0</v>
      </c>
      <c r="AM1470" s="90" t="s">
        <v>379</v>
      </c>
      <c r="AN1470" s="90">
        <v>-1</v>
      </c>
      <c r="AQ1470" s="90">
        <v>357</v>
      </c>
      <c r="AR1470" s="90" t="s">
        <v>405</v>
      </c>
      <c r="AS1470" s="90" t="s">
        <v>406</v>
      </c>
      <c r="AT1470" s="90" t="s">
        <v>244</v>
      </c>
      <c r="AU1470" s="90">
        <v>122.34610000000001</v>
      </c>
      <c r="AV1470" s="90">
        <v>200.000000018626</v>
      </c>
      <c r="AW1470" s="90">
        <v>2500.0000004656599</v>
      </c>
      <c r="AX1470" s="90">
        <v>1.9366610154999999</v>
      </c>
    </row>
    <row r="1471" spans="1:50" x14ac:dyDescent="0.25">
      <c r="A1471" s="102">
        <v>830000</v>
      </c>
      <c r="B1471" s="102">
        <v>2400000</v>
      </c>
      <c r="C1471" s="102">
        <v>2400000</v>
      </c>
      <c r="D1471" s="90" t="s">
        <v>374</v>
      </c>
      <c r="E1471" s="90" t="s">
        <v>68</v>
      </c>
      <c r="F1471" s="90" t="s">
        <v>375</v>
      </c>
      <c r="G1471" s="90" t="s">
        <v>376</v>
      </c>
      <c r="H1471" s="90">
        <v>0.59</v>
      </c>
      <c r="I1471" s="90">
        <v>0.64</v>
      </c>
      <c r="J1471" s="90" t="s">
        <v>244</v>
      </c>
      <c r="K1471" s="90">
        <v>5.5997573037330002E-2</v>
      </c>
      <c r="L1471" s="90">
        <v>3794.0452576786001</v>
      </c>
      <c r="M1471" s="90">
        <v>9.4037105086998594</v>
      </c>
      <c r="N1471" s="90">
        <v>1.56196917460546</v>
      </c>
      <c r="O1471" s="90">
        <v>0.52658496603283</v>
      </c>
      <c r="P1471" s="90">
        <v>8.7466482937020001E-2</v>
      </c>
      <c r="Q1471" s="90">
        <v>212.45732642379599</v>
      </c>
      <c r="R1471" s="90">
        <v>1300</v>
      </c>
      <c r="S1471" s="90" t="s">
        <v>387</v>
      </c>
      <c r="T1471" s="90">
        <v>1300</v>
      </c>
      <c r="U1471" s="90" t="s">
        <v>378</v>
      </c>
      <c r="V1471" s="90" t="s">
        <v>244</v>
      </c>
      <c r="Z1471" s="90">
        <v>0</v>
      </c>
      <c r="AA1471" s="90">
        <v>1</v>
      </c>
      <c r="AB1471" s="90">
        <v>0.52658496603283</v>
      </c>
      <c r="AC1471" s="90">
        <v>8.7466482937020001E-2</v>
      </c>
      <c r="AD1471" s="90">
        <v>673.07788909973499</v>
      </c>
      <c r="AF1471" s="90">
        <v>-1</v>
      </c>
      <c r="AG1471" s="90">
        <v>-1</v>
      </c>
      <c r="AH1471" s="90">
        <v>-1</v>
      </c>
      <c r="AI1471" s="90">
        <v>-1</v>
      </c>
      <c r="AJ1471" s="90">
        <v>0</v>
      </c>
      <c r="AM1471" s="90" t="s">
        <v>379</v>
      </c>
      <c r="AN1471" s="90">
        <v>-1</v>
      </c>
      <c r="AQ1471" s="90">
        <v>357</v>
      </c>
      <c r="AR1471" s="90" t="s">
        <v>405</v>
      </c>
      <c r="AS1471" s="90" t="s">
        <v>406</v>
      </c>
      <c r="AT1471" s="90" t="s">
        <v>244</v>
      </c>
      <c r="AU1471" s="90">
        <v>122.34610000000001</v>
      </c>
      <c r="AV1471" s="90">
        <v>60.866357128643799</v>
      </c>
      <c r="AW1471" s="90">
        <v>226.61413808493501</v>
      </c>
      <c r="AX1471" s="90">
        <v>0.54588636589999995</v>
      </c>
    </row>
    <row r="1472" spans="1:50" x14ac:dyDescent="0.25">
      <c r="A1472" s="102">
        <v>830000</v>
      </c>
      <c r="B1472" s="102">
        <v>2400000</v>
      </c>
      <c r="C1472" s="102">
        <v>2400000</v>
      </c>
      <c r="D1472" s="90" t="s">
        <v>374</v>
      </c>
      <c r="E1472" s="90" t="s">
        <v>68</v>
      </c>
      <c r="F1472" s="90" t="s">
        <v>375</v>
      </c>
      <c r="G1472" s="90" t="s">
        <v>376</v>
      </c>
      <c r="H1472" s="90">
        <v>0.59</v>
      </c>
      <c r="I1472" s="90">
        <v>0.64</v>
      </c>
      <c r="J1472" s="90" t="s">
        <v>244</v>
      </c>
      <c r="K1472" s="90">
        <v>9.7218670999450002E-2</v>
      </c>
      <c r="L1472" s="90">
        <v>3794.0452576786001</v>
      </c>
      <c r="M1472" s="90">
        <v>9.4037105086998594</v>
      </c>
      <c r="N1472" s="90">
        <v>1.56196917460546</v>
      </c>
      <c r="O1472" s="90">
        <v>0.91421623811943997</v>
      </c>
      <c r="P1472" s="90">
        <v>0.15185256729725999</v>
      </c>
      <c r="Q1472" s="90">
        <v>368.85203766331301</v>
      </c>
      <c r="R1472" s="90">
        <v>1450</v>
      </c>
      <c r="S1472" s="90" t="s">
        <v>391</v>
      </c>
      <c r="T1472" s="90">
        <v>1450</v>
      </c>
      <c r="U1472" s="90" t="s">
        <v>378</v>
      </c>
      <c r="V1472" s="90" t="s">
        <v>244</v>
      </c>
      <c r="Z1472" s="90">
        <v>0</v>
      </c>
      <c r="AA1472" s="90">
        <v>1</v>
      </c>
      <c r="AB1472" s="90">
        <v>0.91421623811943997</v>
      </c>
      <c r="AC1472" s="90">
        <v>0.15185256729725999</v>
      </c>
      <c r="AD1472" s="90">
        <v>881.95060924183997</v>
      </c>
      <c r="AF1472" s="90">
        <v>-1</v>
      </c>
      <c r="AG1472" s="90">
        <v>-1</v>
      </c>
      <c r="AH1472" s="90">
        <v>-1</v>
      </c>
      <c r="AI1472" s="90">
        <v>-1</v>
      </c>
      <c r="AJ1472" s="90">
        <v>0</v>
      </c>
      <c r="AM1472" s="90" t="s">
        <v>379</v>
      </c>
      <c r="AN1472" s="90">
        <v>-1</v>
      </c>
      <c r="AQ1472" s="90">
        <v>357</v>
      </c>
      <c r="AR1472" s="90" t="s">
        <v>405</v>
      </c>
      <c r="AS1472" s="90" t="s">
        <v>406</v>
      </c>
      <c r="AT1472" s="90" t="s">
        <v>244</v>
      </c>
      <c r="AU1472" s="90">
        <v>122.34610000000001</v>
      </c>
      <c r="AV1472" s="90">
        <v>89.430288643612499</v>
      </c>
      <c r="AW1472" s="90">
        <v>393.43000311135302</v>
      </c>
      <c r="AX1472" s="90">
        <v>0.71528840979999997</v>
      </c>
    </row>
    <row r="1473" spans="1:50" x14ac:dyDescent="0.25">
      <c r="A1473" s="102">
        <v>830000</v>
      </c>
      <c r="B1473" s="102">
        <v>2400000</v>
      </c>
      <c r="C1473" s="102">
        <v>2400000</v>
      </c>
      <c r="D1473" s="90" t="s">
        <v>374</v>
      </c>
      <c r="E1473" s="90" t="s">
        <v>68</v>
      </c>
      <c r="F1473" s="90" t="s">
        <v>375</v>
      </c>
      <c r="G1473" s="90" t="s">
        <v>376</v>
      </c>
      <c r="H1473" s="90">
        <v>0.59</v>
      </c>
      <c r="I1473" s="90">
        <v>0.64</v>
      </c>
      <c r="J1473" s="90" t="s">
        <v>244</v>
      </c>
      <c r="K1473" s="90">
        <v>4.2470486936660001E-2</v>
      </c>
      <c r="L1473" s="90">
        <v>3738.3108026688601</v>
      </c>
      <c r="M1473" s="90">
        <v>11.492031981327701</v>
      </c>
      <c r="N1473" s="90">
        <v>1.51717807310137</v>
      </c>
      <c r="O1473" s="90">
        <v>0.48807219413870001</v>
      </c>
      <c r="P1473" s="90">
        <v>6.4435291534240005E-2</v>
      </c>
      <c r="Q1473" s="90">
        <v>158.76788010993801</v>
      </c>
      <c r="R1473" s="90">
        <v>1400</v>
      </c>
      <c r="S1473" s="90" t="s">
        <v>324</v>
      </c>
      <c r="T1473" s="90">
        <v>1400</v>
      </c>
      <c r="U1473" s="90" t="s">
        <v>378</v>
      </c>
      <c r="V1473" s="90" t="s">
        <v>244</v>
      </c>
      <c r="Z1473" s="90">
        <v>0</v>
      </c>
      <c r="AA1473" s="90">
        <v>1</v>
      </c>
      <c r="AB1473" s="90">
        <v>0.48807219413870001</v>
      </c>
      <c r="AC1473" s="90">
        <v>6.4435291534240005E-2</v>
      </c>
      <c r="AD1473" s="90">
        <v>182.44056322639699</v>
      </c>
      <c r="AF1473" s="90">
        <v>-1</v>
      </c>
      <c r="AG1473" s="90">
        <v>-1</v>
      </c>
      <c r="AH1473" s="90">
        <v>-1</v>
      </c>
      <c r="AI1473" s="90">
        <v>-1</v>
      </c>
      <c r="AJ1473" s="90">
        <v>0</v>
      </c>
      <c r="AM1473" s="90" t="s">
        <v>379</v>
      </c>
      <c r="AN1473" s="90">
        <v>-1</v>
      </c>
      <c r="AQ1473" s="90">
        <v>357</v>
      </c>
      <c r="AR1473" s="90" t="s">
        <v>405</v>
      </c>
      <c r="AS1473" s="90" t="s">
        <v>406</v>
      </c>
      <c r="AT1473" s="90" t="s">
        <v>244</v>
      </c>
      <c r="AU1473" s="90">
        <v>122.34610000000001</v>
      </c>
      <c r="AV1473" s="90">
        <v>93.195286170890597</v>
      </c>
      <c r="AW1473" s="90">
        <v>171.871962822092</v>
      </c>
      <c r="AX1473" s="90">
        <v>0.14796477150000001</v>
      </c>
    </row>
    <row r="1474" spans="1:50" x14ac:dyDescent="0.25">
      <c r="A1474" s="102">
        <v>830000</v>
      </c>
      <c r="B1474" s="102">
        <v>2400000</v>
      </c>
      <c r="C1474" s="102">
        <v>2400000</v>
      </c>
      <c r="D1474" s="90" t="s">
        <v>374</v>
      </c>
      <c r="E1474" s="90" t="s">
        <v>68</v>
      </c>
      <c r="F1474" s="90" t="s">
        <v>375</v>
      </c>
      <c r="G1474" s="90" t="s">
        <v>376</v>
      </c>
      <c r="H1474" s="90">
        <v>0.59</v>
      </c>
      <c r="I1474" s="90">
        <v>0.64</v>
      </c>
      <c r="J1474" s="90" t="s">
        <v>244</v>
      </c>
      <c r="K1474" s="90">
        <v>1.5284632147899999E-3</v>
      </c>
      <c r="L1474" s="90">
        <v>3738.3108026688601</v>
      </c>
      <c r="M1474" s="90">
        <v>11.492031981327701</v>
      </c>
      <c r="N1474" s="90">
        <v>1.51717807310137</v>
      </c>
      <c r="O1474" s="90">
        <v>1.7565148146729999E-2</v>
      </c>
      <c r="P1474" s="90">
        <v>2.31895087503E-3</v>
      </c>
      <c r="Q1474" s="90">
        <v>5.7138705473576001</v>
      </c>
      <c r="R1474" s="90">
        <v>1410</v>
      </c>
      <c r="S1474" s="90" t="s">
        <v>325</v>
      </c>
      <c r="T1474" s="90">
        <v>1410</v>
      </c>
      <c r="U1474" s="90" t="s">
        <v>378</v>
      </c>
      <c r="V1474" s="90" t="s">
        <v>244</v>
      </c>
      <c r="Z1474" s="90">
        <v>0</v>
      </c>
      <c r="AA1474" s="90">
        <v>1</v>
      </c>
      <c r="AB1474" s="90">
        <v>1.7565148146729999E-2</v>
      </c>
      <c r="AC1474" s="90">
        <v>2.31895087503E-3</v>
      </c>
      <c r="AD1474" s="90">
        <v>12.952561359687801</v>
      </c>
      <c r="AF1474" s="90">
        <v>-1</v>
      </c>
      <c r="AG1474" s="90">
        <v>-1</v>
      </c>
      <c r="AH1474" s="90">
        <v>-1</v>
      </c>
      <c r="AI1474" s="90">
        <v>-1</v>
      </c>
      <c r="AJ1474" s="90">
        <v>0</v>
      </c>
      <c r="AM1474" s="90" t="s">
        <v>379</v>
      </c>
      <c r="AN1474" s="90">
        <v>-1</v>
      </c>
      <c r="AQ1474" s="90">
        <v>357</v>
      </c>
      <c r="AR1474" s="90" t="s">
        <v>405</v>
      </c>
      <c r="AS1474" s="90" t="s">
        <v>406</v>
      </c>
      <c r="AT1474" s="90" t="s">
        <v>244</v>
      </c>
      <c r="AU1474" s="90">
        <v>122.34610000000001</v>
      </c>
      <c r="AV1474" s="90">
        <v>45.851433237209299</v>
      </c>
      <c r="AW1474" s="90">
        <v>6.1854711772021096</v>
      </c>
      <c r="AX1474" s="90">
        <v>1.05049159E-2</v>
      </c>
    </row>
    <row r="1475" spans="1:50" x14ac:dyDescent="0.25">
      <c r="A1475" s="102">
        <v>830000</v>
      </c>
      <c r="B1475" s="102">
        <v>2400000</v>
      </c>
      <c r="C1475" s="102">
        <v>2400000</v>
      </c>
      <c r="D1475" s="90" t="s">
        <v>374</v>
      </c>
      <c r="E1475" s="90" t="s">
        <v>68</v>
      </c>
      <c r="F1475" s="90" t="s">
        <v>375</v>
      </c>
      <c r="G1475" s="90" t="s">
        <v>376</v>
      </c>
      <c r="H1475" s="90">
        <v>0.59</v>
      </c>
      <c r="I1475" s="90">
        <v>0.64</v>
      </c>
      <c r="J1475" s="90" t="s">
        <v>244</v>
      </c>
      <c r="K1475" s="90">
        <v>0.45772919721923999</v>
      </c>
      <c r="L1475" s="90">
        <v>3738.3108026688601</v>
      </c>
      <c r="M1475" s="90">
        <v>11.492031981327701</v>
      </c>
      <c r="N1475" s="90">
        <v>1.51717807310137</v>
      </c>
      <c r="O1475" s="90">
        <v>5.2602385732310797</v>
      </c>
      <c r="P1475" s="90">
        <v>0.69445670143933003</v>
      </c>
      <c r="Q1475" s="90">
        <v>1711.1340026616499</v>
      </c>
      <c r="R1475" s="90">
        <v>1450</v>
      </c>
      <c r="S1475" s="90" t="s">
        <v>391</v>
      </c>
      <c r="T1475" s="90">
        <v>1450</v>
      </c>
      <c r="U1475" s="90" t="s">
        <v>378</v>
      </c>
      <c r="V1475" s="90" t="s">
        <v>244</v>
      </c>
      <c r="Z1475" s="90">
        <v>0</v>
      </c>
      <c r="AA1475" s="90">
        <v>1</v>
      </c>
      <c r="AB1475" s="90">
        <v>5.2602385732310797</v>
      </c>
      <c r="AC1475" s="90">
        <v>0.69445670143933003</v>
      </c>
      <c r="AD1475" s="90">
        <v>2113.9986677546999</v>
      </c>
      <c r="AF1475" s="90">
        <v>-1</v>
      </c>
      <c r="AG1475" s="90">
        <v>-1</v>
      </c>
      <c r="AH1475" s="90">
        <v>-1</v>
      </c>
      <c r="AI1475" s="90">
        <v>-1</v>
      </c>
      <c r="AJ1475" s="90">
        <v>0</v>
      </c>
      <c r="AM1475" s="90" t="s">
        <v>379</v>
      </c>
      <c r="AN1475" s="90">
        <v>-1</v>
      </c>
      <c r="AQ1475" s="90">
        <v>357</v>
      </c>
      <c r="AR1475" s="90" t="s">
        <v>405</v>
      </c>
      <c r="AS1475" s="90" t="s">
        <v>406</v>
      </c>
      <c r="AT1475" s="90" t="s">
        <v>244</v>
      </c>
      <c r="AU1475" s="90">
        <v>122.34610000000001</v>
      </c>
      <c r="AV1475" s="90">
        <v>172.516210236196</v>
      </c>
      <c r="AW1475" s="90">
        <v>1852.3643414866999</v>
      </c>
      <c r="AX1475" s="90">
        <v>1.7145163566999999</v>
      </c>
    </row>
    <row r="1476" spans="1:50" x14ac:dyDescent="0.25">
      <c r="A1476" s="102">
        <v>830000</v>
      </c>
      <c r="B1476" s="102">
        <v>2400000</v>
      </c>
      <c r="C1476" s="102">
        <v>2400000</v>
      </c>
      <c r="D1476" s="90" t="s">
        <v>374</v>
      </c>
      <c r="E1476" s="90" t="s">
        <v>68</v>
      </c>
      <c r="F1476" s="90" t="s">
        <v>375</v>
      </c>
      <c r="G1476" s="90" t="s">
        <v>376</v>
      </c>
      <c r="H1476" s="90">
        <v>0.59</v>
      </c>
      <c r="I1476" s="90">
        <v>0.64</v>
      </c>
      <c r="J1476" s="90" t="s">
        <v>244</v>
      </c>
      <c r="K1476" s="90">
        <v>5.9274091643600002E-3</v>
      </c>
      <c r="L1476" s="90">
        <v>3680.9217918587501</v>
      </c>
      <c r="M1476" s="90">
        <v>9.7191131614503199</v>
      </c>
      <c r="N1476" s="90">
        <v>1.61351510507424</v>
      </c>
      <c r="O1476" s="90">
        <v>5.76091604227E-2</v>
      </c>
      <c r="P1476" s="90">
        <v>9.5639642206600001E-3</v>
      </c>
      <c r="Q1476" s="90">
        <v>21.818329562381699</v>
      </c>
      <c r="R1476" s="90">
        <v>1300</v>
      </c>
      <c r="S1476" s="90" t="s">
        <v>387</v>
      </c>
      <c r="T1476" s="90">
        <v>1300</v>
      </c>
      <c r="U1476" s="90" t="s">
        <v>378</v>
      </c>
      <c r="V1476" s="90" t="s">
        <v>244</v>
      </c>
      <c r="Z1476" s="90">
        <v>0</v>
      </c>
      <c r="AA1476" s="90">
        <v>1</v>
      </c>
      <c r="AB1476" s="90">
        <v>5.76091604227E-2</v>
      </c>
      <c r="AC1476" s="90">
        <v>9.5639642206600001E-3</v>
      </c>
      <c r="AD1476" s="90">
        <v>21.818329562382502</v>
      </c>
      <c r="AF1476" s="90">
        <v>-1</v>
      </c>
      <c r="AG1476" s="90">
        <v>-1</v>
      </c>
      <c r="AH1476" s="90">
        <v>-1</v>
      </c>
      <c r="AI1476" s="90">
        <v>-1</v>
      </c>
      <c r="AJ1476" s="90">
        <v>0</v>
      </c>
      <c r="AM1476" s="90" t="s">
        <v>379</v>
      </c>
      <c r="AN1476" s="90">
        <v>-1</v>
      </c>
      <c r="AQ1476" s="90">
        <v>357</v>
      </c>
      <c r="AR1476" s="90" t="s">
        <v>405</v>
      </c>
      <c r="AS1476" s="90" t="s">
        <v>406</v>
      </c>
      <c r="AT1476" s="90" t="s">
        <v>244</v>
      </c>
      <c r="AU1476" s="90">
        <v>122.34610000000001</v>
      </c>
      <c r="AV1476" s="90">
        <v>44.259191073796103</v>
      </c>
      <c r="AW1476" s="90">
        <v>23.987373845012002</v>
      </c>
      <c r="AX1476" s="90">
        <v>1.769532E-2</v>
      </c>
    </row>
    <row r="1477" spans="1:50" x14ac:dyDescent="0.25">
      <c r="A1477" s="102">
        <v>830000</v>
      </c>
      <c r="B1477" s="102">
        <v>2400000</v>
      </c>
      <c r="C1477" s="102">
        <v>2400000</v>
      </c>
      <c r="D1477" s="90" t="s">
        <v>374</v>
      </c>
      <c r="E1477" s="90" t="s">
        <v>68</v>
      </c>
      <c r="F1477" s="90" t="s">
        <v>375</v>
      </c>
      <c r="G1477" s="90" t="s">
        <v>376</v>
      </c>
      <c r="H1477" s="90">
        <v>0.59</v>
      </c>
      <c r="I1477" s="90">
        <v>0.64</v>
      </c>
      <c r="J1477" s="90" t="s">
        <v>409</v>
      </c>
      <c r="K1477" s="90">
        <v>7.6106217767770004E-2</v>
      </c>
      <c r="L1477" s="90">
        <v>3720.1476841803901</v>
      </c>
      <c r="M1477" s="90">
        <v>11.0268863787929</v>
      </c>
      <c r="N1477" s="90">
        <v>1.8207175844069501</v>
      </c>
      <c r="O1477" s="90">
        <v>0.83921461604489</v>
      </c>
      <c r="P1477" s="90">
        <v>0.13856792897247999</v>
      </c>
      <c r="Q1477" s="90">
        <v>283.12636978050602</v>
      </c>
      <c r="R1477" s="90">
        <v>1300</v>
      </c>
      <c r="S1477" s="90" t="s">
        <v>387</v>
      </c>
      <c r="T1477" s="90">
        <v>1300</v>
      </c>
      <c r="U1477" s="90" t="s">
        <v>409</v>
      </c>
      <c r="V1477" s="90" t="s">
        <v>409</v>
      </c>
      <c r="Z1477" s="90">
        <v>0</v>
      </c>
      <c r="AA1477" s="90">
        <v>1</v>
      </c>
      <c r="AB1477" s="90">
        <v>0.83921461604489</v>
      </c>
      <c r="AC1477" s="90">
        <v>0.13856792897247999</v>
      </c>
      <c r="AD1477" s="90">
        <v>313.45688537193098</v>
      </c>
      <c r="AF1477" s="90">
        <v>-1</v>
      </c>
      <c r="AG1477" s="90">
        <v>-1</v>
      </c>
      <c r="AH1477" s="90">
        <v>-1</v>
      </c>
      <c r="AI1477" s="90">
        <v>-1</v>
      </c>
      <c r="AJ1477" s="90">
        <v>0</v>
      </c>
      <c r="AM1477" s="90" t="s">
        <v>379</v>
      </c>
      <c r="AN1477" s="90">
        <v>-1</v>
      </c>
      <c r="AQ1477" s="90">
        <v>357</v>
      </c>
      <c r="AR1477" s="90" t="s">
        <v>405</v>
      </c>
      <c r="AS1477" s="90" t="s">
        <v>406</v>
      </c>
      <c r="AT1477" s="90" t="s">
        <v>244</v>
      </c>
      <c r="AU1477" s="90">
        <v>122.34610000000001</v>
      </c>
      <c r="AV1477" s="90">
        <v>70.970513915020703</v>
      </c>
      <c r="AW1477" s="90">
        <v>307.99093615808101</v>
      </c>
      <c r="AX1477" s="90">
        <v>0.25422294029999998</v>
      </c>
    </row>
    <row r="1478" spans="1:50" x14ac:dyDescent="0.25">
      <c r="A1478" s="102">
        <v>830000</v>
      </c>
      <c r="B1478" s="102">
        <v>2400000</v>
      </c>
      <c r="C1478" s="102">
        <v>2400000</v>
      </c>
      <c r="D1478" s="90" t="s">
        <v>374</v>
      </c>
      <c r="E1478" s="90" t="s">
        <v>68</v>
      </c>
      <c r="F1478" s="90" t="s">
        <v>375</v>
      </c>
      <c r="G1478" s="90" t="s">
        <v>376</v>
      </c>
      <c r="H1478" s="90">
        <v>0.59</v>
      </c>
      <c r="I1478" s="90">
        <v>0.64</v>
      </c>
      <c r="J1478" s="90" t="s">
        <v>409</v>
      </c>
      <c r="K1478" s="90">
        <v>4.780251781079E-2</v>
      </c>
      <c r="L1478" s="90">
        <v>3720.1476841803901</v>
      </c>
      <c r="M1478" s="90">
        <v>11.0268863787929</v>
      </c>
      <c r="N1478" s="90">
        <v>1.8207175844069501</v>
      </c>
      <c r="O1478" s="90">
        <v>0.52711293251989999</v>
      </c>
      <c r="P1478" s="90">
        <v>8.7034884757040007E-2</v>
      </c>
      <c r="Q1478" s="90">
        <v>177.83242593183601</v>
      </c>
      <c r="R1478" s="90">
        <v>1330</v>
      </c>
      <c r="S1478" s="90" t="s">
        <v>397</v>
      </c>
      <c r="T1478" s="90">
        <v>1330</v>
      </c>
      <c r="U1478" s="90" t="s">
        <v>409</v>
      </c>
      <c r="V1478" s="90" t="s">
        <v>409</v>
      </c>
      <c r="Z1478" s="90">
        <v>0</v>
      </c>
      <c r="AA1478" s="90">
        <v>1</v>
      </c>
      <c r="AB1478" s="90">
        <v>0.52711293251989999</v>
      </c>
      <c r="AC1478" s="90">
        <v>8.7034884757040007E-2</v>
      </c>
      <c r="AD1478" s="90">
        <v>177.83242593183601</v>
      </c>
      <c r="AF1478" s="90">
        <v>-1</v>
      </c>
      <c r="AG1478" s="90">
        <v>-1</v>
      </c>
      <c r="AH1478" s="90">
        <v>-1</v>
      </c>
      <c r="AI1478" s="90">
        <v>-1</v>
      </c>
      <c r="AJ1478" s="90">
        <v>0</v>
      </c>
      <c r="AM1478" s="90" t="s">
        <v>379</v>
      </c>
      <c r="AN1478" s="90">
        <v>-1</v>
      </c>
      <c r="AQ1478" s="90">
        <v>357</v>
      </c>
      <c r="AR1478" s="90" t="s">
        <v>405</v>
      </c>
      <c r="AS1478" s="90" t="s">
        <v>406</v>
      </c>
      <c r="AT1478" s="90" t="s">
        <v>244</v>
      </c>
      <c r="AU1478" s="90">
        <v>122.34610000000001</v>
      </c>
      <c r="AV1478" s="90">
        <v>55.722609434047101</v>
      </c>
      <c r="AW1478" s="90">
        <v>193.449926209522</v>
      </c>
      <c r="AX1478" s="90">
        <v>0.1442274338</v>
      </c>
    </row>
    <row r="1479" spans="1:50" x14ac:dyDescent="0.25">
      <c r="A1479" s="102">
        <v>830000</v>
      </c>
      <c r="B1479" s="102">
        <v>2400000</v>
      </c>
      <c r="C1479" s="102">
        <v>2400000</v>
      </c>
      <c r="D1479" s="90" t="s">
        <v>374</v>
      </c>
      <c r="E1479" s="90" t="s">
        <v>68</v>
      </c>
      <c r="F1479" s="90" t="s">
        <v>375</v>
      </c>
      <c r="G1479" s="90" t="s">
        <v>376</v>
      </c>
      <c r="H1479" s="90">
        <v>0.59</v>
      </c>
      <c r="I1479" s="90">
        <v>0.64</v>
      </c>
      <c r="J1479" s="90" t="s">
        <v>409</v>
      </c>
      <c r="K1479" s="90">
        <v>2.1179977217509999E-2</v>
      </c>
      <c r="L1479" s="90">
        <v>3720.1476841803901</v>
      </c>
      <c r="M1479" s="90">
        <v>11.0268863787929</v>
      </c>
      <c r="N1479" s="90">
        <v>1.8207175844069501</v>
      </c>
      <c r="O1479" s="90">
        <v>0.23354920228289999</v>
      </c>
      <c r="P1479" s="90">
        <v>3.8562756957249998E-2</v>
      </c>
      <c r="Q1479" s="90">
        <v>78.792643196713399</v>
      </c>
      <c r="R1479" s="90">
        <v>1410</v>
      </c>
      <c r="S1479" s="90" t="s">
        <v>325</v>
      </c>
      <c r="T1479" s="90">
        <v>1410</v>
      </c>
      <c r="U1479" s="90" t="s">
        <v>409</v>
      </c>
      <c r="V1479" s="90" t="s">
        <v>409</v>
      </c>
      <c r="Z1479" s="90">
        <v>0</v>
      </c>
      <c r="AA1479" s="90">
        <v>1</v>
      </c>
      <c r="AB1479" s="90">
        <v>0.23354920228289999</v>
      </c>
      <c r="AC1479" s="90">
        <v>3.8562756957249998E-2</v>
      </c>
      <c r="AD1479" s="90">
        <v>135.086911544846</v>
      </c>
      <c r="AF1479" s="90">
        <v>-1</v>
      </c>
      <c r="AG1479" s="90">
        <v>-1</v>
      </c>
      <c r="AH1479" s="90">
        <v>-1</v>
      </c>
      <c r="AI1479" s="90">
        <v>-1</v>
      </c>
      <c r="AJ1479" s="90">
        <v>0</v>
      </c>
      <c r="AM1479" s="90" t="s">
        <v>379</v>
      </c>
      <c r="AN1479" s="90">
        <v>-1</v>
      </c>
      <c r="AQ1479" s="90">
        <v>357</v>
      </c>
      <c r="AR1479" s="90" t="s">
        <v>405</v>
      </c>
      <c r="AS1479" s="90" t="s">
        <v>406</v>
      </c>
      <c r="AT1479" s="90" t="s">
        <v>244</v>
      </c>
      <c r="AU1479" s="90">
        <v>122.34610000000001</v>
      </c>
      <c r="AV1479" s="90">
        <v>39.155691545059497</v>
      </c>
      <c r="AW1479" s="90">
        <v>85.712326828966297</v>
      </c>
      <c r="AX1479" s="90">
        <v>0.109559539</v>
      </c>
    </row>
    <row r="1480" spans="1:50" x14ac:dyDescent="0.25">
      <c r="A1480" s="102">
        <v>830000</v>
      </c>
      <c r="B1480" s="102">
        <v>2400000</v>
      </c>
      <c r="C1480" s="102">
        <v>2400000</v>
      </c>
      <c r="D1480" s="90" t="s">
        <v>374</v>
      </c>
      <c r="E1480" s="90" t="s">
        <v>68</v>
      </c>
      <c r="F1480" s="90" t="s">
        <v>375</v>
      </c>
      <c r="G1480" s="90" t="s">
        <v>376</v>
      </c>
      <c r="H1480" s="90">
        <v>0.59</v>
      </c>
      <c r="I1480" s="90">
        <v>0.64</v>
      </c>
      <c r="J1480" s="90" t="s">
        <v>409</v>
      </c>
      <c r="K1480" s="90">
        <v>9.6823781296999996E-4</v>
      </c>
      <c r="L1480" s="90">
        <v>3720.1476841803901</v>
      </c>
      <c r="M1480" s="90">
        <v>11.0268863787929</v>
      </c>
      <c r="N1480" s="90">
        <v>1.8207175844069501</v>
      </c>
      <c r="O1480" s="90">
        <v>1.06766483513E-2</v>
      </c>
      <c r="P1480" s="90">
        <v>1.7628876119599999E-3</v>
      </c>
      <c r="Q1480" s="90">
        <v>3.6019876576673999</v>
      </c>
      <c r="R1480" s="90">
        <v>1330</v>
      </c>
      <c r="S1480" s="90" t="s">
        <v>397</v>
      </c>
      <c r="T1480" s="90">
        <v>1330</v>
      </c>
      <c r="U1480" s="90" t="s">
        <v>409</v>
      </c>
      <c r="V1480" s="90" t="s">
        <v>409</v>
      </c>
      <c r="Z1480" s="90">
        <v>0</v>
      </c>
      <c r="AA1480" s="90">
        <v>1</v>
      </c>
      <c r="AB1480" s="90">
        <v>1.06766483513E-2</v>
      </c>
      <c r="AC1480" s="90">
        <v>1.7628876119599999E-3</v>
      </c>
      <c r="AD1480" s="90">
        <v>3.6019876576684799</v>
      </c>
      <c r="AF1480" s="90">
        <v>-1</v>
      </c>
      <c r="AG1480" s="90">
        <v>-1</v>
      </c>
      <c r="AH1480" s="90">
        <v>-1</v>
      </c>
      <c r="AI1480" s="90">
        <v>-1</v>
      </c>
      <c r="AJ1480" s="90">
        <v>0</v>
      </c>
      <c r="AM1480" s="90" t="s">
        <v>379</v>
      </c>
      <c r="AN1480" s="90">
        <v>-1</v>
      </c>
      <c r="AQ1480" s="90">
        <v>357</v>
      </c>
      <c r="AR1480" s="90" t="s">
        <v>405</v>
      </c>
      <c r="AS1480" s="90" t="s">
        <v>406</v>
      </c>
      <c r="AT1480" s="90" t="s">
        <v>244</v>
      </c>
      <c r="AU1480" s="90">
        <v>122.34610000000001</v>
      </c>
      <c r="AV1480" s="90">
        <v>22.069737389173898</v>
      </c>
      <c r="AW1480" s="90">
        <v>3.9183194118414901</v>
      </c>
      <c r="AX1480" s="90">
        <v>2.9213200999999999E-3</v>
      </c>
    </row>
    <row r="1481" spans="1:50" x14ac:dyDescent="0.25">
      <c r="A1481" s="102">
        <v>830000</v>
      </c>
      <c r="B1481" s="102">
        <v>2400000</v>
      </c>
      <c r="C1481" s="102">
        <v>2400000</v>
      </c>
      <c r="D1481" s="90" t="s">
        <v>374</v>
      </c>
      <c r="E1481" s="90" t="s">
        <v>68</v>
      </c>
      <c r="F1481" s="90" t="s">
        <v>375</v>
      </c>
      <c r="G1481" s="90" t="s">
        <v>376</v>
      </c>
      <c r="H1481" s="90">
        <v>0.59</v>
      </c>
      <c r="I1481" s="90">
        <v>0.64</v>
      </c>
      <c r="J1481" s="90" t="s">
        <v>409</v>
      </c>
      <c r="K1481" s="90">
        <v>1.30561276319E-3</v>
      </c>
      <c r="L1481" s="90">
        <v>3720.1476841803901</v>
      </c>
      <c r="M1481" s="90">
        <v>11.0268863787929</v>
      </c>
      <c r="N1481" s="90">
        <v>1.8207175844069501</v>
      </c>
      <c r="O1481" s="90">
        <v>1.439684359449E-2</v>
      </c>
      <c r="P1481" s="90">
        <v>2.3771521163799998E-3</v>
      </c>
      <c r="Q1481" s="90">
        <v>4.85707229745113</v>
      </c>
      <c r="R1481" s="90">
        <v>1410</v>
      </c>
      <c r="S1481" s="90" t="s">
        <v>325</v>
      </c>
      <c r="T1481" s="90">
        <v>1410</v>
      </c>
      <c r="U1481" s="90" t="s">
        <v>409</v>
      </c>
      <c r="V1481" s="90" t="s">
        <v>409</v>
      </c>
      <c r="Z1481" s="90">
        <v>0</v>
      </c>
      <c r="AA1481" s="90">
        <v>1</v>
      </c>
      <c r="AB1481" s="90">
        <v>1.439684359449E-2</v>
      </c>
      <c r="AC1481" s="90">
        <v>2.3771521163799998E-3</v>
      </c>
      <c r="AD1481" s="90">
        <v>6.90949317611895</v>
      </c>
      <c r="AF1481" s="90">
        <v>-1</v>
      </c>
      <c r="AG1481" s="90">
        <v>-1</v>
      </c>
      <c r="AH1481" s="90">
        <v>-1</v>
      </c>
      <c r="AI1481" s="90">
        <v>-1</v>
      </c>
      <c r="AJ1481" s="90">
        <v>0</v>
      </c>
      <c r="AM1481" s="90" t="s">
        <v>379</v>
      </c>
      <c r="AN1481" s="90">
        <v>-1</v>
      </c>
      <c r="AQ1481" s="90">
        <v>357</v>
      </c>
      <c r="AR1481" s="90" t="s">
        <v>405</v>
      </c>
      <c r="AS1481" s="90" t="s">
        <v>406</v>
      </c>
      <c r="AT1481" s="90" t="s">
        <v>244</v>
      </c>
      <c r="AU1481" s="90">
        <v>122.34610000000001</v>
      </c>
      <c r="AV1481" s="90">
        <v>18.858549575754601</v>
      </c>
      <c r="AW1481" s="90">
        <v>5.2836273959195204</v>
      </c>
      <c r="AX1481" s="90">
        <v>5.6038062999999999E-3</v>
      </c>
    </row>
    <row r="1482" spans="1:50" x14ac:dyDescent="0.25">
      <c r="A1482" s="102">
        <v>830000</v>
      </c>
      <c r="B1482" s="102">
        <v>2400000</v>
      </c>
      <c r="C1482" s="102">
        <v>2400000</v>
      </c>
      <c r="D1482" s="90" t="s">
        <v>374</v>
      </c>
      <c r="E1482" s="90" t="s">
        <v>68</v>
      </c>
      <c r="F1482" s="90" t="s">
        <v>375</v>
      </c>
      <c r="G1482" s="90" t="s">
        <v>376</v>
      </c>
      <c r="H1482" s="90">
        <v>0.59</v>
      </c>
      <c r="I1482" s="90">
        <v>0.64</v>
      </c>
      <c r="J1482" s="90" t="s">
        <v>244</v>
      </c>
      <c r="K1482" s="90">
        <v>2.7734419885420001E-2</v>
      </c>
      <c r="L1482" s="90">
        <v>3794.0452576786001</v>
      </c>
      <c r="M1482" s="90">
        <v>9.4037105086998594</v>
      </c>
      <c r="N1482" s="90">
        <v>1.56196917460546</v>
      </c>
      <c r="O1482" s="90">
        <v>0.26080645572925998</v>
      </c>
      <c r="P1482" s="90">
        <v>4.3320308936590002E-2</v>
      </c>
      <c r="Q1482" s="90">
        <v>105.225644240763</v>
      </c>
      <c r="R1482" s="90">
        <v>1300</v>
      </c>
      <c r="S1482" s="90" t="s">
        <v>387</v>
      </c>
      <c r="T1482" s="90">
        <v>1300</v>
      </c>
      <c r="U1482" s="90" t="s">
        <v>378</v>
      </c>
      <c r="V1482" s="90" t="s">
        <v>244</v>
      </c>
      <c r="Z1482" s="90">
        <v>0</v>
      </c>
      <c r="AA1482" s="90">
        <v>1</v>
      </c>
      <c r="AB1482" s="90">
        <v>0.26080645572925998</v>
      </c>
      <c r="AC1482" s="90">
        <v>4.3320308936590002E-2</v>
      </c>
      <c r="AD1482" s="90">
        <v>249.21296110723901</v>
      </c>
      <c r="AF1482" s="90">
        <v>-1</v>
      </c>
      <c r="AG1482" s="90">
        <v>-1</v>
      </c>
      <c r="AH1482" s="90">
        <v>-1</v>
      </c>
      <c r="AI1482" s="90">
        <v>-1</v>
      </c>
      <c r="AJ1482" s="90">
        <v>0</v>
      </c>
      <c r="AM1482" s="90" t="s">
        <v>379</v>
      </c>
      <c r="AN1482" s="90">
        <v>-1</v>
      </c>
      <c r="AQ1482" s="90">
        <v>357</v>
      </c>
      <c r="AR1482" s="90" t="s">
        <v>405</v>
      </c>
      <c r="AS1482" s="90" t="s">
        <v>406</v>
      </c>
      <c r="AT1482" s="90" t="s">
        <v>244</v>
      </c>
      <c r="AU1482" s="90">
        <v>122.34610000000001</v>
      </c>
      <c r="AV1482" s="90">
        <v>43.736825615806602</v>
      </c>
      <c r="AW1482" s="90">
        <v>112.237215234868</v>
      </c>
      <c r="AX1482" s="90">
        <v>0.2021191899</v>
      </c>
    </row>
    <row r="1483" spans="1:50" x14ac:dyDescent="0.25">
      <c r="A1483" s="102">
        <v>830000</v>
      </c>
      <c r="B1483" s="102">
        <v>2400000</v>
      </c>
      <c r="C1483" s="102">
        <v>2400000</v>
      </c>
      <c r="D1483" s="90" t="s">
        <v>374</v>
      </c>
      <c r="E1483" s="90" t="s">
        <v>68</v>
      </c>
      <c r="F1483" s="90" t="s">
        <v>375</v>
      </c>
      <c r="G1483" s="90" t="s">
        <v>376</v>
      </c>
      <c r="H1483" s="90">
        <v>0.59</v>
      </c>
      <c r="I1483" s="90">
        <v>0.64</v>
      </c>
      <c r="J1483" s="90" t="s">
        <v>244</v>
      </c>
      <c r="K1483" s="90">
        <v>0.14583562983817999</v>
      </c>
      <c r="L1483" s="90">
        <v>3733.7897184973399</v>
      </c>
      <c r="M1483" s="90">
        <v>10.7455024544817</v>
      </c>
      <c r="N1483" s="90">
        <v>2.0707943352648099</v>
      </c>
      <c r="O1483" s="90">
        <v>1.56707711837707</v>
      </c>
      <c r="P1483" s="90">
        <v>0.30199559614867999</v>
      </c>
      <c r="Q1483" s="90">
        <v>544.51957528038804</v>
      </c>
      <c r="R1483" s="90">
        <v>1300</v>
      </c>
      <c r="S1483" s="90" t="s">
        <v>387</v>
      </c>
      <c r="T1483" s="90">
        <v>1300</v>
      </c>
      <c r="U1483" s="90" t="s">
        <v>378</v>
      </c>
      <c r="V1483" s="90" t="s">
        <v>244</v>
      </c>
      <c r="Z1483" s="90">
        <v>0</v>
      </c>
      <c r="AA1483" s="90">
        <v>1</v>
      </c>
      <c r="AB1483" s="90">
        <v>1.56707711837707</v>
      </c>
      <c r="AC1483" s="90">
        <v>0.30199559614867999</v>
      </c>
      <c r="AD1483" s="90">
        <v>544.51957528038804</v>
      </c>
      <c r="AF1483" s="90">
        <v>-1</v>
      </c>
      <c r="AG1483" s="90">
        <v>-1</v>
      </c>
      <c r="AH1483" s="90">
        <v>-1</v>
      </c>
      <c r="AI1483" s="90">
        <v>-1</v>
      </c>
      <c r="AJ1483" s="90">
        <v>0</v>
      </c>
      <c r="AM1483" s="90" t="s">
        <v>379</v>
      </c>
      <c r="AN1483" s="90">
        <v>-1</v>
      </c>
      <c r="AQ1483" s="90">
        <v>357</v>
      </c>
      <c r="AR1483" s="90" t="s">
        <v>405</v>
      </c>
      <c r="AS1483" s="90" t="s">
        <v>406</v>
      </c>
      <c r="AT1483" s="90" t="s">
        <v>244</v>
      </c>
      <c r="AU1483" s="90">
        <v>122.34610000000001</v>
      </c>
      <c r="AV1483" s="90">
        <v>123.64232226528</v>
      </c>
      <c r="AW1483" s="90">
        <v>590.175855225394</v>
      </c>
      <c r="AX1483" s="90">
        <v>0.44162171560000002</v>
      </c>
    </row>
    <row r="1484" spans="1:50" x14ac:dyDescent="0.25">
      <c r="A1484" s="102">
        <v>830000</v>
      </c>
      <c r="B1484" s="102">
        <v>2400000</v>
      </c>
      <c r="C1484" s="102">
        <v>2400000</v>
      </c>
      <c r="D1484" s="90" t="s">
        <v>374</v>
      </c>
      <c r="E1484" s="90" t="s">
        <v>68</v>
      </c>
      <c r="F1484" s="90" t="s">
        <v>375</v>
      </c>
      <c r="G1484" s="90" t="s">
        <v>376</v>
      </c>
      <c r="H1484" s="90">
        <v>0.59</v>
      </c>
      <c r="I1484" s="90">
        <v>0.64</v>
      </c>
      <c r="J1484" s="90" t="s">
        <v>244</v>
      </c>
      <c r="K1484" s="90">
        <v>0.61724948819911996</v>
      </c>
      <c r="L1484" s="90">
        <v>3748.94196293717</v>
      </c>
      <c r="M1484" s="90">
        <v>8.1826313582309407</v>
      </c>
      <c r="N1484" s="90">
        <v>1.2738035181559</v>
      </c>
      <c r="O1484" s="90">
        <v>5.0507250179901302</v>
      </c>
      <c r="P1484" s="90">
        <v>0.78625456964797003</v>
      </c>
      <c r="Q1484" s="90">
        <v>2314.0325079111699</v>
      </c>
      <c r="R1484" s="90">
        <v>1300</v>
      </c>
      <c r="S1484" s="90" t="s">
        <v>387</v>
      </c>
      <c r="T1484" s="90">
        <v>1300</v>
      </c>
      <c r="U1484" s="90" t="s">
        <v>378</v>
      </c>
      <c r="V1484" s="90" t="s">
        <v>244</v>
      </c>
      <c r="Z1484" s="90">
        <v>0</v>
      </c>
      <c r="AA1484" s="90">
        <v>1</v>
      </c>
      <c r="AB1484" s="90">
        <v>5.0507250179901302</v>
      </c>
      <c r="AC1484" s="90">
        <v>0.78625456964797003</v>
      </c>
      <c r="AD1484" s="90">
        <v>2315.9593339344201</v>
      </c>
      <c r="AF1484" s="90">
        <v>-1</v>
      </c>
      <c r="AG1484" s="90">
        <v>-1</v>
      </c>
      <c r="AH1484" s="90">
        <v>-1</v>
      </c>
      <c r="AI1484" s="90">
        <v>-1</v>
      </c>
      <c r="AJ1484" s="90">
        <v>0</v>
      </c>
      <c r="AM1484" s="90" t="s">
        <v>379</v>
      </c>
      <c r="AN1484" s="90">
        <v>-1</v>
      </c>
      <c r="AQ1484" s="90">
        <v>357</v>
      </c>
      <c r="AR1484" s="90" t="s">
        <v>405</v>
      </c>
      <c r="AS1484" s="90" t="s">
        <v>406</v>
      </c>
      <c r="AT1484" s="90" t="s">
        <v>244</v>
      </c>
      <c r="AU1484" s="90">
        <v>122.34610000000001</v>
      </c>
      <c r="AV1484" s="90">
        <v>198.807651089594</v>
      </c>
      <c r="AW1484" s="90">
        <v>2497.9200555417201</v>
      </c>
      <c r="AX1484" s="90">
        <v>1.8783125173999999</v>
      </c>
    </row>
    <row r="1485" spans="1:50" x14ac:dyDescent="0.25">
      <c r="A1485" s="102">
        <v>830000</v>
      </c>
      <c r="B1485" s="102">
        <v>2400000</v>
      </c>
      <c r="C1485" s="102">
        <v>2400000</v>
      </c>
      <c r="D1485" s="90" t="s">
        <v>374</v>
      </c>
      <c r="E1485" s="90" t="s">
        <v>68</v>
      </c>
      <c r="F1485" s="90" t="s">
        <v>375</v>
      </c>
      <c r="G1485" s="90" t="s">
        <v>376</v>
      </c>
      <c r="H1485" s="90">
        <v>0.59</v>
      </c>
      <c r="I1485" s="90">
        <v>0.64</v>
      </c>
      <c r="J1485" s="90" t="s">
        <v>244</v>
      </c>
      <c r="K1485" s="90">
        <v>0.13250858345298</v>
      </c>
      <c r="L1485" s="90">
        <v>3753.14035942999</v>
      </c>
      <c r="M1485" s="90">
        <v>11.5356646709798</v>
      </c>
      <c r="N1485" s="90">
        <v>1.5229578154493</v>
      </c>
      <c r="O1485" s="90">
        <v>1.5285745847401999</v>
      </c>
      <c r="P1485" s="90">
        <v>0.20180498278383999</v>
      </c>
      <c r="Q1485" s="90">
        <v>497.32331252830198</v>
      </c>
      <c r="R1485" s="90">
        <v>1400</v>
      </c>
      <c r="S1485" s="90" t="s">
        <v>324</v>
      </c>
      <c r="T1485" s="90">
        <v>1400</v>
      </c>
      <c r="U1485" s="90" t="s">
        <v>378</v>
      </c>
      <c r="V1485" s="90" t="s">
        <v>244</v>
      </c>
      <c r="Z1485" s="90">
        <v>0</v>
      </c>
      <c r="AA1485" s="90">
        <v>1</v>
      </c>
      <c r="AB1485" s="90">
        <v>1.5285745847401999</v>
      </c>
      <c r="AC1485" s="90">
        <v>0.20180498278383999</v>
      </c>
      <c r="AD1485" s="90">
        <v>1076.7910467326601</v>
      </c>
      <c r="AF1485" s="90">
        <v>-1</v>
      </c>
      <c r="AG1485" s="90">
        <v>-1</v>
      </c>
      <c r="AH1485" s="90">
        <v>-1</v>
      </c>
      <c r="AI1485" s="90">
        <v>-1</v>
      </c>
      <c r="AJ1485" s="90">
        <v>0</v>
      </c>
      <c r="AM1485" s="90" t="s">
        <v>379</v>
      </c>
      <c r="AN1485" s="90">
        <v>-1</v>
      </c>
      <c r="AQ1485" s="90">
        <v>357</v>
      </c>
      <c r="AR1485" s="90" t="s">
        <v>405</v>
      </c>
      <c r="AS1485" s="90" t="s">
        <v>406</v>
      </c>
      <c r="AT1485" s="90" t="s">
        <v>244</v>
      </c>
      <c r="AU1485" s="90">
        <v>122.34610000000001</v>
      </c>
      <c r="AV1485" s="90">
        <v>141.361734708753</v>
      </c>
      <c r="AW1485" s="90">
        <v>536.24321196984795</v>
      </c>
      <c r="AX1485" s="90">
        <v>0.87330985139999995</v>
      </c>
    </row>
    <row r="1486" spans="1:50" x14ac:dyDescent="0.25">
      <c r="A1486" s="102">
        <v>830000</v>
      </c>
      <c r="B1486" s="102">
        <v>2400000</v>
      </c>
      <c r="C1486" s="102">
        <v>2400000</v>
      </c>
      <c r="D1486" s="90" t="s">
        <v>374</v>
      </c>
      <c r="E1486" s="90" t="s">
        <v>68</v>
      </c>
      <c r="F1486" s="90" t="s">
        <v>375</v>
      </c>
      <c r="G1486" s="90" t="s">
        <v>376</v>
      </c>
      <c r="H1486" s="90">
        <v>0.59</v>
      </c>
      <c r="I1486" s="90">
        <v>0.64</v>
      </c>
      <c r="J1486" s="90" t="s">
        <v>244</v>
      </c>
      <c r="K1486" s="90">
        <v>5.0242596854569999E-2</v>
      </c>
      <c r="L1486" s="90">
        <v>3753.14035942999</v>
      </c>
      <c r="M1486" s="90">
        <v>11.5356646709798</v>
      </c>
      <c r="N1486" s="90">
        <v>1.5229578154493</v>
      </c>
      <c r="O1486" s="90">
        <v>0.57958174951356001</v>
      </c>
      <c r="P1486" s="90">
        <v>7.6517355548129995E-2</v>
      </c>
      <c r="Q1486" s="90">
        <v>188.56751801746401</v>
      </c>
      <c r="R1486" s="90">
        <v>1410</v>
      </c>
      <c r="S1486" s="90" t="s">
        <v>325</v>
      </c>
      <c r="T1486" s="90">
        <v>1410</v>
      </c>
      <c r="U1486" s="90" t="s">
        <v>378</v>
      </c>
      <c r="V1486" s="90" t="s">
        <v>244</v>
      </c>
      <c r="Z1486" s="90">
        <v>0</v>
      </c>
      <c r="AA1486" s="90">
        <v>1</v>
      </c>
      <c r="AB1486" s="90">
        <v>0.57958174951356001</v>
      </c>
      <c r="AC1486" s="90">
        <v>7.6517355548129995E-2</v>
      </c>
      <c r="AD1486" s="90">
        <v>188.56751801746501</v>
      </c>
      <c r="AF1486" s="90">
        <v>-1</v>
      </c>
      <c r="AG1486" s="90">
        <v>-1</v>
      </c>
      <c r="AH1486" s="90">
        <v>-1</v>
      </c>
      <c r="AI1486" s="90">
        <v>-1</v>
      </c>
      <c r="AJ1486" s="90">
        <v>0</v>
      </c>
      <c r="AM1486" s="90" t="s">
        <v>379</v>
      </c>
      <c r="AN1486" s="90">
        <v>-1</v>
      </c>
      <c r="AQ1486" s="90">
        <v>357</v>
      </c>
      <c r="AR1486" s="90" t="s">
        <v>405</v>
      </c>
      <c r="AS1486" s="90" t="s">
        <v>406</v>
      </c>
      <c r="AT1486" s="90" t="s">
        <v>244</v>
      </c>
      <c r="AU1486" s="90">
        <v>122.34610000000001</v>
      </c>
      <c r="AV1486" s="90">
        <v>84.8773826940768</v>
      </c>
      <c r="AW1486" s="90">
        <v>203.32457575897899</v>
      </c>
      <c r="AX1486" s="90">
        <v>0.15293391570000001</v>
      </c>
    </row>
    <row r="1487" spans="1:50" x14ac:dyDescent="0.25">
      <c r="A1487" s="102">
        <v>830000</v>
      </c>
      <c r="B1487" s="102">
        <v>2400000</v>
      </c>
      <c r="C1487" s="102">
        <v>2400000</v>
      </c>
      <c r="D1487" s="90" t="s">
        <v>374</v>
      </c>
      <c r="E1487" s="90" t="s">
        <v>68</v>
      </c>
      <c r="F1487" s="90" t="s">
        <v>375</v>
      </c>
      <c r="G1487" s="90" t="s">
        <v>376</v>
      </c>
      <c r="H1487" s="90">
        <v>0.59</v>
      </c>
      <c r="I1487" s="90">
        <v>0.64</v>
      </c>
      <c r="J1487" s="90" t="s">
        <v>244</v>
      </c>
      <c r="K1487" s="90">
        <v>6.0900103441220002E-2</v>
      </c>
      <c r="L1487" s="90">
        <v>3754.4196599900602</v>
      </c>
      <c r="M1487" s="90">
        <v>11.5406116862837</v>
      </c>
      <c r="N1487" s="90">
        <v>1.5236008799999501</v>
      </c>
      <c r="O1487" s="90">
        <v>0.70282444546973</v>
      </c>
      <c r="P1487" s="90">
        <v>9.2787451195139994E-2</v>
      </c>
      <c r="Q1487" s="90">
        <v>228.64454565517801</v>
      </c>
      <c r="R1487" s="90">
        <v>1400</v>
      </c>
      <c r="S1487" s="90" t="s">
        <v>324</v>
      </c>
      <c r="T1487" s="90">
        <v>1400</v>
      </c>
      <c r="U1487" s="90" t="s">
        <v>378</v>
      </c>
      <c r="V1487" s="90" t="s">
        <v>244</v>
      </c>
      <c r="Z1487" s="90">
        <v>0</v>
      </c>
      <c r="AA1487" s="90">
        <v>1</v>
      </c>
      <c r="AB1487" s="90">
        <v>0.70282444546973</v>
      </c>
      <c r="AC1487" s="90">
        <v>9.2787451195139994E-2</v>
      </c>
      <c r="AD1487" s="90">
        <v>281.36707534409601</v>
      </c>
      <c r="AF1487" s="90">
        <v>-1</v>
      </c>
      <c r="AG1487" s="90">
        <v>-1</v>
      </c>
      <c r="AH1487" s="90">
        <v>-1</v>
      </c>
      <c r="AI1487" s="90">
        <v>-1</v>
      </c>
      <c r="AJ1487" s="90">
        <v>0</v>
      </c>
      <c r="AM1487" s="90" t="s">
        <v>379</v>
      </c>
      <c r="AN1487" s="90">
        <v>-1</v>
      </c>
      <c r="AQ1487" s="90">
        <v>357</v>
      </c>
      <c r="AR1487" s="90" t="s">
        <v>405</v>
      </c>
      <c r="AS1487" s="90" t="s">
        <v>406</v>
      </c>
      <c r="AT1487" s="90" t="s">
        <v>244</v>
      </c>
      <c r="AU1487" s="90">
        <v>122.34610000000001</v>
      </c>
      <c r="AV1487" s="90">
        <v>93.501029807941805</v>
      </c>
      <c r="AW1487" s="90">
        <v>246.453974735961</v>
      </c>
      <c r="AX1487" s="90">
        <v>0.2281971414</v>
      </c>
    </row>
    <row r="1488" spans="1:50" x14ac:dyDescent="0.25">
      <c r="A1488" s="102">
        <v>830000</v>
      </c>
      <c r="B1488" s="102">
        <v>2400000</v>
      </c>
      <c r="C1488" s="102">
        <v>2400000</v>
      </c>
      <c r="D1488" s="90" t="s">
        <v>374</v>
      </c>
      <c r="E1488" s="90" t="s">
        <v>68</v>
      </c>
      <c r="F1488" s="90" t="s">
        <v>375</v>
      </c>
      <c r="G1488" s="90" t="s">
        <v>376</v>
      </c>
      <c r="H1488" s="90">
        <v>0.59</v>
      </c>
      <c r="I1488" s="90">
        <v>0.64</v>
      </c>
      <c r="J1488" s="90" t="s">
        <v>244</v>
      </c>
      <c r="K1488" s="90">
        <v>0.22630818219241</v>
      </c>
      <c r="L1488" s="90">
        <v>3754.4196599900602</v>
      </c>
      <c r="M1488" s="90">
        <v>11.5406116862837</v>
      </c>
      <c r="N1488" s="90">
        <v>1.5236008799999501</v>
      </c>
      <c r="O1488" s="90">
        <v>2.6117348521113599</v>
      </c>
      <c r="P1488" s="90">
        <v>0.34480334553954001</v>
      </c>
      <c r="Q1488" s="90">
        <v>849.65588843979697</v>
      </c>
      <c r="R1488" s="90">
        <v>1410</v>
      </c>
      <c r="S1488" s="90" t="s">
        <v>325</v>
      </c>
      <c r="T1488" s="90">
        <v>1410</v>
      </c>
      <c r="U1488" s="90" t="s">
        <v>378</v>
      </c>
      <c r="V1488" s="90" t="s">
        <v>244</v>
      </c>
      <c r="Z1488" s="90">
        <v>0</v>
      </c>
      <c r="AA1488" s="90">
        <v>1</v>
      </c>
      <c r="AB1488" s="90">
        <v>2.6117348521113599</v>
      </c>
      <c r="AC1488" s="90">
        <v>0.34480334553954001</v>
      </c>
      <c r="AD1488" s="90">
        <v>1009.39919420763</v>
      </c>
      <c r="AF1488" s="90">
        <v>-1</v>
      </c>
      <c r="AG1488" s="90">
        <v>-1</v>
      </c>
      <c r="AH1488" s="90">
        <v>-1</v>
      </c>
      <c r="AI1488" s="90">
        <v>-1</v>
      </c>
      <c r="AJ1488" s="90">
        <v>0</v>
      </c>
      <c r="AM1488" s="90" t="s">
        <v>379</v>
      </c>
      <c r="AN1488" s="90">
        <v>-1</v>
      </c>
      <c r="AQ1488" s="90">
        <v>357</v>
      </c>
      <c r="AR1488" s="90" t="s">
        <v>405</v>
      </c>
      <c r="AS1488" s="90" t="s">
        <v>406</v>
      </c>
      <c r="AT1488" s="90" t="s">
        <v>244</v>
      </c>
      <c r="AU1488" s="90">
        <v>122.34610000000001</v>
      </c>
      <c r="AV1488" s="90">
        <v>127.526662832773</v>
      </c>
      <c r="AW1488" s="90">
        <v>915.83672054702402</v>
      </c>
      <c r="AX1488" s="90">
        <v>0.8186530367</v>
      </c>
    </row>
    <row r="1489" spans="1:50" x14ac:dyDescent="0.25">
      <c r="A1489" s="102">
        <v>830000</v>
      </c>
      <c r="B1489" s="102">
        <v>2400000</v>
      </c>
      <c r="C1489" s="102">
        <v>2400000</v>
      </c>
      <c r="D1489" s="90" t="s">
        <v>374</v>
      </c>
      <c r="E1489" s="90" t="s">
        <v>68</v>
      </c>
      <c r="F1489" s="90" t="s">
        <v>375</v>
      </c>
      <c r="G1489" s="90" t="s">
        <v>376</v>
      </c>
      <c r="H1489" s="90">
        <v>0.59</v>
      </c>
      <c r="I1489" s="90">
        <v>0.64</v>
      </c>
      <c r="J1489" s="90" t="s">
        <v>244</v>
      </c>
      <c r="K1489" s="90">
        <v>0.11383548780015</v>
      </c>
      <c r="L1489" s="90">
        <v>3754.4196599900602</v>
      </c>
      <c r="M1489" s="90">
        <v>11.5406116862837</v>
      </c>
      <c r="N1489" s="90">
        <v>1.5236008799999501</v>
      </c>
      <c r="O1489" s="90">
        <v>1.3137311608202999</v>
      </c>
      <c r="P1489" s="90">
        <v>0.17343984938754001</v>
      </c>
      <c r="Q1489" s="90">
        <v>427.38619340146801</v>
      </c>
      <c r="R1489" s="90">
        <v>1410</v>
      </c>
      <c r="S1489" s="90" t="s">
        <v>325</v>
      </c>
      <c r="T1489" s="90">
        <v>1410</v>
      </c>
      <c r="U1489" s="90" t="s">
        <v>378</v>
      </c>
      <c r="V1489" s="90" t="s">
        <v>244</v>
      </c>
      <c r="Z1489" s="90">
        <v>0</v>
      </c>
      <c r="AA1489" s="90">
        <v>1</v>
      </c>
      <c r="AB1489" s="90">
        <v>1.3137311608202999</v>
      </c>
      <c r="AC1489" s="90">
        <v>0.17343984938754001</v>
      </c>
      <c r="AD1489" s="90">
        <v>652.86821098079497</v>
      </c>
      <c r="AF1489" s="90">
        <v>-1</v>
      </c>
      <c r="AG1489" s="90">
        <v>-1</v>
      </c>
      <c r="AH1489" s="90">
        <v>-1</v>
      </c>
      <c r="AI1489" s="90">
        <v>-1</v>
      </c>
      <c r="AJ1489" s="90">
        <v>0</v>
      </c>
      <c r="AM1489" s="90" t="s">
        <v>379</v>
      </c>
      <c r="AN1489" s="90">
        <v>-1</v>
      </c>
      <c r="AQ1489" s="90">
        <v>357</v>
      </c>
      <c r="AR1489" s="90" t="s">
        <v>405</v>
      </c>
      <c r="AS1489" s="90" t="s">
        <v>406</v>
      </c>
      <c r="AT1489" s="90" t="s">
        <v>244</v>
      </c>
      <c r="AU1489" s="90">
        <v>122.34610000000001</v>
      </c>
      <c r="AV1489" s="90">
        <v>86.059929403681096</v>
      </c>
      <c r="AW1489" s="90">
        <v>460.67587490110401</v>
      </c>
      <c r="AX1489" s="90">
        <v>0.52949571039999999</v>
      </c>
    </row>
    <row r="1490" spans="1:50" x14ac:dyDescent="0.25">
      <c r="A1490" s="102">
        <v>830000</v>
      </c>
      <c r="B1490" s="102">
        <v>2400000</v>
      </c>
      <c r="C1490" s="102">
        <v>2400000</v>
      </c>
      <c r="D1490" s="90" t="s">
        <v>374</v>
      </c>
      <c r="E1490" s="90" t="s">
        <v>68</v>
      </c>
      <c r="F1490" s="90" t="s">
        <v>375</v>
      </c>
      <c r="G1490" s="90" t="s">
        <v>376</v>
      </c>
      <c r="H1490" s="90">
        <v>0.59</v>
      </c>
      <c r="I1490" s="90">
        <v>0.64</v>
      </c>
      <c r="J1490" s="90" t="s">
        <v>244</v>
      </c>
      <c r="K1490" s="90">
        <v>0.10007106527975</v>
      </c>
      <c r="L1490" s="90">
        <v>3754.4196599900602</v>
      </c>
      <c r="M1490" s="90">
        <v>11.5406116862837</v>
      </c>
      <c r="N1490" s="90">
        <v>1.5236008799999501</v>
      </c>
      <c r="O1490" s="90">
        <v>1.15488130542634</v>
      </c>
      <c r="P1490" s="90">
        <v>0.15246836312275999</v>
      </c>
      <c r="Q1490" s="90">
        <v>375.70877488244201</v>
      </c>
      <c r="R1490" s="90">
        <v>1410</v>
      </c>
      <c r="S1490" s="90" t="s">
        <v>325</v>
      </c>
      <c r="T1490" s="90">
        <v>1410</v>
      </c>
      <c r="U1490" s="90" t="s">
        <v>378</v>
      </c>
      <c r="V1490" s="90" t="s">
        <v>244</v>
      </c>
      <c r="Z1490" s="90">
        <v>0</v>
      </c>
      <c r="AA1490" s="90">
        <v>1</v>
      </c>
      <c r="AB1490" s="90">
        <v>1.15488130542634</v>
      </c>
      <c r="AC1490" s="90">
        <v>0.15246836312275999</v>
      </c>
      <c r="AD1490" s="90">
        <v>375.70877488244201</v>
      </c>
      <c r="AF1490" s="90">
        <v>-1</v>
      </c>
      <c r="AG1490" s="90">
        <v>-1</v>
      </c>
      <c r="AH1490" s="90">
        <v>-1</v>
      </c>
      <c r="AI1490" s="90">
        <v>-1</v>
      </c>
      <c r="AJ1490" s="90">
        <v>0</v>
      </c>
      <c r="AM1490" s="90" t="s">
        <v>379</v>
      </c>
      <c r="AN1490" s="90">
        <v>-1</v>
      </c>
      <c r="AQ1490" s="90">
        <v>357</v>
      </c>
      <c r="AR1490" s="90" t="s">
        <v>405</v>
      </c>
      <c r="AS1490" s="90" t="s">
        <v>406</v>
      </c>
      <c r="AT1490" s="90" t="s">
        <v>244</v>
      </c>
      <c r="AU1490" s="90">
        <v>122.34610000000001</v>
      </c>
      <c r="AV1490" s="90">
        <v>80.695384833999796</v>
      </c>
      <c r="AW1490" s="90">
        <v>404.97323322376599</v>
      </c>
      <c r="AX1490" s="90">
        <v>0.30471109070000002</v>
      </c>
    </row>
    <row r="1491" spans="1:50" x14ac:dyDescent="0.25">
      <c r="A1491" s="102">
        <v>830000</v>
      </c>
      <c r="B1491" s="102">
        <v>2400000</v>
      </c>
      <c r="C1491" s="102">
        <v>2400000</v>
      </c>
      <c r="D1491" s="90" t="s">
        <v>374</v>
      </c>
      <c r="E1491" s="90" t="s">
        <v>68</v>
      </c>
      <c r="F1491" s="90" t="s">
        <v>375</v>
      </c>
      <c r="G1491" s="90" t="s">
        <v>376</v>
      </c>
      <c r="H1491" s="90">
        <v>0.59</v>
      </c>
      <c r="I1491" s="90">
        <v>0.64</v>
      </c>
      <c r="J1491" s="90" t="s">
        <v>244</v>
      </c>
      <c r="K1491" s="90">
        <v>1.290020577753E-2</v>
      </c>
      <c r="L1491" s="90">
        <v>3687.3266176525199</v>
      </c>
      <c r="M1491" s="90">
        <v>9.9023814690627994</v>
      </c>
      <c r="N1491" s="90">
        <v>1.6976339833318399</v>
      </c>
      <c r="O1491" s="90">
        <v>0.12774275863854001</v>
      </c>
      <c r="P1491" s="90">
        <v>2.189982771991E-2</v>
      </c>
      <c r="Q1491" s="90">
        <v>47.567272136692303</v>
      </c>
      <c r="R1491" s="90">
        <v>1330</v>
      </c>
      <c r="S1491" s="90" t="s">
        <v>397</v>
      </c>
      <c r="T1491" s="90">
        <v>1330</v>
      </c>
      <c r="U1491" s="90" t="s">
        <v>378</v>
      </c>
      <c r="V1491" s="90" t="s">
        <v>244</v>
      </c>
      <c r="Z1491" s="90">
        <v>0</v>
      </c>
      <c r="AA1491" s="90">
        <v>1</v>
      </c>
      <c r="AB1491" s="90">
        <v>0.12774275863854001</v>
      </c>
      <c r="AC1491" s="90">
        <v>2.189982771991E-2</v>
      </c>
      <c r="AD1491" s="90">
        <v>47.5672721366942</v>
      </c>
      <c r="AF1491" s="90">
        <v>-1</v>
      </c>
      <c r="AG1491" s="90">
        <v>-1</v>
      </c>
      <c r="AH1491" s="90">
        <v>-1</v>
      </c>
      <c r="AI1491" s="90">
        <v>-1</v>
      </c>
      <c r="AJ1491" s="90">
        <v>0</v>
      </c>
      <c r="AM1491" s="90" t="s">
        <v>379</v>
      </c>
      <c r="AN1491" s="90">
        <v>-1</v>
      </c>
      <c r="AQ1491" s="90">
        <v>357</v>
      </c>
      <c r="AR1491" s="90" t="s">
        <v>405</v>
      </c>
      <c r="AS1491" s="90" t="s">
        <v>406</v>
      </c>
      <c r="AT1491" s="90" t="s">
        <v>244</v>
      </c>
      <c r="AU1491" s="90">
        <v>122.34610000000001</v>
      </c>
      <c r="AV1491" s="90">
        <v>57.745760963105603</v>
      </c>
      <c r="AW1491" s="90">
        <v>52.205280601093001</v>
      </c>
      <c r="AX1491" s="90">
        <v>3.8578485099999997E-2</v>
      </c>
    </row>
    <row r="1492" spans="1:50" x14ac:dyDescent="0.25">
      <c r="A1492" s="102">
        <v>830000</v>
      </c>
      <c r="B1492" s="102">
        <v>2400000</v>
      </c>
      <c r="C1492" s="102">
        <v>2400000</v>
      </c>
      <c r="D1492" s="90" t="s">
        <v>374</v>
      </c>
      <c r="E1492" s="90" t="s">
        <v>68</v>
      </c>
      <c r="F1492" s="90" t="s">
        <v>375</v>
      </c>
      <c r="G1492" s="90" t="s">
        <v>376</v>
      </c>
      <c r="H1492" s="90">
        <v>0.59</v>
      </c>
      <c r="I1492" s="90">
        <v>0.64</v>
      </c>
      <c r="J1492" s="90" t="s">
        <v>244</v>
      </c>
      <c r="K1492" s="90">
        <v>0.12345208979435</v>
      </c>
      <c r="L1492" s="90">
        <v>3687.3266176525199</v>
      </c>
      <c r="M1492" s="90">
        <v>9.9023814690627994</v>
      </c>
      <c r="N1492" s="90">
        <v>1.6976339833318399</v>
      </c>
      <c r="O1492" s="90">
        <v>1.22246968629667</v>
      </c>
      <c r="P1492" s="90">
        <v>0.20957646294821999</v>
      </c>
      <c r="Q1492" s="90">
        <v>455.20817670354802</v>
      </c>
      <c r="R1492" s="90">
        <v>1210</v>
      </c>
      <c r="S1492" s="90" t="s">
        <v>385</v>
      </c>
      <c r="T1492" s="90">
        <v>1210</v>
      </c>
      <c r="U1492" s="90" t="s">
        <v>378</v>
      </c>
      <c r="V1492" s="90" t="s">
        <v>244</v>
      </c>
      <c r="Z1492" s="90">
        <v>0</v>
      </c>
      <c r="AA1492" s="90">
        <v>1</v>
      </c>
      <c r="AB1492" s="90">
        <v>1.22246968629667</v>
      </c>
      <c r="AC1492" s="90">
        <v>0.20957646294821999</v>
      </c>
      <c r="AD1492" s="90">
        <v>455.20817670354802</v>
      </c>
      <c r="AF1492" s="90">
        <v>-1</v>
      </c>
      <c r="AG1492" s="90">
        <v>-1</v>
      </c>
      <c r="AH1492" s="90">
        <v>-1</v>
      </c>
      <c r="AI1492" s="90">
        <v>-1</v>
      </c>
      <c r="AJ1492" s="90">
        <v>0</v>
      </c>
      <c r="AM1492" s="90" t="s">
        <v>379</v>
      </c>
      <c r="AN1492" s="90">
        <v>-1</v>
      </c>
      <c r="AQ1492" s="90">
        <v>357</v>
      </c>
      <c r="AR1492" s="90" t="s">
        <v>405</v>
      </c>
      <c r="AS1492" s="90" t="s">
        <v>406</v>
      </c>
      <c r="AT1492" s="90" t="s">
        <v>244</v>
      </c>
      <c r="AU1492" s="90">
        <v>122.34610000000001</v>
      </c>
      <c r="AV1492" s="90">
        <v>89.557526088850906</v>
      </c>
      <c r="AW1492" s="90">
        <v>499.59288244297699</v>
      </c>
      <c r="AX1492" s="90">
        <v>0.3691874912</v>
      </c>
    </row>
    <row r="1493" spans="1:50" x14ac:dyDescent="0.25">
      <c r="A1493" s="102">
        <v>830000</v>
      </c>
      <c r="B1493" s="102">
        <v>2400000</v>
      </c>
      <c r="C1493" s="102">
        <v>2400000</v>
      </c>
      <c r="D1493" s="90" t="s">
        <v>374</v>
      </c>
      <c r="E1493" s="90" t="s">
        <v>68</v>
      </c>
      <c r="F1493" s="90" t="s">
        <v>375</v>
      </c>
      <c r="G1493" s="90" t="s">
        <v>376</v>
      </c>
      <c r="H1493" s="90">
        <v>0.59</v>
      </c>
      <c r="I1493" s="90">
        <v>0.64</v>
      </c>
      <c r="J1493" s="90" t="s">
        <v>244</v>
      </c>
      <c r="K1493" s="90">
        <v>0.16167699722059001</v>
      </c>
      <c r="L1493" s="90">
        <v>3687.3266176525199</v>
      </c>
      <c r="M1493" s="90">
        <v>9.9023814690627994</v>
      </c>
      <c r="N1493" s="90">
        <v>1.6976339833318399</v>
      </c>
      <c r="O1493" s="90">
        <v>1.6009873012509701</v>
      </c>
      <c r="P1493" s="90">
        <v>0.27446836480473003</v>
      </c>
      <c r="Q1493" s="90">
        <v>596.15589531364799</v>
      </c>
      <c r="R1493" s="90">
        <v>1210</v>
      </c>
      <c r="S1493" s="90" t="s">
        <v>385</v>
      </c>
      <c r="T1493" s="90">
        <v>1210</v>
      </c>
      <c r="U1493" s="90" t="s">
        <v>378</v>
      </c>
      <c r="V1493" s="90" t="s">
        <v>244</v>
      </c>
      <c r="Z1493" s="90">
        <v>0</v>
      </c>
      <c r="AA1493" s="90">
        <v>1</v>
      </c>
      <c r="AB1493" s="90">
        <v>1.6009873012509701</v>
      </c>
      <c r="AC1493" s="90">
        <v>0.27446836480473003</v>
      </c>
      <c r="AD1493" s="90">
        <v>596.15589531364799</v>
      </c>
      <c r="AF1493" s="90">
        <v>-1</v>
      </c>
      <c r="AG1493" s="90">
        <v>-1</v>
      </c>
      <c r="AH1493" s="90">
        <v>-1</v>
      </c>
      <c r="AI1493" s="90">
        <v>-1</v>
      </c>
      <c r="AJ1493" s="90">
        <v>0</v>
      </c>
      <c r="AM1493" s="90" t="s">
        <v>379</v>
      </c>
      <c r="AN1493" s="90">
        <v>-1</v>
      </c>
      <c r="AQ1493" s="90">
        <v>357</v>
      </c>
      <c r="AR1493" s="90" t="s">
        <v>405</v>
      </c>
      <c r="AS1493" s="90" t="s">
        <v>406</v>
      </c>
      <c r="AT1493" s="90" t="s">
        <v>244</v>
      </c>
      <c r="AU1493" s="90">
        <v>122.34610000000001</v>
      </c>
      <c r="AV1493" s="90">
        <v>102.494233447864</v>
      </c>
      <c r="AW1493" s="90">
        <v>654.28359455652605</v>
      </c>
      <c r="AX1493" s="90">
        <v>0.48350032059999998</v>
      </c>
    </row>
    <row r="1494" spans="1:50" x14ac:dyDescent="0.25">
      <c r="A1494" s="102">
        <v>830000</v>
      </c>
      <c r="B1494" s="102">
        <v>2400000</v>
      </c>
      <c r="C1494" s="102">
        <v>2400000</v>
      </c>
      <c r="D1494" s="90" t="s">
        <v>374</v>
      </c>
      <c r="E1494" s="90" t="s">
        <v>68</v>
      </c>
      <c r="F1494" s="90" t="s">
        <v>375</v>
      </c>
      <c r="G1494" s="90" t="s">
        <v>376</v>
      </c>
      <c r="H1494" s="90">
        <v>0.59</v>
      </c>
      <c r="I1494" s="90">
        <v>0.64</v>
      </c>
      <c r="J1494" s="90" t="s">
        <v>244</v>
      </c>
      <c r="K1494" s="90">
        <v>2.7681183053470001E-2</v>
      </c>
      <c r="L1494" s="90">
        <v>3687.3266176525199</v>
      </c>
      <c r="M1494" s="90">
        <v>9.9023814690627994</v>
      </c>
      <c r="N1494" s="90">
        <v>1.6976339833318399</v>
      </c>
      <c r="O1494" s="90">
        <v>0.27410963411048</v>
      </c>
      <c r="P1494" s="90">
        <v>4.699251705041E-2</v>
      </c>
      <c r="Q1494" s="90">
        <v>102.069563081197</v>
      </c>
      <c r="R1494" s="90">
        <v>1210</v>
      </c>
      <c r="S1494" s="90" t="s">
        <v>385</v>
      </c>
      <c r="T1494" s="90">
        <v>1210</v>
      </c>
      <c r="U1494" s="90" t="s">
        <v>378</v>
      </c>
      <c r="V1494" s="90" t="s">
        <v>244</v>
      </c>
      <c r="Z1494" s="90">
        <v>0</v>
      </c>
      <c r="AA1494" s="90">
        <v>1</v>
      </c>
      <c r="AB1494" s="90">
        <v>0.27410963411048</v>
      </c>
      <c r="AC1494" s="90">
        <v>4.699251705041E-2</v>
      </c>
      <c r="AD1494" s="90">
        <v>102.069563081198</v>
      </c>
      <c r="AF1494" s="90">
        <v>-1</v>
      </c>
      <c r="AG1494" s="90">
        <v>-1</v>
      </c>
      <c r="AH1494" s="90">
        <v>-1</v>
      </c>
      <c r="AI1494" s="90">
        <v>-1</v>
      </c>
      <c r="AJ1494" s="90">
        <v>0</v>
      </c>
      <c r="AM1494" s="90" t="s">
        <v>379</v>
      </c>
      <c r="AN1494" s="90">
        <v>-1</v>
      </c>
      <c r="AQ1494" s="90">
        <v>357</v>
      </c>
      <c r="AR1494" s="90" t="s">
        <v>405</v>
      </c>
      <c r="AS1494" s="90" t="s">
        <v>406</v>
      </c>
      <c r="AT1494" s="90" t="s">
        <v>244</v>
      </c>
      <c r="AU1494" s="90">
        <v>122.34610000000001</v>
      </c>
      <c r="AV1494" s="90">
        <v>56.151296748247802</v>
      </c>
      <c r="AW1494" s="90">
        <v>112.021773419594</v>
      </c>
      <c r="AX1494" s="90">
        <v>8.27814786E-2</v>
      </c>
    </row>
    <row r="1495" spans="1:50" x14ac:dyDescent="0.25">
      <c r="A1495" s="102">
        <v>830000</v>
      </c>
      <c r="B1495" s="102">
        <v>2400000</v>
      </c>
      <c r="C1495" s="102">
        <v>2400000</v>
      </c>
      <c r="D1495" s="90" t="s">
        <v>374</v>
      </c>
      <c r="E1495" s="90" t="s">
        <v>68</v>
      </c>
      <c r="F1495" s="90" t="s">
        <v>375</v>
      </c>
      <c r="G1495" s="90" t="s">
        <v>376</v>
      </c>
      <c r="H1495" s="90">
        <v>0.59</v>
      </c>
      <c r="I1495" s="90">
        <v>0.64</v>
      </c>
      <c r="J1495" s="90" t="s">
        <v>244</v>
      </c>
      <c r="K1495" s="90">
        <v>0.29205297789099</v>
      </c>
      <c r="L1495" s="90">
        <v>3687.3266176525199</v>
      </c>
      <c r="M1495" s="90">
        <v>9.9023814690627994</v>
      </c>
      <c r="N1495" s="90">
        <v>1.6976339833318399</v>
      </c>
      <c r="O1495" s="90">
        <v>2.8920199962523601</v>
      </c>
      <c r="P1495" s="90">
        <v>0.49579906020101</v>
      </c>
      <c r="Q1495" s="90">
        <v>1076.89471914214</v>
      </c>
      <c r="R1495" s="90">
        <v>1300</v>
      </c>
      <c r="S1495" s="90" t="s">
        <v>387</v>
      </c>
      <c r="T1495" s="90">
        <v>1300</v>
      </c>
      <c r="U1495" s="90" t="s">
        <v>378</v>
      </c>
      <c r="V1495" s="90" t="s">
        <v>244</v>
      </c>
      <c r="Z1495" s="90">
        <v>0</v>
      </c>
      <c r="AA1495" s="90">
        <v>1</v>
      </c>
      <c r="AB1495" s="90">
        <v>2.8920199962523601</v>
      </c>
      <c r="AC1495" s="90">
        <v>0.49579906020101</v>
      </c>
      <c r="AD1495" s="90">
        <v>1076.89471914214</v>
      </c>
      <c r="AF1495" s="90">
        <v>-1</v>
      </c>
      <c r="AG1495" s="90">
        <v>-1</v>
      </c>
      <c r="AH1495" s="90">
        <v>-1</v>
      </c>
      <c r="AI1495" s="90">
        <v>-1</v>
      </c>
      <c r="AJ1495" s="90">
        <v>0</v>
      </c>
      <c r="AM1495" s="90" t="s">
        <v>379</v>
      </c>
      <c r="AN1495" s="90">
        <v>-1</v>
      </c>
      <c r="AQ1495" s="90">
        <v>357</v>
      </c>
      <c r="AR1495" s="90" t="s">
        <v>405</v>
      </c>
      <c r="AS1495" s="90" t="s">
        <v>406</v>
      </c>
      <c r="AT1495" s="90" t="s">
        <v>244</v>
      </c>
      <c r="AU1495" s="90">
        <v>122.34610000000001</v>
      </c>
      <c r="AV1495" s="90">
        <v>142.984945575778</v>
      </c>
      <c r="AW1495" s="90">
        <v>1181.8964692592001</v>
      </c>
      <c r="AX1495" s="90">
        <v>0.87339393279999999</v>
      </c>
    </row>
    <row r="1496" spans="1:50" x14ac:dyDescent="0.25">
      <c r="A1496" s="102">
        <v>830000</v>
      </c>
      <c r="B1496" s="102">
        <v>2400000</v>
      </c>
      <c r="C1496" s="102">
        <v>2400000</v>
      </c>
      <c r="D1496" s="90" t="s">
        <v>374</v>
      </c>
      <c r="E1496" s="90" t="s">
        <v>68</v>
      </c>
      <c r="F1496" s="90" t="s">
        <v>375</v>
      </c>
      <c r="G1496" s="90" t="s">
        <v>376</v>
      </c>
      <c r="H1496" s="90">
        <v>0.59</v>
      </c>
      <c r="I1496" s="90">
        <v>0.64</v>
      </c>
      <c r="J1496" s="90" t="s">
        <v>244</v>
      </c>
      <c r="K1496" s="90">
        <v>0.16709502752305</v>
      </c>
      <c r="L1496" s="90">
        <v>3753.9352727463802</v>
      </c>
      <c r="M1496" s="90">
        <v>11.5380281711255</v>
      </c>
      <c r="N1496" s="90">
        <v>1.52327063826565</v>
      </c>
      <c r="O1496" s="90">
        <v>1.92794713481596</v>
      </c>
      <c r="P1496" s="90">
        <v>0.25453094922605002</v>
      </c>
      <c r="Q1496" s="90">
        <v>627.26391771930901</v>
      </c>
      <c r="R1496" s="90">
        <v>1400</v>
      </c>
      <c r="S1496" s="90" t="s">
        <v>324</v>
      </c>
      <c r="T1496" s="90">
        <v>1400</v>
      </c>
      <c r="U1496" s="90" t="s">
        <v>378</v>
      </c>
      <c r="V1496" s="90" t="s">
        <v>244</v>
      </c>
      <c r="Z1496" s="90">
        <v>0</v>
      </c>
      <c r="AA1496" s="90">
        <v>1</v>
      </c>
      <c r="AB1496" s="90">
        <v>1.92794713481596</v>
      </c>
      <c r="AC1496" s="90">
        <v>0.25453094922605002</v>
      </c>
      <c r="AD1496" s="90">
        <v>627.26391771930901</v>
      </c>
      <c r="AF1496" s="90">
        <v>-1</v>
      </c>
      <c r="AG1496" s="90">
        <v>-1</v>
      </c>
      <c r="AH1496" s="90">
        <v>-1</v>
      </c>
      <c r="AI1496" s="90">
        <v>-1</v>
      </c>
      <c r="AJ1496" s="90">
        <v>0</v>
      </c>
      <c r="AM1496" s="90" t="s">
        <v>379</v>
      </c>
      <c r="AN1496" s="90">
        <v>-1</v>
      </c>
      <c r="AQ1496" s="90">
        <v>357</v>
      </c>
      <c r="AR1496" s="90" t="s">
        <v>405</v>
      </c>
      <c r="AS1496" s="90" t="s">
        <v>406</v>
      </c>
      <c r="AT1496" s="90" t="s">
        <v>244</v>
      </c>
      <c r="AU1496" s="90">
        <v>122.34610000000001</v>
      </c>
      <c r="AV1496" s="90">
        <v>252.03487696517601</v>
      </c>
      <c r="AW1496" s="90">
        <v>676.20958528276503</v>
      </c>
      <c r="AX1496" s="90">
        <v>0.5087298603</v>
      </c>
    </row>
    <row r="1497" spans="1:50" x14ac:dyDescent="0.25">
      <c r="A1497" s="102">
        <v>830000</v>
      </c>
      <c r="B1497" s="102">
        <v>2400000</v>
      </c>
      <c r="C1497" s="102">
        <v>2400000</v>
      </c>
      <c r="D1497" s="90" t="s">
        <v>374</v>
      </c>
      <c r="E1497" s="90" t="s">
        <v>68</v>
      </c>
      <c r="F1497" s="90" t="s">
        <v>375</v>
      </c>
      <c r="G1497" s="90" t="s">
        <v>376</v>
      </c>
      <c r="H1497" s="90">
        <v>0.59</v>
      </c>
      <c r="I1497" s="90">
        <v>0.64</v>
      </c>
      <c r="J1497" s="90" t="s">
        <v>244</v>
      </c>
      <c r="K1497" s="90">
        <v>0.45066842628294002</v>
      </c>
      <c r="L1497" s="90">
        <v>3753.9352727463802</v>
      </c>
      <c r="M1497" s="90">
        <v>11.5380281711255</v>
      </c>
      <c r="N1497" s="90">
        <v>1.52327063826565</v>
      </c>
      <c r="O1497" s="90">
        <v>5.1998249982894196</v>
      </c>
      <c r="P1497" s="90">
        <v>0.68648998135019001</v>
      </c>
      <c r="Q1497" s="90">
        <v>1691.7801017366401</v>
      </c>
      <c r="R1497" s="90">
        <v>1410</v>
      </c>
      <c r="S1497" s="90" t="s">
        <v>325</v>
      </c>
      <c r="T1497" s="90">
        <v>1410</v>
      </c>
      <c r="U1497" s="90" t="s">
        <v>378</v>
      </c>
      <c r="V1497" s="90" t="s">
        <v>244</v>
      </c>
      <c r="Z1497" s="90">
        <v>0</v>
      </c>
      <c r="AA1497" s="90">
        <v>1</v>
      </c>
      <c r="AB1497" s="90">
        <v>5.1998249982894196</v>
      </c>
      <c r="AC1497" s="90">
        <v>0.68648998135019001</v>
      </c>
      <c r="AD1497" s="90">
        <v>1691.7801017366401</v>
      </c>
      <c r="AF1497" s="90">
        <v>-1</v>
      </c>
      <c r="AG1497" s="90">
        <v>-1</v>
      </c>
      <c r="AH1497" s="90">
        <v>-1</v>
      </c>
      <c r="AI1497" s="90">
        <v>-1</v>
      </c>
      <c r="AJ1497" s="90">
        <v>0</v>
      </c>
      <c r="AM1497" s="90" t="s">
        <v>379</v>
      </c>
      <c r="AN1497" s="90">
        <v>-1</v>
      </c>
      <c r="AQ1497" s="90">
        <v>357</v>
      </c>
      <c r="AR1497" s="90" t="s">
        <v>405</v>
      </c>
      <c r="AS1497" s="90" t="s">
        <v>406</v>
      </c>
      <c r="AT1497" s="90" t="s">
        <v>244</v>
      </c>
      <c r="AU1497" s="90">
        <v>122.34610000000001</v>
      </c>
      <c r="AV1497" s="90">
        <v>172.044542998265</v>
      </c>
      <c r="AW1497" s="90">
        <v>1823.79041527602</v>
      </c>
      <c r="AX1497" s="90">
        <v>1.3720844296000001</v>
      </c>
    </row>
    <row r="1498" spans="1:50" x14ac:dyDescent="0.25">
      <c r="A1498" s="102">
        <v>830000</v>
      </c>
      <c r="B1498" s="102">
        <v>2400000</v>
      </c>
      <c r="C1498" s="102">
        <v>2400000</v>
      </c>
      <c r="D1498" s="90" t="s">
        <v>374</v>
      </c>
      <c r="E1498" s="90" t="s">
        <v>68</v>
      </c>
      <c r="F1498" s="90" t="s">
        <v>375</v>
      </c>
      <c r="G1498" s="90" t="s">
        <v>376</v>
      </c>
      <c r="H1498" s="90">
        <v>0.59</v>
      </c>
      <c r="I1498" s="90">
        <v>0.64</v>
      </c>
      <c r="J1498" s="90" t="s">
        <v>244</v>
      </c>
      <c r="K1498" s="90">
        <v>7.4520355605730004E-2</v>
      </c>
      <c r="L1498" s="90">
        <v>3711.6344683201401</v>
      </c>
      <c r="M1498" s="90">
        <v>9.3419405300623204</v>
      </c>
      <c r="N1498" s="90">
        <v>1.2463148326812701</v>
      </c>
      <c r="O1498" s="90">
        <v>0.69616473034785997</v>
      </c>
      <c r="P1498" s="90">
        <v>9.2875824528100004E-2</v>
      </c>
      <c r="Q1498" s="90">
        <v>276.59232045771603</v>
      </c>
      <c r="R1498" s="90">
        <v>1400</v>
      </c>
      <c r="S1498" s="90" t="s">
        <v>324</v>
      </c>
      <c r="T1498" s="90">
        <v>1400</v>
      </c>
      <c r="U1498" s="90" t="s">
        <v>378</v>
      </c>
      <c r="V1498" s="90" t="s">
        <v>244</v>
      </c>
      <c r="Z1498" s="90">
        <v>0</v>
      </c>
      <c r="AA1498" s="90">
        <v>1</v>
      </c>
      <c r="AB1498" s="90">
        <v>0.69616473034785997</v>
      </c>
      <c r="AC1498" s="90">
        <v>9.2875824528100004E-2</v>
      </c>
      <c r="AD1498" s="90">
        <v>312.85601038960402</v>
      </c>
      <c r="AF1498" s="90">
        <v>-1</v>
      </c>
      <c r="AG1498" s="90">
        <v>-1</v>
      </c>
      <c r="AH1498" s="90">
        <v>-1</v>
      </c>
      <c r="AI1498" s="90">
        <v>-1</v>
      </c>
      <c r="AJ1498" s="90">
        <v>0</v>
      </c>
      <c r="AM1498" s="90" t="s">
        <v>379</v>
      </c>
      <c r="AN1498" s="90">
        <v>-1</v>
      </c>
      <c r="AQ1498" s="90">
        <v>357</v>
      </c>
      <c r="AR1498" s="90" t="s">
        <v>405</v>
      </c>
      <c r="AS1498" s="90" t="s">
        <v>406</v>
      </c>
      <c r="AT1498" s="90" t="s">
        <v>244</v>
      </c>
      <c r="AU1498" s="90">
        <v>122.34610000000001</v>
      </c>
      <c r="AV1498" s="90">
        <v>102.23093331106899</v>
      </c>
      <c r="AW1498" s="90">
        <v>301.57317968259599</v>
      </c>
      <c r="AX1498" s="90">
        <v>0.25373561259999999</v>
      </c>
    </row>
    <row r="1499" spans="1:50" x14ac:dyDescent="0.25">
      <c r="A1499" s="102">
        <v>830000</v>
      </c>
      <c r="B1499" s="102">
        <v>2400000</v>
      </c>
      <c r="C1499" s="102">
        <v>2400000</v>
      </c>
      <c r="D1499" s="90" t="s">
        <v>374</v>
      </c>
      <c r="E1499" s="90" t="s">
        <v>68</v>
      </c>
      <c r="F1499" s="90" t="s">
        <v>375</v>
      </c>
      <c r="G1499" s="90" t="s">
        <v>376</v>
      </c>
      <c r="H1499" s="90">
        <v>0.59</v>
      </c>
      <c r="I1499" s="90">
        <v>0.64</v>
      </c>
      <c r="J1499" s="90" t="s">
        <v>244</v>
      </c>
      <c r="K1499" s="90">
        <v>9.388644888738E-2</v>
      </c>
      <c r="L1499" s="90">
        <v>3711.6344683201401</v>
      </c>
      <c r="M1499" s="90">
        <v>9.3419405300623204</v>
      </c>
      <c r="N1499" s="90">
        <v>1.2463148326812701</v>
      </c>
      <c r="O1499" s="90">
        <v>0.87708162208465001</v>
      </c>
      <c r="P1499" s="90">
        <v>0.11701207383610999</v>
      </c>
      <c r="Q1499" s="90">
        <v>348.47217979858101</v>
      </c>
      <c r="R1499" s="90">
        <v>1890</v>
      </c>
      <c r="S1499" s="90" t="s">
        <v>408</v>
      </c>
      <c r="T1499" s="90">
        <v>1890</v>
      </c>
      <c r="U1499" s="90" t="s">
        <v>378</v>
      </c>
      <c r="V1499" s="90" t="s">
        <v>244</v>
      </c>
      <c r="Z1499" s="90">
        <v>0</v>
      </c>
      <c r="AA1499" s="90">
        <v>1</v>
      </c>
      <c r="AB1499" s="90">
        <v>0.87708162208465001</v>
      </c>
      <c r="AC1499" s="90">
        <v>0.11701207383610999</v>
      </c>
      <c r="AD1499" s="90">
        <v>388.08567486386301</v>
      </c>
      <c r="AF1499" s="90">
        <v>-1</v>
      </c>
      <c r="AG1499" s="90">
        <v>-1</v>
      </c>
      <c r="AH1499" s="90">
        <v>-1</v>
      </c>
      <c r="AI1499" s="90">
        <v>-1</v>
      </c>
      <c r="AJ1499" s="90">
        <v>0</v>
      </c>
      <c r="AM1499" s="90" t="s">
        <v>379</v>
      </c>
      <c r="AN1499" s="90">
        <v>-1</v>
      </c>
      <c r="AQ1499" s="90">
        <v>357</v>
      </c>
      <c r="AR1499" s="90" t="s">
        <v>405</v>
      </c>
      <c r="AS1499" s="90" t="s">
        <v>406</v>
      </c>
      <c r="AT1499" s="90" t="s">
        <v>244</v>
      </c>
      <c r="AU1499" s="90">
        <v>122.34610000000001</v>
      </c>
      <c r="AV1499" s="90">
        <v>106.81939628910099</v>
      </c>
      <c r="AW1499" s="90">
        <v>379.944978656226</v>
      </c>
      <c r="AX1499" s="90">
        <v>0.31474912799999999</v>
      </c>
    </row>
    <row r="1500" spans="1:50" x14ac:dyDescent="0.25">
      <c r="A1500" s="102">
        <v>830000</v>
      </c>
      <c r="B1500" s="102">
        <v>2400000</v>
      </c>
      <c r="C1500" s="102">
        <v>2400000</v>
      </c>
      <c r="D1500" s="90" t="s">
        <v>374</v>
      </c>
      <c r="E1500" s="90" t="s">
        <v>68</v>
      </c>
      <c r="F1500" s="90" t="s">
        <v>375</v>
      </c>
      <c r="G1500" s="90" t="s">
        <v>376</v>
      </c>
      <c r="H1500" s="90">
        <v>0.59</v>
      </c>
      <c r="I1500" s="90">
        <v>0.64</v>
      </c>
      <c r="J1500" s="90" t="s">
        <v>244</v>
      </c>
      <c r="K1500" s="90">
        <v>0.15815543101542001</v>
      </c>
      <c r="L1500" s="90">
        <v>3711.6344683201401</v>
      </c>
      <c r="M1500" s="90">
        <v>9.3419405300623204</v>
      </c>
      <c r="N1500" s="90">
        <v>1.2463148326812701</v>
      </c>
      <c r="O1500" s="90">
        <v>1.4774786310525101</v>
      </c>
      <c r="P1500" s="90">
        <v>0.19711145954362</v>
      </c>
      <c r="Q1500" s="90">
        <v>587.015149108895</v>
      </c>
      <c r="R1500" s="90">
        <v>1410</v>
      </c>
      <c r="S1500" s="90" t="s">
        <v>325</v>
      </c>
      <c r="T1500" s="90">
        <v>1410</v>
      </c>
      <c r="U1500" s="90" t="s">
        <v>378</v>
      </c>
      <c r="V1500" s="90" t="s">
        <v>244</v>
      </c>
      <c r="Z1500" s="90">
        <v>0</v>
      </c>
      <c r="AA1500" s="90">
        <v>1</v>
      </c>
      <c r="AB1500" s="90">
        <v>1.4774786310525101</v>
      </c>
      <c r="AC1500" s="90">
        <v>0.19711145954362</v>
      </c>
      <c r="AD1500" s="90">
        <v>684.25288724417601</v>
      </c>
      <c r="AF1500" s="90">
        <v>-1</v>
      </c>
      <c r="AG1500" s="90">
        <v>-1</v>
      </c>
      <c r="AH1500" s="90">
        <v>-1</v>
      </c>
      <c r="AI1500" s="90">
        <v>-1</v>
      </c>
      <c r="AJ1500" s="90">
        <v>0</v>
      </c>
      <c r="AM1500" s="90" t="s">
        <v>379</v>
      </c>
      <c r="AN1500" s="90">
        <v>-1</v>
      </c>
      <c r="AQ1500" s="90">
        <v>357</v>
      </c>
      <c r="AR1500" s="90" t="s">
        <v>405</v>
      </c>
      <c r="AS1500" s="90" t="s">
        <v>406</v>
      </c>
      <c r="AT1500" s="90" t="s">
        <v>244</v>
      </c>
      <c r="AU1500" s="90">
        <v>122.34610000000001</v>
      </c>
      <c r="AV1500" s="90">
        <v>116.274734119808</v>
      </c>
      <c r="AW1500" s="90">
        <v>640.03232174222899</v>
      </c>
      <c r="AX1500" s="90">
        <v>0.55494962469999998</v>
      </c>
    </row>
    <row r="1501" spans="1:50" x14ac:dyDescent="0.25">
      <c r="A1501" s="102">
        <v>830000</v>
      </c>
      <c r="B1501" s="102">
        <v>2400000</v>
      </c>
      <c r="C1501" s="102">
        <v>2400000</v>
      </c>
      <c r="D1501" s="90" t="s">
        <v>374</v>
      </c>
      <c r="E1501" s="90" t="s">
        <v>68</v>
      </c>
      <c r="F1501" s="90" t="s">
        <v>375</v>
      </c>
      <c r="G1501" s="90" t="s">
        <v>376</v>
      </c>
      <c r="H1501" s="90">
        <v>0.59</v>
      </c>
      <c r="I1501" s="90">
        <v>0.64</v>
      </c>
      <c r="J1501" s="90" t="s">
        <v>244</v>
      </c>
      <c r="K1501" s="90">
        <v>3.8717233020899998E-3</v>
      </c>
      <c r="L1501" s="90">
        <v>3736.76290362911</v>
      </c>
      <c r="M1501" s="90">
        <v>11.9252598337842</v>
      </c>
      <c r="N1501" s="90">
        <v>1.5700371911879001</v>
      </c>
      <c r="O1501" s="90">
        <v>4.6171306381960001E-2</v>
      </c>
      <c r="P1501" s="90">
        <v>6.0787495782700001E-3</v>
      </c>
      <c r="Q1501" s="90">
        <v>14.4677120083738</v>
      </c>
      <c r="R1501" s="90">
        <v>1400</v>
      </c>
      <c r="S1501" s="90" t="s">
        <v>324</v>
      </c>
      <c r="T1501" s="90">
        <v>1400</v>
      </c>
      <c r="U1501" s="90" t="s">
        <v>378</v>
      </c>
      <c r="V1501" s="90" t="s">
        <v>244</v>
      </c>
      <c r="Z1501" s="90">
        <v>0</v>
      </c>
      <c r="AA1501" s="90">
        <v>1</v>
      </c>
      <c r="AB1501" s="90">
        <v>4.6171306381960001E-2</v>
      </c>
      <c r="AC1501" s="90">
        <v>6.0787495782700001E-3</v>
      </c>
      <c r="AD1501" s="90">
        <v>627.23691749059606</v>
      </c>
      <c r="AF1501" s="90">
        <v>-1</v>
      </c>
      <c r="AG1501" s="90">
        <v>-1</v>
      </c>
      <c r="AH1501" s="90">
        <v>-1</v>
      </c>
      <c r="AI1501" s="90">
        <v>-1</v>
      </c>
      <c r="AJ1501" s="90">
        <v>0</v>
      </c>
      <c r="AM1501" s="90" t="s">
        <v>379</v>
      </c>
      <c r="AN1501" s="90">
        <v>-1</v>
      </c>
      <c r="AQ1501" s="90">
        <v>357</v>
      </c>
      <c r="AR1501" s="90" t="s">
        <v>405</v>
      </c>
      <c r="AS1501" s="90" t="s">
        <v>406</v>
      </c>
      <c r="AT1501" s="90" t="s">
        <v>244</v>
      </c>
      <c r="AU1501" s="90">
        <v>122.34610000000001</v>
      </c>
      <c r="AV1501" s="90">
        <v>36.632012861498403</v>
      </c>
      <c r="AW1501" s="90">
        <v>15.6683083108262</v>
      </c>
      <c r="AX1501" s="90">
        <v>0.50870796230000004</v>
      </c>
    </row>
    <row r="1502" spans="1:50" x14ac:dyDescent="0.25">
      <c r="A1502" s="102">
        <v>830000</v>
      </c>
      <c r="B1502" s="102">
        <v>2400000</v>
      </c>
      <c r="C1502" s="102">
        <v>2400000</v>
      </c>
      <c r="D1502" s="90" t="s">
        <v>374</v>
      </c>
      <c r="E1502" s="90" t="s">
        <v>68</v>
      </c>
      <c r="F1502" s="90" t="s">
        <v>375</v>
      </c>
      <c r="G1502" s="90" t="s">
        <v>376</v>
      </c>
      <c r="H1502" s="90">
        <v>0.59</v>
      </c>
      <c r="I1502" s="90">
        <v>0.64</v>
      </c>
      <c r="J1502" s="90" t="s">
        <v>244</v>
      </c>
      <c r="K1502" s="90">
        <v>5.4385000909569998E-2</v>
      </c>
      <c r="L1502" s="90">
        <v>3740.2262049943702</v>
      </c>
      <c r="M1502" s="90">
        <v>11.845312331822999</v>
      </c>
      <c r="N1502" s="90">
        <v>1.5603793125162699</v>
      </c>
      <c r="O1502" s="90">
        <v>0.64420732194043995</v>
      </c>
      <c r="P1502" s="90">
        <v>8.486123033048E-2</v>
      </c>
      <c r="Q1502" s="90">
        <v>203.41220556064999</v>
      </c>
      <c r="R1502" s="90">
        <v>1400</v>
      </c>
      <c r="S1502" s="90" t="s">
        <v>324</v>
      </c>
      <c r="T1502" s="90">
        <v>1400</v>
      </c>
      <c r="U1502" s="90" t="s">
        <v>378</v>
      </c>
      <c r="V1502" s="90" t="s">
        <v>244</v>
      </c>
      <c r="Z1502" s="90">
        <v>0</v>
      </c>
      <c r="AA1502" s="90">
        <v>1</v>
      </c>
      <c r="AB1502" s="90">
        <v>0.64420732194043995</v>
      </c>
      <c r="AC1502" s="90">
        <v>8.486123033048E-2</v>
      </c>
      <c r="AD1502" s="90">
        <v>817.09035543151094</v>
      </c>
      <c r="AF1502" s="90">
        <v>-1</v>
      </c>
      <c r="AG1502" s="90">
        <v>-1</v>
      </c>
      <c r="AH1502" s="90">
        <v>-1</v>
      </c>
      <c r="AI1502" s="90">
        <v>-1</v>
      </c>
      <c r="AJ1502" s="90">
        <v>0</v>
      </c>
      <c r="AM1502" s="90" t="s">
        <v>379</v>
      </c>
      <c r="AN1502" s="90">
        <v>-1</v>
      </c>
      <c r="AQ1502" s="90">
        <v>357</v>
      </c>
      <c r="AR1502" s="90" t="s">
        <v>405</v>
      </c>
      <c r="AS1502" s="90" t="s">
        <v>406</v>
      </c>
      <c r="AT1502" s="90" t="s">
        <v>244</v>
      </c>
      <c r="AU1502" s="90">
        <v>122.34610000000001</v>
      </c>
      <c r="AV1502" s="90">
        <v>109.07266003797901</v>
      </c>
      <c r="AW1502" s="90">
        <v>220.08829021315699</v>
      </c>
      <c r="AX1502" s="90">
        <v>0.66268479759999999</v>
      </c>
    </row>
    <row r="1503" spans="1:50" x14ac:dyDescent="0.25">
      <c r="A1503" s="102">
        <v>830000</v>
      </c>
      <c r="B1503" s="102">
        <v>2400000</v>
      </c>
      <c r="C1503" s="102">
        <v>2400000</v>
      </c>
      <c r="D1503" s="90" t="s">
        <v>374</v>
      </c>
      <c r="E1503" s="90" t="s">
        <v>68</v>
      </c>
      <c r="F1503" s="90" t="s">
        <v>375</v>
      </c>
      <c r="G1503" s="90" t="s">
        <v>376</v>
      </c>
      <c r="H1503" s="90">
        <v>0.59</v>
      </c>
      <c r="I1503" s="90">
        <v>0.64</v>
      </c>
      <c r="J1503" s="90" t="s">
        <v>244</v>
      </c>
      <c r="K1503" s="90">
        <v>2.4509282174259999E-2</v>
      </c>
      <c r="L1503" s="90">
        <v>3747.8008419646799</v>
      </c>
      <c r="M1503" s="90">
        <v>8.2825900619542505</v>
      </c>
      <c r="N1503" s="90">
        <v>1.3050723621861999</v>
      </c>
      <c r="O1503" s="90">
        <v>0.20300033696219999</v>
      </c>
      <c r="P1503" s="90">
        <v>3.1986386782649999E-2</v>
      </c>
      <c r="Q1503" s="90">
        <v>91.855908368664203</v>
      </c>
      <c r="R1503" s="90">
        <v>1300</v>
      </c>
      <c r="S1503" s="90" t="s">
        <v>387</v>
      </c>
      <c r="T1503" s="90">
        <v>1300</v>
      </c>
      <c r="U1503" s="90" t="s">
        <v>378</v>
      </c>
      <c r="V1503" s="90" t="s">
        <v>244</v>
      </c>
      <c r="Z1503" s="90">
        <v>0</v>
      </c>
      <c r="AA1503" s="90">
        <v>1</v>
      </c>
      <c r="AB1503" s="90">
        <v>0.20300033696219999</v>
      </c>
      <c r="AC1503" s="90">
        <v>3.1986386782649999E-2</v>
      </c>
      <c r="AD1503" s="90">
        <v>91.855908368664203</v>
      </c>
      <c r="AF1503" s="90">
        <v>-1</v>
      </c>
      <c r="AG1503" s="90">
        <v>-1</v>
      </c>
      <c r="AH1503" s="90">
        <v>-1</v>
      </c>
      <c r="AI1503" s="90">
        <v>-1</v>
      </c>
      <c r="AJ1503" s="90">
        <v>0</v>
      </c>
      <c r="AM1503" s="90" t="s">
        <v>379</v>
      </c>
      <c r="AN1503" s="90">
        <v>-1</v>
      </c>
      <c r="AQ1503" s="90">
        <v>357</v>
      </c>
      <c r="AR1503" s="90" t="s">
        <v>405</v>
      </c>
      <c r="AS1503" s="90" t="s">
        <v>406</v>
      </c>
      <c r="AT1503" s="90" t="s">
        <v>244</v>
      </c>
      <c r="AU1503" s="90">
        <v>122.34610000000001</v>
      </c>
      <c r="AV1503" s="90">
        <v>103.985835438571</v>
      </c>
      <c r="AW1503" s="90">
        <v>99.185545975342393</v>
      </c>
      <c r="AX1503" s="90">
        <v>7.4497898100000001E-2</v>
      </c>
    </row>
    <row r="1504" spans="1:50" x14ac:dyDescent="0.25">
      <c r="A1504" s="102">
        <v>830000</v>
      </c>
      <c r="B1504" s="102">
        <v>2400000</v>
      </c>
      <c r="C1504" s="102">
        <v>2400000</v>
      </c>
      <c r="D1504" s="90" t="s">
        <v>374</v>
      </c>
      <c r="E1504" s="90" t="s">
        <v>68</v>
      </c>
      <c r="F1504" s="90" t="s">
        <v>375</v>
      </c>
      <c r="G1504" s="90" t="s">
        <v>376</v>
      </c>
      <c r="H1504" s="90">
        <v>0.59</v>
      </c>
      <c r="I1504" s="90">
        <v>0.64</v>
      </c>
      <c r="J1504" s="90" t="s">
        <v>244</v>
      </c>
      <c r="K1504" s="90">
        <v>0.59325417144762005</v>
      </c>
      <c r="L1504" s="90">
        <v>3747.8008419646799</v>
      </c>
      <c r="M1504" s="90">
        <v>8.2825900619542505</v>
      </c>
      <c r="N1504" s="90">
        <v>1.3050723621861999</v>
      </c>
      <c r="O1504" s="90">
        <v>4.9136811046449598</v>
      </c>
      <c r="P1504" s="90">
        <v>0.77423962290796</v>
      </c>
      <c r="Q1504" s="90">
        <v>2223.3984832504502</v>
      </c>
      <c r="R1504" s="90">
        <v>1300</v>
      </c>
      <c r="S1504" s="90" t="s">
        <v>387</v>
      </c>
      <c r="T1504" s="90">
        <v>1300</v>
      </c>
      <c r="U1504" s="90" t="s">
        <v>378</v>
      </c>
      <c r="V1504" s="90" t="s">
        <v>244</v>
      </c>
      <c r="Z1504" s="90">
        <v>0</v>
      </c>
      <c r="AA1504" s="90">
        <v>1</v>
      </c>
      <c r="AB1504" s="90">
        <v>4.9136811046449598</v>
      </c>
      <c r="AC1504" s="90">
        <v>0.77423962290796</v>
      </c>
      <c r="AD1504" s="90">
        <v>2223.3984832504502</v>
      </c>
      <c r="AF1504" s="90">
        <v>-1</v>
      </c>
      <c r="AG1504" s="90">
        <v>-1</v>
      </c>
      <c r="AH1504" s="90">
        <v>-1</v>
      </c>
      <c r="AI1504" s="90">
        <v>-1</v>
      </c>
      <c r="AJ1504" s="90">
        <v>0</v>
      </c>
      <c r="AM1504" s="90" t="s">
        <v>379</v>
      </c>
      <c r="AN1504" s="90">
        <v>-1</v>
      </c>
      <c r="AQ1504" s="90">
        <v>357</v>
      </c>
      <c r="AR1504" s="90" t="s">
        <v>405</v>
      </c>
      <c r="AS1504" s="90" t="s">
        <v>406</v>
      </c>
      <c r="AT1504" s="90" t="s">
        <v>244</v>
      </c>
      <c r="AU1504" s="90">
        <v>122.34610000000001</v>
      </c>
      <c r="AV1504" s="90">
        <v>196.050991753093</v>
      </c>
      <c r="AW1504" s="90">
        <v>2400.8144538383899</v>
      </c>
      <c r="AX1504" s="90">
        <v>1.8032428898999999</v>
      </c>
    </row>
    <row r="1505" spans="1:50" x14ac:dyDescent="0.25">
      <c r="A1505" s="102">
        <v>830000</v>
      </c>
      <c r="B1505" s="102">
        <v>2400000</v>
      </c>
      <c r="C1505" s="102">
        <v>2400000</v>
      </c>
      <c r="D1505" s="90" t="s">
        <v>374</v>
      </c>
      <c r="E1505" s="90" t="s">
        <v>68</v>
      </c>
      <c r="F1505" s="90" t="s">
        <v>375</v>
      </c>
      <c r="G1505" s="90" t="s">
        <v>376</v>
      </c>
      <c r="H1505" s="90">
        <v>0.59</v>
      </c>
      <c r="I1505" s="90">
        <v>0.64</v>
      </c>
      <c r="J1505" s="90" t="s">
        <v>244</v>
      </c>
      <c r="K1505" s="90">
        <v>1.7071166289380001E-2</v>
      </c>
      <c r="L1505" s="90">
        <v>3780.5324169157402</v>
      </c>
      <c r="M1505" s="90">
        <v>10.828988383115901</v>
      </c>
      <c r="N1505" s="90">
        <v>1.83721797562087</v>
      </c>
      <c r="O1505" s="90">
        <v>0.18486346143394</v>
      </c>
      <c r="P1505" s="90">
        <v>3.1363453571659997E-2</v>
      </c>
      <c r="Q1505" s="90">
        <v>64.538097551564107</v>
      </c>
      <c r="R1505" s="90">
        <v>1300</v>
      </c>
      <c r="S1505" s="90" t="s">
        <v>387</v>
      </c>
      <c r="T1505" s="90">
        <v>1300</v>
      </c>
      <c r="U1505" s="90" t="s">
        <v>378</v>
      </c>
      <c r="V1505" s="90" t="s">
        <v>244</v>
      </c>
      <c r="Z1505" s="90">
        <v>0</v>
      </c>
      <c r="AA1505" s="90">
        <v>1</v>
      </c>
      <c r="AB1505" s="90">
        <v>0.18486346143394</v>
      </c>
      <c r="AC1505" s="90">
        <v>3.1363453571659997E-2</v>
      </c>
      <c r="AD1505" s="90">
        <v>220.57858101420001</v>
      </c>
      <c r="AF1505" s="90">
        <v>-1</v>
      </c>
      <c r="AG1505" s="90">
        <v>-1</v>
      </c>
      <c r="AH1505" s="90">
        <v>-1</v>
      </c>
      <c r="AI1505" s="90">
        <v>-1</v>
      </c>
      <c r="AJ1505" s="90">
        <v>0</v>
      </c>
      <c r="AM1505" s="90" t="s">
        <v>379</v>
      </c>
      <c r="AN1505" s="90">
        <v>-1</v>
      </c>
      <c r="AQ1505" s="90">
        <v>357</v>
      </c>
      <c r="AR1505" s="90" t="s">
        <v>405</v>
      </c>
      <c r="AS1505" s="90" t="s">
        <v>406</v>
      </c>
      <c r="AT1505" s="90" t="s">
        <v>244</v>
      </c>
      <c r="AU1505" s="90">
        <v>122.34610000000001</v>
      </c>
      <c r="AV1505" s="90">
        <v>35.533614368898199</v>
      </c>
      <c r="AW1505" s="90">
        <v>69.084558936039102</v>
      </c>
      <c r="AX1505" s="90">
        <v>0.17889584829999999</v>
      </c>
    </row>
    <row r="1506" spans="1:50" x14ac:dyDescent="0.25">
      <c r="A1506" s="102">
        <v>830000</v>
      </c>
      <c r="B1506" s="102">
        <v>2400000</v>
      </c>
      <c r="C1506" s="102">
        <v>2400000</v>
      </c>
      <c r="D1506" s="90" t="s">
        <v>374</v>
      </c>
      <c r="E1506" s="90" t="s">
        <v>68</v>
      </c>
      <c r="F1506" s="90" t="s">
        <v>375</v>
      </c>
      <c r="G1506" s="90" t="s">
        <v>376</v>
      </c>
      <c r="H1506" s="90">
        <v>0.59</v>
      </c>
      <c r="I1506" s="90">
        <v>0.64</v>
      </c>
      <c r="J1506" s="90" t="s">
        <v>244</v>
      </c>
      <c r="K1506" s="90">
        <v>2.97142602204E-2</v>
      </c>
      <c r="L1506" s="90">
        <v>3780.5324169157402</v>
      </c>
      <c r="M1506" s="90">
        <v>10.828988383115901</v>
      </c>
      <c r="N1506" s="90">
        <v>1.83721797562087</v>
      </c>
      <c r="O1506" s="90">
        <v>0.32177537873959999</v>
      </c>
      <c r="P1506" s="90">
        <v>5.459157300919E-2</v>
      </c>
      <c r="Q1506" s="90">
        <v>112.335724007896</v>
      </c>
      <c r="R1506" s="90">
        <v>1400</v>
      </c>
      <c r="S1506" s="90" t="s">
        <v>324</v>
      </c>
      <c r="T1506" s="90">
        <v>1400</v>
      </c>
      <c r="U1506" s="90" t="s">
        <v>378</v>
      </c>
      <c r="V1506" s="90" t="s">
        <v>244</v>
      </c>
      <c r="Z1506" s="90">
        <v>0</v>
      </c>
      <c r="AA1506" s="90">
        <v>1</v>
      </c>
      <c r="AB1506" s="90">
        <v>0.32177537873959999</v>
      </c>
      <c r="AC1506" s="90">
        <v>5.459157300919E-2</v>
      </c>
      <c r="AD1506" s="90">
        <v>443.93169257845102</v>
      </c>
      <c r="AF1506" s="90">
        <v>-1</v>
      </c>
      <c r="AG1506" s="90">
        <v>-1</v>
      </c>
      <c r="AH1506" s="90">
        <v>-1</v>
      </c>
      <c r="AI1506" s="90">
        <v>-1</v>
      </c>
      <c r="AJ1506" s="90">
        <v>0</v>
      </c>
      <c r="AM1506" s="90" t="s">
        <v>379</v>
      </c>
      <c r="AN1506" s="90">
        <v>-1</v>
      </c>
      <c r="AQ1506" s="90">
        <v>357</v>
      </c>
      <c r="AR1506" s="90" t="s">
        <v>405</v>
      </c>
      <c r="AS1506" s="90" t="s">
        <v>406</v>
      </c>
      <c r="AT1506" s="90" t="s">
        <v>244</v>
      </c>
      <c r="AU1506" s="90">
        <v>122.34610000000001</v>
      </c>
      <c r="AV1506" s="90">
        <v>44.335624590842997</v>
      </c>
      <c r="AW1506" s="90">
        <v>120.249344809793</v>
      </c>
      <c r="AX1506" s="90">
        <v>0.36004192419999997</v>
      </c>
    </row>
    <row r="1507" spans="1:50" x14ac:dyDescent="0.25">
      <c r="A1507" s="102">
        <v>830000</v>
      </c>
      <c r="B1507" s="102">
        <v>2400000</v>
      </c>
      <c r="C1507" s="102">
        <v>2400000</v>
      </c>
      <c r="D1507" s="90" t="s">
        <v>374</v>
      </c>
      <c r="E1507" s="90" t="s">
        <v>68</v>
      </c>
      <c r="F1507" s="90" t="s">
        <v>375</v>
      </c>
      <c r="G1507" s="90" t="s">
        <v>376</v>
      </c>
      <c r="H1507" s="90">
        <v>0.59</v>
      </c>
      <c r="I1507" s="90">
        <v>0.64</v>
      </c>
      <c r="J1507" s="90" t="s">
        <v>244</v>
      </c>
      <c r="K1507" s="90">
        <v>1.6863711587390001E-2</v>
      </c>
      <c r="L1507" s="90">
        <v>3780.5324169157402</v>
      </c>
      <c r="M1507" s="90">
        <v>10.828988383115901</v>
      </c>
      <c r="N1507" s="90">
        <v>1.83721797562087</v>
      </c>
      <c r="O1507" s="90">
        <v>0.18261693687607999</v>
      </c>
      <c r="P1507" s="90">
        <v>3.0982314064039999E-2</v>
      </c>
      <c r="Q1507" s="90">
        <v>63.753808325653097</v>
      </c>
      <c r="R1507" s="90">
        <v>1450</v>
      </c>
      <c r="S1507" s="90" t="s">
        <v>391</v>
      </c>
      <c r="T1507" s="90">
        <v>1450</v>
      </c>
      <c r="U1507" s="90" t="s">
        <v>378</v>
      </c>
      <c r="V1507" s="90" t="s">
        <v>244</v>
      </c>
      <c r="Z1507" s="90">
        <v>0</v>
      </c>
      <c r="AA1507" s="90">
        <v>1</v>
      </c>
      <c r="AB1507" s="90">
        <v>0.18261693687607999</v>
      </c>
      <c r="AC1507" s="90">
        <v>3.0982314064039999E-2</v>
      </c>
      <c r="AD1507" s="90">
        <v>309.969999846338</v>
      </c>
      <c r="AF1507" s="90">
        <v>-1</v>
      </c>
      <c r="AG1507" s="90">
        <v>-1</v>
      </c>
      <c r="AH1507" s="90">
        <v>-1</v>
      </c>
      <c r="AI1507" s="90">
        <v>-1</v>
      </c>
      <c r="AJ1507" s="90">
        <v>0</v>
      </c>
      <c r="AM1507" s="90" t="s">
        <v>379</v>
      </c>
      <c r="AN1507" s="90">
        <v>-1</v>
      </c>
      <c r="AQ1507" s="90">
        <v>357</v>
      </c>
      <c r="AR1507" s="90" t="s">
        <v>405</v>
      </c>
      <c r="AS1507" s="90" t="s">
        <v>406</v>
      </c>
      <c r="AT1507" s="90" t="s">
        <v>244</v>
      </c>
      <c r="AU1507" s="90">
        <v>122.34610000000001</v>
      </c>
      <c r="AV1507" s="90">
        <v>36.8169760982993</v>
      </c>
      <c r="AW1507" s="90">
        <v>68.245019542937797</v>
      </c>
      <c r="AX1507" s="90">
        <v>0.25139497150000001</v>
      </c>
    </row>
    <row r="1508" spans="1:50" x14ac:dyDescent="0.25">
      <c r="A1508" s="102">
        <v>830000</v>
      </c>
      <c r="B1508" s="102">
        <v>2400000</v>
      </c>
      <c r="C1508" s="102">
        <v>2400000</v>
      </c>
      <c r="D1508" s="90" t="s">
        <v>374</v>
      </c>
      <c r="E1508" s="90" t="s">
        <v>68</v>
      </c>
      <c r="F1508" s="90" t="s">
        <v>375</v>
      </c>
      <c r="G1508" s="90" t="s">
        <v>376</v>
      </c>
      <c r="H1508" s="90">
        <v>0.59</v>
      </c>
      <c r="I1508" s="90">
        <v>0.64</v>
      </c>
      <c r="J1508" s="90" t="s">
        <v>244</v>
      </c>
      <c r="K1508" s="90">
        <v>7.6975913503930002E-2</v>
      </c>
      <c r="L1508" s="90">
        <v>3780.5324169157402</v>
      </c>
      <c r="M1508" s="90">
        <v>10.828988383115901</v>
      </c>
      <c r="N1508" s="90">
        <v>1.83721797562087</v>
      </c>
      <c r="O1508" s="90">
        <v>0.83357127311379997</v>
      </c>
      <c r="P1508" s="90">
        <v>0.14142153197926</v>
      </c>
      <c r="Q1508" s="90">
        <v>291.00993632331301</v>
      </c>
      <c r="R1508" s="90">
        <v>1300</v>
      </c>
      <c r="S1508" s="90" t="s">
        <v>387</v>
      </c>
      <c r="T1508" s="90">
        <v>1300</v>
      </c>
      <c r="U1508" s="90" t="s">
        <v>378</v>
      </c>
      <c r="V1508" s="90" t="s">
        <v>244</v>
      </c>
      <c r="Z1508" s="90">
        <v>0</v>
      </c>
      <c r="AA1508" s="90">
        <v>1</v>
      </c>
      <c r="AB1508" s="90">
        <v>0.83357127311379997</v>
      </c>
      <c r="AC1508" s="90">
        <v>0.14142153197926</v>
      </c>
      <c r="AD1508" s="90">
        <v>894.51046976166799</v>
      </c>
      <c r="AF1508" s="90">
        <v>-1</v>
      </c>
      <c r="AG1508" s="90">
        <v>-1</v>
      </c>
      <c r="AH1508" s="90">
        <v>-1</v>
      </c>
      <c r="AI1508" s="90">
        <v>-1</v>
      </c>
      <c r="AJ1508" s="90">
        <v>0</v>
      </c>
      <c r="AM1508" s="90" t="s">
        <v>379</v>
      </c>
      <c r="AN1508" s="90">
        <v>-1</v>
      </c>
      <c r="AQ1508" s="90">
        <v>357</v>
      </c>
      <c r="AR1508" s="90" t="s">
        <v>405</v>
      </c>
      <c r="AS1508" s="90" t="s">
        <v>406</v>
      </c>
      <c r="AT1508" s="90" t="s">
        <v>244</v>
      </c>
      <c r="AU1508" s="90">
        <v>122.34610000000001</v>
      </c>
      <c r="AV1508" s="90">
        <v>80.322371334760703</v>
      </c>
      <c r="AW1508" s="90">
        <v>311.51046993348899</v>
      </c>
      <c r="AX1508" s="90">
        <v>0.72547483349999997</v>
      </c>
    </row>
    <row r="1509" spans="1:50" x14ac:dyDescent="0.25">
      <c r="A1509" s="102">
        <v>830000</v>
      </c>
      <c r="B1509" s="102">
        <v>2400000</v>
      </c>
      <c r="C1509" s="102">
        <v>2400000</v>
      </c>
      <c r="D1509" s="90" t="s">
        <v>374</v>
      </c>
      <c r="E1509" s="90" t="s">
        <v>68</v>
      </c>
      <c r="F1509" s="90" t="s">
        <v>375</v>
      </c>
      <c r="G1509" s="90" t="s">
        <v>376</v>
      </c>
      <c r="H1509" s="90">
        <v>0.59</v>
      </c>
      <c r="I1509" s="90">
        <v>0.64</v>
      </c>
      <c r="J1509" s="90" t="s">
        <v>244</v>
      </c>
      <c r="K1509" s="90">
        <v>1.3965418956900001E-3</v>
      </c>
      <c r="L1509" s="90">
        <v>3710.76717908623</v>
      </c>
      <c r="M1509" s="90">
        <v>10.1281259870592</v>
      </c>
      <c r="N1509" s="90">
        <v>1.66662567155485</v>
      </c>
      <c r="O1509" s="90">
        <v>1.414435226577E-2</v>
      </c>
      <c r="P1509" s="90">
        <v>2.3275125747599999E-3</v>
      </c>
      <c r="Q1509" s="90">
        <v>5.1822418307527398</v>
      </c>
      <c r="R1509" s="90">
        <v>1210</v>
      </c>
      <c r="S1509" s="90" t="s">
        <v>385</v>
      </c>
      <c r="T1509" s="90">
        <v>1210</v>
      </c>
      <c r="U1509" s="90" t="s">
        <v>378</v>
      </c>
      <c r="V1509" s="90" t="s">
        <v>244</v>
      </c>
      <c r="Z1509" s="90">
        <v>0</v>
      </c>
      <c r="AA1509" s="90">
        <v>1</v>
      </c>
      <c r="AB1509" s="90">
        <v>1.414435226577E-2</v>
      </c>
      <c r="AC1509" s="90">
        <v>2.3275125747599999E-3</v>
      </c>
      <c r="AD1509" s="90">
        <v>694.71820009492501</v>
      </c>
      <c r="AF1509" s="90">
        <v>-1</v>
      </c>
      <c r="AG1509" s="90">
        <v>-1</v>
      </c>
      <c r="AH1509" s="90">
        <v>-1</v>
      </c>
      <c r="AI1509" s="90">
        <v>-1</v>
      </c>
      <c r="AJ1509" s="90">
        <v>0</v>
      </c>
      <c r="AM1509" s="90" t="s">
        <v>379</v>
      </c>
      <c r="AN1509" s="90">
        <v>-1</v>
      </c>
      <c r="AQ1509" s="90">
        <v>357</v>
      </c>
      <c r="AR1509" s="90" t="s">
        <v>405</v>
      </c>
      <c r="AS1509" s="90" t="s">
        <v>406</v>
      </c>
      <c r="AT1509" s="90" t="s">
        <v>244</v>
      </c>
      <c r="AU1509" s="90">
        <v>122.34610000000001</v>
      </c>
      <c r="AV1509" s="90">
        <v>24.3092036162219</v>
      </c>
      <c r="AW1509" s="90">
        <v>5.6516045397319399</v>
      </c>
      <c r="AX1509" s="90">
        <v>0.56343730749999998</v>
      </c>
    </row>
    <row r="1510" spans="1:50" x14ac:dyDescent="0.25">
      <c r="A1510" s="102">
        <v>830000</v>
      </c>
      <c r="B1510" s="102">
        <v>2400000</v>
      </c>
      <c r="C1510" s="102">
        <v>2400000</v>
      </c>
      <c r="D1510" s="90" t="s">
        <v>374</v>
      </c>
      <c r="E1510" s="90" t="s">
        <v>68</v>
      </c>
      <c r="F1510" s="90" t="s">
        <v>375</v>
      </c>
      <c r="G1510" s="90" t="s">
        <v>376</v>
      </c>
      <c r="H1510" s="90">
        <v>0.59</v>
      </c>
      <c r="I1510" s="90">
        <v>0.64</v>
      </c>
      <c r="J1510" s="90" t="s">
        <v>244</v>
      </c>
      <c r="K1510" s="90">
        <v>1.057108242788E-2</v>
      </c>
      <c r="L1510" s="90">
        <v>3779.2942416637702</v>
      </c>
      <c r="M1510" s="90">
        <v>10.560479002361401</v>
      </c>
      <c r="N1510" s="90">
        <v>1.82954066104674</v>
      </c>
      <c r="O1510" s="90">
        <v>0.11163569401185</v>
      </c>
      <c r="P1510" s="90">
        <v>1.9340225133080001E-2</v>
      </c>
      <c r="Q1510" s="90">
        <v>39.951230947840003</v>
      </c>
      <c r="R1510" s="90">
        <v>1300</v>
      </c>
      <c r="S1510" s="90" t="s">
        <v>387</v>
      </c>
      <c r="T1510" s="90">
        <v>1300</v>
      </c>
      <c r="U1510" s="90" t="s">
        <v>378</v>
      </c>
      <c r="V1510" s="90" t="s">
        <v>244</v>
      </c>
      <c r="Z1510" s="90">
        <v>0</v>
      </c>
      <c r="AA1510" s="90">
        <v>1</v>
      </c>
      <c r="AB1510" s="90">
        <v>0.11163569401185</v>
      </c>
      <c r="AC1510" s="90">
        <v>1.9340225133080001E-2</v>
      </c>
      <c r="AD1510" s="90">
        <v>276.09803649740599</v>
      </c>
      <c r="AF1510" s="90">
        <v>-1</v>
      </c>
      <c r="AG1510" s="90">
        <v>-1</v>
      </c>
      <c r="AH1510" s="90">
        <v>-1</v>
      </c>
      <c r="AI1510" s="90">
        <v>-1</v>
      </c>
      <c r="AJ1510" s="90">
        <v>0</v>
      </c>
      <c r="AM1510" s="90" t="s">
        <v>379</v>
      </c>
      <c r="AN1510" s="90">
        <v>-1</v>
      </c>
      <c r="AQ1510" s="90">
        <v>357</v>
      </c>
      <c r="AR1510" s="90" t="s">
        <v>405</v>
      </c>
      <c r="AS1510" s="90" t="s">
        <v>406</v>
      </c>
      <c r="AT1510" s="90" t="s">
        <v>244</v>
      </c>
      <c r="AU1510" s="90">
        <v>122.34610000000001</v>
      </c>
      <c r="AV1510" s="90">
        <v>27.524098204911201</v>
      </c>
      <c r="AW1510" s="90">
        <v>42.779652814986399</v>
      </c>
      <c r="AX1510" s="90">
        <v>0.22392379279999999</v>
      </c>
    </row>
    <row r="1511" spans="1:50" x14ac:dyDescent="0.25">
      <c r="A1511" s="102">
        <v>830000</v>
      </c>
      <c r="B1511" s="102">
        <v>2400000</v>
      </c>
      <c r="C1511" s="102">
        <v>2400000</v>
      </c>
      <c r="D1511" s="90" t="s">
        <v>374</v>
      </c>
      <c r="E1511" s="90" t="s">
        <v>68</v>
      </c>
      <c r="F1511" s="90" t="s">
        <v>375</v>
      </c>
      <c r="G1511" s="90" t="s">
        <v>376</v>
      </c>
      <c r="H1511" s="90">
        <v>0.59</v>
      </c>
      <c r="I1511" s="90">
        <v>0.64</v>
      </c>
      <c r="J1511" s="90" t="s">
        <v>244</v>
      </c>
      <c r="K1511" s="90">
        <v>3.6308471753000002E-3</v>
      </c>
      <c r="L1511" s="90">
        <v>3779.2942416637702</v>
      </c>
      <c r="M1511" s="90">
        <v>10.560479002361401</v>
      </c>
      <c r="N1511" s="90">
        <v>1.82954066104674</v>
      </c>
      <c r="O1511" s="90">
        <v>3.8343485355620002E-2</v>
      </c>
      <c r="P1511" s="90">
        <v>6.64278254127E-3</v>
      </c>
      <c r="Q1511" s="90">
        <v>13.722039822002699</v>
      </c>
      <c r="R1511" s="90">
        <v>1210</v>
      </c>
      <c r="S1511" s="90" t="s">
        <v>385</v>
      </c>
      <c r="T1511" s="90">
        <v>1210</v>
      </c>
      <c r="U1511" s="90" t="s">
        <v>378</v>
      </c>
      <c r="V1511" s="90" t="s">
        <v>244</v>
      </c>
      <c r="Z1511" s="90">
        <v>0</v>
      </c>
      <c r="AA1511" s="90">
        <v>1</v>
      </c>
      <c r="AB1511" s="90">
        <v>3.8343485355620002E-2</v>
      </c>
      <c r="AC1511" s="90">
        <v>6.64278254127E-3</v>
      </c>
      <c r="AD1511" s="90">
        <v>13.7220398220012</v>
      </c>
      <c r="AF1511" s="90">
        <v>-1</v>
      </c>
      <c r="AG1511" s="90">
        <v>-1</v>
      </c>
      <c r="AH1511" s="90">
        <v>-1</v>
      </c>
      <c r="AI1511" s="90">
        <v>-1</v>
      </c>
      <c r="AJ1511" s="90">
        <v>0</v>
      </c>
      <c r="AM1511" s="90" t="s">
        <v>379</v>
      </c>
      <c r="AN1511" s="90">
        <v>-1</v>
      </c>
      <c r="AQ1511" s="90">
        <v>357</v>
      </c>
      <c r="AR1511" s="90" t="s">
        <v>405</v>
      </c>
      <c r="AS1511" s="90" t="s">
        <v>406</v>
      </c>
      <c r="AT1511" s="90" t="s">
        <v>244</v>
      </c>
      <c r="AU1511" s="90">
        <v>122.34610000000001</v>
      </c>
      <c r="AV1511" s="90">
        <v>39.725575226284803</v>
      </c>
      <c r="AW1511" s="90">
        <v>14.693517210146499</v>
      </c>
      <c r="AX1511" s="90">
        <v>1.11289861E-2</v>
      </c>
    </row>
    <row r="1512" spans="1:50" x14ac:dyDescent="0.25">
      <c r="A1512" s="102">
        <v>830000</v>
      </c>
      <c r="B1512" s="102">
        <v>2400000</v>
      </c>
      <c r="C1512" s="102">
        <v>2400000</v>
      </c>
      <c r="D1512" s="90" t="s">
        <v>374</v>
      </c>
      <c r="E1512" s="90" t="s">
        <v>68</v>
      </c>
      <c r="F1512" s="90" t="s">
        <v>375</v>
      </c>
      <c r="G1512" s="90" t="s">
        <v>376</v>
      </c>
      <c r="H1512" s="90">
        <v>0.59</v>
      </c>
      <c r="I1512" s="90">
        <v>0.64</v>
      </c>
      <c r="J1512" s="90" t="s">
        <v>244</v>
      </c>
      <c r="K1512" s="90">
        <v>2.227065983719E-2</v>
      </c>
      <c r="L1512" s="90">
        <v>3779.2942416637702</v>
      </c>
      <c r="M1512" s="90">
        <v>10.560479002361401</v>
      </c>
      <c r="N1512" s="90">
        <v>1.82954066104674</v>
      </c>
      <c r="O1512" s="90">
        <v>0.23518883557945999</v>
      </c>
      <c r="P1512" s="90">
        <v>4.0745077720489999E-2</v>
      </c>
      <c r="Q1512" s="90">
        <v>84.167376480775104</v>
      </c>
      <c r="R1512" s="90">
        <v>1300</v>
      </c>
      <c r="S1512" s="90" t="s">
        <v>387</v>
      </c>
      <c r="T1512" s="90">
        <v>1300</v>
      </c>
      <c r="U1512" s="90" t="s">
        <v>378</v>
      </c>
      <c r="V1512" s="90" t="s">
        <v>244</v>
      </c>
      <c r="Z1512" s="90">
        <v>0</v>
      </c>
      <c r="AA1512" s="90">
        <v>1</v>
      </c>
      <c r="AB1512" s="90">
        <v>0.23518883557945999</v>
      </c>
      <c r="AC1512" s="90">
        <v>4.0745077720489999E-2</v>
      </c>
      <c r="AD1512" s="90">
        <v>873.34671607811902</v>
      </c>
      <c r="AF1512" s="90">
        <v>-1</v>
      </c>
      <c r="AG1512" s="90">
        <v>-1</v>
      </c>
      <c r="AH1512" s="90">
        <v>-1</v>
      </c>
      <c r="AI1512" s="90">
        <v>-1</v>
      </c>
      <c r="AJ1512" s="90">
        <v>0</v>
      </c>
      <c r="AM1512" s="90" t="s">
        <v>379</v>
      </c>
      <c r="AN1512" s="90">
        <v>-1</v>
      </c>
      <c r="AQ1512" s="90">
        <v>357</v>
      </c>
      <c r="AR1512" s="90" t="s">
        <v>405</v>
      </c>
      <c r="AS1512" s="90" t="s">
        <v>406</v>
      </c>
      <c r="AT1512" s="90" t="s">
        <v>244</v>
      </c>
      <c r="AU1512" s="90">
        <v>122.34610000000001</v>
      </c>
      <c r="AV1512" s="90">
        <v>77.539194067284797</v>
      </c>
      <c r="AW1512" s="90">
        <v>90.126162793248994</v>
      </c>
      <c r="AX1512" s="90">
        <v>0.70831039419999997</v>
      </c>
    </row>
    <row r="1513" spans="1:50" x14ac:dyDescent="0.25">
      <c r="A1513" s="102">
        <v>830000</v>
      </c>
      <c r="B1513" s="102">
        <v>2400000</v>
      </c>
      <c r="C1513" s="102">
        <v>2400000</v>
      </c>
      <c r="D1513" s="90" t="s">
        <v>374</v>
      </c>
      <c r="E1513" s="90" t="s">
        <v>68</v>
      </c>
      <c r="F1513" s="90" t="s">
        <v>375</v>
      </c>
      <c r="G1513" s="90" t="s">
        <v>376</v>
      </c>
      <c r="H1513" s="90">
        <v>0.59</v>
      </c>
      <c r="I1513" s="90">
        <v>0.64</v>
      </c>
      <c r="J1513" s="90" t="s">
        <v>244</v>
      </c>
      <c r="K1513" s="90">
        <v>1.2429956961500001E-3</v>
      </c>
      <c r="L1513" s="90">
        <v>3779.2942416637702</v>
      </c>
      <c r="M1513" s="90">
        <v>10.560479002361401</v>
      </c>
      <c r="N1513" s="90">
        <v>1.82954066104674</v>
      </c>
      <c r="O1513" s="90">
        <v>1.312662994921E-2</v>
      </c>
      <c r="P1513" s="90">
        <v>2.2741111676100002E-3</v>
      </c>
      <c r="Q1513" s="90">
        <v>4.6976464768725501</v>
      </c>
      <c r="R1513" s="90">
        <v>1210</v>
      </c>
      <c r="S1513" s="90" t="s">
        <v>385</v>
      </c>
      <c r="T1513" s="90">
        <v>1210</v>
      </c>
      <c r="U1513" s="90" t="s">
        <v>378</v>
      </c>
      <c r="V1513" s="90" t="s">
        <v>244</v>
      </c>
      <c r="Z1513" s="90">
        <v>0</v>
      </c>
      <c r="AA1513" s="90">
        <v>1</v>
      </c>
      <c r="AB1513" s="90">
        <v>1.312662994921E-2</v>
      </c>
      <c r="AC1513" s="90">
        <v>2.2741111676100002E-3</v>
      </c>
      <c r="AD1513" s="90">
        <v>78.045822136578906</v>
      </c>
      <c r="AF1513" s="90">
        <v>-1</v>
      </c>
      <c r="AG1513" s="90">
        <v>-1</v>
      </c>
      <c r="AH1513" s="90">
        <v>-1</v>
      </c>
      <c r="AI1513" s="90">
        <v>-1</v>
      </c>
      <c r="AJ1513" s="90">
        <v>0</v>
      </c>
      <c r="AM1513" s="90" t="s">
        <v>379</v>
      </c>
      <c r="AN1513" s="90">
        <v>-1</v>
      </c>
      <c r="AQ1513" s="90">
        <v>357</v>
      </c>
      <c r="AR1513" s="90" t="s">
        <v>405</v>
      </c>
      <c r="AS1513" s="90" t="s">
        <v>406</v>
      </c>
      <c r="AT1513" s="90" t="s">
        <v>244</v>
      </c>
      <c r="AU1513" s="90">
        <v>122.34610000000001</v>
      </c>
      <c r="AV1513" s="90">
        <v>11.051309990900901</v>
      </c>
      <c r="AW1513" s="90">
        <v>5.0302251159812297</v>
      </c>
      <c r="AX1513" s="90">
        <v>6.3297503800000002E-2</v>
      </c>
    </row>
    <row r="1514" spans="1:50" x14ac:dyDescent="0.25">
      <c r="A1514" s="102">
        <v>830000</v>
      </c>
      <c r="B1514" s="102">
        <v>2400000</v>
      </c>
      <c r="C1514" s="102">
        <v>2400000</v>
      </c>
      <c r="D1514" s="90" t="s">
        <v>374</v>
      </c>
      <c r="E1514" s="90" t="s">
        <v>68</v>
      </c>
      <c r="F1514" s="90" t="s">
        <v>375</v>
      </c>
      <c r="G1514" s="90" t="s">
        <v>376</v>
      </c>
      <c r="H1514" s="90">
        <v>0.59</v>
      </c>
      <c r="I1514" s="90">
        <v>0.64</v>
      </c>
      <c r="J1514" s="90" t="s">
        <v>244</v>
      </c>
      <c r="K1514" s="90">
        <v>9.8859243966500004E-2</v>
      </c>
      <c r="L1514" s="90">
        <v>3695.6535633538101</v>
      </c>
      <c r="M1514" s="90">
        <v>9.4867124968976295</v>
      </c>
      <c r="N1514" s="90">
        <v>1.25624546124614</v>
      </c>
      <c r="O1514" s="90">
        <v>0.93784922517088998</v>
      </c>
      <c r="P1514" s="90">
        <v>0.12419147653514</v>
      </c>
      <c r="Q1514" s="90">
        <v>365.34951723527797</v>
      </c>
      <c r="R1514" s="90">
        <v>1400</v>
      </c>
      <c r="S1514" s="90" t="s">
        <v>324</v>
      </c>
      <c r="T1514" s="90">
        <v>1400</v>
      </c>
      <c r="U1514" s="90" t="s">
        <v>378</v>
      </c>
      <c r="V1514" s="90" t="s">
        <v>244</v>
      </c>
      <c r="Z1514" s="90">
        <v>0</v>
      </c>
      <c r="AA1514" s="90">
        <v>1</v>
      </c>
      <c r="AB1514" s="90">
        <v>0.93784922517088998</v>
      </c>
      <c r="AC1514" s="90">
        <v>0.12419147653514</v>
      </c>
      <c r="AD1514" s="90">
        <v>439.60338709263698</v>
      </c>
      <c r="AF1514" s="90">
        <v>-1</v>
      </c>
      <c r="AG1514" s="90">
        <v>-1</v>
      </c>
      <c r="AH1514" s="90">
        <v>-1</v>
      </c>
      <c r="AI1514" s="90">
        <v>-1</v>
      </c>
      <c r="AJ1514" s="90">
        <v>0</v>
      </c>
      <c r="AM1514" s="90" t="s">
        <v>379</v>
      </c>
      <c r="AN1514" s="90">
        <v>-1</v>
      </c>
      <c r="AQ1514" s="90">
        <v>357</v>
      </c>
      <c r="AR1514" s="90" t="s">
        <v>405</v>
      </c>
      <c r="AS1514" s="90" t="s">
        <v>406</v>
      </c>
      <c r="AT1514" s="90" t="s">
        <v>244</v>
      </c>
      <c r="AU1514" s="90">
        <v>122.34610000000001</v>
      </c>
      <c r="AV1514" s="90">
        <v>128.382144353434</v>
      </c>
      <c r="AW1514" s="90">
        <v>400.06916635945998</v>
      </c>
      <c r="AX1514" s="90">
        <v>0.35653153859999998</v>
      </c>
    </row>
    <row r="1515" spans="1:50" x14ac:dyDescent="0.25">
      <c r="A1515" s="102">
        <v>830000</v>
      </c>
      <c r="B1515" s="102">
        <v>2400000</v>
      </c>
      <c r="C1515" s="102">
        <v>2400000</v>
      </c>
      <c r="D1515" s="90" t="s">
        <v>374</v>
      </c>
      <c r="E1515" s="90" t="s">
        <v>68</v>
      </c>
      <c r="F1515" s="90" t="s">
        <v>375</v>
      </c>
      <c r="G1515" s="90" t="s">
        <v>376</v>
      </c>
      <c r="H1515" s="90">
        <v>0.59</v>
      </c>
      <c r="I1515" s="90">
        <v>0.64</v>
      </c>
      <c r="J1515" s="90" t="s">
        <v>244</v>
      </c>
      <c r="K1515" s="90">
        <v>0.13301719733406001</v>
      </c>
      <c r="L1515" s="90">
        <v>3695.6535633538101</v>
      </c>
      <c r="M1515" s="90">
        <v>9.4867124968976295</v>
      </c>
      <c r="N1515" s="90">
        <v>1.25624546124614</v>
      </c>
      <c r="O1515" s="90">
        <v>1.2618959082513199</v>
      </c>
      <c r="P1515" s="90">
        <v>0.16710225041859</v>
      </c>
      <c r="Q1515" s="90">
        <v>491.58547931495701</v>
      </c>
      <c r="R1515" s="90">
        <v>1890</v>
      </c>
      <c r="S1515" s="90" t="s">
        <v>408</v>
      </c>
      <c r="T1515" s="90">
        <v>1890</v>
      </c>
      <c r="U1515" s="90" t="s">
        <v>378</v>
      </c>
      <c r="V1515" s="90" t="s">
        <v>244</v>
      </c>
      <c r="Z1515" s="90">
        <v>0</v>
      </c>
      <c r="AA1515" s="90">
        <v>1</v>
      </c>
      <c r="AB1515" s="90">
        <v>1.2618959082513199</v>
      </c>
      <c r="AC1515" s="90">
        <v>0.16710225041859</v>
      </c>
      <c r="AD1515" s="90">
        <v>690.74045335335495</v>
      </c>
      <c r="AF1515" s="90">
        <v>-1</v>
      </c>
      <c r="AG1515" s="90">
        <v>-1</v>
      </c>
      <c r="AH1515" s="90">
        <v>-1</v>
      </c>
      <c r="AI1515" s="90">
        <v>-1</v>
      </c>
      <c r="AJ1515" s="90">
        <v>0</v>
      </c>
      <c r="AM1515" s="90" t="s">
        <v>379</v>
      </c>
      <c r="AN1515" s="90">
        <v>-1</v>
      </c>
      <c r="AQ1515" s="90">
        <v>357</v>
      </c>
      <c r="AR1515" s="90" t="s">
        <v>405</v>
      </c>
      <c r="AS1515" s="90" t="s">
        <v>406</v>
      </c>
      <c r="AT1515" s="90" t="s">
        <v>244</v>
      </c>
      <c r="AU1515" s="90">
        <v>122.34610000000001</v>
      </c>
      <c r="AV1515" s="90">
        <v>150.21649911142899</v>
      </c>
      <c r="AW1515" s="90">
        <v>538.30149932098698</v>
      </c>
      <c r="AX1515" s="90">
        <v>0.56021123549999996</v>
      </c>
    </row>
    <row r="1516" spans="1:50" x14ac:dyDescent="0.25">
      <c r="A1516" s="102">
        <v>830000</v>
      </c>
      <c r="B1516" s="102">
        <v>2400000</v>
      </c>
      <c r="C1516" s="102">
        <v>2400000</v>
      </c>
      <c r="D1516" s="90" t="s">
        <v>374</v>
      </c>
      <c r="E1516" s="90" t="s">
        <v>68</v>
      </c>
      <c r="F1516" s="90" t="s">
        <v>375</v>
      </c>
      <c r="G1516" s="90" t="s">
        <v>376</v>
      </c>
      <c r="H1516" s="90">
        <v>0.59</v>
      </c>
      <c r="I1516" s="90">
        <v>0.64</v>
      </c>
      <c r="J1516" s="90" t="s">
        <v>244</v>
      </c>
      <c r="K1516" s="90">
        <v>0.12329063428282</v>
      </c>
      <c r="L1516" s="90">
        <v>3695.6535633538101</v>
      </c>
      <c r="M1516" s="90">
        <v>9.4867124968976295</v>
      </c>
      <c r="N1516" s="90">
        <v>1.25624546124614</v>
      </c>
      <c r="O1516" s="90">
        <v>1.1696228010012999</v>
      </c>
      <c r="P1516" s="90">
        <v>0.15488329973195</v>
      </c>
      <c r="Q1516" s="90">
        <v>455.63947191547101</v>
      </c>
      <c r="R1516" s="90">
        <v>1410</v>
      </c>
      <c r="S1516" s="90" t="s">
        <v>325</v>
      </c>
      <c r="T1516" s="90">
        <v>1410</v>
      </c>
      <c r="U1516" s="90" t="s">
        <v>378</v>
      </c>
      <c r="V1516" s="90" t="s">
        <v>244</v>
      </c>
      <c r="Z1516" s="90">
        <v>0</v>
      </c>
      <c r="AA1516" s="90">
        <v>1</v>
      </c>
      <c r="AB1516" s="90">
        <v>1.1696228010012999</v>
      </c>
      <c r="AC1516" s="90">
        <v>0.15488329973195</v>
      </c>
      <c r="AD1516" s="90">
        <v>455.63947191547101</v>
      </c>
      <c r="AF1516" s="90">
        <v>-1</v>
      </c>
      <c r="AG1516" s="90">
        <v>-1</v>
      </c>
      <c r="AH1516" s="90">
        <v>-1</v>
      </c>
      <c r="AI1516" s="90">
        <v>-1</v>
      </c>
      <c r="AJ1516" s="90">
        <v>0</v>
      </c>
      <c r="AM1516" s="90" t="s">
        <v>379</v>
      </c>
      <c r="AN1516" s="90">
        <v>-1</v>
      </c>
      <c r="AQ1516" s="90">
        <v>357</v>
      </c>
      <c r="AR1516" s="90" t="s">
        <v>405</v>
      </c>
      <c r="AS1516" s="90" t="s">
        <v>406</v>
      </c>
      <c r="AT1516" s="90" t="s">
        <v>244</v>
      </c>
      <c r="AU1516" s="90">
        <v>122.34610000000001</v>
      </c>
      <c r="AV1516" s="90">
        <v>102.42026098866801</v>
      </c>
      <c r="AW1516" s="90">
        <v>498.93949516921498</v>
      </c>
      <c r="AX1516" s="90">
        <v>0.36953728460000002</v>
      </c>
    </row>
    <row r="1517" spans="1:50" x14ac:dyDescent="0.25">
      <c r="A1517" s="102">
        <v>830000</v>
      </c>
      <c r="B1517" s="102">
        <v>2400000</v>
      </c>
      <c r="C1517" s="102">
        <v>2400000</v>
      </c>
      <c r="D1517" s="90" t="s">
        <v>374</v>
      </c>
      <c r="E1517" s="90" t="s">
        <v>68</v>
      </c>
      <c r="F1517" s="90" t="s">
        <v>375</v>
      </c>
      <c r="G1517" s="90" t="s">
        <v>376</v>
      </c>
      <c r="H1517" s="90">
        <v>0.59</v>
      </c>
      <c r="I1517" s="90">
        <v>0.64</v>
      </c>
      <c r="J1517" s="90" t="s">
        <v>244</v>
      </c>
      <c r="K1517" s="90">
        <v>6.0815591933360003E-2</v>
      </c>
      <c r="L1517" s="90">
        <v>3669.8590945749902</v>
      </c>
      <c r="M1517" s="90">
        <v>9.1522207897528105</v>
      </c>
      <c r="N1517" s="90">
        <v>1.3461937982576999</v>
      </c>
      <c r="O1517" s="90">
        <v>0.55659772483366998</v>
      </c>
      <c r="P1517" s="90">
        <v>8.186957269806E-2</v>
      </c>
      <c r="Q1517" s="90">
        <v>223.18465314862399</v>
      </c>
      <c r="R1517" s="90">
        <v>1200</v>
      </c>
      <c r="S1517" s="90" t="s">
        <v>384</v>
      </c>
      <c r="T1517" s="90">
        <v>1200</v>
      </c>
      <c r="U1517" s="90" t="s">
        <v>378</v>
      </c>
      <c r="V1517" s="90" t="s">
        <v>244</v>
      </c>
      <c r="Z1517" s="90">
        <v>0</v>
      </c>
      <c r="AA1517" s="90">
        <v>1</v>
      </c>
      <c r="AB1517" s="90">
        <v>0.55659772483366998</v>
      </c>
      <c r="AC1517" s="90">
        <v>8.186957269806E-2</v>
      </c>
      <c r="AD1517" s="90">
        <v>697.12343476508897</v>
      </c>
      <c r="AF1517" s="90">
        <v>-1</v>
      </c>
      <c r="AG1517" s="90">
        <v>-1</v>
      </c>
      <c r="AH1517" s="90">
        <v>-1</v>
      </c>
      <c r="AI1517" s="90">
        <v>-1</v>
      </c>
      <c r="AJ1517" s="90">
        <v>0</v>
      </c>
      <c r="AM1517" s="90" t="s">
        <v>379</v>
      </c>
      <c r="AN1517" s="90">
        <v>-1</v>
      </c>
      <c r="AQ1517" s="90">
        <v>357</v>
      </c>
      <c r="AR1517" s="90" t="s">
        <v>405</v>
      </c>
      <c r="AS1517" s="90" t="s">
        <v>406</v>
      </c>
      <c r="AT1517" s="90" t="s">
        <v>244</v>
      </c>
      <c r="AU1517" s="90">
        <v>122.34610000000001</v>
      </c>
      <c r="AV1517" s="90">
        <v>62.886456253199803</v>
      </c>
      <c r="AW1517" s="90">
        <v>246.11196879759899</v>
      </c>
      <c r="AX1517" s="90">
        <v>0.56538802499999996</v>
      </c>
    </row>
    <row r="1518" spans="1:50" x14ac:dyDescent="0.25">
      <c r="A1518" s="102">
        <v>830000</v>
      </c>
      <c r="B1518" s="102">
        <v>2400000</v>
      </c>
      <c r="C1518" s="102">
        <v>2400000</v>
      </c>
      <c r="D1518" s="90" t="s">
        <v>374</v>
      </c>
      <c r="E1518" s="90" t="s">
        <v>68</v>
      </c>
      <c r="F1518" s="90" t="s">
        <v>375</v>
      </c>
      <c r="G1518" s="90" t="s">
        <v>376</v>
      </c>
      <c r="H1518" s="90">
        <v>0.59</v>
      </c>
      <c r="I1518" s="90">
        <v>0.64</v>
      </c>
      <c r="J1518" s="90" t="s">
        <v>244</v>
      </c>
      <c r="K1518" s="90">
        <v>1.9331052009090001E-2</v>
      </c>
      <c r="L1518" s="90">
        <v>3669.8590945749902</v>
      </c>
      <c r="M1518" s="90">
        <v>9.1522207897528105</v>
      </c>
      <c r="N1518" s="90">
        <v>1.3461937982576999</v>
      </c>
      <c r="O1518" s="90">
        <v>0.17692205608545999</v>
      </c>
      <c r="P1518" s="90">
        <v>2.6023342328439999E-2</v>
      </c>
      <c r="Q1518" s="90">
        <v>70.942237023294197</v>
      </c>
      <c r="R1518" s="90">
        <v>1210</v>
      </c>
      <c r="S1518" s="90" t="s">
        <v>385</v>
      </c>
      <c r="T1518" s="90">
        <v>1210</v>
      </c>
      <c r="U1518" s="90" t="s">
        <v>378</v>
      </c>
      <c r="V1518" s="90" t="s">
        <v>244</v>
      </c>
      <c r="Z1518" s="90">
        <v>0</v>
      </c>
      <c r="AA1518" s="90">
        <v>1</v>
      </c>
      <c r="AB1518" s="90">
        <v>0.17692205608545999</v>
      </c>
      <c r="AC1518" s="90">
        <v>2.6023342328439999E-2</v>
      </c>
      <c r="AD1518" s="90">
        <v>70.942237023293401</v>
      </c>
      <c r="AF1518" s="90">
        <v>-1</v>
      </c>
      <c r="AG1518" s="90">
        <v>-1</v>
      </c>
      <c r="AH1518" s="90">
        <v>-1</v>
      </c>
      <c r="AI1518" s="90">
        <v>-1</v>
      </c>
      <c r="AJ1518" s="90">
        <v>0</v>
      </c>
      <c r="AM1518" s="90" t="s">
        <v>379</v>
      </c>
      <c r="AN1518" s="90">
        <v>-1</v>
      </c>
      <c r="AQ1518" s="90">
        <v>357</v>
      </c>
      <c r="AR1518" s="90" t="s">
        <v>405</v>
      </c>
      <c r="AS1518" s="90" t="s">
        <v>406</v>
      </c>
      <c r="AT1518" s="90" t="s">
        <v>244</v>
      </c>
      <c r="AU1518" s="90">
        <v>122.34610000000001</v>
      </c>
      <c r="AV1518" s="90">
        <v>36.0314557405299</v>
      </c>
      <c r="AW1518" s="90">
        <v>78.229991974769803</v>
      </c>
      <c r="AX1518" s="90">
        <v>5.7536283100000002E-2</v>
      </c>
    </row>
    <row r="1519" spans="1:50" x14ac:dyDescent="0.25">
      <c r="A1519" s="102">
        <v>830000</v>
      </c>
      <c r="B1519" s="102">
        <v>2400000</v>
      </c>
      <c r="C1519" s="102">
        <v>2400000</v>
      </c>
      <c r="D1519" s="90" t="s">
        <v>374</v>
      </c>
      <c r="E1519" s="90" t="s">
        <v>68</v>
      </c>
      <c r="F1519" s="90" t="s">
        <v>375</v>
      </c>
      <c r="G1519" s="90" t="s">
        <v>376</v>
      </c>
      <c r="H1519" s="90">
        <v>0.59</v>
      </c>
      <c r="I1519" s="90">
        <v>0.64</v>
      </c>
      <c r="J1519" s="90" t="s">
        <v>244</v>
      </c>
      <c r="K1519" s="90">
        <v>2.8151649567680001E-2</v>
      </c>
      <c r="L1519" s="90">
        <v>3669.8590945749902</v>
      </c>
      <c r="M1519" s="90">
        <v>9.1522207897528105</v>
      </c>
      <c r="N1519" s="90">
        <v>1.3461937982576999</v>
      </c>
      <c r="O1519" s="90">
        <v>0.25765011243922997</v>
      </c>
      <c r="P1519" s="90">
        <v>3.7897576058740001E-2</v>
      </c>
      <c r="Q1519" s="90">
        <v>103.312587193268</v>
      </c>
      <c r="R1519" s="90">
        <v>1210</v>
      </c>
      <c r="S1519" s="90" t="s">
        <v>385</v>
      </c>
      <c r="T1519" s="90">
        <v>1210</v>
      </c>
      <c r="U1519" s="90" t="s">
        <v>378</v>
      </c>
      <c r="V1519" s="90" t="s">
        <v>244</v>
      </c>
      <c r="Z1519" s="90">
        <v>0</v>
      </c>
      <c r="AA1519" s="90">
        <v>1</v>
      </c>
      <c r="AB1519" s="90">
        <v>0.25765011243922997</v>
      </c>
      <c r="AC1519" s="90">
        <v>3.7897576058740001E-2</v>
      </c>
      <c r="AD1519" s="90">
        <v>294.79486638587201</v>
      </c>
      <c r="AF1519" s="90">
        <v>-1</v>
      </c>
      <c r="AG1519" s="90">
        <v>-1</v>
      </c>
      <c r="AH1519" s="90">
        <v>-1</v>
      </c>
      <c r="AI1519" s="90">
        <v>-1</v>
      </c>
      <c r="AJ1519" s="90">
        <v>0</v>
      </c>
      <c r="AM1519" s="90" t="s">
        <v>379</v>
      </c>
      <c r="AN1519" s="90">
        <v>-1</v>
      </c>
      <c r="AQ1519" s="90">
        <v>357</v>
      </c>
      <c r="AR1519" s="90" t="s">
        <v>405</v>
      </c>
      <c r="AS1519" s="90" t="s">
        <v>406</v>
      </c>
      <c r="AT1519" s="90" t="s">
        <v>244</v>
      </c>
      <c r="AU1519" s="90">
        <v>122.34610000000001</v>
      </c>
      <c r="AV1519" s="90">
        <v>42.901534986580998</v>
      </c>
      <c r="AW1519" s="90">
        <v>113.925683854152</v>
      </c>
      <c r="AX1519" s="90">
        <v>0.23908748290000001</v>
      </c>
    </row>
    <row r="1520" spans="1:50" x14ac:dyDescent="0.25">
      <c r="A1520" s="102">
        <v>830000</v>
      </c>
      <c r="B1520" s="102">
        <v>2400000</v>
      </c>
      <c r="C1520" s="102">
        <v>2400000</v>
      </c>
      <c r="D1520" s="90" t="s">
        <v>374</v>
      </c>
      <c r="E1520" s="90" t="s">
        <v>68</v>
      </c>
      <c r="F1520" s="90" t="s">
        <v>375</v>
      </c>
      <c r="G1520" s="90" t="s">
        <v>376</v>
      </c>
      <c r="H1520" s="90">
        <v>0.59</v>
      </c>
      <c r="I1520" s="90">
        <v>0.64</v>
      </c>
      <c r="J1520" s="90" t="s">
        <v>244</v>
      </c>
      <c r="K1520" s="90">
        <v>2.1497636389020001E-2</v>
      </c>
      <c r="L1520" s="90">
        <v>3669.8590945749902</v>
      </c>
      <c r="M1520" s="90">
        <v>9.1522207897528105</v>
      </c>
      <c r="N1520" s="90">
        <v>1.3461937982576999</v>
      </c>
      <c r="O1520" s="90">
        <v>0.19675111469020001</v>
      </c>
      <c r="P1520" s="90">
        <v>2.8939984784099999E-2</v>
      </c>
      <c r="Q1520" s="90">
        <v>78.893296414136998</v>
      </c>
      <c r="R1520" s="90">
        <v>1210</v>
      </c>
      <c r="S1520" s="90" t="s">
        <v>385</v>
      </c>
      <c r="T1520" s="90">
        <v>1210</v>
      </c>
      <c r="U1520" s="90" t="s">
        <v>378</v>
      </c>
      <c r="V1520" s="90" t="s">
        <v>244</v>
      </c>
      <c r="Z1520" s="90">
        <v>0</v>
      </c>
      <c r="AA1520" s="90">
        <v>1</v>
      </c>
      <c r="AB1520" s="90">
        <v>0.19675111469020001</v>
      </c>
      <c r="AC1520" s="90">
        <v>2.8939984784099999E-2</v>
      </c>
      <c r="AD1520" s="90">
        <v>78.893296414136003</v>
      </c>
      <c r="AF1520" s="90">
        <v>-1</v>
      </c>
      <c r="AG1520" s="90">
        <v>-1</v>
      </c>
      <c r="AH1520" s="90">
        <v>-1</v>
      </c>
      <c r="AI1520" s="90">
        <v>-1</v>
      </c>
      <c r="AJ1520" s="90">
        <v>0</v>
      </c>
      <c r="AM1520" s="90" t="s">
        <v>379</v>
      </c>
      <c r="AN1520" s="90">
        <v>-1</v>
      </c>
      <c r="AQ1520" s="90">
        <v>357</v>
      </c>
      <c r="AR1520" s="90" t="s">
        <v>405</v>
      </c>
      <c r="AS1520" s="90" t="s">
        <v>406</v>
      </c>
      <c r="AT1520" s="90" t="s">
        <v>244</v>
      </c>
      <c r="AU1520" s="90">
        <v>122.34610000000001</v>
      </c>
      <c r="AV1520" s="90">
        <v>55.628188645219403</v>
      </c>
      <c r="AW1520" s="90">
        <v>86.997847887352506</v>
      </c>
      <c r="AX1520" s="90">
        <v>6.3984830800000003E-2</v>
      </c>
    </row>
    <row r="1521" spans="1:50" x14ac:dyDescent="0.25">
      <c r="A1521" s="102">
        <v>830000</v>
      </c>
      <c r="B1521" s="102">
        <v>2400000</v>
      </c>
      <c r="C1521" s="102">
        <v>2400000</v>
      </c>
      <c r="D1521" s="90" t="s">
        <v>374</v>
      </c>
      <c r="E1521" s="90" t="s">
        <v>68</v>
      </c>
      <c r="F1521" s="90" t="s">
        <v>375</v>
      </c>
      <c r="G1521" s="90" t="s">
        <v>376</v>
      </c>
      <c r="H1521" s="90">
        <v>0.59</v>
      </c>
      <c r="I1521" s="90">
        <v>0.64</v>
      </c>
      <c r="J1521" s="90" t="s">
        <v>244</v>
      </c>
      <c r="K1521" s="90">
        <v>6.2590509153380006E-2</v>
      </c>
      <c r="L1521" s="90">
        <v>3669.8590945749902</v>
      </c>
      <c r="M1521" s="90">
        <v>9.1522207897528105</v>
      </c>
      <c r="N1521" s="90">
        <v>1.3461937982576999</v>
      </c>
      <c r="O1521" s="90">
        <v>0.57284215911478997</v>
      </c>
      <c r="P1521" s="90">
        <v>8.425895525207E-2</v>
      </c>
      <c r="Q1521" s="90">
        <v>229.69834925061801</v>
      </c>
      <c r="R1521" s="90">
        <v>1210</v>
      </c>
      <c r="S1521" s="90" t="s">
        <v>385</v>
      </c>
      <c r="T1521" s="90">
        <v>1210</v>
      </c>
      <c r="U1521" s="90" t="s">
        <v>378</v>
      </c>
      <c r="V1521" s="90" t="s">
        <v>244</v>
      </c>
      <c r="Z1521" s="90">
        <v>0</v>
      </c>
      <c r="AA1521" s="90">
        <v>1</v>
      </c>
      <c r="AB1521" s="90">
        <v>0.57284215911478997</v>
      </c>
      <c r="AC1521" s="90">
        <v>8.425895525207E-2</v>
      </c>
      <c r="AD1521" s="90">
        <v>527.35502359743202</v>
      </c>
      <c r="AF1521" s="90">
        <v>-1</v>
      </c>
      <c r="AG1521" s="90">
        <v>-1</v>
      </c>
      <c r="AH1521" s="90">
        <v>-1</v>
      </c>
      <c r="AI1521" s="90">
        <v>-1</v>
      </c>
      <c r="AJ1521" s="90">
        <v>0</v>
      </c>
      <c r="AM1521" s="90" t="s">
        <v>379</v>
      </c>
      <c r="AN1521" s="90">
        <v>-1</v>
      </c>
      <c r="AQ1521" s="90">
        <v>357</v>
      </c>
      <c r="AR1521" s="90" t="s">
        <v>405</v>
      </c>
      <c r="AS1521" s="90" t="s">
        <v>406</v>
      </c>
      <c r="AT1521" s="90" t="s">
        <v>244</v>
      </c>
      <c r="AU1521" s="90">
        <v>122.34610000000001</v>
      </c>
      <c r="AV1521" s="90">
        <v>68.456381794268097</v>
      </c>
      <c r="AW1521" s="90">
        <v>253.29480394864899</v>
      </c>
      <c r="AX1521" s="90">
        <v>0.4277007491</v>
      </c>
    </row>
    <row r="1522" spans="1:50" x14ac:dyDescent="0.25">
      <c r="A1522" s="102">
        <v>830000</v>
      </c>
      <c r="B1522" s="102">
        <v>2400000</v>
      </c>
      <c r="C1522" s="102">
        <v>2400000</v>
      </c>
      <c r="D1522" s="90" t="s">
        <v>374</v>
      </c>
      <c r="E1522" s="90" t="s">
        <v>68</v>
      </c>
      <c r="F1522" s="90" t="s">
        <v>375</v>
      </c>
      <c r="G1522" s="90" t="s">
        <v>376</v>
      </c>
      <c r="H1522" s="90">
        <v>0.59</v>
      </c>
      <c r="I1522" s="90">
        <v>0.64</v>
      </c>
      <c r="J1522" s="90" t="s">
        <v>244</v>
      </c>
      <c r="K1522" s="90">
        <v>0.10750313339009999</v>
      </c>
      <c r="L1522" s="90">
        <v>3682.0525930429599</v>
      </c>
      <c r="M1522" s="90">
        <v>9.6478322220914201</v>
      </c>
      <c r="N1522" s="90">
        <v>1.57785830965503</v>
      </c>
      <c r="O1522" s="90">
        <v>1.0371721942968699</v>
      </c>
      <c r="P1522" s="90">
        <v>0.16962471233352999</v>
      </c>
      <c r="Q1522" s="90">
        <v>395.83219105928998</v>
      </c>
      <c r="R1522" s="90">
        <v>1200</v>
      </c>
      <c r="S1522" s="90" t="s">
        <v>384</v>
      </c>
      <c r="T1522" s="90">
        <v>1200</v>
      </c>
      <c r="U1522" s="90" t="s">
        <v>378</v>
      </c>
      <c r="V1522" s="90" t="s">
        <v>244</v>
      </c>
      <c r="Z1522" s="90">
        <v>0</v>
      </c>
      <c r="AA1522" s="90">
        <v>1</v>
      </c>
      <c r="AB1522" s="90">
        <v>1.0371721942968699</v>
      </c>
      <c r="AC1522" s="90">
        <v>0.16962471233352999</v>
      </c>
      <c r="AD1522" s="90">
        <v>480.983612954497</v>
      </c>
      <c r="AF1522" s="90">
        <v>-1</v>
      </c>
      <c r="AG1522" s="90">
        <v>-1</v>
      </c>
      <c r="AH1522" s="90">
        <v>-1</v>
      </c>
      <c r="AI1522" s="90">
        <v>-1</v>
      </c>
      <c r="AJ1522" s="90">
        <v>0</v>
      </c>
      <c r="AM1522" s="90" t="s">
        <v>379</v>
      </c>
      <c r="AN1522" s="90">
        <v>-1</v>
      </c>
      <c r="AQ1522" s="90">
        <v>357</v>
      </c>
      <c r="AR1522" s="90" t="s">
        <v>405</v>
      </c>
      <c r="AS1522" s="90" t="s">
        <v>406</v>
      </c>
      <c r="AT1522" s="90" t="s">
        <v>244</v>
      </c>
      <c r="AU1522" s="90">
        <v>122.34610000000001</v>
      </c>
      <c r="AV1522" s="90">
        <v>107.387624838739</v>
      </c>
      <c r="AW1522" s="90">
        <v>435.04974578788</v>
      </c>
      <c r="AX1522" s="90">
        <v>0.39009214349999999</v>
      </c>
    </row>
    <row r="1523" spans="1:50" x14ac:dyDescent="0.25">
      <c r="A1523" s="102">
        <v>830000</v>
      </c>
      <c r="B1523" s="102">
        <v>2400000</v>
      </c>
      <c r="C1523" s="102">
        <v>2400000</v>
      </c>
      <c r="D1523" s="90" t="s">
        <v>374</v>
      </c>
      <c r="E1523" s="90" t="s">
        <v>68</v>
      </c>
      <c r="F1523" s="90" t="s">
        <v>375</v>
      </c>
      <c r="G1523" s="90" t="s">
        <v>376</v>
      </c>
      <c r="H1523" s="90">
        <v>0.59</v>
      </c>
      <c r="I1523" s="90">
        <v>0.64</v>
      </c>
      <c r="J1523" s="90" t="s">
        <v>244</v>
      </c>
      <c r="K1523" s="90">
        <v>9.2944478161579996E-2</v>
      </c>
      <c r="L1523" s="90">
        <v>3682.0525930429599</v>
      </c>
      <c r="M1523" s="90">
        <v>9.6478322220914201</v>
      </c>
      <c r="N1523" s="90">
        <v>1.57785830965503</v>
      </c>
      <c r="O1523" s="90">
        <v>0.89671273127280005</v>
      </c>
      <c r="P1523" s="90">
        <v>0.14665321720380001</v>
      </c>
      <c r="Q1523" s="90">
        <v>342.22645682388497</v>
      </c>
      <c r="R1523" s="90">
        <v>1300</v>
      </c>
      <c r="S1523" s="90" t="s">
        <v>387</v>
      </c>
      <c r="T1523" s="90">
        <v>1300</v>
      </c>
      <c r="U1523" s="90" t="s">
        <v>378</v>
      </c>
      <c r="V1523" s="90" t="s">
        <v>244</v>
      </c>
      <c r="Z1523" s="90">
        <v>0</v>
      </c>
      <c r="AA1523" s="90">
        <v>1</v>
      </c>
      <c r="AB1523" s="90">
        <v>0.89671273127280005</v>
      </c>
      <c r="AC1523" s="90">
        <v>0.14665321720380001</v>
      </c>
      <c r="AD1523" s="90">
        <v>392.01453304568702</v>
      </c>
      <c r="AF1523" s="90">
        <v>-1</v>
      </c>
      <c r="AG1523" s="90">
        <v>-1</v>
      </c>
      <c r="AH1523" s="90">
        <v>-1</v>
      </c>
      <c r="AI1523" s="90">
        <v>-1</v>
      </c>
      <c r="AJ1523" s="90">
        <v>0</v>
      </c>
      <c r="AM1523" s="90" t="s">
        <v>379</v>
      </c>
      <c r="AN1523" s="90">
        <v>-1</v>
      </c>
      <c r="AQ1523" s="90">
        <v>357</v>
      </c>
      <c r="AR1523" s="90" t="s">
        <v>405</v>
      </c>
      <c r="AS1523" s="90" t="s">
        <v>406</v>
      </c>
      <c r="AT1523" s="90" t="s">
        <v>244</v>
      </c>
      <c r="AU1523" s="90">
        <v>122.34610000000001</v>
      </c>
      <c r="AV1523" s="90">
        <v>105.28927792304</v>
      </c>
      <c r="AW1523" s="90">
        <v>376.13295837482099</v>
      </c>
      <c r="AX1523" s="90">
        <v>0.3179355499</v>
      </c>
    </row>
    <row r="1524" spans="1:50" x14ac:dyDescent="0.25">
      <c r="A1524" s="102">
        <v>830000</v>
      </c>
      <c r="B1524" s="102">
        <v>2400000</v>
      </c>
      <c r="C1524" s="102">
        <v>2400000</v>
      </c>
      <c r="D1524" s="90" t="s">
        <v>374</v>
      </c>
      <c r="E1524" s="90" t="s">
        <v>68</v>
      </c>
      <c r="F1524" s="90" t="s">
        <v>375</v>
      </c>
      <c r="G1524" s="90" t="s">
        <v>376</v>
      </c>
      <c r="H1524" s="90">
        <v>0.59</v>
      </c>
      <c r="I1524" s="90">
        <v>0.64</v>
      </c>
      <c r="J1524" s="90" t="s">
        <v>244</v>
      </c>
      <c r="K1524" s="90">
        <v>6.4502311817199995E-2</v>
      </c>
      <c r="L1524" s="90">
        <v>3682.0525930429599</v>
      </c>
      <c r="M1524" s="90">
        <v>9.6478322220914201</v>
      </c>
      <c r="N1524" s="90">
        <v>1.57785830965503</v>
      </c>
      <c r="O1524" s="90">
        <v>0.62230748234938005</v>
      </c>
      <c r="P1524" s="90">
        <v>0.10177550869273</v>
      </c>
      <c r="Q1524" s="90">
        <v>237.50090448379001</v>
      </c>
      <c r="R1524" s="90">
        <v>1210</v>
      </c>
      <c r="S1524" s="90" t="s">
        <v>385</v>
      </c>
      <c r="T1524" s="90">
        <v>1210</v>
      </c>
      <c r="U1524" s="90" t="s">
        <v>378</v>
      </c>
      <c r="V1524" s="90" t="s">
        <v>244</v>
      </c>
      <c r="Z1524" s="90">
        <v>0</v>
      </c>
      <c r="AA1524" s="90">
        <v>1</v>
      </c>
      <c r="AB1524" s="90">
        <v>0.62230748234938005</v>
      </c>
      <c r="AC1524" s="90">
        <v>0.10177550869273</v>
      </c>
      <c r="AD1524" s="90">
        <v>260.54676970620301</v>
      </c>
      <c r="AF1524" s="90">
        <v>-1</v>
      </c>
      <c r="AG1524" s="90">
        <v>-1</v>
      </c>
      <c r="AH1524" s="90">
        <v>-1</v>
      </c>
      <c r="AI1524" s="90">
        <v>-1</v>
      </c>
      <c r="AJ1524" s="90">
        <v>0</v>
      </c>
      <c r="AM1524" s="90" t="s">
        <v>379</v>
      </c>
      <c r="AN1524" s="90">
        <v>-1</v>
      </c>
      <c r="AQ1524" s="90">
        <v>357</v>
      </c>
      <c r="AR1524" s="90" t="s">
        <v>405</v>
      </c>
      <c r="AS1524" s="90" t="s">
        <v>406</v>
      </c>
      <c r="AT1524" s="90" t="s">
        <v>244</v>
      </c>
      <c r="AU1524" s="90">
        <v>122.34610000000001</v>
      </c>
      <c r="AV1524" s="90">
        <v>83.124513385929006</v>
      </c>
      <c r="AW1524" s="90">
        <v>261.03159483708799</v>
      </c>
      <c r="AX1524" s="90">
        <v>0.21131124870000001</v>
      </c>
    </row>
    <row r="1525" spans="1:50" x14ac:dyDescent="0.25">
      <c r="A1525" s="102">
        <v>830000</v>
      </c>
      <c r="B1525" s="102">
        <v>2400000</v>
      </c>
      <c r="C1525" s="102">
        <v>2400000</v>
      </c>
      <c r="D1525" s="90" t="s">
        <v>374</v>
      </c>
      <c r="E1525" s="90" t="s">
        <v>68</v>
      </c>
      <c r="F1525" s="90" t="s">
        <v>375</v>
      </c>
      <c r="G1525" s="90" t="s">
        <v>376</v>
      </c>
      <c r="H1525" s="90">
        <v>0.59</v>
      </c>
      <c r="I1525" s="90">
        <v>0.64</v>
      </c>
      <c r="J1525" s="90" t="s">
        <v>244</v>
      </c>
      <c r="K1525" s="90">
        <v>1.9930973532230001E-2</v>
      </c>
      <c r="L1525" s="90">
        <v>3682.0525930429599</v>
      </c>
      <c r="M1525" s="90">
        <v>9.6478322220914201</v>
      </c>
      <c r="N1525" s="90">
        <v>1.57785830965503</v>
      </c>
      <c r="O1525" s="90">
        <v>0.19229068866198001</v>
      </c>
      <c r="P1525" s="90">
        <v>3.1448252207350001E-2</v>
      </c>
      <c r="Q1525" s="90">
        <v>73.386892776251301</v>
      </c>
      <c r="R1525" s="90">
        <v>1210</v>
      </c>
      <c r="S1525" s="90" t="s">
        <v>385</v>
      </c>
      <c r="T1525" s="90">
        <v>1210</v>
      </c>
      <c r="U1525" s="90" t="s">
        <v>378</v>
      </c>
      <c r="V1525" s="90" t="s">
        <v>244</v>
      </c>
      <c r="Z1525" s="90">
        <v>0</v>
      </c>
      <c r="AA1525" s="90">
        <v>1</v>
      </c>
      <c r="AB1525" s="90">
        <v>0.19229068866198001</v>
      </c>
      <c r="AC1525" s="90">
        <v>3.1448252207350001E-2</v>
      </c>
      <c r="AD1525" s="90">
        <v>73.386892776252395</v>
      </c>
      <c r="AF1525" s="90">
        <v>-1</v>
      </c>
      <c r="AG1525" s="90">
        <v>-1</v>
      </c>
      <c r="AH1525" s="90">
        <v>-1</v>
      </c>
      <c r="AI1525" s="90">
        <v>-1</v>
      </c>
      <c r="AJ1525" s="90">
        <v>0</v>
      </c>
      <c r="AM1525" s="90" t="s">
        <v>379</v>
      </c>
      <c r="AN1525" s="90">
        <v>-1</v>
      </c>
      <c r="AQ1525" s="90">
        <v>357</v>
      </c>
      <c r="AR1525" s="90" t="s">
        <v>405</v>
      </c>
      <c r="AS1525" s="90" t="s">
        <v>406</v>
      </c>
      <c r="AT1525" s="90" t="s">
        <v>244</v>
      </c>
      <c r="AU1525" s="90">
        <v>122.34610000000001</v>
      </c>
      <c r="AV1525" s="90">
        <v>36.354167589229199</v>
      </c>
      <c r="AW1525" s="90">
        <v>80.657788243627095</v>
      </c>
      <c r="AX1525" s="90">
        <v>5.9518972199999999E-2</v>
      </c>
    </row>
    <row r="1526" spans="1:50" x14ac:dyDescent="0.25">
      <c r="A1526" s="102">
        <v>830000</v>
      </c>
      <c r="B1526" s="102">
        <v>2400000</v>
      </c>
      <c r="C1526" s="102">
        <v>2400000</v>
      </c>
      <c r="D1526" s="90" t="s">
        <v>374</v>
      </c>
      <c r="E1526" s="90" t="s">
        <v>68</v>
      </c>
      <c r="F1526" s="90" t="s">
        <v>375</v>
      </c>
      <c r="G1526" s="90" t="s">
        <v>376</v>
      </c>
      <c r="H1526" s="90">
        <v>0.59</v>
      </c>
      <c r="I1526" s="90">
        <v>0.64</v>
      </c>
      <c r="J1526" s="90" t="s">
        <v>244</v>
      </c>
      <c r="K1526" s="90">
        <v>0.12072263180804001</v>
      </c>
      <c r="L1526" s="90">
        <v>3672.62840960728</v>
      </c>
      <c r="M1526" s="90">
        <v>9.4831871606972307</v>
      </c>
      <c r="N1526" s="90">
        <v>1.50525963939739</v>
      </c>
      <c r="O1526" s="90">
        <v>1.14483531196767</v>
      </c>
      <c r="P1526" s="90">
        <v>0.18171890522247999</v>
      </c>
      <c r="Q1526" s="90">
        <v>443.3693672608</v>
      </c>
      <c r="R1526" s="90">
        <v>1200</v>
      </c>
      <c r="S1526" s="90" t="s">
        <v>384</v>
      </c>
      <c r="T1526" s="90">
        <v>1200</v>
      </c>
      <c r="U1526" s="90" t="s">
        <v>378</v>
      </c>
      <c r="V1526" s="90" t="s">
        <v>244</v>
      </c>
      <c r="Z1526" s="90">
        <v>0</v>
      </c>
      <c r="AA1526" s="90">
        <v>1</v>
      </c>
      <c r="AB1526" s="90">
        <v>1.14483531196767</v>
      </c>
      <c r="AC1526" s="90">
        <v>0.18171890522247999</v>
      </c>
      <c r="AD1526" s="90">
        <v>443.3693672608</v>
      </c>
      <c r="AF1526" s="90">
        <v>-1</v>
      </c>
      <c r="AG1526" s="90">
        <v>-1</v>
      </c>
      <c r="AH1526" s="90">
        <v>-1</v>
      </c>
      <c r="AI1526" s="90">
        <v>-1</v>
      </c>
      <c r="AJ1526" s="90">
        <v>0</v>
      </c>
      <c r="AM1526" s="90" t="s">
        <v>379</v>
      </c>
      <c r="AN1526" s="90">
        <v>-1</v>
      </c>
      <c r="AQ1526" s="90">
        <v>357</v>
      </c>
      <c r="AR1526" s="90" t="s">
        <v>405</v>
      </c>
      <c r="AS1526" s="90" t="s">
        <v>406</v>
      </c>
      <c r="AT1526" s="90" t="s">
        <v>244</v>
      </c>
      <c r="AU1526" s="90">
        <v>122.34610000000001</v>
      </c>
      <c r="AV1526" s="90">
        <v>120.21429823073299</v>
      </c>
      <c r="AW1526" s="90">
        <v>488.54715786143203</v>
      </c>
      <c r="AX1526" s="90">
        <v>0.35958586149999999</v>
      </c>
    </row>
    <row r="1527" spans="1:50" x14ac:dyDescent="0.25">
      <c r="A1527" s="102">
        <v>830000</v>
      </c>
      <c r="B1527" s="102">
        <v>2400000</v>
      </c>
      <c r="C1527" s="102">
        <v>2400000</v>
      </c>
      <c r="D1527" s="90" t="s">
        <v>374</v>
      </c>
      <c r="E1527" s="90" t="s">
        <v>68</v>
      </c>
      <c r="F1527" s="90" t="s">
        <v>375</v>
      </c>
      <c r="G1527" s="90" t="s">
        <v>376</v>
      </c>
      <c r="H1527" s="90">
        <v>0.59</v>
      </c>
      <c r="I1527" s="90">
        <v>0.64</v>
      </c>
      <c r="J1527" s="90" t="s">
        <v>244</v>
      </c>
      <c r="K1527" s="90">
        <v>0.10668809535425</v>
      </c>
      <c r="L1527" s="90">
        <v>3672.62840960728</v>
      </c>
      <c r="M1527" s="90">
        <v>9.4831871606972307</v>
      </c>
      <c r="N1527" s="90">
        <v>1.50525963939739</v>
      </c>
      <c r="O1527" s="90">
        <v>1.01174317606273</v>
      </c>
      <c r="P1527" s="90">
        <v>0.16059328394094</v>
      </c>
      <c r="Q1527" s="90">
        <v>391.82572996493502</v>
      </c>
      <c r="R1527" s="90">
        <v>1300</v>
      </c>
      <c r="S1527" s="90" t="s">
        <v>387</v>
      </c>
      <c r="T1527" s="90">
        <v>1300</v>
      </c>
      <c r="U1527" s="90" t="s">
        <v>378</v>
      </c>
      <c r="V1527" s="90" t="s">
        <v>244</v>
      </c>
      <c r="Z1527" s="90">
        <v>0</v>
      </c>
      <c r="AA1527" s="90">
        <v>1</v>
      </c>
      <c r="AB1527" s="90">
        <v>1.01174317606273</v>
      </c>
      <c r="AC1527" s="90">
        <v>0.16059328394094</v>
      </c>
      <c r="AD1527" s="90">
        <v>391.82572996493502</v>
      </c>
      <c r="AF1527" s="90">
        <v>-1</v>
      </c>
      <c r="AG1527" s="90">
        <v>-1</v>
      </c>
      <c r="AH1527" s="90">
        <v>-1</v>
      </c>
      <c r="AI1527" s="90">
        <v>-1</v>
      </c>
      <c r="AJ1527" s="90">
        <v>0</v>
      </c>
      <c r="AM1527" s="90" t="s">
        <v>379</v>
      </c>
      <c r="AN1527" s="90">
        <v>-1</v>
      </c>
      <c r="AQ1527" s="90">
        <v>357</v>
      </c>
      <c r="AR1527" s="90" t="s">
        <v>405</v>
      </c>
      <c r="AS1527" s="90" t="s">
        <v>406</v>
      </c>
      <c r="AT1527" s="90" t="s">
        <v>244</v>
      </c>
      <c r="AU1527" s="90">
        <v>122.34610000000001</v>
      </c>
      <c r="AV1527" s="90">
        <v>117.949254959906</v>
      </c>
      <c r="AW1527" s="90">
        <v>431.75140387799598</v>
      </c>
      <c r="AX1527" s="90">
        <v>0.31778242499999998</v>
      </c>
    </row>
    <row r="1528" spans="1:50" x14ac:dyDescent="0.25">
      <c r="A1528" s="102">
        <v>830000</v>
      </c>
      <c r="B1528" s="102">
        <v>2400000</v>
      </c>
      <c r="C1528" s="102">
        <v>2400000</v>
      </c>
      <c r="D1528" s="90" t="s">
        <v>374</v>
      </c>
      <c r="E1528" s="90" t="s">
        <v>68</v>
      </c>
      <c r="F1528" s="90" t="s">
        <v>375</v>
      </c>
      <c r="G1528" s="90" t="s">
        <v>376</v>
      </c>
      <c r="H1528" s="90">
        <v>0.59</v>
      </c>
      <c r="I1528" s="90">
        <v>0.64</v>
      </c>
      <c r="J1528" s="90" t="s">
        <v>244</v>
      </c>
      <c r="K1528" s="90">
        <v>0.14247971422514</v>
      </c>
      <c r="L1528" s="90">
        <v>3672.62840960728</v>
      </c>
      <c r="M1528" s="90">
        <v>9.4831871606972307</v>
      </c>
      <c r="N1528" s="90">
        <v>1.50525963939739</v>
      </c>
      <c r="O1528" s="90">
        <v>1.35116179659972</v>
      </c>
      <c r="P1528" s="90">
        <v>0.21446896325598</v>
      </c>
      <c r="Q1528" s="90">
        <v>523.27504625600102</v>
      </c>
      <c r="R1528" s="90">
        <v>1210</v>
      </c>
      <c r="S1528" s="90" t="s">
        <v>385</v>
      </c>
      <c r="T1528" s="90">
        <v>1210</v>
      </c>
      <c r="U1528" s="90" t="s">
        <v>378</v>
      </c>
      <c r="V1528" s="90" t="s">
        <v>244</v>
      </c>
      <c r="Z1528" s="90">
        <v>0</v>
      </c>
      <c r="AA1528" s="90">
        <v>1</v>
      </c>
      <c r="AB1528" s="90">
        <v>1.35116179659972</v>
      </c>
      <c r="AC1528" s="90">
        <v>0.21446896325598</v>
      </c>
      <c r="AD1528" s="90">
        <v>523.27504625600102</v>
      </c>
      <c r="AF1528" s="90">
        <v>-1</v>
      </c>
      <c r="AG1528" s="90">
        <v>-1</v>
      </c>
      <c r="AH1528" s="90">
        <v>-1</v>
      </c>
      <c r="AI1528" s="90">
        <v>-1</v>
      </c>
      <c r="AJ1528" s="90">
        <v>0</v>
      </c>
      <c r="AM1528" s="90" t="s">
        <v>379</v>
      </c>
      <c r="AN1528" s="90">
        <v>-1</v>
      </c>
      <c r="AQ1528" s="90">
        <v>357</v>
      </c>
      <c r="AR1528" s="90" t="s">
        <v>405</v>
      </c>
      <c r="AS1528" s="90" t="s">
        <v>406</v>
      </c>
      <c r="AT1528" s="90" t="s">
        <v>244</v>
      </c>
      <c r="AU1528" s="90">
        <v>122.34610000000001</v>
      </c>
      <c r="AV1528" s="90">
        <v>99.275117192206594</v>
      </c>
      <c r="AW1528" s="90">
        <v>576.59494657375205</v>
      </c>
      <c r="AX1528" s="90">
        <v>0.42439176499999998</v>
      </c>
    </row>
    <row r="1529" spans="1:50" x14ac:dyDescent="0.25">
      <c r="A1529" s="102">
        <v>830000</v>
      </c>
      <c r="B1529" s="102">
        <v>2400000</v>
      </c>
      <c r="C1529" s="102">
        <v>2400000</v>
      </c>
      <c r="D1529" s="90" t="s">
        <v>374</v>
      </c>
      <c r="E1529" s="90" t="s">
        <v>68</v>
      </c>
      <c r="F1529" s="90" t="s">
        <v>375</v>
      </c>
      <c r="G1529" s="90" t="s">
        <v>376</v>
      </c>
      <c r="H1529" s="90">
        <v>0.59</v>
      </c>
      <c r="I1529" s="90">
        <v>0.64</v>
      </c>
      <c r="J1529" s="90" t="s">
        <v>244</v>
      </c>
      <c r="K1529" s="90">
        <v>0.10225471994062001</v>
      </c>
      <c r="L1529" s="90">
        <v>3672.62840960728</v>
      </c>
      <c r="M1529" s="90">
        <v>9.4831871606972307</v>
      </c>
      <c r="N1529" s="90">
        <v>1.50525963939739</v>
      </c>
      <c r="O1529" s="90">
        <v>0.96970064726157001</v>
      </c>
      <c r="P1529" s="90">
        <v>0.15391990286449</v>
      </c>
      <c r="Q1529" s="90">
        <v>375.54358947035701</v>
      </c>
      <c r="R1529" s="90">
        <v>1210</v>
      </c>
      <c r="S1529" s="90" t="s">
        <v>385</v>
      </c>
      <c r="T1529" s="90">
        <v>1210</v>
      </c>
      <c r="U1529" s="90" t="s">
        <v>378</v>
      </c>
      <c r="V1529" s="90" t="s">
        <v>244</v>
      </c>
      <c r="Z1529" s="90">
        <v>0</v>
      </c>
      <c r="AA1529" s="90">
        <v>1</v>
      </c>
      <c r="AB1529" s="90">
        <v>0.96970064726157001</v>
      </c>
      <c r="AC1529" s="90">
        <v>0.15391990286449</v>
      </c>
      <c r="AD1529" s="90">
        <v>375.54358947035701</v>
      </c>
      <c r="AF1529" s="90">
        <v>-1</v>
      </c>
      <c r="AG1529" s="90">
        <v>-1</v>
      </c>
      <c r="AH1529" s="90">
        <v>-1</v>
      </c>
      <c r="AI1529" s="90">
        <v>-1</v>
      </c>
      <c r="AJ1529" s="90">
        <v>0</v>
      </c>
      <c r="AM1529" s="90" t="s">
        <v>379</v>
      </c>
      <c r="AN1529" s="90">
        <v>-1</v>
      </c>
      <c r="AQ1529" s="90">
        <v>357</v>
      </c>
      <c r="AR1529" s="90" t="s">
        <v>405</v>
      </c>
      <c r="AS1529" s="90" t="s">
        <v>406</v>
      </c>
      <c r="AT1529" s="90" t="s">
        <v>244</v>
      </c>
      <c r="AU1529" s="90">
        <v>122.34610000000001</v>
      </c>
      <c r="AV1529" s="90">
        <v>81.642779321837395</v>
      </c>
      <c r="AW1529" s="90">
        <v>413.81017011240999</v>
      </c>
      <c r="AX1529" s="90">
        <v>0.30457712040000001</v>
      </c>
    </row>
    <row r="1530" spans="1:50" x14ac:dyDescent="0.25">
      <c r="A1530" s="102">
        <v>830000</v>
      </c>
      <c r="B1530" s="102">
        <v>2400000</v>
      </c>
      <c r="C1530" s="102">
        <v>2400000</v>
      </c>
      <c r="D1530" s="90" t="s">
        <v>374</v>
      </c>
      <c r="E1530" s="90" t="s">
        <v>68</v>
      </c>
      <c r="F1530" s="90" t="s">
        <v>375</v>
      </c>
      <c r="G1530" s="90" t="s">
        <v>376</v>
      </c>
      <c r="H1530" s="90">
        <v>0.59</v>
      </c>
      <c r="I1530" s="90">
        <v>0.64</v>
      </c>
      <c r="J1530" s="90" t="s">
        <v>244</v>
      </c>
      <c r="K1530" s="90">
        <v>0.12505611370027001</v>
      </c>
      <c r="L1530" s="90">
        <v>3738.3108026688601</v>
      </c>
      <c r="M1530" s="90">
        <v>11.492031981327701</v>
      </c>
      <c r="N1530" s="90">
        <v>1.51717807310137</v>
      </c>
      <c r="O1530" s="90">
        <v>1.4371488581041501</v>
      </c>
      <c r="P1530" s="90">
        <v>0.18973239361333</v>
      </c>
      <c r="Q1530" s="90">
        <v>467.49862078553502</v>
      </c>
      <c r="R1530" s="90">
        <v>1400</v>
      </c>
      <c r="S1530" s="90" t="s">
        <v>324</v>
      </c>
      <c r="T1530" s="90">
        <v>1400</v>
      </c>
      <c r="U1530" s="90" t="s">
        <v>378</v>
      </c>
      <c r="V1530" s="90" t="s">
        <v>244</v>
      </c>
      <c r="Z1530" s="90">
        <v>0</v>
      </c>
      <c r="AA1530" s="90">
        <v>1</v>
      </c>
      <c r="AB1530" s="90">
        <v>1.4371488581041501</v>
      </c>
      <c r="AC1530" s="90">
        <v>0.18973239361333</v>
      </c>
      <c r="AD1530" s="90">
        <v>467.49862078553502</v>
      </c>
      <c r="AF1530" s="90">
        <v>-1</v>
      </c>
      <c r="AG1530" s="90">
        <v>-1</v>
      </c>
      <c r="AH1530" s="90">
        <v>-1</v>
      </c>
      <c r="AI1530" s="90">
        <v>-1</v>
      </c>
      <c r="AJ1530" s="90">
        <v>0</v>
      </c>
      <c r="AM1530" s="90" t="s">
        <v>379</v>
      </c>
      <c r="AN1530" s="90">
        <v>-1</v>
      </c>
      <c r="AQ1530" s="90">
        <v>357</v>
      </c>
      <c r="AR1530" s="90" t="s">
        <v>405</v>
      </c>
      <c r="AS1530" s="90" t="s">
        <v>406</v>
      </c>
      <c r="AT1530" s="90" t="s">
        <v>244</v>
      </c>
      <c r="AU1530" s="90">
        <v>122.34610000000001</v>
      </c>
      <c r="AV1530" s="90">
        <v>123.366865654259</v>
      </c>
      <c r="AW1530" s="90">
        <v>506.08413688835299</v>
      </c>
      <c r="AX1530" s="90">
        <v>0.37915541019999999</v>
      </c>
    </row>
    <row r="1531" spans="1:50" x14ac:dyDescent="0.25">
      <c r="A1531" s="102">
        <v>830000</v>
      </c>
      <c r="B1531" s="102">
        <v>2400000</v>
      </c>
      <c r="C1531" s="102">
        <v>2400000</v>
      </c>
      <c r="D1531" s="90" t="s">
        <v>374</v>
      </c>
      <c r="E1531" s="90" t="s">
        <v>68</v>
      </c>
      <c r="F1531" s="90" t="s">
        <v>375</v>
      </c>
      <c r="G1531" s="90" t="s">
        <v>376</v>
      </c>
      <c r="H1531" s="90">
        <v>0.59</v>
      </c>
      <c r="I1531" s="90">
        <v>0.64</v>
      </c>
      <c r="J1531" s="90" t="s">
        <v>244</v>
      </c>
      <c r="K1531" s="90">
        <v>2.3731580181600002E-3</v>
      </c>
      <c r="L1531" s="90">
        <v>3738.3108026688601</v>
      </c>
      <c r="M1531" s="90">
        <v>11.492031981327701</v>
      </c>
      <c r="N1531" s="90">
        <v>1.51717807310137</v>
      </c>
      <c r="O1531" s="90">
        <v>2.7272407841539999E-2</v>
      </c>
      <c r="P1531" s="90">
        <v>3.6005033091700001E-3</v>
      </c>
      <c r="Q1531" s="90">
        <v>8.8716022557614007</v>
      </c>
      <c r="R1531" s="90">
        <v>1410</v>
      </c>
      <c r="S1531" s="90" t="s">
        <v>325</v>
      </c>
      <c r="T1531" s="90">
        <v>1410</v>
      </c>
      <c r="U1531" s="90" t="s">
        <v>378</v>
      </c>
      <c r="V1531" s="90" t="s">
        <v>244</v>
      </c>
      <c r="Z1531" s="90">
        <v>0</v>
      </c>
      <c r="AA1531" s="90">
        <v>1</v>
      </c>
      <c r="AB1531" s="90">
        <v>2.7272407841539999E-2</v>
      </c>
      <c r="AC1531" s="90">
        <v>3.6005033091700001E-3</v>
      </c>
      <c r="AD1531" s="90">
        <v>8.8716022557623404</v>
      </c>
      <c r="AF1531" s="90">
        <v>-1</v>
      </c>
      <c r="AG1531" s="90">
        <v>-1</v>
      </c>
      <c r="AH1531" s="90">
        <v>-1</v>
      </c>
      <c r="AI1531" s="90">
        <v>-1</v>
      </c>
      <c r="AJ1531" s="90">
        <v>0</v>
      </c>
      <c r="AM1531" s="90" t="s">
        <v>379</v>
      </c>
      <c r="AN1531" s="90">
        <v>-1</v>
      </c>
      <c r="AQ1531" s="90">
        <v>357</v>
      </c>
      <c r="AR1531" s="90" t="s">
        <v>405</v>
      </c>
      <c r="AS1531" s="90" t="s">
        <v>406</v>
      </c>
      <c r="AT1531" s="90" t="s">
        <v>244</v>
      </c>
      <c r="AU1531" s="90">
        <v>122.34610000000001</v>
      </c>
      <c r="AV1531" s="90">
        <v>18.619295200470901</v>
      </c>
      <c r="AW1531" s="90">
        <v>9.6038297671982598</v>
      </c>
      <c r="AX1531" s="90">
        <v>7.1951356000000003E-3</v>
      </c>
    </row>
    <row r="1532" spans="1:50" x14ac:dyDescent="0.25">
      <c r="A1532" s="102">
        <v>830000</v>
      </c>
      <c r="B1532" s="102">
        <v>2400000</v>
      </c>
      <c r="C1532" s="102">
        <v>2400000</v>
      </c>
      <c r="D1532" s="90" t="s">
        <v>374</v>
      </c>
      <c r="E1532" s="90" t="s">
        <v>68</v>
      </c>
      <c r="F1532" s="90" t="s">
        <v>375</v>
      </c>
      <c r="G1532" s="90" t="s">
        <v>376</v>
      </c>
      <c r="H1532" s="90">
        <v>0.59</v>
      </c>
      <c r="I1532" s="90">
        <v>0.64</v>
      </c>
      <c r="J1532" s="90" t="s">
        <v>244</v>
      </c>
      <c r="K1532" s="90">
        <v>0.49033418176534999</v>
      </c>
      <c r="L1532" s="90">
        <v>3738.3108026688601</v>
      </c>
      <c r="M1532" s="90">
        <v>11.492031981327701</v>
      </c>
      <c r="N1532" s="90">
        <v>1.51717807310137</v>
      </c>
      <c r="O1532" s="90">
        <v>5.6349360983857002</v>
      </c>
      <c r="P1532" s="90">
        <v>0.7439242690665</v>
      </c>
      <c r="Q1532" s="90">
        <v>1833.0215686112399</v>
      </c>
      <c r="R1532" s="90">
        <v>1450</v>
      </c>
      <c r="S1532" s="90" t="s">
        <v>391</v>
      </c>
      <c r="T1532" s="90">
        <v>1450</v>
      </c>
      <c r="U1532" s="90" t="s">
        <v>378</v>
      </c>
      <c r="V1532" s="90" t="s">
        <v>244</v>
      </c>
      <c r="Z1532" s="90">
        <v>0</v>
      </c>
      <c r="AA1532" s="90">
        <v>1</v>
      </c>
      <c r="AB1532" s="90">
        <v>5.6349360983857002</v>
      </c>
      <c r="AC1532" s="90">
        <v>0.7439242690665</v>
      </c>
      <c r="AD1532" s="90">
        <v>1833.0215686112399</v>
      </c>
      <c r="AF1532" s="90">
        <v>-1</v>
      </c>
      <c r="AG1532" s="90">
        <v>-1</v>
      </c>
      <c r="AH1532" s="90">
        <v>-1</v>
      </c>
      <c r="AI1532" s="90">
        <v>-1</v>
      </c>
      <c r="AJ1532" s="90">
        <v>0</v>
      </c>
      <c r="AM1532" s="90" t="s">
        <v>379</v>
      </c>
      <c r="AN1532" s="90">
        <v>-1</v>
      </c>
      <c r="AQ1532" s="90">
        <v>357</v>
      </c>
      <c r="AR1532" s="90" t="s">
        <v>405</v>
      </c>
      <c r="AS1532" s="90" t="s">
        <v>406</v>
      </c>
      <c r="AT1532" s="90" t="s">
        <v>244</v>
      </c>
      <c r="AU1532" s="90">
        <v>122.34610000000001</v>
      </c>
      <c r="AV1532" s="90">
        <v>179.89349599454101</v>
      </c>
      <c r="AW1532" s="90">
        <v>1984.31203259939</v>
      </c>
      <c r="AX1532" s="90">
        <v>1.4866354977</v>
      </c>
    </row>
    <row r="1533" spans="1:50" x14ac:dyDescent="0.25">
      <c r="A1533" s="102">
        <v>830000</v>
      </c>
      <c r="B1533" s="102">
        <v>2400000</v>
      </c>
      <c r="C1533" s="102">
        <v>2400000</v>
      </c>
      <c r="D1533" s="90" t="s">
        <v>374</v>
      </c>
      <c r="E1533" s="90" t="s">
        <v>68</v>
      </c>
      <c r="F1533" s="90" t="s">
        <v>375</v>
      </c>
      <c r="G1533" s="90" t="s">
        <v>376</v>
      </c>
      <c r="H1533" s="90">
        <v>0.59</v>
      </c>
      <c r="I1533" s="90">
        <v>0.64</v>
      </c>
      <c r="J1533" s="90" t="s">
        <v>244</v>
      </c>
      <c r="K1533" s="90">
        <v>0.14079147181151</v>
      </c>
      <c r="L1533" s="90">
        <v>3748.94196293717</v>
      </c>
      <c r="M1533" s="90">
        <v>8.1826313582309407</v>
      </c>
      <c r="N1533" s="90">
        <v>1.2738035181559</v>
      </c>
      <c r="O1533" s="90">
        <v>1.1520447122164199</v>
      </c>
      <c r="P1533" s="90">
        <v>0.17934067211985999</v>
      </c>
      <c r="Q1533" s="90">
        <v>527.81905669788898</v>
      </c>
      <c r="R1533" s="90">
        <v>1300</v>
      </c>
      <c r="S1533" s="90" t="s">
        <v>387</v>
      </c>
      <c r="T1533" s="90">
        <v>1300</v>
      </c>
      <c r="U1533" s="90" t="s">
        <v>378</v>
      </c>
      <c r="V1533" s="90" t="s">
        <v>244</v>
      </c>
      <c r="Z1533" s="90">
        <v>0</v>
      </c>
      <c r="AA1533" s="90">
        <v>1</v>
      </c>
      <c r="AB1533" s="90">
        <v>1.1520447122164199</v>
      </c>
      <c r="AC1533" s="90">
        <v>0.17934067211985999</v>
      </c>
      <c r="AD1533" s="90">
        <v>2315.9593344520699</v>
      </c>
      <c r="AF1533" s="90">
        <v>-1</v>
      </c>
      <c r="AG1533" s="90">
        <v>-1</v>
      </c>
      <c r="AH1533" s="90">
        <v>-1</v>
      </c>
      <c r="AI1533" s="90">
        <v>-1</v>
      </c>
      <c r="AJ1533" s="90">
        <v>0</v>
      </c>
      <c r="AM1533" s="90" t="s">
        <v>379</v>
      </c>
      <c r="AN1533" s="90">
        <v>-1</v>
      </c>
      <c r="AQ1533" s="90">
        <v>357</v>
      </c>
      <c r="AR1533" s="90" t="s">
        <v>405</v>
      </c>
      <c r="AS1533" s="90" t="s">
        <v>406</v>
      </c>
      <c r="AT1533" s="90" t="s">
        <v>244</v>
      </c>
      <c r="AU1533" s="90">
        <v>122.34610000000001</v>
      </c>
      <c r="AV1533" s="90">
        <v>114.12778967823699</v>
      </c>
      <c r="AW1533" s="90">
        <v>569.762871919595</v>
      </c>
      <c r="AX1533" s="90">
        <v>1.8783125178</v>
      </c>
    </row>
    <row r="1534" spans="1:50" x14ac:dyDescent="0.25">
      <c r="A1534" s="102">
        <v>830000</v>
      </c>
      <c r="B1534" s="102">
        <v>2400000</v>
      </c>
      <c r="C1534" s="102">
        <v>2400000</v>
      </c>
      <c r="D1534" s="90" t="s">
        <v>374</v>
      </c>
      <c r="E1534" s="90" t="s">
        <v>68</v>
      </c>
      <c r="F1534" s="90" t="s">
        <v>375</v>
      </c>
      <c r="G1534" s="90" t="s">
        <v>376</v>
      </c>
      <c r="H1534" s="90">
        <v>0.59</v>
      </c>
      <c r="I1534" s="90">
        <v>0.64</v>
      </c>
      <c r="J1534" s="90" t="s">
        <v>409</v>
      </c>
      <c r="K1534" s="90">
        <v>9.0265318758420005E-2</v>
      </c>
      <c r="L1534" s="90">
        <v>3763.3379781251601</v>
      </c>
      <c r="M1534" s="90">
        <v>9.4385640481978506</v>
      </c>
      <c r="N1534" s="90">
        <v>1.4985123078923399</v>
      </c>
      <c r="O1534" s="90">
        <v>0.85197499243240005</v>
      </c>
      <c r="P1534" s="90">
        <v>0.13526369113532</v>
      </c>
      <c r="Q1534" s="90">
        <v>339.69890219116098</v>
      </c>
      <c r="R1534" s="90">
        <v>1300</v>
      </c>
      <c r="S1534" s="90" t="s">
        <v>387</v>
      </c>
      <c r="T1534" s="90">
        <v>1300</v>
      </c>
      <c r="U1534" s="90" t="s">
        <v>409</v>
      </c>
      <c r="V1534" s="90" t="s">
        <v>409</v>
      </c>
      <c r="Z1534" s="90">
        <v>0</v>
      </c>
      <c r="AA1534" s="90">
        <v>1</v>
      </c>
      <c r="AB1534" s="90">
        <v>0.85197499243240005</v>
      </c>
      <c r="AC1534" s="90">
        <v>0.13526369113532</v>
      </c>
      <c r="AD1534" s="90">
        <v>339.69890219116098</v>
      </c>
      <c r="AF1534" s="90">
        <v>-1</v>
      </c>
      <c r="AG1534" s="90">
        <v>-1</v>
      </c>
      <c r="AH1534" s="90">
        <v>-1</v>
      </c>
      <c r="AI1534" s="90">
        <v>-1</v>
      </c>
      <c r="AJ1534" s="90">
        <v>0</v>
      </c>
      <c r="AM1534" s="90" t="s">
        <v>379</v>
      </c>
      <c r="AN1534" s="90">
        <v>-1</v>
      </c>
      <c r="AQ1534" s="90">
        <v>357</v>
      </c>
      <c r="AR1534" s="90" t="s">
        <v>405</v>
      </c>
      <c r="AS1534" s="90" t="s">
        <v>406</v>
      </c>
      <c r="AT1534" s="90" t="s">
        <v>244</v>
      </c>
      <c r="AU1534" s="90">
        <v>122.34610000000001</v>
      </c>
      <c r="AV1534" s="90">
        <v>114.64098639292401</v>
      </c>
      <c r="AW1534" s="90">
        <v>365.29078493752297</v>
      </c>
      <c r="AX1534" s="90">
        <v>0.27550600339999998</v>
      </c>
    </row>
    <row r="1535" spans="1:50" x14ac:dyDescent="0.25">
      <c r="A1535" s="102">
        <v>830000</v>
      </c>
      <c r="B1535" s="102">
        <v>2400000</v>
      </c>
      <c r="C1535" s="102">
        <v>2400000</v>
      </c>
      <c r="D1535" s="90" t="s">
        <v>374</v>
      </c>
      <c r="E1535" s="90" t="s">
        <v>68</v>
      </c>
      <c r="F1535" s="90" t="s">
        <v>375</v>
      </c>
      <c r="G1535" s="90" t="s">
        <v>376</v>
      </c>
      <c r="H1535" s="90">
        <v>0.59</v>
      </c>
      <c r="I1535" s="90">
        <v>0.64</v>
      </c>
      <c r="J1535" s="90" t="s">
        <v>244</v>
      </c>
      <c r="K1535" s="90">
        <v>6.9292516395070003E-2</v>
      </c>
      <c r="L1535" s="90">
        <v>3763.3379781251601</v>
      </c>
      <c r="M1535" s="90">
        <v>9.4385640481978506</v>
      </c>
      <c r="N1535" s="90">
        <v>1.4985123078923399</v>
      </c>
      <c r="O1535" s="90">
        <v>0.65402185405569002</v>
      </c>
      <c r="P1535" s="90">
        <v>0.10383568866284</v>
      </c>
      <c r="Q1535" s="90">
        <v>260.77115854943798</v>
      </c>
      <c r="R1535" s="90">
        <v>1300</v>
      </c>
      <c r="S1535" s="90" t="s">
        <v>387</v>
      </c>
      <c r="T1535" s="90">
        <v>1300</v>
      </c>
      <c r="U1535" s="90" t="s">
        <v>378</v>
      </c>
      <c r="V1535" s="90" t="s">
        <v>244</v>
      </c>
      <c r="Z1535" s="90">
        <v>0</v>
      </c>
      <c r="AA1535" s="90">
        <v>1</v>
      </c>
      <c r="AB1535" s="90">
        <v>0.65402185405569002</v>
      </c>
      <c r="AC1535" s="90">
        <v>0.10383568866284</v>
      </c>
      <c r="AD1535" s="90">
        <v>260.77115854943798</v>
      </c>
      <c r="AF1535" s="90">
        <v>-1</v>
      </c>
      <c r="AG1535" s="90">
        <v>-1</v>
      </c>
      <c r="AH1535" s="90">
        <v>-1</v>
      </c>
      <c r="AI1535" s="90">
        <v>-1</v>
      </c>
      <c r="AJ1535" s="90">
        <v>0</v>
      </c>
      <c r="AM1535" s="90" t="s">
        <v>379</v>
      </c>
      <c r="AN1535" s="90">
        <v>-1</v>
      </c>
      <c r="AQ1535" s="90">
        <v>357</v>
      </c>
      <c r="AR1535" s="90" t="s">
        <v>405</v>
      </c>
      <c r="AS1535" s="90" t="s">
        <v>406</v>
      </c>
      <c r="AT1535" s="90" t="s">
        <v>244</v>
      </c>
      <c r="AU1535" s="90">
        <v>122.34610000000001</v>
      </c>
      <c r="AV1535" s="90">
        <v>111.23391047420699</v>
      </c>
      <c r="AW1535" s="90">
        <v>280.41686499765802</v>
      </c>
      <c r="AX1535" s="90">
        <v>0.21149323480000001</v>
      </c>
    </row>
    <row r="1536" spans="1:50" x14ac:dyDescent="0.25">
      <c r="A1536" s="102">
        <v>830000</v>
      </c>
      <c r="B1536" s="102">
        <v>2400000</v>
      </c>
      <c r="C1536" s="102">
        <v>2400000</v>
      </c>
      <c r="D1536" s="90" t="s">
        <v>374</v>
      </c>
      <c r="E1536" s="90" t="s">
        <v>68</v>
      </c>
      <c r="F1536" s="90" t="s">
        <v>375</v>
      </c>
      <c r="G1536" s="90" t="s">
        <v>376</v>
      </c>
      <c r="H1536" s="90">
        <v>0.59</v>
      </c>
      <c r="I1536" s="90">
        <v>0.64</v>
      </c>
      <c r="J1536" s="90" t="s">
        <v>244</v>
      </c>
      <c r="K1536" s="90">
        <v>1.8032743667809999E-2</v>
      </c>
      <c r="L1536" s="90">
        <v>3763.3379781251601</v>
      </c>
      <c r="M1536" s="90">
        <v>9.4385640481978506</v>
      </c>
      <c r="N1536" s="90">
        <v>1.4985123078923399</v>
      </c>
      <c r="O1536" s="90">
        <v>0.17020320607337999</v>
      </c>
      <c r="P1536" s="90">
        <v>2.7022288331279998E-2</v>
      </c>
      <c r="Q1536" s="90">
        <v>67.863309094876598</v>
      </c>
      <c r="R1536" s="90">
        <v>1400</v>
      </c>
      <c r="S1536" s="90" t="s">
        <v>324</v>
      </c>
      <c r="T1536" s="90">
        <v>1400</v>
      </c>
      <c r="U1536" s="90" t="s">
        <v>378</v>
      </c>
      <c r="V1536" s="90" t="s">
        <v>244</v>
      </c>
      <c r="Z1536" s="90">
        <v>0</v>
      </c>
      <c r="AA1536" s="90">
        <v>1</v>
      </c>
      <c r="AB1536" s="90">
        <v>0.17020320607337999</v>
      </c>
      <c r="AC1536" s="90">
        <v>2.7022288331279998E-2</v>
      </c>
      <c r="AD1536" s="90">
        <v>67.863309094875106</v>
      </c>
      <c r="AF1536" s="90">
        <v>-1</v>
      </c>
      <c r="AG1536" s="90">
        <v>-1</v>
      </c>
      <c r="AH1536" s="90">
        <v>-1</v>
      </c>
      <c r="AI1536" s="90">
        <v>-1</v>
      </c>
      <c r="AJ1536" s="90">
        <v>0</v>
      </c>
      <c r="AM1536" s="90" t="s">
        <v>379</v>
      </c>
      <c r="AN1536" s="90">
        <v>-1</v>
      </c>
      <c r="AQ1536" s="90">
        <v>357</v>
      </c>
      <c r="AR1536" s="90" t="s">
        <v>405</v>
      </c>
      <c r="AS1536" s="90" t="s">
        <v>406</v>
      </c>
      <c r="AT1536" s="90" t="s">
        <v>244</v>
      </c>
      <c r="AU1536" s="90">
        <v>122.34610000000001</v>
      </c>
      <c r="AV1536" s="90">
        <v>102.974268600841</v>
      </c>
      <c r="AW1536" s="90">
        <v>72.975924525580496</v>
      </c>
      <c r="AX1536" s="90">
        <v>5.5039180100000001E-2</v>
      </c>
    </row>
    <row r="1537" spans="1:50" x14ac:dyDescent="0.25">
      <c r="A1537" s="102">
        <v>830000</v>
      </c>
      <c r="B1537" s="102">
        <v>2400000</v>
      </c>
      <c r="C1537" s="102">
        <v>2400000</v>
      </c>
      <c r="D1537" s="90" t="s">
        <v>374</v>
      </c>
      <c r="E1537" s="90" t="s">
        <v>68</v>
      </c>
      <c r="F1537" s="90" t="s">
        <v>375</v>
      </c>
      <c r="G1537" s="90" t="s">
        <v>376</v>
      </c>
      <c r="H1537" s="90">
        <v>0.59</v>
      </c>
      <c r="I1537" s="90">
        <v>0.64</v>
      </c>
      <c r="J1537" s="90" t="s">
        <v>409</v>
      </c>
      <c r="K1537" s="90">
        <v>4.327995649435E-2</v>
      </c>
      <c r="L1537" s="90">
        <v>3763.3379781251601</v>
      </c>
      <c r="M1537" s="90">
        <v>9.4385640481978506</v>
      </c>
      <c r="N1537" s="90">
        <v>1.4985123078923399</v>
      </c>
      <c r="O1537" s="90">
        <v>0.40850064137512998</v>
      </c>
      <c r="P1537" s="90">
        <v>6.4855547491820001E-2</v>
      </c>
      <c r="Q1537" s="90">
        <v>162.87710396679199</v>
      </c>
      <c r="R1537" s="90">
        <v>1330</v>
      </c>
      <c r="S1537" s="90" t="s">
        <v>397</v>
      </c>
      <c r="T1537" s="90">
        <v>1330</v>
      </c>
      <c r="U1537" s="90" t="s">
        <v>409</v>
      </c>
      <c r="V1537" s="90" t="s">
        <v>409</v>
      </c>
      <c r="Z1537" s="90">
        <v>0</v>
      </c>
      <c r="AA1537" s="90">
        <v>1</v>
      </c>
      <c r="AB1537" s="90">
        <v>0.40850064137512998</v>
      </c>
      <c r="AC1537" s="90">
        <v>6.4855547491820001E-2</v>
      </c>
      <c r="AD1537" s="90">
        <v>162.87710396679199</v>
      </c>
      <c r="AF1537" s="90">
        <v>-1</v>
      </c>
      <c r="AG1537" s="90">
        <v>-1</v>
      </c>
      <c r="AH1537" s="90">
        <v>-1</v>
      </c>
      <c r="AI1537" s="90">
        <v>-1</v>
      </c>
      <c r="AJ1537" s="90">
        <v>0</v>
      </c>
      <c r="AM1537" s="90" t="s">
        <v>379</v>
      </c>
      <c r="AN1537" s="90">
        <v>-1</v>
      </c>
      <c r="AQ1537" s="90">
        <v>357</v>
      </c>
      <c r="AR1537" s="90" t="s">
        <v>405</v>
      </c>
      <c r="AS1537" s="90" t="s">
        <v>406</v>
      </c>
      <c r="AT1537" s="90" t="s">
        <v>244</v>
      </c>
      <c r="AU1537" s="90">
        <v>122.34610000000001</v>
      </c>
      <c r="AV1537" s="90">
        <v>53.190366171749602</v>
      </c>
      <c r="AW1537" s="90">
        <v>175.14776990035301</v>
      </c>
      <c r="AX1537" s="90">
        <v>0.13209821899999999</v>
      </c>
    </row>
    <row r="1538" spans="1:50" x14ac:dyDescent="0.25">
      <c r="A1538" s="102">
        <v>830000</v>
      </c>
      <c r="B1538" s="102">
        <v>2400000</v>
      </c>
      <c r="C1538" s="102">
        <v>2400000</v>
      </c>
      <c r="D1538" s="90" t="s">
        <v>374</v>
      </c>
      <c r="E1538" s="90" t="s">
        <v>68</v>
      </c>
      <c r="F1538" s="90" t="s">
        <v>375</v>
      </c>
      <c r="G1538" s="90" t="s">
        <v>376</v>
      </c>
      <c r="H1538" s="90">
        <v>0.59</v>
      </c>
      <c r="I1538" s="90">
        <v>0.64</v>
      </c>
      <c r="J1538" s="90" t="s">
        <v>409</v>
      </c>
      <c r="K1538" s="90">
        <v>7.504455251995E-2</v>
      </c>
      <c r="L1538" s="90">
        <v>3763.3379781251601</v>
      </c>
      <c r="M1538" s="90">
        <v>9.4385640481978506</v>
      </c>
      <c r="N1538" s="90">
        <v>1.4985123078923399</v>
      </c>
      <c r="O1538" s="90">
        <v>0.70831281542795999</v>
      </c>
      <c r="P1538" s="90">
        <v>0.11245518559142</v>
      </c>
      <c r="Q1538" s="90">
        <v>282.41801454976201</v>
      </c>
      <c r="R1538" s="90">
        <v>1210</v>
      </c>
      <c r="S1538" s="90" t="s">
        <v>385</v>
      </c>
      <c r="T1538" s="90">
        <v>1210</v>
      </c>
      <c r="U1538" s="90" t="s">
        <v>409</v>
      </c>
      <c r="V1538" s="90" t="s">
        <v>409</v>
      </c>
      <c r="Z1538" s="90">
        <v>0</v>
      </c>
      <c r="AA1538" s="90">
        <v>1</v>
      </c>
      <c r="AB1538" s="90">
        <v>0.70831281542795999</v>
      </c>
      <c r="AC1538" s="90">
        <v>0.11245518559142</v>
      </c>
      <c r="AD1538" s="90">
        <v>282.41801454976297</v>
      </c>
      <c r="AF1538" s="90">
        <v>-1</v>
      </c>
      <c r="AG1538" s="90">
        <v>-1</v>
      </c>
      <c r="AH1538" s="90">
        <v>-1</v>
      </c>
      <c r="AI1538" s="90">
        <v>-1</v>
      </c>
      <c r="AJ1538" s="90">
        <v>0</v>
      </c>
      <c r="AM1538" s="90" t="s">
        <v>379</v>
      </c>
      <c r="AN1538" s="90">
        <v>-1</v>
      </c>
      <c r="AQ1538" s="90">
        <v>357</v>
      </c>
      <c r="AR1538" s="90" t="s">
        <v>405</v>
      </c>
      <c r="AS1538" s="90" t="s">
        <v>406</v>
      </c>
      <c r="AT1538" s="90" t="s">
        <v>244</v>
      </c>
      <c r="AU1538" s="90">
        <v>122.34610000000001</v>
      </c>
      <c r="AV1538" s="90">
        <v>73.634353387427097</v>
      </c>
      <c r="AW1538" s="90">
        <v>303.69452933152297</v>
      </c>
      <c r="AX1538" s="90">
        <v>0.22904948459999999</v>
      </c>
    </row>
    <row r="1539" spans="1:50" x14ac:dyDescent="0.25">
      <c r="A1539" s="102">
        <v>830000</v>
      </c>
      <c r="B1539" s="102">
        <v>2400000</v>
      </c>
      <c r="C1539" s="102">
        <v>2400000</v>
      </c>
      <c r="D1539" s="90" t="s">
        <v>374</v>
      </c>
      <c r="E1539" s="90" t="s">
        <v>68</v>
      </c>
      <c r="F1539" s="90" t="s">
        <v>375</v>
      </c>
      <c r="G1539" s="90" t="s">
        <v>376</v>
      </c>
      <c r="H1539" s="90">
        <v>0.59</v>
      </c>
      <c r="I1539" s="90">
        <v>0.64</v>
      </c>
      <c r="J1539" s="90" t="s">
        <v>409</v>
      </c>
      <c r="K1539" s="90">
        <v>3.5354480005400001E-2</v>
      </c>
      <c r="L1539" s="90">
        <v>3763.3379781251601</v>
      </c>
      <c r="M1539" s="90">
        <v>9.4385640481978506</v>
      </c>
      <c r="N1539" s="90">
        <v>1.4985123078923399</v>
      </c>
      <c r="O1539" s="90">
        <v>0.33369552392172003</v>
      </c>
      <c r="P1539" s="90">
        <v>5.2979123427229997E-2</v>
      </c>
      <c r="Q1539" s="90">
        <v>133.05085730119899</v>
      </c>
      <c r="R1539" s="90">
        <v>1210</v>
      </c>
      <c r="S1539" s="90" t="s">
        <v>385</v>
      </c>
      <c r="T1539" s="90">
        <v>1210</v>
      </c>
      <c r="U1539" s="90" t="s">
        <v>409</v>
      </c>
      <c r="V1539" s="90" t="s">
        <v>409</v>
      </c>
      <c r="Z1539" s="90">
        <v>0</v>
      </c>
      <c r="AA1539" s="90">
        <v>1</v>
      </c>
      <c r="AB1539" s="90">
        <v>0.33369552392172003</v>
      </c>
      <c r="AC1539" s="90">
        <v>5.2979123427229997E-2</v>
      </c>
      <c r="AD1539" s="90">
        <v>133.05085730119799</v>
      </c>
      <c r="AF1539" s="90">
        <v>-1</v>
      </c>
      <c r="AG1539" s="90">
        <v>-1</v>
      </c>
      <c r="AH1539" s="90">
        <v>-1</v>
      </c>
      <c r="AI1539" s="90">
        <v>-1</v>
      </c>
      <c r="AJ1539" s="90">
        <v>0</v>
      </c>
      <c r="AM1539" s="90" t="s">
        <v>379</v>
      </c>
      <c r="AN1539" s="90">
        <v>-1</v>
      </c>
      <c r="AQ1539" s="90">
        <v>357</v>
      </c>
      <c r="AR1539" s="90" t="s">
        <v>405</v>
      </c>
      <c r="AS1539" s="90" t="s">
        <v>406</v>
      </c>
      <c r="AT1539" s="90" t="s">
        <v>244</v>
      </c>
      <c r="AU1539" s="90">
        <v>122.34610000000001</v>
      </c>
      <c r="AV1539" s="90">
        <v>47.987102088902702</v>
      </c>
      <c r="AW1539" s="90">
        <v>143.074504470476</v>
      </c>
      <c r="AX1539" s="90">
        <v>0.1079082379</v>
      </c>
    </row>
    <row r="1540" spans="1:50" x14ac:dyDescent="0.25">
      <c r="A1540" s="102">
        <v>830000</v>
      </c>
      <c r="B1540" s="102">
        <v>2400000</v>
      </c>
      <c r="C1540" s="102">
        <v>2400000</v>
      </c>
      <c r="D1540" s="90" t="s">
        <v>374</v>
      </c>
      <c r="E1540" s="90" t="s">
        <v>68</v>
      </c>
      <c r="F1540" s="90" t="s">
        <v>375</v>
      </c>
      <c r="G1540" s="90" t="s">
        <v>376</v>
      </c>
      <c r="H1540" s="90">
        <v>0.59</v>
      </c>
      <c r="I1540" s="90">
        <v>0.64</v>
      </c>
      <c r="J1540" s="90" t="s">
        <v>244</v>
      </c>
      <c r="K1540" s="90">
        <v>0.28649388575785001</v>
      </c>
      <c r="L1540" s="90">
        <v>3763.3379781251601</v>
      </c>
      <c r="M1540" s="90">
        <v>9.4385640481978506</v>
      </c>
      <c r="N1540" s="90">
        <v>1.4985123078923399</v>
      </c>
      <c r="O1540" s="90">
        <v>2.70409089014254</v>
      </c>
      <c r="P1540" s="90">
        <v>0.42931461394404002</v>
      </c>
      <c r="Q1540" s="90">
        <v>1078.17332077316</v>
      </c>
      <c r="R1540" s="90">
        <v>1450</v>
      </c>
      <c r="S1540" s="90" t="s">
        <v>391</v>
      </c>
      <c r="T1540" s="90">
        <v>1450</v>
      </c>
      <c r="U1540" s="90" t="s">
        <v>378</v>
      </c>
      <c r="V1540" s="90" t="s">
        <v>244</v>
      </c>
      <c r="Z1540" s="90">
        <v>0</v>
      </c>
      <c r="AA1540" s="90">
        <v>1</v>
      </c>
      <c r="AB1540" s="90">
        <v>2.70409089014254</v>
      </c>
      <c r="AC1540" s="90">
        <v>0.42931461394404002</v>
      </c>
      <c r="AD1540" s="90">
        <v>1078.17332077316</v>
      </c>
      <c r="AF1540" s="90">
        <v>-1</v>
      </c>
      <c r="AG1540" s="90">
        <v>-1</v>
      </c>
      <c r="AH1540" s="90">
        <v>-1</v>
      </c>
      <c r="AI1540" s="90">
        <v>-1</v>
      </c>
      <c r="AJ1540" s="90">
        <v>0</v>
      </c>
      <c r="AM1540" s="90" t="s">
        <v>379</v>
      </c>
      <c r="AN1540" s="90">
        <v>-1</v>
      </c>
      <c r="AQ1540" s="90">
        <v>357</v>
      </c>
      <c r="AR1540" s="90" t="s">
        <v>405</v>
      </c>
      <c r="AS1540" s="90" t="s">
        <v>406</v>
      </c>
      <c r="AT1540" s="90" t="s">
        <v>244</v>
      </c>
      <c r="AU1540" s="90">
        <v>122.34610000000001</v>
      </c>
      <c r="AV1540" s="90">
        <v>146.34941839840599</v>
      </c>
      <c r="AW1540" s="90">
        <v>1159.39962155748</v>
      </c>
      <c r="AX1540" s="90">
        <v>0.87443091709999998</v>
      </c>
    </row>
    <row r="1541" spans="1:50" x14ac:dyDescent="0.25">
      <c r="A1541" s="102">
        <v>830000</v>
      </c>
      <c r="B1541" s="102">
        <v>2400000</v>
      </c>
      <c r="C1541" s="102">
        <v>2400000</v>
      </c>
      <c r="D1541" s="90" t="s">
        <v>374</v>
      </c>
      <c r="E1541" s="90" t="s">
        <v>68</v>
      </c>
      <c r="F1541" s="90" t="s">
        <v>375</v>
      </c>
      <c r="G1541" s="90" t="s">
        <v>376</v>
      </c>
      <c r="H1541" s="90">
        <v>0.59</v>
      </c>
      <c r="I1541" s="90">
        <v>0.64</v>
      </c>
      <c r="J1541" s="90" t="s">
        <v>244</v>
      </c>
      <c r="K1541" s="90">
        <v>0.30333822188546999</v>
      </c>
      <c r="L1541" s="90">
        <v>3717.34449952262</v>
      </c>
      <c r="M1541" s="90">
        <v>11.762141000462</v>
      </c>
      <c r="N1541" s="90">
        <v>2.3002866672798801</v>
      </c>
      <c r="O1541" s="90">
        <v>3.5679069366464198</v>
      </c>
      <c r="P1541" s="90">
        <v>0.69776486747954003</v>
      </c>
      <c r="Q1541" s="90">
        <v>1127.61267062094</v>
      </c>
      <c r="R1541" s="90">
        <v>1300</v>
      </c>
      <c r="S1541" s="90" t="s">
        <v>387</v>
      </c>
      <c r="T1541" s="90">
        <v>1300</v>
      </c>
      <c r="U1541" s="90" t="s">
        <v>378</v>
      </c>
      <c r="V1541" s="90" t="s">
        <v>244</v>
      </c>
      <c r="Z1541" s="90">
        <v>0</v>
      </c>
      <c r="AA1541" s="90">
        <v>1</v>
      </c>
      <c r="AB1541" s="90">
        <v>3.5679069366464198</v>
      </c>
      <c r="AC1541" s="90">
        <v>0.69776486747954003</v>
      </c>
      <c r="AD1541" s="90">
        <v>1127.61267062094</v>
      </c>
      <c r="AF1541" s="90">
        <v>-1</v>
      </c>
      <c r="AG1541" s="90">
        <v>-1</v>
      </c>
      <c r="AH1541" s="90">
        <v>-1</v>
      </c>
      <c r="AI1541" s="90">
        <v>-1</v>
      </c>
      <c r="AJ1541" s="90">
        <v>0</v>
      </c>
      <c r="AM1541" s="90" t="s">
        <v>379</v>
      </c>
      <c r="AN1541" s="90">
        <v>-1</v>
      </c>
      <c r="AQ1541" s="90">
        <v>357</v>
      </c>
      <c r="AR1541" s="90" t="s">
        <v>405</v>
      </c>
      <c r="AS1541" s="90" t="s">
        <v>406</v>
      </c>
      <c r="AT1541" s="90" t="s">
        <v>244</v>
      </c>
      <c r="AU1541" s="90">
        <v>122.34610000000001</v>
      </c>
      <c r="AV1541" s="90">
        <v>183.87081849570001</v>
      </c>
      <c r="AW1541" s="90">
        <v>1227.56623139663</v>
      </c>
      <c r="AX1541" s="90">
        <v>0.91452771340000005</v>
      </c>
    </row>
    <row r="1542" spans="1:50" x14ac:dyDescent="0.25">
      <c r="A1542" s="102">
        <v>830000</v>
      </c>
      <c r="B1542" s="102">
        <v>2400000</v>
      </c>
      <c r="C1542" s="102">
        <v>2400000</v>
      </c>
      <c r="D1542" s="90" t="s">
        <v>374</v>
      </c>
      <c r="E1542" s="90" t="s">
        <v>68</v>
      </c>
      <c r="F1542" s="90" t="s">
        <v>375</v>
      </c>
      <c r="G1542" s="90" t="s">
        <v>376</v>
      </c>
      <c r="H1542" s="90">
        <v>0.59</v>
      </c>
      <c r="I1542" s="90">
        <v>0.64</v>
      </c>
      <c r="J1542" s="90" t="s">
        <v>244</v>
      </c>
      <c r="K1542" s="90">
        <v>5.4449218270109997E-2</v>
      </c>
      <c r="L1542" s="90">
        <v>3717.34449952262</v>
      </c>
      <c r="M1542" s="90">
        <v>11.762141000462</v>
      </c>
      <c r="N1542" s="90">
        <v>2.3002866672798801</v>
      </c>
      <c r="O1542" s="90">
        <v>0.64043938265800004</v>
      </c>
      <c r="P1542" s="90">
        <v>0.12524881083055001</v>
      </c>
      <c r="Q1542" s="90">
        <v>202.406502039711</v>
      </c>
      <c r="R1542" s="90">
        <v>1400</v>
      </c>
      <c r="S1542" s="90" t="s">
        <v>324</v>
      </c>
      <c r="T1542" s="90">
        <v>1400</v>
      </c>
      <c r="U1542" s="90" t="s">
        <v>378</v>
      </c>
      <c r="V1542" s="90" t="s">
        <v>244</v>
      </c>
      <c r="Z1542" s="90">
        <v>0</v>
      </c>
      <c r="AA1542" s="90">
        <v>1</v>
      </c>
      <c r="AB1542" s="90">
        <v>0.64043938265800004</v>
      </c>
      <c r="AC1542" s="90">
        <v>0.12524881083055001</v>
      </c>
      <c r="AD1542" s="90">
        <v>202.406502039711</v>
      </c>
      <c r="AF1542" s="90">
        <v>-1</v>
      </c>
      <c r="AG1542" s="90">
        <v>-1</v>
      </c>
      <c r="AH1542" s="90">
        <v>-1</v>
      </c>
      <c r="AI1542" s="90">
        <v>-1</v>
      </c>
      <c r="AJ1542" s="90">
        <v>0</v>
      </c>
      <c r="AM1542" s="90" t="s">
        <v>379</v>
      </c>
      <c r="AN1542" s="90">
        <v>-1</v>
      </c>
      <c r="AQ1542" s="90">
        <v>357</v>
      </c>
      <c r="AR1542" s="90" t="s">
        <v>405</v>
      </c>
      <c r="AS1542" s="90" t="s">
        <v>406</v>
      </c>
      <c r="AT1542" s="90" t="s">
        <v>244</v>
      </c>
      <c r="AU1542" s="90">
        <v>122.34610000000001</v>
      </c>
      <c r="AV1542" s="90">
        <v>66.049037044549706</v>
      </c>
      <c r="AW1542" s="90">
        <v>220.348168651066</v>
      </c>
      <c r="AX1542" s="90">
        <v>0.16415774699999999</v>
      </c>
    </row>
    <row r="1543" spans="1:50" x14ac:dyDescent="0.25">
      <c r="A1543" s="102">
        <v>830000</v>
      </c>
      <c r="B1543" s="102">
        <v>2400000</v>
      </c>
      <c r="C1543" s="102">
        <v>2400000</v>
      </c>
      <c r="D1543" s="90" t="s">
        <v>374</v>
      </c>
      <c r="E1543" s="90" t="s">
        <v>68</v>
      </c>
      <c r="F1543" s="90" t="s">
        <v>375</v>
      </c>
      <c r="G1543" s="90" t="s">
        <v>376</v>
      </c>
      <c r="H1543" s="90">
        <v>0.59</v>
      </c>
      <c r="I1543" s="90">
        <v>0.64</v>
      </c>
      <c r="J1543" s="90" t="s">
        <v>244</v>
      </c>
      <c r="K1543" s="90">
        <v>5.7630580663999996E-4</v>
      </c>
      <c r="L1543" s="90">
        <v>3717.34449952262</v>
      </c>
      <c r="M1543" s="90">
        <v>11.762141000462</v>
      </c>
      <c r="N1543" s="90">
        <v>2.3002866672798801</v>
      </c>
      <c r="O1543" s="90">
        <v>6.7785901571700002E-3</v>
      </c>
      <c r="P1543" s="90">
        <v>1.3256685633000001E-3</v>
      </c>
      <c r="Q1543" s="90">
        <v>2.1423272203858899</v>
      </c>
      <c r="R1543" s="90">
        <v>1450</v>
      </c>
      <c r="S1543" s="90" t="s">
        <v>391</v>
      </c>
      <c r="T1543" s="90">
        <v>1450</v>
      </c>
      <c r="U1543" s="90" t="s">
        <v>378</v>
      </c>
      <c r="V1543" s="90" t="s">
        <v>244</v>
      </c>
      <c r="Z1543" s="90">
        <v>0</v>
      </c>
      <c r="AA1543" s="90">
        <v>1</v>
      </c>
      <c r="AB1543" s="90">
        <v>6.7785901571700002E-3</v>
      </c>
      <c r="AC1543" s="90">
        <v>1.3256685633000001E-3</v>
      </c>
      <c r="AD1543" s="90">
        <v>2.1423272203854098</v>
      </c>
      <c r="AF1543" s="90">
        <v>-1</v>
      </c>
      <c r="AG1543" s="90">
        <v>-1</v>
      </c>
      <c r="AH1543" s="90">
        <v>-1</v>
      </c>
      <c r="AI1543" s="90">
        <v>-1</v>
      </c>
      <c r="AJ1543" s="90">
        <v>0</v>
      </c>
      <c r="AM1543" s="90" t="s">
        <v>379</v>
      </c>
      <c r="AN1543" s="90">
        <v>-1</v>
      </c>
      <c r="AQ1543" s="90">
        <v>357</v>
      </c>
      <c r="AR1543" s="90" t="s">
        <v>405</v>
      </c>
      <c r="AS1543" s="90" t="s">
        <v>406</v>
      </c>
      <c r="AT1543" s="90" t="s">
        <v>244</v>
      </c>
      <c r="AU1543" s="90">
        <v>122.34610000000001</v>
      </c>
      <c r="AV1543" s="90">
        <v>15.877761761433</v>
      </c>
      <c r="AW1543" s="90">
        <v>2.3322268548993499</v>
      </c>
      <c r="AX1543" s="90">
        <v>1.7374917000000001E-3</v>
      </c>
    </row>
    <row r="1544" spans="1:50" x14ac:dyDescent="0.25">
      <c r="A1544" s="102">
        <v>830000</v>
      </c>
      <c r="B1544" s="102">
        <v>2400000</v>
      </c>
      <c r="C1544" s="102">
        <v>2400000</v>
      </c>
      <c r="D1544" s="90" t="s">
        <v>374</v>
      </c>
      <c r="E1544" s="90" t="s">
        <v>68</v>
      </c>
      <c r="F1544" s="90" t="s">
        <v>375</v>
      </c>
      <c r="G1544" s="90" t="s">
        <v>376</v>
      </c>
      <c r="H1544" s="90">
        <v>0.59</v>
      </c>
      <c r="I1544" s="90">
        <v>0.64</v>
      </c>
      <c r="J1544" s="90" t="s">
        <v>244</v>
      </c>
      <c r="K1544" s="90">
        <v>0.17301815678533999</v>
      </c>
      <c r="L1544" s="90">
        <v>3717.34449952262</v>
      </c>
      <c r="M1544" s="90">
        <v>11.762141000462</v>
      </c>
      <c r="N1544" s="90">
        <v>2.3002866672798801</v>
      </c>
      <c r="O1544" s="90">
        <v>2.0350639557493202</v>
      </c>
      <c r="P1544" s="90">
        <v>0.39799135925066997</v>
      </c>
      <c r="Q1544" s="90">
        <v>643.16809344355602</v>
      </c>
      <c r="R1544" s="90">
        <v>1300</v>
      </c>
      <c r="S1544" s="90" t="s">
        <v>387</v>
      </c>
      <c r="T1544" s="90">
        <v>1300</v>
      </c>
      <c r="U1544" s="90" t="s">
        <v>378</v>
      </c>
      <c r="V1544" s="90" t="s">
        <v>244</v>
      </c>
      <c r="Z1544" s="90">
        <v>0</v>
      </c>
      <c r="AA1544" s="90">
        <v>1</v>
      </c>
      <c r="AB1544" s="90">
        <v>2.0350639557493202</v>
      </c>
      <c r="AC1544" s="90">
        <v>0.39799135925066997</v>
      </c>
      <c r="AD1544" s="90">
        <v>643.16809344355602</v>
      </c>
      <c r="AF1544" s="90">
        <v>-1</v>
      </c>
      <c r="AG1544" s="90">
        <v>-1</v>
      </c>
      <c r="AH1544" s="90">
        <v>-1</v>
      </c>
      <c r="AI1544" s="90">
        <v>-1</v>
      </c>
      <c r="AJ1544" s="90">
        <v>0</v>
      </c>
      <c r="AM1544" s="90" t="s">
        <v>379</v>
      </c>
      <c r="AN1544" s="90">
        <v>-1</v>
      </c>
      <c r="AQ1544" s="90">
        <v>357</v>
      </c>
      <c r="AR1544" s="90" t="s">
        <v>405</v>
      </c>
      <c r="AS1544" s="90" t="s">
        <v>406</v>
      </c>
      <c r="AT1544" s="90" t="s">
        <v>244</v>
      </c>
      <c r="AU1544" s="90">
        <v>122.34610000000001</v>
      </c>
      <c r="AV1544" s="90">
        <v>109.967705956074</v>
      </c>
      <c r="AW1544" s="90">
        <v>700.17963897859499</v>
      </c>
      <c r="AX1544" s="90">
        <v>0.52162862399999999</v>
      </c>
    </row>
    <row r="1545" spans="1:50" x14ac:dyDescent="0.25">
      <c r="A1545" s="102">
        <v>830000</v>
      </c>
      <c r="B1545" s="102">
        <v>2400000</v>
      </c>
      <c r="C1545" s="102">
        <v>2400000</v>
      </c>
      <c r="D1545" s="90" t="s">
        <v>374</v>
      </c>
      <c r="E1545" s="90" t="s">
        <v>68</v>
      </c>
      <c r="F1545" s="90" t="s">
        <v>375</v>
      </c>
      <c r="G1545" s="90" t="s">
        <v>376</v>
      </c>
      <c r="H1545" s="90">
        <v>0.59</v>
      </c>
      <c r="I1545" s="90">
        <v>0.64</v>
      </c>
      <c r="J1545" s="90" t="s">
        <v>244</v>
      </c>
      <c r="K1545" s="90">
        <v>7.7543184106099996E-3</v>
      </c>
      <c r="L1545" s="90">
        <v>3748.5838514515699</v>
      </c>
      <c r="M1545" s="90">
        <v>8.2142603199950095</v>
      </c>
      <c r="N1545" s="90">
        <v>1.28369662340613</v>
      </c>
      <c r="O1545" s="90">
        <v>6.3695990028909993E-2</v>
      </c>
      <c r="P1545" s="90">
        <v>9.9541923605199999E-3</v>
      </c>
      <c r="Q1545" s="90">
        <v>29.067712773041301</v>
      </c>
      <c r="R1545" s="90">
        <v>1300</v>
      </c>
      <c r="S1545" s="90" t="s">
        <v>387</v>
      </c>
      <c r="T1545" s="90">
        <v>1300</v>
      </c>
      <c r="U1545" s="90" t="s">
        <v>378</v>
      </c>
      <c r="V1545" s="90" t="s">
        <v>244</v>
      </c>
      <c r="Z1545" s="90">
        <v>0</v>
      </c>
      <c r="AA1545" s="90">
        <v>1</v>
      </c>
      <c r="AB1545" s="90">
        <v>6.3695990028909993E-2</v>
      </c>
      <c r="AC1545" s="90">
        <v>9.9541923605199999E-3</v>
      </c>
      <c r="AD1545" s="90">
        <v>29.067712773040899</v>
      </c>
      <c r="AF1545" s="90">
        <v>-1</v>
      </c>
      <c r="AG1545" s="90">
        <v>-1</v>
      </c>
      <c r="AH1545" s="90">
        <v>-1</v>
      </c>
      <c r="AI1545" s="90">
        <v>-1</v>
      </c>
      <c r="AJ1545" s="90">
        <v>0</v>
      </c>
      <c r="AM1545" s="90" t="s">
        <v>379</v>
      </c>
      <c r="AN1545" s="90">
        <v>-1</v>
      </c>
      <c r="AQ1545" s="90">
        <v>357</v>
      </c>
      <c r="AR1545" s="90" t="s">
        <v>405</v>
      </c>
      <c r="AS1545" s="90" t="s">
        <v>406</v>
      </c>
      <c r="AT1545" s="90" t="s">
        <v>244</v>
      </c>
      <c r="AU1545" s="90">
        <v>122.34610000000001</v>
      </c>
      <c r="AV1545" s="90">
        <v>97.496512054103704</v>
      </c>
      <c r="AW1545" s="90">
        <v>31.380613261327401</v>
      </c>
      <c r="AX1545" s="90">
        <v>2.35747873E-2</v>
      </c>
    </row>
    <row r="1546" spans="1:50" x14ac:dyDescent="0.25">
      <c r="A1546" s="102">
        <v>830000</v>
      </c>
      <c r="B1546" s="102">
        <v>2400000</v>
      </c>
      <c r="C1546" s="102">
        <v>2400000</v>
      </c>
      <c r="D1546" s="90" t="s">
        <v>374</v>
      </c>
      <c r="E1546" s="90" t="s">
        <v>68</v>
      </c>
      <c r="F1546" s="90" t="s">
        <v>375</v>
      </c>
      <c r="G1546" s="90" t="s">
        <v>376</v>
      </c>
      <c r="H1546" s="90">
        <v>0.59</v>
      </c>
      <c r="I1546" s="90">
        <v>0.64</v>
      </c>
      <c r="J1546" s="90" t="s">
        <v>244</v>
      </c>
      <c r="K1546" s="90">
        <v>0.61000913507318999</v>
      </c>
      <c r="L1546" s="90">
        <v>3748.5838514515699</v>
      </c>
      <c r="M1546" s="90">
        <v>8.2142603199950095</v>
      </c>
      <c r="N1546" s="90">
        <v>1.28369662340613</v>
      </c>
      <c r="O1546" s="90">
        <v>5.0107738330662004</v>
      </c>
      <c r="P1546" s="90">
        <v>0.78306666694034999</v>
      </c>
      <c r="Q1546" s="90">
        <v>2286.6703929733098</v>
      </c>
      <c r="R1546" s="90">
        <v>1300</v>
      </c>
      <c r="S1546" s="90" t="s">
        <v>387</v>
      </c>
      <c r="T1546" s="90">
        <v>1300</v>
      </c>
      <c r="U1546" s="90" t="s">
        <v>378</v>
      </c>
      <c r="V1546" s="90" t="s">
        <v>244</v>
      </c>
      <c r="Z1546" s="90">
        <v>0</v>
      </c>
      <c r="AA1546" s="90">
        <v>1</v>
      </c>
      <c r="AB1546" s="90">
        <v>5.0107738330662004</v>
      </c>
      <c r="AC1546" s="90">
        <v>0.78306666694034999</v>
      </c>
      <c r="AD1546" s="90">
        <v>2286.6703929733098</v>
      </c>
      <c r="AF1546" s="90">
        <v>-1</v>
      </c>
      <c r="AG1546" s="90">
        <v>-1</v>
      </c>
      <c r="AH1546" s="90">
        <v>-1</v>
      </c>
      <c r="AI1546" s="90">
        <v>-1</v>
      </c>
      <c r="AJ1546" s="90">
        <v>0</v>
      </c>
      <c r="AM1546" s="90" t="s">
        <v>379</v>
      </c>
      <c r="AN1546" s="90">
        <v>-1</v>
      </c>
      <c r="AQ1546" s="90">
        <v>357</v>
      </c>
      <c r="AR1546" s="90" t="s">
        <v>405</v>
      </c>
      <c r="AS1546" s="90" t="s">
        <v>406</v>
      </c>
      <c r="AT1546" s="90" t="s">
        <v>244</v>
      </c>
      <c r="AU1546" s="90">
        <v>122.34610000000001</v>
      </c>
      <c r="AV1546" s="90">
        <v>198.71254413818099</v>
      </c>
      <c r="AW1546" s="90">
        <v>2468.6193859936102</v>
      </c>
      <c r="AX1546" s="90">
        <v>1.8545583074000001</v>
      </c>
    </row>
    <row r="1547" spans="1:50" x14ac:dyDescent="0.25">
      <c r="A1547" s="102">
        <v>830000</v>
      </c>
      <c r="B1547" s="102">
        <v>2400000</v>
      </c>
      <c r="C1547" s="102">
        <v>2400000</v>
      </c>
      <c r="D1547" s="90" t="s">
        <v>374</v>
      </c>
      <c r="E1547" s="90" t="s">
        <v>68</v>
      </c>
      <c r="F1547" s="90" t="s">
        <v>375</v>
      </c>
      <c r="G1547" s="90" t="s">
        <v>376</v>
      </c>
      <c r="H1547" s="90">
        <v>0.59</v>
      </c>
      <c r="I1547" s="90">
        <v>0.64</v>
      </c>
      <c r="J1547" s="90" t="s">
        <v>244</v>
      </c>
      <c r="K1547" s="90">
        <v>0.12869745962751</v>
      </c>
      <c r="L1547" s="90">
        <v>3695.6699290080601</v>
      </c>
      <c r="M1547" s="90">
        <v>9.7723182797811994</v>
      </c>
      <c r="N1547" s="90">
        <v>1.5073356700353799</v>
      </c>
      <c r="O1547" s="90">
        <v>1.25767253727934</v>
      </c>
      <c r="P1547" s="90">
        <v>0.19399027153948001</v>
      </c>
      <c r="Q1547" s="90">
        <v>475.62333148512602</v>
      </c>
      <c r="R1547" s="90">
        <v>1200</v>
      </c>
      <c r="S1547" s="90" t="s">
        <v>384</v>
      </c>
      <c r="T1547" s="90">
        <v>1200</v>
      </c>
      <c r="U1547" s="90" t="s">
        <v>378</v>
      </c>
      <c r="V1547" s="90" t="s">
        <v>244</v>
      </c>
      <c r="Z1547" s="90">
        <v>0</v>
      </c>
      <c r="AA1547" s="90">
        <v>1</v>
      </c>
      <c r="AB1547" s="90">
        <v>1.25767253727934</v>
      </c>
      <c r="AC1547" s="90">
        <v>0.19399027153948001</v>
      </c>
      <c r="AD1547" s="90">
        <v>475.62333148512602</v>
      </c>
      <c r="AF1547" s="90">
        <v>-1</v>
      </c>
      <c r="AG1547" s="90">
        <v>-1</v>
      </c>
      <c r="AH1547" s="90">
        <v>-1</v>
      </c>
      <c r="AI1547" s="90">
        <v>-1</v>
      </c>
      <c r="AJ1547" s="90">
        <v>0</v>
      </c>
      <c r="AM1547" s="90" t="s">
        <v>379</v>
      </c>
      <c r="AN1547" s="90">
        <v>-1</v>
      </c>
      <c r="AQ1547" s="90">
        <v>357</v>
      </c>
      <c r="AR1547" s="90" t="s">
        <v>405</v>
      </c>
      <c r="AS1547" s="90" t="s">
        <v>406</v>
      </c>
      <c r="AT1547" s="90" t="s">
        <v>244</v>
      </c>
      <c r="AU1547" s="90">
        <v>122.34610000000001</v>
      </c>
      <c r="AV1547" s="90">
        <v>120.986044615265</v>
      </c>
      <c r="AW1547" s="90">
        <v>520.820141040159</v>
      </c>
      <c r="AX1547" s="90">
        <v>0.38574479439999998</v>
      </c>
    </row>
    <row r="1548" spans="1:50" x14ac:dyDescent="0.25">
      <c r="A1548" s="102">
        <v>830000</v>
      </c>
      <c r="B1548" s="102">
        <v>2400000</v>
      </c>
      <c r="C1548" s="102">
        <v>2400000</v>
      </c>
      <c r="D1548" s="90" t="s">
        <v>374</v>
      </c>
      <c r="E1548" s="90" t="s">
        <v>68</v>
      </c>
      <c r="F1548" s="90" t="s">
        <v>375</v>
      </c>
      <c r="G1548" s="90" t="s">
        <v>376</v>
      </c>
      <c r="H1548" s="90">
        <v>0.59</v>
      </c>
      <c r="I1548" s="90">
        <v>0.64</v>
      </c>
      <c r="J1548" s="90" t="s">
        <v>244</v>
      </c>
      <c r="K1548" s="90">
        <v>8.27062987213E-3</v>
      </c>
      <c r="L1548" s="90">
        <v>3695.6699290080601</v>
      </c>
      <c r="M1548" s="90">
        <v>9.7723182797811994</v>
      </c>
      <c r="N1548" s="90">
        <v>1.5073356700353799</v>
      </c>
      <c r="O1548" s="90">
        <v>8.0823227484750002E-2</v>
      </c>
      <c r="P1548" s="90">
        <v>1.246661541992E-2</v>
      </c>
      <c r="Q1548" s="90">
        <v>30.565518112397701</v>
      </c>
      <c r="R1548" s="90">
        <v>1330</v>
      </c>
      <c r="S1548" s="90" t="s">
        <v>397</v>
      </c>
      <c r="T1548" s="90">
        <v>1330</v>
      </c>
      <c r="U1548" s="90" t="s">
        <v>378</v>
      </c>
      <c r="V1548" s="90" t="s">
        <v>244</v>
      </c>
      <c r="Z1548" s="90">
        <v>0</v>
      </c>
      <c r="AA1548" s="90">
        <v>1</v>
      </c>
      <c r="AB1548" s="90">
        <v>8.0823227484750002E-2</v>
      </c>
      <c r="AC1548" s="90">
        <v>1.246661541992E-2</v>
      </c>
      <c r="AD1548" s="90">
        <v>30.565518112398198</v>
      </c>
      <c r="AF1548" s="90">
        <v>-1</v>
      </c>
      <c r="AG1548" s="90">
        <v>-1</v>
      </c>
      <c r="AH1548" s="90">
        <v>-1</v>
      </c>
      <c r="AI1548" s="90">
        <v>-1</v>
      </c>
      <c r="AJ1548" s="90">
        <v>0</v>
      </c>
      <c r="AM1548" s="90" t="s">
        <v>379</v>
      </c>
      <c r="AN1548" s="90">
        <v>-1</v>
      </c>
      <c r="AQ1548" s="90">
        <v>357</v>
      </c>
      <c r="AR1548" s="90" t="s">
        <v>405</v>
      </c>
      <c r="AS1548" s="90" t="s">
        <v>406</v>
      </c>
      <c r="AT1548" s="90" t="s">
        <v>244</v>
      </c>
      <c r="AU1548" s="90">
        <v>122.34610000000001</v>
      </c>
      <c r="AV1548" s="90">
        <v>28.781304621772598</v>
      </c>
      <c r="AW1548" s="90">
        <v>33.470051615335201</v>
      </c>
      <c r="AX1548" s="90">
        <v>2.4789552400000001E-2</v>
      </c>
    </row>
    <row r="1549" spans="1:50" x14ac:dyDescent="0.25">
      <c r="A1549" s="102">
        <v>830000</v>
      </c>
      <c r="B1549" s="102">
        <v>2400000</v>
      </c>
      <c r="C1549" s="102">
        <v>2400000</v>
      </c>
      <c r="D1549" s="90" t="s">
        <v>374</v>
      </c>
      <c r="E1549" s="90" t="s">
        <v>68</v>
      </c>
      <c r="F1549" s="90" t="s">
        <v>375</v>
      </c>
      <c r="G1549" s="90" t="s">
        <v>376</v>
      </c>
      <c r="H1549" s="90">
        <v>0.59</v>
      </c>
      <c r="I1549" s="90">
        <v>0.64</v>
      </c>
      <c r="J1549" s="90" t="s">
        <v>244</v>
      </c>
      <c r="K1549" s="90">
        <v>1.4020198962449999E-2</v>
      </c>
      <c r="L1549" s="90">
        <v>3695.6699290080601</v>
      </c>
      <c r="M1549" s="90">
        <v>9.7723182797811994</v>
      </c>
      <c r="N1549" s="90">
        <v>1.5073356700353799</v>
      </c>
      <c r="O1549" s="90">
        <v>0.13700984660692</v>
      </c>
      <c r="P1549" s="90">
        <v>2.113314599709E-2</v>
      </c>
      <c r="Q1549" s="90">
        <v>51.814027704240203</v>
      </c>
      <c r="R1549" s="90">
        <v>1330</v>
      </c>
      <c r="S1549" s="90" t="s">
        <v>397</v>
      </c>
      <c r="T1549" s="90">
        <v>1330</v>
      </c>
      <c r="U1549" s="90" t="s">
        <v>378</v>
      </c>
      <c r="V1549" s="90" t="s">
        <v>244</v>
      </c>
      <c r="Z1549" s="90">
        <v>0</v>
      </c>
      <c r="AA1549" s="90">
        <v>1</v>
      </c>
      <c r="AB1549" s="90">
        <v>0.13700984660692</v>
      </c>
      <c r="AC1549" s="90">
        <v>2.113314599709E-2</v>
      </c>
      <c r="AD1549" s="90">
        <v>51.814027704239102</v>
      </c>
      <c r="AF1549" s="90">
        <v>-1</v>
      </c>
      <c r="AG1549" s="90">
        <v>-1</v>
      </c>
      <c r="AH1549" s="90">
        <v>-1</v>
      </c>
      <c r="AI1549" s="90">
        <v>-1</v>
      </c>
      <c r="AJ1549" s="90">
        <v>0</v>
      </c>
      <c r="AM1549" s="90" t="s">
        <v>379</v>
      </c>
      <c r="AN1549" s="90">
        <v>-1</v>
      </c>
      <c r="AQ1549" s="90">
        <v>357</v>
      </c>
      <c r="AR1549" s="90" t="s">
        <v>405</v>
      </c>
      <c r="AS1549" s="90" t="s">
        <v>406</v>
      </c>
      <c r="AT1549" s="90" t="s">
        <v>244</v>
      </c>
      <c r="AU1549" s="90">
        <v>122.34610000000001</v>
      </c>
      <c r="AV1549" s="90">
        <v>36.744388977120799</v>
      </c>
      <c r="AW1549" s="90">
        <v>56.737732214519298</v>
      </c>
      <c r="AX1549" s="90">
        <v>4.2022731299999998E-2</v>
      </c>
    </row>
    <row r="1550" spans="1:50" x14ac:dyDescent="0.25">
      <c r="A1550" s="102">
        <v>830000</v>
      </c>
      <c r="B1550" s="102">
        <v>2400000</v>
      </c>
      <c r="C1550" s="102">
        <v>2400000</v>
      </c>
      <c r="D1550" s="90" t="s">
        <v>374</v>
      </c>
      <c r="E1550" s="90" t="s">
        <v>68</v>
      </c>
      <c r="F1550" s="90" t="s">
        <v>375</v>
      </c>
      <c r="G1550" s="90" t="s">
        <v>376</v>
      </c>
      <c r="H1550" s="90">
        <v>0.59</v>
      </c>
      <c r="I1550" s="90">
        <v>0.64</v>
      </c>
      <c r="J1550" s="90" t="s">
        <v>244</v>
      </c>
      <c r="K1550" s="90">
        <v>4.0500108130900004E-3</v>
      </c>
      <c r="L1550" s="90">
        <v>3695.6699290080601</v>
      </c>
      <c r="M1550" s="90">
        <v>9.7723182797811994</v>
      </c>
      <c r="N1550" s="90">
        <v>1.5073356700353799</v>
      </c>
      <c r="O1550" s="90">
        <v>3.9577994702129998E-2</v>
      </c>
      <c r="P1550" s="90">
        <v>6.1047257625999997E-3</v>
      </c>
      <c r="Q1550" s="90">
        <v>14.9675031741164</v>
      </c>
      <c r="R1550" s="90">
        <v>1410</v>
      </c>
      <c r="S1550" s="90" t="s">
        <v>325</v>
      </c>
      <c r="T1550" s="90">
        <v>1410</v>
      </c>
      <c r="U1550" s="90" t="s">
        <v>378</v>
      </c>
      <c r="V1550" s="90" t="s">
        <v>244</v>
      </c>
      <c r="Z1550" s="90">
        <v>0</v>
      </c>
      <c r="AA1550" s="90">
        <v>1</v>
      </c>
      <c r="AB1550" s="90">
        <v>3.9577994702129998E-2</v>
      </c>
      <c r="AC1550" s="90">
        <v>6.1047257625999997E-3</v>
      </c>
      <c r="AD1550" s="90">
        <v>14.9675031741174</v>
      </c>
      <c r="AF1550" s="90">
        <v>-1</v>
      </c>
      <c r="AG1550" s="90">
        <v>-1</v>
      </c>
      <c r="AH1550" s="90">
        <v>-1</v>
      </c>
      <c r="AI1550" s="90">
        <v>-1</v>
      </c>
      <c r="AJ1550" s="90">
        <v>0</v>
      </c>
      <c r="AM1550" s="90" t="s">
        <v>379</v>
      </c>
      <c r="AN1550" s="90">
        <v>-1</v>
      </c>
      <c r="AQ1550" s="90">
        <v>357</v>
      </c>
      <c r="AR1550" s="90" t="s">
        <v>405</v>
      </c>
      <c r="AS1550" s="90" t="s">
        <v>406</v>
      </c>
      <c r="AT1550" s="90" t="s">
        <v>244</v>
      </c>
      <c r="AU1550" s="90">
        <v>122.34610000000001</v>
      </c>
      <c r="AV1550" s="90">
        <v>16.356289222986501</v>
      </c>
      <c r="AW1550" s="90">
        <v>16.3898122697681</v>
      </c>
      <c r="AX1550" s="90">
        <v>1.2139094200000001E-2</v>
      </c>
    </row>
    <row r="1551" spans="1:50" x14ac:dyDescent="0.25">
      <c r="A1551" s="102">
        <v>830000</v>
      </c>
      <c r="B1551" s="102">
        <v>2400000</v>
      </c>
      <c r="C1551" s="102">
        <v>2400000</v>
      </c>
      <c r="D1551" s="90" t="s">
        <v>374</v>
      </c>
      <c r="E1551" s="90" t="s">
        <v>68</v>
      </c>
      <c r="F1551" s="90" t="s">
        <v>375</v>
      </c>
      <c r="G1551" s="90" t="s">
        <v>376</v>
      </c>
      <c r="H1551" s="90">
        <v>0.59</v>
      </c>
      <c r="I1551" s="90">
        <v>0.64</v>
      </c>
      <c r="J1551" s="90" t="s">
        <v>244</v>
      </c>
      <c r="K1551" s="90">
        <v>3.7633904979179997E-2</v>
      </c>
      <c r="L1551" s="90">
        <v>3695.6699290080601</v>
      </c>
      <c r="M1551" s="90">
        <v>9.7723182797811994</v>
      </c>
      <c r="N1551" s="90">
        <v>1.5073356700353799</v>
      </c>
      <c r="O1551" s="90">
        <v>0.3677704975676</v>
      </c>
      <c r="P1551" s="90">
        <v>5.6726927377839999E-2</v>
      </c>
      <c r="Q1551" s="90">
        <v>139.082490942709</v>
      </c>
      <c r="R1551" s="90">
        <v>1330</v>
      </c>
      <c r="S1551" s="90" t="s">
        <v>397</v>
      </c>
      <c r="T1551" s="90">
        <v>1330</v>
      </c>
      <c r="U1551" s="90" t="s">
        <v>378</v>
      </c>
      <c r="V1551" s="90" t="s">
        <v>244</v>
      </c>
      <c r="Z1551" s="90">
        <v>0</v>
      </c>
      <c r="AA1551" s="90">
        <v>1</v>
      </c>
      <c r="AB1551" s="90">
        <v>0.3677704975676</v>
      </c>
      <c r="AC1551" s="90">
        <v>5.6726927377839999E-2</v>
      </c>
      <c r="AD1551" s="90">
        <v>139.08249094271</v>
      </c>
      <c r="AF1551" s="90">
        <v>-1</v>
      </c>
      <c r="AG1551" s="90">
        <v>-1</v>
      </c>
      <c r="AH1551" s="90">
        <v>-1</v>
      </c>
      <c r="AI1551" s="90">
        <v>-1</v>
      </c>
      <c r="AJ1551" s="90">
        <v>0</v>
      </c>
      <c r="AM1551" s="90" t="s">
        <v>379</v>
      </c>
      <c r="AN1551" s="90">
        <v>-1</v>
      </c>
      <c r="AQ1551" s="90">
        <v>357</v>
      </c>
      <c r="AR1551" s="90" t="s">
        <v>405</v>
      </c>
      <c r="AS1551" s="90" t="s">
        <v>406</v>
      </c>
      <c r="AT1551" s="90" t="s">
        <v>244</v>
      </c>
      <c r="AU1551" s="90">
        <v>122.34610000000001</v>
      </c>
      <c r="AV1551" s="90">
        <v>55.749493273726699</v>
      </c>
      <c r="AW1551" s="90">
        <v>152.29901006499401</v>
      </c>
      <c r="AX1551" s="90">
        <v>0.1128000738</v>
      </c>
    </row>
    <row r="1552" spans="1:50" x14ac:dyDescent="0.25">
      <c r="A1552" s="102">
        <v>830000</v>
      </c>
      <c r="B1552" s="102">
        <v>2400000</v>
      </c>
      <c r="C1552" s="102">
        <v>2400000</v>
      </c>
      <c r="D1552" s="90" t="s">
        <v>374</v>
      </c>
      <c r="E1552" s="90" t="s">
        <v>68</v>
      </c>
      <c r="F1552" s="90" t="s">
        <v>375</v>
      </c>
      <c r="G1552" s="90" t="s">
        <v>376</v>
      </c>
      <c r="H1552" s="90">
        <v>0.59</v>
      </c>
      <c r="I1552" s="90">
        <v>0.64</v>
      </c>
      <c r="J1552" s="90" t="s">
        <v>244</v>
      </c>
      <c r="K1552" s="90">
        <v>5.619857458257E-2</v>
      </c>
      <c r="L1552" s="90">
        <v>3695.6699290080601</v>
      </c>
      <c r="M1552" s="90">
        <v>9.7723182797811994</v>
      </c>
      <c r="N1552" s="90">
        <v>1.5073356700353799</v>
      </c>
      <c r="O1552" s="90">
        <v>0.54919035769095004</v>
      </c>
      <c r="P1552" s="90">
        <v>8.4710116073460004E-2</v>
      </c>
      <c r="Q1552" s="90">
        <v>207.69138213794301</v>
      </c>
      <c r="R1552" s="90">
        <v>1330</v>
      </c>
      <c r="S1552" s="90" t="s">
        <v>397</v>
      </c>
      <c r="T1552" s="90">
        <v>1330</v>
      </c>
      <c r="U1552" s="90" t="s">
        <v>378</v>
      </c>
      <c r="V1552" s="90" t="s">
        <v>244</v>
      </c>
      <c r="Z1552" s="90">
        <v>0</v>
      </c>
      <c r="AA1552" s="90">
        <v>1</v>
      </c>
      <c r="AB1552" s="90">
        <v>0.54919035769095004</v>
      </c>
      <c r="AC1552" s="90">
        <v>8.4710116073460004E-2</v>
      </c>
      <c r="AD1552" s="90">
        <v>207.69138213794201</v>
      </c>
      <c r="AF1552" s="90">
        <v>-1</v>
      </c>
      <c r="AG1552" s="90">
        <v>-1</v>
      </c>
      <c r="AH1552" s="90">
        <v>-1</v>
      </c>
      <c r="AI1552" s="90">
        <v>-1</v>
      </c>
      <c r="AJ1552" s="90">
        <v>0</v>
      </c>
      <c r="AM1552" s="90" t="s">
        <v>379</v>
      </c>
      <c r="AN1552" s="90">
        <v>-1</v>
      </c>
      <c r="AQ1552" s="90">
        <v>357</v>
      </c>
      <c r="AR1552" s="90" t="s">
        <v>405</v>
      </c>
      <c r="AS1552" s="90" t="s">
        <v>406</v>
      </c>
      <c r="AT1552" s="90" t="s">
        <v>244</v>
      </c>
      <c r="AU1552" s="90">
        <v>122.34610000000001</v>
      </c>
      <c r="AV1552" s="90">
        <v>62.438484425431099</v>
      </c>
      <c r="AW1552" s="90">
        <v>227.427562479221</v>
      </c>
      <c r="AX1552" s="90">
        <v>0.16844394330000001</v>
      </c>
    </row>
    <row r="1553" spans="1:50" x14ac:dyDescent="0.25">
      <c r="A1553" s="102">
        <v>830000</v>
      </c>
      <c r="B1553" s="102">
        <v>2400000</v>
      </c>
      <c r="C1553" s="102">
        <v>2400000</v>
      </c>
      <c r="D1553" s="90" t="s">
        <v>374</v>
      </c>
      <c r="E1553" s="90" t="s">
        <v>68</v>
      </c>
      <c r="F1553" s="90" t="s">
        <v>375</v>
      </c>
      <c r="G1553" s="90" t="s">
        <v>376</v>
      </c>
      <c r="H1553" s="90">
        <v>0.59</v>
      </c>
      <c r="I1553" s="90">
        <v>0.64</v>
      </c>
      <c r="J1553" s="90" t="s">
        <v>244</v>
      </c>
      <c r="K1553" s="90">
        <v>8.7036611053730006E-2</v>
      </c>
      <c r="L1553" s="90">
        <v>3695.6699290080601</v>
      </c>
      <c r="M1553" s="90">
        <v>9.7723182797811994</v>
      </c>
      <c r="N1553" s="90">
        <v>1.5073356700353799</v>
      </c>
      <c r="O1553" s="90">
        <v>0.85054946521065</v>
      </c>
      <c r="P1553" s="90">
        <v>0.13119338844028999</v>
      </c>
      <c r="Q1553" s="90">
        <v>321.65858619406998</v>
      </c>
      <c r="R1553" s="90">
        <v>1330</v>
      </c>
      <c r="S1553" s="90" t="s">
        <v>397</v>
      </c>
      <c r="T1553" s="90">
        <v>1330</v>
      </c>
      <c r="U1553" s="90" t="s">
        <v>378</v>
      </c>
      <c r="V1553" s="90" t="s">
        <v>244</v>
      </c>
      <c r="Z1553" s="90">
        <v>0</v>
      </c>
      <c r="AA1553" s="90">
        <v>1</v>
      </c>
      <c r="AB1553" s="90">
        <v>0.85054946521065</v>
      </c>
      <c r="AC1553" s="90">
        <v>0.13119338844028999</v>
      </c>
      <c r="AD1553" s="90">
        <v>321.65858619407101</v>
      </c>
      <c r="AF1553" s="90">
        <v>-1</v>
      </c>
      <c r="AG1553" s="90">
        <v>-1</v>
      </c>
      <c r="AH1553" s="90">
        <v>-1</v>
      </c>
      <c r="AI1553" s="90">
        <v>-1</v>
      </c>
      <c r="AJ1553" s="90">
        <v>0</v>
      </c>
      <c r="AM1553" s="90" t="s">
        <v>379</v>
      </c>
      <c r="AN1553" s="90">
        <v>-1</v>
      </c>
      <c r="AQ1553" s="90">
        <v>357</v>
      </c>
      <c r="AR1553" s="90" t="s">
        <v>405</v>
      </c>
      <c r="AS1553" s="90" t="s">
        <v>406</v>
      </c>
      <c r="AT1553" s="90" t="s">
        <v>244</v>
      </c>
      <c r="AU1553" s="90">
        <v>122.34610000000001</v>
      </c>
      <c r="AV1553" s="90">
        <v>75.153283528802206</v>
      </c>
      <c r="AW1553" s="90">
        <v>352.22466842675101</v>
      </c>
      <c r="AX1553" s="90">
        <v>0.26087476580000002</v>
      </c>
    </row>
    <row r="1554" spans="1:50" x14ac:dyDescent="0.25">
      <c r="A1554" s="102">
        <v>830000</v>
      </c>
      <c r="B1554" s="102">
        <v>2400000</v>
      </c>
      <c r="C1554" s="102">
        <v>2400000</v>
      </c>
      <c r="D1554" s="90" t="s">
        <v>374</v>
      </c>
      <c r="E1554" s="90" t="s">
        <v>68</v>
      </c>
      <c r="F1554" s="90" t="s">
        <v>375</v>
      </c>
      <c r="G1554" s="90" t="s">
        <v>376</v>
      </c>
      <c r="H1554" s="90">
        <v>0.59</v>
      </c>
      <c r="I1554" s="90">
        <v>0.64</v>
      </c>
      <c r="J1554" s="90" t="s">
        <v>244</v>
      </c>
      <c r="K1554" s="90">
        <v>0.23417842907856001</v>
      </c>
      <c r="L1554" s="90">
        <v>3695.6699290080601</v>
      </c>
      <c r="M1554" s="90">
        <v>9.7723182797811994</v>
      </c>
      <c r="N1554" s="90">
        <v>1.5073356700353799</v>
      </c>
      <c r="O1554" s="90">
        <v>2.2884661432148699</v>
      </c>
      <c r="P1554" s="90">
        <v>0.35298549930296003</v>
      </c>
      <c r="Q1554" s="90">
        <v>865.44617836799</v>
      </c>
      <c r="R1554" s="90">
        <v>1210</v>
      </c>
      <c r="S1554" s="90" t="s">
        <v>385</v>
      </c>
      <c r="T1554" s="90">
        <v>1210</v>
      </c>
      <c r="U1554" s="90" t="s">
        <v>378</v>
      </c>
      <c r="V1554" s="90" t="s">
        <v>244</v>
      </c>
      <c r="Z1554" s="90">
        <v>0</v>
      </c>
      <c r="AA1554" s="90">
        <v>1</v>
      </c>
      <c r="AB1554" s="90">
        <v>2.2884661432148699</v>
      </c>
      <c r="AC1554" s="90">
        <v>0.35298549930296003</v>
      </c>
      <c r="AD1554" s="90">
        <v>865.44617836799</v>
      </c>
      <c r="AF1554" s="90">
        <v>-1</v>
      </c>
      <c r="AG1554" s="90">
        <v>-1</v>
      </c>
      <c r="AH1554" s="90">
        <v>-1</v>
      </c>
      <c r="AI1554" s="90">
        <v>-1</v>
      </c>
      <c r="AJ1554" s="90">
        <v>0</v>
      </c>
      <c r="AM1554" s="90" t="s">
        <v>379</v>
      </c>
      <c r="AN1554" s="90">
        <v>-1</v>
      </c>
      <c r="AQ1554" s="90">
        <v>357</v>
      </c>
      <c r="AR1554" s="90" t="s">
        <v>405</v>
      </c>
      <c r="AS1554" s="90" t="s">
        <v>406</v>
      </c>
      <c r="AT1554" s="90" t="s">
        <v>244</v>
      </c>
      <c r="AU1554" s="90">
        <v>122.34610000000001</v>
      </c>
      <c r="AV1554" s="90">
        <v>125.01770709985399</v>
      </c>
      <c r="AW1554" s="90">
        <v>947.68647970411905</v>
      </c>
      <c r="AX1554" s="90">
        <v>0.70190282110000002</v>
      </c>
    </row>
    <row r="1555" spans="1:50" x14ac:dyDescent="0.25">
      <c r="A1555" s="102">
        <v>830000</v>
      </c>
      <c r="B1555" s="102">
        <v>2400000</v>
      </c>
      <c r="C1555" s="102">
        <v>2400000</v>
      </c>
      <c r="D1555" s="90" t="s">
        <v>374</v>
      </c>
      <c r="E1555" s="90" t="s">
        <v>68</v>
      </c>
      <c r="F1555" s="90" t="s">
        <v>375</v>
      </c>
      <c r="G1555" s="90" t="s">
        <v>376</v>
      </c>
      <c r="H1555" s="90">
        <v>0.59</v>
      </c>
      <c r="I1555" s="90">
        <v>0.64</v>
      </c>
      <c r="J1555" s="90" t="s">
        <v>244</v>
      </c>
      <c r="K1555" s="90">
        <v>4.7677634813729997E-2</v>
      </c>
      <c r="L1555" s="90">
        <v>3695.6699290080601</v>
      </c>
      <c r="M1555" s="90">
        <v>9.7723182797811994</v>
      </c>
      <c r="N1555" s="90">
        <v>1.5073356700353799</v>
      </c>
      <c r="O1555" s="90">
        <v>0.46592102222694998</v>
      </c>
      <c r="P1555" s="90">
        <v>7.1866199617650006E-2</v>
      </c>
      <c r="Q1555" s="90">
        <v>176.20080126733299</v>
      </c>
      <c r="R1555" s="90">
        <v>1210</v>
      </c>
      <c r="S1555" s="90" t="s">
        <v>385</v>
      </c>
      <c r="T1555" s="90">
        <v>1210</v>
      </c>
      <c r="U1555" s="90" t="s">
        <v>378</v>
      </c>
      <c r="V1555" s="90" t="s">
        <v>244</v>
      </c>
      <c r="Z1555" s="90">
        <v>0</v>
      </c>
      <c r="AA1555" s="90">
        <v>1</v>
      </c>
      <c r="AB1555" s="90">
        <v>0.46592102222694998</v>
      </c>
      <c r="AC1555" s="90">
        <v>7.1866199617650006E-2</v>
      </c>
      <c r="AD1555" s="90">
        <v>176.20080126733501</v>
      </c>
      <c r="AF1555" s="90">
        <v>-1</v>
      </c>
      <c r="AG1555" s="90">
        <v>-1</v>
      </c>
      <c r="AH1555" s="90">
        <v>-1</v>
      </c>
      <c r="AI1555" s="90">
        <v>-1</v>
      </c>
      <c r="AJ1555" s="90">
        <v>0</v>
      </c>
      <c r="AM1555" s="90" t="s">
        <v>379</v>
      </c>
      <c r="AN1555" s="90">
        <v>-1</v>
      </c>
      <c r="AQ1555" s="90">
        <v>357</v>
      </c>
      <c r="AR1555" s="90" t="s">
        <v>405</v>
      </c>
      <c r="AS1555" s="90" t="s">
        <v>406</v>
      </c>
      <c r="AT1555" s="90" t="s">
        <v>244</v>
      </c>
      <c r="AU1555" s="90">
        <v>122.34610000000001</v>
      </c>
      <c r="AV1555" s="90">
        <v>83.945430810806002</v>
      </c>
      <c r="AW1555" s="90">
        <v>192.94454265079099</v>
      </c>
      <c r="AX1555" s="90">
        <v>0.14290413730000001</v>
      </c>
    </row>
    <row r="1556" spans="1:50" x14ac:dyDescent="0.25">
      <c r="A1556" s="102">
        <v>830000</v>
      </c>
      <c r="B1556" s="102">
        <v>2400000</v>
      </c>
      <c r="C1556" s="102">
        <v>2400000</v>
      </c>
      <c r="D1556" s="90" t="s">
        <v>374</v>
      </c>
      <c r="E1556" s="90" t="s">
        <v>68</v>
      </c>
      <c r="F1556" s="90" t="s">
        <v>375</v>
      </c>
      <c r="G1556" s="90" t="s">
        <v>376</v>
      </c>
      <c r="H1556" s="90">
        <v>0.59</v>
      </c>
      <c r="I1556" s="90">
        <v>0.64</v>
      </c>
      <c r="J1556" s="90" t="s">
        <v>244</v>
      </c>
      <c r="K1556" s="90">
        <v>0.16807112792577</v>
      </c>
      <c r="L1556" s="90">
        <v>3675.1739427611501</v>
      </c>
      <c r="M1556" s="90">
        <v>9.5554118041985401</v>
      </c>
      <c r="N1556" s="90">
        <v>1.53839546650935</v>
      </c>
      <c r="O1556" s="90">
        <v>1.60598883972693</v>
      </c>
      <c r="P1556" s="90">
        <v>0.25855986125211999</v>
      </c>
      <c r="Q1556" s="90">
        <v>617.69062988329199</v>
      </c>
      <c r="R1556" s="90">
        <v>1330</v>
      </c>
      <c r="S1556" s="90" t="s">
        <v>397</v>
      </c>
      <c r="T1556" s="90">
        <v>1330</v>
      </c>
      <c r="U1556" s="90" t="s">
        <v>378</v>
      </c>
      <c r="V1556" s="90" t="s">
        <v>244</v>
      </c>
      <c r="Z1556" s="90">
        <v>0</v>
      </c>
      <c r="AA1556" s="90">
        <v>1</v>
      </c>
      <c r="AB1556" s="90">
        <v>1.60598883972693</v>
      </c>
      <c r="AC1556" s="90">
        <v>0.25855986125211999</v>
      </c>
      <c r="AD1556" s="90">
        <v>617.69062988329199</v>
      </c>
      <c r="AF1556" s="90">
        <v>-1</v>
      </c>
      <c r="AG1556" s="90">
        <v>-1</v>
      </c>
      <c r="AH1556" s="90">
        <v>-1</v>
      </c>
      <c r="AI1556" s="90">
        <v>-1</v>
      </c>
      <c r="AJ1556" s="90">
        <v>0</v>
      </c>
      <c r="AM1556" s="90" t="s">
        <v>379</v>
      </c>
      <c r="AN1556" s="90">
        <v>-1</v>
      </c>
      <c r="AQ1556" s="90">
        <v>357</v>
      </c>
      <c r="AR1556" s="90" t="s">
        <v>405</v>
      </c>
      <c r="AS1556" s="90" t="s">
        <v>406</v>
      </c>
      <c r="AT1556" s="90" t="s">
        <v>244</v>
      </c>
      <c r="AU1556" s="90">
        <v>122.34610000000001</v>
      </c>
      <c r="AV1556" s="90">
        <v>104.871201861198</v>
      </c>
      <c r="AW1556" s="90">
        <v>680.15972346644196</v>
      </c>
      <c r="AX1556" s="90">
        <v>0.50096563660000004</v>
      </c>
    </row>
    <row r="1557" spans="1:50" x14ac:dyDescent="0.25">
      <c r="A1557" s="102">
        <v>830000</v>
      </c>
      <c r="B1557" s="102">
        <v>2400000</v>
      </c>
      <c r="C1557" s="102">
        <v>2400000</v>
      </c>
      <c r="D1557" s="90" t="s">
        <v>374</v>
      </c>
      <c r="E1557" s="90" t="s">
        <v>68</v>
      </c>
      <c r="F1557" s="90" t="s">
        <v>375</v>
      </c>
      <c r="G1557" s="90" t="s">
        <v>376</v>
      </c>
      <c r="H1557" s="90">
        <v>0.59</v>
      </c>
      <c r="I1557" s="90">
        <v>0.64</v>
      </c>
      <c r="J1557" s="90" t="s">
        <v>244</v>
      </c>
      <c r="K1557" s="90">
        <v>6.25418152766E-3</v>
      </c>
      <c r="L1557" s="90">
        <v>3675.1739427611501</v>
      </c>
      <c r="M1557" s="90">
        <v>9.5554118041985401</v>
      </c>
      <c r="N1557" s="90">
        <v>1.53839546650935</v>
      </c>
      <c r="O1557" s="90">
        <v>5.9761279995069999E-2</v>
      </c>
      <c r="P1557" s="90">
        <v>9.6214045088899997E-3</v>
      </c>
      <c r="Q1557" s="90">
        <v>22.9852049837835</v>
      </c>
      <c r="R1557" s="90">
        <v>1210</v>
      </c>
      <c r="S1557" s="90" t="s">
        <v>385</v>
      </c>
      <c r="T1557" s="90">
        <v>1210</v>
      </c>
      <c r="U1557" s="90" t="s">
        <v>378</v>
      </c>
      <c r="V1557" s="90" t="s">
        <v>244</v>
      </c>
      <c r="Z1557" s="90">
        <v>0</v>
      </c>
      <c r="AA1557" s="90">
        <v>1</v>
      </c>
      <c r="AB1557" s="90">
        <v>5.9761279995069999E-2</v>
      </c>
      <c r="AC1557" s="90">
        <v>9.6214045088899997E-3</v>
      </c>
      <c r="AD1557" s="90">
        <v>725.11037215321505</v>
      </c>
      <c r="AF1557" s="90">
        <v>-1</v>
      </c>
      <c r="AG1557" s="90">
        <v>-1</v>
      </c>
      <c r="AH1557" s="90">
        <v>-1</v>
      </c>
      <c r="AI1557" s="90">
        <v>-1</v>
      </c>
      <c r="AJ1557" s="90">
        <v>0</v>
      </c>
      <c r="AM1557" s="90" t="s">
        <v>379</v>
      </c>
      <c r="AN1557" s="90">
        <v>-1</v>
      </c>
      <c r="AQ1557" s="90">
        <v>357</v>
      </c>
      <c r="AR1557" s="90" t="s">
        <v>405</v>
      </c>
      <c r="AS1557" s="90" t="s">
        <v>406</v>
      </c>
      <c r="AT1557" s="90" t="s">
        <v>244</v>
      </c>
      <c r="AU1557" s="90">
        <v>122.34610000000001</v>
      </c>
      <c r="AV1557" s="90">
        <v>61.422972494710301</v>
      </c>
      <c r="AW1557" s="90">
        <v>25.3097746820977</v>
      </c>
      <c r="AX1557" s="90">
        <v>0.58808627099999999</v>
      </c>
    </row>
    <row r="1558" spans="1:50" x14ac:dyDescent="0.25">
      <c r="A1558" s="102">
        <v>830000</v>
      </c>
      <c r="B1558" s="102">
        <v>2400000</v>
      </c>
      <c r="C1558" s="102">
        <v>2400000</v>
      </c>
      <c r="D1558" s="90" t="s">
        <v>374</v>
      </c>
      <c r="E1558" s="90" t="s">
        <v>68</v>
      </c>
      <c r="F1558" s="90" t="s">
        <v>375</v>
      </c>
      <c r="G1558" s="90" t="s">
        <v>376</v>
      </c>
      <c r="H1558" s="90">
        <v>0.59</v>
      </c>
      <c r="I1558" s="90">
        <v>0.64</v>
      </c>
      <c r="J1558" s="90" t="s">
        <v>244</v>
      </c>
      <c r="K1558" s="90">
        <v>0.11295077621481001</v>
      </c>
      <c r="L1558" s="90">
        <v>3675.1739427611501</v>
      </c>
      <c r="M1558" s="90">
        <v>9.5554118041985401</v>
      </c>
      <c r="N1558" s="90">
        <v>1.53839546650935</v>
      </c>
      <c r="O1558" s="90">
        <v>1.07929118033643</v>
      </c>
      <c r="P1558" s="90">
        <v>0.17376296206757999</v>
      </c>
      <c r="Q1558" s="90">
        <v>415.113749559334</v>
      </c>
      <c r="R1558" s="90">
        <v>1210</v>
      </c>
      <c r="S1558" s="90" t="s">
        <v>385</v>
      </c>
      <c r="T1558" s="90">
        <v>1210</v>
      </c>
      <c r="U1558" s="90" t="s">
        <v>378</v>
      </c>
      <c r="V1558" s="90" t="s">
        <v>244</v>
      </c>
      <c r="Z1558" s="90">
        <v>0</v>
      </c>
      <c r="AA1558" s="90">
        <v>1</v>
      </c>
      <c r="AB1558" s="90">
        <v>1.07929118033643</v>
      </c>
      <c r="AC1558" s="90">
        <v>0.17376296206757999</v>
      </c>
      <c r="AD1558" s="90">
        <v>415.113749559334</v>
      </c>
      <c r="AF1558" s="90">
        <v>-1</v>
      </c>
      <c r="AG1558" s="90">
        <v>-1</v>
      </c>
      <c r="AH1558" s="90">
        <v>-1</v>
      </c>
      <c r="AI1558" s="90">
        <v>-1</v>
      </c>
      <c r="AJ1558" s="90">
        <v>0</v>
      </c>
      <c r="AM1558" s="90" t="s">
        <v>379</v>
      </c>
      <c r="AN1558" s="90">
        <v>-1</v>
      </c>
      <c r="AQ1558" s="90">
        <v>357</v>
      </c>
      <c r="AR1558" s="90" t="s">
        <v>405</v>
      </c>
      <c r="AS1558" s="90" t="s">
        <v>406</v>
      </c>
      <c r="AT1558" s="90" t="s">
        <v>244</v>
      </c>
      <c r="AU1558" s="90">
        <v>122.34610000000001</v>
      </c>
      <c r="AV1558" s="90">
        <v>85.672187391303893</v>
      </c>
      <c r="AW1558" s="90">
        <v>457.09557413998903</v>
      </c>
      <c r="AX1558" s="90">
        <v>0.33666970769999999</v>
      </c>
    </row>
    <row r="1559" spans="1:50" x14ac:dyDescent="0.25">
      <c r="A1559" s="102">
        <v>830000</v>
      </c>
      <c r="B1559" s="102">
        <v>2400000</v>
      </c>
      <c r="C1559" s="102">
        <v>2400000</v>
      </c>
      <c r="D1559" s="90" t="s">
        <v>374</v>
      </c>
      <c r="E1559" s="90" t="s">
        <v>68</v>
      </c>
      <c r="F1559" s="90" t="s">
        <v>375</v>
      </c>
      <c r="G1559" s="90" t="s">
        <v>376</v>
      </c>
      <c r="H1559" s="90">
        <v>0.59</v>
      </c>
      <c r="I1559" s="90">
        <v>0.64</v>
      </c>
      <c r="J1559" s="90" t="s">
        <v>244</v>
      </c>
      <c r="K1559" s="90">
        <v>8.3264743224799997E-3</v>
      </c>
      <c r="L1559" s="90">
        <v>3675.1739427611501</v>
      </c>
      <c r="M1559" s="90">
        <v>9.5554118041985401</v>
      </c>
      <c r="N1559" s="90">
        <v>1.53839546650935</v>
      </c>
      <c r="O1559" s="90">
        <v>7.9562891028439997E-2</v>
      </c>
      <c r="P1559" s="90">
        <v>1.280941034972E-2</v>
      </c>
      <c r="Q1559" s="90">
        <v>30.601241465074001</v>
      </c>
      <c r="R1559" s="90">
        <v>1210</v>
      </c>
      <c r="S1559" s="90" t="s">
        <v>385</v>
      </c>
      <c r="T1559" s="90">
        <v>1210</v>
      </c>
      <c r="U1559" s="90" t="s">
        <v>378</v>
      </c>
      <c r="V1559" s="90" t="s">
        <v>244</v>
      </c>
      <c r="Z1559" s="90">
        <v>0</v>
      </c>
      <c r="AA1559" s="90">
        <v>1</v>
      </c>
      <c r="AB1559" s="90">
        <v>7.9562891028439997E-2</v>
      </c>
      <c r="AC1559" s="90">
        <v>1.280941034972E-2</v>
      </c>
      <c r="AD1559" s="90">
        <v>445.938567035083</v>
      </c>
      <c r="AF1559" s="90">
        <v>-1</v>
      </c>
      <c r="AG1559" s="90">
        <v>-1</v>
      </c>
      <c r="AH1559" s="90">
        <v>-1</v>
      </c>
      <c r="AI1559" s="90">
        <v>-1</v>
      </c>
      <c r="AJ1559" s="90">
        <v>0</v>
      </c>
      <c r="AM1559" s="90" t="s">
        <v>379</v>
      </c>
      <c r="AN1559" s="90">
        <v>-1</v>
      </c>
      <c r="AQ1559" s="90">
        <v>357</v>
      </c>
      <c r="AR1559" s="90" t="s">
        <v>405</v>
      </c>
      <c r="AS1559" s="90" t="s">
        <v>406</v>
      </c>
      <c r="AT1559" s="90" t="s">
        <v>244</v>
      </c>
      <c r="AU1559" s="90">
        <v>122.34610000000001</v>
      </c>
      <c r="AV1559" s="90">
        <v>44.096254626193698</v>
      </c>
      <c r="AW1559" s="90">
        <v>33.696046087906403</v>
      </c>
      <c r="AX1559" s="90">
        <v>0.36166955960000002</v>
      </c>
    </row>
    <row r="1560" spans="1:50" x14ac:dyDescent="0.25">
      <c r="A1560" s="102">
        <v>830000</v>
      </c>
      <c r="B1560" s="102">
        <v>2400000</v>
      </c>
      <c r="C1560" s="102">
        <v>2400000</v>
      </c>
      <c r="D1560" s="90" t="s">
        <v>374</v>
      </c>
      <c r="E1560" s="90" t="s">
        <v>68</v>
      </c>
      <c r="F1560" s="90" t="s">
        <v>375</v>
      </c>
      <c r="G1560" s="90" t="s">
        <v>376</v>
      </c>
      <c r="H1560" s="90">
        <v>0.59</v>
      </c>
      <c r="I1560" s="90">
        <v>0.64</v>
      </c>
      <c r="J1560" s="90" t="s">
        <v>244</v>
      </c>
      <c r="K1560" s="90">
        <v>0.17522953030201999</v>
      </c>
      <c r="L1560" s="90">
        <v>3743.3017312451998</v>
      </c>
      <c r="M1560" s="90">
        <v>10.200709034723699</v>
      </c>
      <c r="N1560" s="90">
        <v>1.8333075727469199</v>
      </c>
      <c r="O1560" s="90">
        <v>1.78746545290223</v>
      </c>
      <c r="P1560" s="90">
        <v>0.32124962487157999</v>
      </c>
      <c r="Q1560" s="90">
        <v>655.93700414484294</v>
      </c>
      <c r="R1560" s="90">
        <v>1300</v>
      </c>
      <c r="S1560" s="90" t="s">
        <v>387</v>
      </c>
      <c r="T1560" s="90">
        <v>1300</v>
      </c>
      <c r="U1560" s="90" t="s">
        <v>378</v>
      </c>
      <c r="V1560" s="90" t="s">
        <v>244</v>
      </c>
      <c r="Z1560" s="90">
        <v>0</v>
      </c>
      <c r="AA1560" s="90">
        <v>1</v>
      </c>
      <c r="AB1560" s="90">
        <v>1.78746545290223</v>
      </c>
      <c r="AC1560" s="90">
        <v>0.32124962487157999</v>
      </c>
      <c r="AD1560" s="90">
        <v>655.93700414484294</v>
      </c>
      <c r="AF1560" s="90">
        <v>-1</v>
      </c>
      <c r="AG1560" s="90">
        <v>-1</v>
      </c>
      <c r="AH1560" s="90">
        <v>-1</v>
      </c>
      <c r="AI1560" s="90">
        <v>-1</v>
      </c>
      <c r="AJ1560" s="90">
        <v>0</v>
      </c>
      <c r="AM1560" s="90" t="s">
        <v>379</v>
      </c>
      <c r="AN1560" s="90">
        <v>-1</v>
      </c>
      <c r="AQ1560" s="90">
        <v>357</v>
      </c>
      <c r="AR1560" s="90" t="s">
        <v>405</v>
      </c>
      <c r="AS1560" s="90" t="s">
        <v>406</v>
      </c>
      <c r="AT1560" s="90" t="s">
        <v>244</v>
      </c>
      <c r="AU1560" s="90">
        <v>122.34610000000001</v>
      </c>
      <c r="AV1560" s="90">
        <v>127.82984564074501</v>
      </c>
      <c r="AW1560" s="90">
        <v>709.12875009687195</v>
      </c>
      <c r="AX1560" s="90">
        <v>0.53198459379999996</v>
      </c>
    </row>
    <row r="1561" spans="1:50" x14ac:dyDescent="0.25">
      <c r="A1561" s="102">
        <v>830000</v>
      </c>
      <c r="B1561" s="102">
        <v>2400000</v>
      </c>
      <c r="C1561" s="102">
        <v>2400000</v>
      </c>
      <c r="D1561" s="90" t="s">
        <v>374</v>
      </c>
      <c r="E1561" s="90" t="s">
        <v>68</v>
      </c>
      <c r="F1561" s="90" t="s">
        <v>375</v>
      </c>
      <c r="G1561" s="90" t="s">
        <v>376</v>
      </c>
      <c r="H1561" s="90">
        <v>0.59</v>
      </c>
      <c r="I1561" s="90">
        <v>0.64</v>
      </c>
      <c r="J1561" s="90" t="s">
        <v>244</v>
      </c>
      <c r="K1561" s="90">
        <v>5.9688173123899997E-3</v>
      </c>
      <c r="L1561" s="90">
        <v>3743.3017312451998</v>
      </c>
      <c r="M1561" s="90">
        <v>10.200709034723699</v>
      </c>
      <c r="N1561" s="90">
        <v>1.8333075727469199</v>
      </c>
      <c r="O1561" s="90">
        <v>6.0886168685170002E-2</v>
      </c>
      <c r="P1561" s="90">
        <v>1.094267797915E-2</v>
      </c>
      <c r="Q1561" s="90">
        <v>22.343084178978302</v>
      </c>
      <c r="R1561" s="90">
        <v>1400</v>
      </c>
      <c r="S1561" s="90" t="s">
        <v>324</v>
      </c>
      <c r="T1561" s="90">
        <v>1400</v>
      </c>
      <c r="U1561" s="90" t="s">
        <v>378</v>
      </c>
      <c r="V1561" s="90" t="s">
        <v>244</v>
      </c>
      <c r="Z1561" s="90">
        <v>0</v>
      </c>
      <c r="AA1561" s="90">
        <v>1</v>
      </c>
      <c r="AB1561" s="90">
        <v>6.0886168685170002E-2</v>
      </c>
      <c r="AC1561" s="90">
        <v>1.094267797915E-2</v>
      </c>
      <c r="AD1561" s="90">
        <v>22.343084178977499</v>
      </c>
      <c r="AF1561" s="90">
        <v>-1</v>
      </c>
      <c r="AG1561" s="90">
        <v>-1</v>
      </c>
      <c r="AH1561" s="90">
        <v>-1</v>
      </c>
      <c r="AI1561" s="90">
        <v>-1</v>
      </c>
      <c r="AJ1561" s="90">
        <v>0</v>
      </c>
      <c r="AM1561" s="90" t="s">
        <v>379</v>
      </c>
      <c r="AN1561" s="90">
        <v>-1</v>
      </c>
      <c r="AQ1561" s="90">
        <v>357</v>
      </c>
      <c r="AR1561" s="90" t="s">
        <v>405</v>
      </c>
      <c r="AS1561" s="90" t="s">
        <v>406</v>
      </c>
      <c r="AT1561" s="90" t="s">
        <v>244</v>
      </c>
      <c r="AU1561" s="90">
        <v>122.34610000000001</v>
      </c>
      <c r="AV1561" s="90">
        <v>75.438889570174595</v>
      </c>
      <c r="AW1561" s="90">
        <v>24.154946674801199</v>
      </c>
      <c r="AX1561" s="90">
        <v>1.8120911699999999E-2</v>
      </c>
    </row>
    <row r="1562" spans="1:50" x14ac:dyDescent="0.25">
      <c r="A1562" s="102">
        <v>830000</v>
      </c>
      <c r="B1562" s="102">
        <v>2400000</v>
      </c>
      <c r="C1562" s="102">
        <v>2400000</v>
      </c>
      <c r="D1562" s="90" t="s">
        <v>374</v>
      </c>
      <c r="E1562" s="90" t="s">
        <v>68</v>
      </c>
      <c r="F1562" s="90" t="s">
        <v>375</v>
      </c>
      <c r="G1562" s="90" t="s">
        <v>376</v>
      </c>
      <c r="H1562" s="90">
        <v>0.59</v>
      </c>
      <c r="I1562" s="90">
        <v>0.64</v>
      </c>
      <c r="J1562" s="90" t="s">
        <v>244</v>
      </c>
      <c r="K1562" s="90">
        <v>3.967872580871E-2</v>
      </c>
      <c r="L1562" s="90">
        <v>3743.3017312451998</v>
      </c>
      <c r="M1562" s="90">
        <v>10.200709034723699</v>
      </c>
      <c r="N1562" s="90">
        <v>1.8333075727469199</v>
      </c>
      <c r="O1562" s="90">
        <v>0.40475113684329</v>
      </c>
      <c r="P1562" s="90">
        <v>7.2743308502059997E-2</v>
      </c>
      <c r="Q1562" s="90">
        <v>148.52944301337001</v>
      </c>
      <c r="R1562" s="90">
        <v>1450</v>
      </c>
      <c r="S1562" s="90" t="s">
        <v>391</v>
      </c>
      <c r="T1562" s="90">
        <v>1450</v>
      </c>
      <c r="U1562" s="90" t="s">
        <v>378</v>
      </c>
      <c r="V1562" s="90" t="s">
        <v>244</v>
      </c>
      <c r="Z1562" s="90">
        <v>0</v>
      </c>
      <c r="AA1562" s="90">
        <v>1</v>
      </c>
      <c r="AB1562" s="90">
        <v>0.40475113684329</v>
      </c>
      <c r="AC1562" s="90">
        <v>7.2743308502059997E-2</v>
      </c>
      <c r="AD1562" s="90">
        <v>148.52944301337101</v>
      </c>
      <c r="AF1562" s="90">
        <v>-1</v>
      </c>
      <c r="AG1562" s="90">
        <v>-1</v>
      </c>
      <c r="AH1562" s="90">
        <v>-1</v>
      </c>
      <c r="AI1562" s="90">
        <v>-1</v>
      </c>
      <c r="AJ1562" s="90">
        <v>0</v>
      </c>
      <c r="AM1562" s="90" t="s">
        <v>379</v>
      </c>
      <c r="AN1562" s="90">
        <v>-1</v>
      </c>
      <c r="AQ1562" s="90">
        <v>357</v>
      </c>
      <c r="AR1562" s="90" t="s">
        <v>405</v>
      </c>
      <c r="AS1562" s="90" t="s">
        <v>406</v>
      </c>
      <c r="AT1562" s="90" t="s">
        <v>244</v>
      </c>
      <c r="AU1562" s="90">
        <v>122.34610000000001</v>
      </c>
      <c r="AV1562" s="90">
        <v>107.735155798721</v>
      </c>
      <c r="AW1562" s="90">
        <v>160.57410637165199</v>
      </c>
      <c r="AX1562" s="90">
        <v>0.12046183539999999</v>
      </c>
    </row>
    <row r="1563" spans="1:50" x14ac:dyDescent="0.25">
      <c r="A1563" s="102">
        <v>830000</v>
      </c>
      <c r="B1563" s="102">
        <v>2400000</v>
      </c>
      <c r="C1563" s="102">
        <v>2400000</v>
      </c>
      <c r="D1563" s="90" t="s">
        <v>374</v>
      </c>
      <c r="E1563" s="90" t="s">
        <v>68</v>
      </c>
      <c r="F1563" s="90" t="s">
        <v>375</v>
      </c>
      <c r="G1563" s="90" t="s">
        <v>376</v>
      </c>
      <c r="H1563" s="90">
        <v>0.59</v>
      </c>
      <c r="I1563" s="90">
        <v>0.64</v>
      </c>
      <c r="J1563" s="90" t="s">
        <v>244</v>
      </c>
      <c r="K1563" s="90">
        <v>1.64409450839E-2</v>
      </c>
      <c r="L1563" s="90">
        <v>3743.3017312451998</v>
      </c>
      <c r="M1563" s="90">
        <v>10.200709034723699</v>
      </c>
      <c r="N1563" s="90">
        <v>1.8333075727469199</v>
      </c>
      <c r="O1563" s="90">
        <v>0.16770929705675999</v>
      </c>
      <c r="P1563" s="90">
        <v>3.0141309125430001E-2</v>
      </c>
      <c r="Q1563" s="90">
        <v>61.543418195881401</v>
      </c>
      <c r="R1563" s="90">
        <v>1450</v>
      </c>
      <c r="S1563" s="90" t="s">
        <v>391</v>
      </c>
      <c r="T1563" s="90">
        <v>1450</v>
      </c>
      <c r="U1563" s="90" t="s">
        <v>378</v>
      </c>
      <c r="V1563" s="90" t="s">
        <v>244</v>
      </c>
      <c r="Z1563" s="90">
        <v>0</v>
      </c>
      <c r="AA1563" s="90">
        <v>1</v>
      </c>
      <c r="AB1563" s="90">
        <v>0.16770929705675999</v>
      </c>
      <c r="AC1563" s="90">
        <v>3.0141309125430001E-2</v>
      </c>
      <c r="AD1563" s="90">
        <v>61.543418195881003</v>
      </c>
      <c r="AF1563" s="90">
        <v>-1</v>
      </c>
      <c r="AG1563" s="90">
        <v>-1</v>
      </c>
      <c r="AH1563" s="90">
        <v>-1</v>
      </c>
      <c r="AI1563" s="90">
        <v>-1</v>
      </c>
      <c r="AJ1563" s="90">
        <v>0</v>
      </c>
      <c r="AM1563" s="90" t="s">
        <v>379</v>
      </c>
      <c r="AN1563" s="90">
        <v>-1</v>
      </c>
      <c r="AQ1563" s="90">
        <v>357</v>
      </c>
      <c r="AR1563" s="90" t="s">
        <v>405</v>
      </c>
      <c r="AS1563" s="90" t="s">
        <v>406</v>
      </c>
      <c r="AT1563" s="90" t="s">
        <v>244</v>
      </c>
      <c r="AU1563" s="90">
        <v>122.34610000000001</v>
      </c>
      <c r="AV1563" s="90">
        <v>59.867091035455402</v>
      </c>
      <c r="AW1563" s="90">
        <v>66.534144203118004</v>
      </c>
      <c r="AX1563" s="90">
        <v>4.9913559000000003E-2</v>
      </c>
    </row>
    <row r="1564" spans="1:50" x14ac:dyDescent="0.25">
      <c r="A1564" s="102">
        <v>830000</v>
      </c>
      <c r="B1564" s="102">
        <v>2400000</v>
      </c>
      <c r="C1564" s="102">
        <v>2400000</v>
      </c>
      <c r="D1564" s="90" t="s">
        <v>374</v>
      </c>
      <c r="E1564" s="90" t="s">
        <v>68</v>
      </c>
      <c r="F1564" s="90" t="s">
        <v>375</v>
      </c>
      <c r="G1564" s="90" t="s">
        <v>376</v>
      </c>
      <c r="H1564" s="90">
        <v>0.59</v>
      </c>
      <c r="I1564" s="90">
        <v>0.64</v>
      </c>
      <c r="J1564" s="90" t="s">
        <v>244</v>
      </c>
      <c r="K1564" s="90">
        <v>0.29135454953022</v>
      </c>
      <c r="L1564" s="90">
        <v>3709.8271751018401</v>
      </c>
      <c r="M1564" s="90">
        <v>10.5996015031127</v>
      </c>
      <c r="N1564" s="90">
        <v>2.0191215433123699</v>
      </c>
      <c r="O1564" s="90">
        <v>3.0882421211392401</v>
      </c>
      <c r="P1564" s="90">
        <v>0.58828024769854004</v>
      </c>
      <c r="Q1564" s="90">
        <v>1080.8750254367601</v>
      </c>
      <c r="R1564" s="90">
        <v>1300</v>
      </c>
      <c r="S1564" s="90" t="s">
        <v>387</v>
      </c>
      <c r="T1564" s="90">
        <v>1300</v>
      </c>
      <c r="U1564" s="90" t="s">
        <v>378</v>
      </c>
      <c r="V1564" s="90" t="s">
        <v>244</v>
      </c>
      <c r="Z1564" s="90">
        <v>0</v>
      </c>
      <c r="AA1564" s="90">
        <v>1</v>
      </c>
      <c r="AB1564" s="90">
        <v>3.0882421211392401</v>
      </c>
      <c r="AC1564" s="90">
        <v>0.58828024769854004</v>
      </c>
      <c r="AD1564" s="90">
        <v>1080.8750254367601</v>
      </c>
      <c r="AF1564" s="90">
        <v>-1</v>
      </c>
      <c r="AG1564" s="90">
        <v>-1</v>
      </c>
      <c r="AH1564" s="90">
        <v>-1</v>
      </c>
      <c r="AI1564" s="90">
        <v>-1</v>
      </c>
      <c r="AJ1564" s="90">
        <v>0</v>
      </c>
      <c r="AM1564" s="90" t="s">
        <v>379</v>
      </c>
      <c r="AN1564" s="90">
        <v>-1</v>
      </c>
      <c r="AQ1564" s="90">
        <v>357</v>
      </c>
      <c r="AR1564" s="90" t="s">
        <v>405</v>
      </c>
      <c r="AS1564" s="90" t="s">
        <v>406</v>
      </c>
      <c r="AT1564" s="90" t="s">
        <v>244</v>
      </c>
      <c r="AU1564" s="90">
        <v>122.34610000000001</v>
      </c>
      <c r="AV1564" s="90">
        <v>197.798325363777</v>
      </c>
      <c r="AW1564" s="90">
        <v>1179.07002996182</v>
      </c>
      <c r="AX1564" s="90">
        <v>0.87662208060000002</v>
      </c>
    </row>
    <row r="1565" spans="1:50" x14ac:dyDescent="0.25">
      <c r="A1565" s="102">
        <v>830000</v>
      </c>
      <c r="B1565" s="102">
        <v>2400000</v>
      </c>
      <c r="C1565" s="102">
        <v>2400000</v>
      </c>
      <c r="D1565" s="90" t="s">
        <v>374</v>
      </c>
      <c r="E1565" s="90" t="s">
        <v>68</v>
      </c>
      <c r="F1565" s="90" t="s">
        <v>375</v>
      </c>
      <c r="G1565" s="90" t="s">
        <v>376</v>
      </c>
      <c r="H1565" s="90">
        <v>0.59</v>
      </c>
      <c r="I1565" s="90">
        <v>0.64</v>
      </c>
      <c r="J1565" s="90" t="s">
        <v>244</v>
      </c>
      <c r="K1565" s="90">
        <v>3.5663183267479998E-2</v>
      </c>
      <c r="L1565" s="90">
        <v>3709.8271751018401</v>
      </c>
      <c r="M1565" s="90">
        <v>10.5996015031127</v>
      </c>
      <c r="N1565" s="90">
        <v>2.0191215433123699</v>
      </c>
      <c r="O1565" s="90">
        <v>0.37801553096776003</v>
      </c>
      <c r="P1565" s="90">
        <v>7.2008301638460004E-2</v>
      </c>
      <c r="Q1565" s="90">
        <v>132.30424643633401</v>
      </c>
      <c r="R1565" s="90">
        <v>1210</v>
      </c>
      <c r="S1565" s="90" t="s">
        <v>385</v>
      </c>
      <c r="T1565" s="90">
        <v>1210</v>
      </c>
      <c r="U1565" s="90" t="s">
        <v>378</v>
      </c>
      <c r="V1565" s="90" t="s">
        <v>244</v>
      </c>
      <c r="Z1565" s="90">
        <v>0</v>
      </c>
      <c r="AA1565" s="90">
        <v>1</v>
      </c>
      <c r="AB1565" s="90">
        <v>0.37801553096776003</v>
      </c>
      <c r="AC1565" s="90">
        <v>7.2008301638460004E-2</v>
      </c>
      <c r="AD1565" s="90">
        <v>132.30424643633501</v>
      </c>
      <c r="AF1565" s="90">
        <v>-1</v>
      </c>
      <c r="AG1565" s="90">
        <v>-1</v>
      </c>
      <c r="AH1565" s="90">
        <v>-1</v>
      </c>
      <c r="AI1565" s="90">
        <v>-1</v>
      </c>
      <c r="AJ1565" s="90">
        <v>0</v>
      </c>
      <c r="AM1565" s="90" t="s">
        <v>379</v>
      </c>
      <c r="AN1565" s="90">
        <v>-1</v>
      </c>
      <c r="AQ1565" s="90">
        <v>357</v>
      </c>
      <c r="AR1565" s="90" t="s">
        <v>405</v>
      </c>
      <c r="AS1565" s="90" t="s">
        <v>406</v>
      </c>
      <c r="AT1565" s="90" t="s">
        <v>244</v>
      </c>
      <c r="AU1565" s="90">
        <v>122.34610000000001</v>
      </c>
      <c r="AV1565" s="90">
        <v>63.050004719485599</v>
      </c>
      <c r="AW1565" s="90">
        <v>144.32378224922999</v>
      </c>
      <c r="AX1565" s="90">
        <v>0.1073027141</v>
      </c>
    </row>
    <row r="1566" spans="1:50" x14ac:dyDescent="0.25">
      <c r="A1566" s="102">
        <v>830000</v>
      </c>
      <c r="B1566" s="102">
        <v>2400000</v>
      </c>
      <c r="C1566" s="102">
        <v>2400000</v>
      </c>
      <c r="D1566" s="90" t="s">
        <v>374</v>
      </c>
      <c r="E1566" s="90" t="s">
        <v>68</v>
      </c>
      <c r="F1566" s="90" t="s">
        <v>375</v>
      </c>
      <c r="G1566" s="90" t="s">
        <v>376</v>
      </c>
      <c r="H1566" s="90">
        <v>0.59</v>
      </c>
      <c r="I1566" s="90">
        <v>0.64</v>
      </c>
      <c r="J1566" s="90" t="s">
        <v>244</v>
      </c>
      <c r="K1566" s="90">
        <v>0.2745197913106</v>
      </c>
      <c r="L1566" s="90">
        <v>3709.8271751018401</v>
      </c>
      <c r="M1566" s="90">
        <v>10.5996015031127</v>
      </c>
      <c r="N1566" s="90">
        <v>2.0191215433123699</v>
      </c>
      <c r="O1566" s="90">
        <v>2.9098003926100402</v>
      </c>
      <c r="P1566" s="90">
        <v>0.55428882470084995</v>
      </c>
      <c r="Q1566" s="90">
        <v>1018.42098190735</v>
      </c>
      <c r="R1566" s="90">
        <v>1340</v>
      </c>
      <c r="S1566" s="90" t="s">
        <v>407</v>
      </c>
      <c r="T1566" s="90">
        <v>1340</v>
      </c>
      <c r="U1566" s="90" t="s">
        <v>378</v>
      </c>
      <c r="V1566" s="90" t="s">
        <v>244</v>
      </c>
      <c r="Z1566" s="90">
        <v>0</v>
      </c>
      <c r="AA1566" s="90">
        <v>1</v>
      </c>
      <c r="AB1566" s="90">
        <v>2.9098003926100402</v>
      </c>
      <c r="AC1566" s="90">
        <v>0.55428882470084995</v>
      </c>
      <c r="AD1566" s="90">
        <v>1018.42098190735</v>
      </c>
      <c r="AF1566" s="90">
        <v>-1</v>
      </c>
      <c r="AG1566" s="90">
        <v>-1</v>
      </c>
      <c r="AH1566" s="90">
        <v>-1</v>
      </c>
      <c r="AI1566" s="90">
        <v>-1</v>
      </c>
      <c r="AJ1566" s="90">
        <v>0</v>
      </c>
      <c r="AM1566" s="90" t="s">
        <v>379</v>
      </c>
      <c r="AN1566" s="90">
        <v>-1</v>
      </c>
      <c r="AQ1566" s="90">
        <v>357</v>
      </c>
      <c r="AR1566" s="90" t="s">
        <v>405</v>
      </c>
      <c r="AS1566" s="90" t="s">
        <v>406</v>
      </c>
      <c r="AT1566" s="90" t="s">
        <v>244</v>
      </c>
      <c r="AU1566" s="90">
        <v>122.34610000000001</v>
      </c>
      <c r="AV1566" s="90">
        <v>134.97121288828501</v>
      </c>
      <c r="AW1566" s="90">
        <v>1110.9421805412101</v>
      </c>
      <c r="AX1566" s="90">
        <v>0.82596997719999998</v>
      </c>
    </row>
    <row r="1567" spans="1:50" x14ac:dyDescent="0.25">
      <c r="A1567" s="102">
        <v>830000</v>
      </c>
      <c r="B1567" s="102">
        <v>2400000</v>
      </c>
      <c r="C1567" s="102">
        <v>2400000</v>
      </c>
      <c r="D1567" s="90" t="s">
        <v>374</v>
      </c>
      <c r="E1567" s="90" t="s">
        <v>68</v>
      </c>
      <c r="F1567" s="90" t="s">
        <v>375</v>
      </c>
      <c r="G1567" s="90" t="s">
        <v>376</v>
      </c>
      <c r="H1567" s="90">
        <v>0.59</v>
      </c>
      <c r="I1567" s="90">
        <v>0.64</v>
      </c>
      <c r="J1567" s="90" t="s">
        <v>244</v>
      </c>
      <c r="K1567" s="90">
        <v>1.6225929375499999E-2</v>
      </c>
      <c r="L1567" s="90">
        <v>3709.8271751018401</v>
      </c>
      <c r="M1567" s="90">
        <v>10.5996015031127</v>
      </c>
      <c r="N1567" s="90">
        <v>2.0191215433123699</v>
      </c>
      <c r="O1567" s="90">
        <v>0.17198838539799</v>
      </c>
      <c r="P1567" s="90">
        <v>3.2762123562339998E-2</v>
      </c>
      <c r="Q1567" s="90">
        <v>60.195393738528097</v>
      </c>
      <c r="R1567" s="90">
        <v>1300</v>
      </c>
      <c r="S1567" s="90" t="s">
        <v>387</v>
      </c>
      <c r="T1567" s="90">
        <v>1300</v>
      </c>
      <c r="U1567" s="90" t="s">
        <v>378</v>
      </c>
      <c r="V1567" s="90" t="s">
        <v>244</v>
      </c>
      <c r="Z1567" s="90">
        <v>0</v>
      </c>
      <c r="AA1567" s="90">
        <v>1</v>
      </c>
      <c r="AB1567" s="90">
        <v>0.17198838539799</v>
      </c>
      <c r="AC1567" s="90">
        <v>3.2762123562339998E-2</v>
      </c>
      <c r="AD1567" s="90">
        <v>60.195393738527301</v>
      </c>
      <c r="AF1567" s="90">
        <v>-1</v>
      </c>
      <c r="AG1567" s="90">
        <v>-1</v>
      </c>
      <c r="AH1567" s="90">
        <v>-1</v>
      </c>
      <c r="AI1567" s="90">
        <v>-1</v>
      </c>
      <c r="AJ1567" s="90">
        <v>0</v>
      </c>
      <c r="AM1567" s="90" t="s">
        <v>379</v>
      </c>
      <c r="AN1567" s="90">
        <v>-1</v>
      </c>
      <c r="AQ1567" s="90">
        <v>357</v>
      </c>
      <c r="AR1567" s="90" t="s">
        <v>405</v>
      </c>
      <c r="AS1567" s="90" t="s">
        <v>406</v>
      </c>
      <c r="AT1567" s="90" t="s">
        <v>244</v>
      </c>
      <c r="AU1567" s="90">
        <v>122.34610000000001</v>
      </c>
      <c r="AV1567" s="90">
        <v>32.5392734687562</v>
      </c>
      <c r="AW1567" s="90">
        <v>65.664006502666396</v>
      </c>
      <c r="AX1567" s="90">
        <v>4.8820270700000001E-2</v>
      </c>
    </row>
    <row r="1568" spans="1:50" x14ac:dyDescent="0.25">
      <c r="A1568" s="102">
        <v>830000</v>
      </c>
      <c r="B1568" s="102">
        <v>2400000</v>
      </c>
      <c r="C1568" s="102">
        <v>2400000</v>
      </c>
      <c r="D1568" s="90" t="s">
        <v>374</v>
      </c>
      <c r="E1568" s="90" t="s">
        <v>68</v>
      </c>
      <c r="F1568" s="90" t="s">
        <v>375</v>
      </c>
      <c r="G1568" s="90" t="s">
        <v>376</v>
      </c>
      <c r="H1568" s="90">
        <v>0.59</v>
      </c>
      <c r="I1568" s="90">
        <v>0.64</v>
      </c>
      <c r="J1568" s="90" t="s">
        <v>244</v>
      </c>
      <c r="K1568" s="90">
        <v>0.14186594905066</v>
      </c>
      <c r="L1568" s="90">
        <v>3707.3650357942502</v>
      </c>
      <c r="M1568" s="90">
        <v>10.4028201625148</v>
      </c>
      <c r="N1568" s="90">
        <v>1.66525076849492</v>
      </c>
      <c r="O1568" s="90">
        <v>1.4758059551585501</v>
      </c>
      <c r="P1568" s="90">
        <v>0.23624238067987999</v>
      </c>
      <c r="Q1568" s="90">
        <v>525.94885928020506</v>
      </c>
      <c r="R1568" s="90">
        <v>1300</v>
      </c>
      <c r="S1568" s="90" t="s">
        <v>387</v>
      </c>
      <c r="T1568" s="90">
        <v>1300</v>
      </c>
      <c r="U1568" s="90" t="s">
        <v>378</v>
      </c>
      <c r="V1568" s="90" t="s">
        <v>244</v>
      </c>
      <c r="Z1568" s="90">
        <v>0</v>
      </c>
      <c r="AA1568" s="90">
        <v>1</v>
      </c>
      <c r="AB1568" s="90">
        <v>1.4758059551585501</v>
      </c>
      <c r="AC1568" s="90">
        <v>0.23624238067987999</v>
      </c>
      <c r="AD1568" s="90">
        <v>828.29556876683398</v>
      </c>
      <c r="AF1568" s="90">
        <v>-1</v>
      </c>
      <c r="AG1568" s="90">
        <v>-1</v>
      </c>
      <c r="AH1568" s="90">
        <v>-1</v>
      </c>
      <c r="AI1568" s="90">
        <v>-1</v>
      </c>
      <c r="AJ1568" s="90">
        <v>0</v>
      </c>
      <c r="AM1568" s="90" t="s">
        <v>379</v>
      </c>
      <c r="AN1568" s="90">
        <v>-1</v>
      </c>
      <c r="AQ1568" s="90">
        <v>357</v>
      </c>
      <c r="AR1568" s="90" t="s">
        <v>405</v>
      </c>
      <c r="AS1568" s="90" t="s">
        <v>406</v>
      </c>
      <c r="AT1568" s="90" t="s">
        <v>244</v>
      </c>
      <c r="AU1568" s="90">
        <v>122.34610000000001</v>
      </c>
      <c r="AV1568" s="90">
        <v>108.794881793588</v>
      </c>
      <c r="AW1568" s="90">
        <v>574.11112703555295</v>
      </c>
      <c r="AX1568" s="90">
        <v>0.67177256190000001</v>
      </c>
    </row>
    <row r="1569" spans="1:50" x14ac:dyDescent="0.25">
      <c r="A1569" s="102">
        <v>830000</v>
      </c>
      <c r="B1569" s="102">
        <v>2400000</v>
      </c>
      <c r="C1569" s="102">
        <v>2400000</v>
      </c>
      <c r="D1569" s="90" t="s">
        <v>374</v>
      </c>
      <c r="E1569" s="90" t="s">
        <v>68</v>
      </c>
      <c r="F1569" s="90" t="s">
        <v>375</v>
      </c>
      <c r="G1569" s="90" t="s">
        <v>376</v>
      </c>
      <c r="H1569" s="90">
        <v>0.59</v>
      </c>
      <c r="I1569" s="90">
        <v>0.64</v>
      </c>
      <c r="J1569" s="90" t="s">
        <v>244</v>
      </c>
      <c r="K1569" s="90">
        <v>1.282906066307E-2</v>
      </c>
      <c r="L1569" s="90">
        <v>3707.3650357942502</v>
      </c>
      <c r="M1569" s="90">
        <v>10.4028201625148</v>
      </c>
      <c r="N1569" s="90">
        <v>1.66525076849492</v>
      </c>
      <c r="O1569" s="90">
        <v>0.13345841093197</v>
      </c>
      <c r="P1569" s="90">
        <v>2.1363603128249999E-2</v>
      </c>
      <c r="Q1569" s="90">
        <v>47.562010944371401</v>
      </c>
      <c r="R1569" s="90">
        <v>1400</v>
      </c>
      <c r="S1569" s="90" t="s">
        <v>324</v>
      </c>
      <c r="T1569" s="90">
        <v>1400</v>
      </c>
      <c r="U1569" s="90" t="s">
        <v>378</v>
      </c>
      <c r="V1569" s="90" t="s">
        <v>244</v>
      </c>
      <c r="Z1569" s="90">
        <v>0</v>
      </c>
      <c r="AA1569" s="90">
        <v>1</v>
      </c>
      <c r="AB1569" s="90">
        <v>0.13345841093197</v>
      </c>
      <c r="AC1569" s="90">
        <v>2.1363603128249999E-2</v>
      </c>
      <c r="AD1569" s="90">
        <v>652.24050337409301</v>
      </c>
      <c r="AF1569" s="90">
        <v>-1</v>
      </c>
      <c r="AG1569" s="90">
        <v>-1</v>
      </c>
      <c r="AH1569" s="90">
        <v>-1</v>
      </c>
      <c r="AI1569" s="90">
        <v>-1</v>
      </c>
      <c r="AJ1569" s="90">
        <v>0</v>
      </c>
      <c r="AM1569" s="90" t="s">
        <v>379</v>
      </c>
      <c r="AN1569" s="90">
        <v>-1</v>
      </c>
      <c r="AQ1569" s="90">
        <v>357</v>
      </c>
      <c r="AR1569" s="90" t="s">
        <v>405</v>
      </c>
      <c r="AS1569" s="90" t="s">
        <v>406</v>
      </c>
      <c r="AT1569" s="90" t="s">
        <v>244</v>
      </c>
      <c r="AU1569" s="90">
        <v>122.34610000000001</v>
      </c>
      <c r="AV1569" s="90">
        <v>50.9219765492698</v>
      </c>
      <c r="AW1569" s="90">
        <v>51.917366537727297</v>
      </c>
      <c r="AX1569" s="90">
        <v>0.52898662070000002</v>
      </c>
    </row>
    <row r="1570" spans="1:50" x14ac:dyDescent="0.25">
      <c r="A1570" s="102">
        <v>830000</v>
      </c>
      <c r="B1570" s="102">
        <v>2400000</v>
      </c>
      <c r="C1570" s="102">
        <v>2400000</v>
      </c>
      <c r="D1570" s="90" t="s">
        <v>374</v>
      </c>
      <c r="E1570" s="90" t="s">
        <v>68</v>
      </c>
      <c r="F1570" s="90" t="s">
        <v>375</v>
      </c>
      <c r="G1570" s="90" t="s">
        <v>376</v>
      </c>
      <c r="H1570" s="90">
        <v>0.59</v>
      </c>
      <c r="I1570" s="90">
        <v>0.64</v>
      </c>
      <c r="J1570" s="90" t="s">
        <v>244</v>
      </c>
      <c r="K1570" s="90">
        <v>7.0354242649509999E-2</v>
      </c>
      <c r="L1570" s="90">
        <v>3707.3650357942502</v>
      </c>
      <c r="M1570" s="90">
        <v>10.4028201625148</v>
      </c>
      <c r="N1570" s="90">
        <v>1.66525076849492</v>
      </c>
      <c r="O1570" s="90">
        <v>0.73188253395280001</v>
      </c>
      <c r="P1570" s="90">
        <v>0.11715745663897</v>
      </c>
      <c r="Q1570" s="90">
        <v>260.82885931858601</v>
      </c>
      <c r="R1570" s="90">
        <v>1210</v>
      </c>
      <c r="S1570" s="90" t="s">
        <v>385</v>
      </c>
      <c r="T1570" s="90">
        <v>1210</v>
      </c>
      <c r="U1570" s="90" t="s">
        <v>378</v>
      </c>
      <c r="V1570" s="90" t="s">
        <v>244</v>
      </c>
      <c r="Z1570" s="90">
        <v>0</v>
      </c>
      <c r="AA1570" s="90">
        <v>1</v>
      </c>
      <c r="AB1570" s="90">
        <v>0.73188253395280001</v>
      </c>
      <c r="AC1570" s="90">
        <v>0.11715745663897</v>
      </c>
      <c r="AD1570" s="90">
        <v>260.82885931858499</v>
      </c>
      <c r="AF1570" s="90">
        <v>-1</v>
      </c>
      <c r="AG1570" s="90">
        <v>-1</v>
      </c>
      <c r="AH1570" s="90">
        <v>-1</v>
      </c>
      <c r="AI1570" s="90">
        <v>-1</v>
      </c>
      <c r="AJ1570" s="90">
        <v>0</v>
      </c>
      <c r="AM1570" s="90" t="s">
        <v>379</v>
      </c>
      <c r="AN1570" s="90">
        <v>-1</v>
      </c>
      <c r="AQ1570" s="90">
        <v>357</v>
      </c>
      <c r="AR1570" s="90" t="s">
        <v>405</v>
      </c>
      <c r="AS1570" s="90" t="s">
        <v>406</v>
      </c>
      <c r="AT1570" s="90" t="s">
        <v>244</v>
      </c>
      <c r="AU1570" s="90">
        <v>122.34610000000001</v>
      </c>
      <c r="AV1570" s="90">
        <v>68.065262352598296</v>
      </c>
      <c r="AW1570" s="90">
        <v>284.71351870926401</v>
      </c>
      <c r="AX1570" s="90">
        <v>0.21154003190000001</v>
      </c>
    </row>
    <row r="1571" spans="1:50" x14ac:dyDescent="0.25">
      <c r="A1571" s="102">
        <v>830000</v>
      </c>
      <c r="B1571" s="102">
        <v>2400000</v>
      </c>
      <c r="C1571" s="102">
        <v>2400000</v>
      </c>
      <c r="D1571" s="90" t="s">
        <v>374</v>
      </c>
      <c r="E1571" s="90" t="s">
        <v>68</v>
      </c>
      <c r="F1571" s="90" t="s">
        <v>375</v>
      </c>
      <c r="G1571" s="90" t="s">
        <v>376</v>
      </c>
      <c r="H1571" s="90">
        <v>0.59</v>
      </c>
      <c r="I1571" s="90">
        <v>0.64</v>
      </c>
      <c r="J1571" s="90" t="s">
        <v>244</v>
      </c>
      <c r="K1571" s="90">
        <v>9.0048897320299994E-3</v>
      </c>
      <c r="L1571" s="90">
        <v>3707.3650357942502</v>
      </c>
      <c r="M1571" s="90">
        <v>10.4028201625148</v>
      </c>
      <c r="N1571" s="90">
        <v>1.66525076849492</v>
      </c>
      <c r="O1571" s="90">
        <v>9.3676248465620005E-2</v>
      </c>
      <c r="P1571" s="90">
        <v>1.499539954648E-2</v>
      </c>
      <c r="Q1571" s="90">
        <v>33.384413343725498</v>
      </c>
      <c r="R1571" s="90">
        <v>1210</v>
      </c>
      <c r="S1571" s="90" t="s">
        <v>385</v>
      </c>
      <c r="T1571" s="90">
        <v>1210</v>
      </c>
      <c r="U1571" s="90" t="s">
        <v>378</v>
      </c>
      <c r="V1571" s="90" t="s">
        <v>244</v>
      </c>
      <c r="Z1571" s="90">
        <v>0</v>
      </c>
      <c r="AA1571" s="90">
        <v>1</v>
      </c>
      <c r="AB1571" s="90">
        <v>9.3676248465620005E-2</v>
      </c>
      <c r="AC1571" s="90">
        <v>1.499539954648E-2</v>
      </c>
      <c r="AD1571" s="90">
        <v>418.32785119862001</v>
      </c>
      <c r="AF1571" s="90">
        <v>-1</v>
      </c>
      <c r="AG1571" s="90">
        <v>-1</v>
      </c>
      <c r="AH1571" s="90">
        <v>-1</v>
      </c>
      <c r="AI1571" s="90">
        <v>-1</v>
      </c>
      <c r="AJ1571" s="90">
        <v>0</v>
      </c>
      <c r="AM1571" s="90" t="s">
        <v>379</v>
      </c>
      <c r="AN1571" s="90">
        <v>-1</v>
      </c>
      <c r="AQ1571" s="90">
        <v>357</v>
      </c>
      <c r="AR1571" s="90" t="s">
        <v>405</v>
      </c>
      <c r="AS1571" s="90" t="s">
        <v>406</v>
      </c>
      <c r="AT1571" s="90" t="s">
        <v>244</v>
      </c>
      <c r="AU1571" s="90">
        <v>122.34610000000001</v>
      </c>
      <c r="AV1571" s="90">
        <v>37.0300579208551</v>
      </c>
      <c r="AW1571" s="90">
        <v>36.441495845083999</v>
      </c>
      <c r="AX1571" s="90">
        <v>0.33927644060000001</v>
      </c>
    </row>
    <row r="1572" spans="1:50" x14ac:dyDescent="0.25">
      <c r="A1572" s="102">
        <v>830000</v>
      </c>
      <c r="B1572" s="102">
        <v>2400000</v>
      </c>
      <c r="C1572" s="102">
        <v>2400000</v>
      </c>
      <c r="D1572" s="90" t="s">
        <v>374</v>
      </c>
      <c r="E1572" s="90" t="s">
        <v>68</v>
      </c>
      <c r="F1572" s="90" t="s">
        <v>375</v>
      </c>
      <c r="G1572" s="90" t="s">
        <v>376</v>
      </c>
      <c r="H1572" s="90">
        <v>0.59</v>
      </c>
      <c r="I1572" s="90">
        <v>0.64</v>
      </c>
      <c r="J1572" s="90" t="s">
        <v>244</v>
      </c>
      <c r="K1572" s="90">
        <v>1.0093684546100001E-2</v>
      </c>
      <c r="L1572" s="90">
        <v>3707.3650357942502</v>
      </c>
      <c r="M1572" s="90">
        <v>10.4028201625148</v>
      </c>
      <c r="N1572" s="90">
        <v>1.66525076849492</v>
      </c>
      <c r="O1572" s="90">
        <v>0.10500278511024</v>
      </c>
      <c r="P1572" s="90">
        <v>1.6808515947340001E-2</v>
      </c>
      <c r="Q1572" s="90">
        <v>37.420973168551598</v>
      </c>
      <c r="R1572" s="90">
        <v>1300</v>
      </c>
      <c r="S1572" s="90" t="s">
        <v>387</v>
      </c>
      <c r="T1572" s="90">
        <v>1300</v>
      </c>
      <c r="U1572" s="90" t="s">
        <v>378</v>
      </c>
      <c r="V1572" s="90" t="s">
        <v>244</v>
      </c>
      <c r="Z1572" s="90">
        <v>0</v>
      </c>
      <c r="AA1572" s="90">
        <v>1</v>
      </c>
      <c r="AB1572" s="90">
        <v>0.10500278511024</v>
      </c>
      <c r="AC1572" s="90">
        <v>1.6808515947340001E-2</v>
      </c>
      <c r="AD1572" s="90">
        <v>37.420973168552798</v>
      </c>
      <c r="AF1572" s="90">
        <v>-1</v>
      </c>
      <c r="AG1572" s="90">
        <v>-1</v>
      </c>
      <c r="AH1572" s="90">
        <v>-1</v>
      </c>
      <c r="AI1572" s="90">
        <v>-1</v>
      </c>
      <c r="AJ1572" s="90">
        <v>0</v>
      </c>
      <c r="AM1572" s="90" t="s">
        <v>379</v>
      </c>
      <c r="AN1572" s="90">
        <v>-1</v>
      </c>
      <c r="AQ1572" s="90">
        <v>357</v>
      </c>
      <c r="AR1572" s="90" t="s">
        <v>405</v>
      </c>
      <c r="AS1572" s="90" t="s">
        <v>406</v>
      </c>
      <c r="AT1572" s="90" t="s">
        <v>244</v>
      </c>
      <c r="AU1572" s="90">
        <v>122.34610000000001</v>
      </c>
      <c r="AV1572" s="90">
        <v>45.946094646925403</v>
      </c>
      <c r="AW1572" s="90">
        <v>40.8476921310696</v>
      </c>
      <c r="AX1572" s="90">
        <v>3.0349532200000001E-2</v>
      </c>
    </row>
    <row r="1573" spans="1:50" x14ac:dyDescent="0.25">
      <c r="A1573" s="102">
        <v>830000</v>
      </c>
      <c r="B1573" s="102">
        <v>2400000</v>
      </c>
      <c r="C1573" s="102">
        <v>2400000</v>
      </c>
      <c r="D1573" s="90" t="s">
        <v>374</v>
      </c>
      <c r="E1573" s="90" t="s">
        <v>68</v>
      </c>
      <c r="F1573" s="90" t="s">
        <v>375</v>
      </c>
      <c r="G1573" s="90" t="s">
        <v>376</v>
      </c>
      <c r="H1573" s="90">
        <v>0.59</v>
      </c>
      <c r="I1573" s="90">
        <v>0.64</v>
      </c>
      <c r="J1573" s="90" t="s">
        <v>244</v>
      </c>
      <c r="K1573" s="90">
        <v>7.3720726549099998E-3</v>
      </c>
      <c r="L1573" s="90">
        <v>3739.7483514464102</v>
      </c>
      <c r="M1573" s="90">
        <v>10.933043748172899</v>
      </c>
      <c r="N1573" s="90">
        <v>1.5148136045526499</v>
      </c>
      <c r="O1573" s="90">
        <v>8.0599192850900003E-2</v>
      </c>
      <c r="P1573" s="90">
        <v>1.116731595141E-2</v>
      </c>
      <c r="Q1573" s="90">
        <v>27.569696557965301</v>
      </c>
      <c r="R1573" s="90">
        <v>1300</v>
      </c>
      <c r="S1573" s="90" t="s">
        <v>387</v>
      </c>
      <c r="T1573" s="90">
        <v>1300</v>
      </c>
      <c r="U1573" s="90" t="s">
        <v>378</v>
      </c>
      <c r="V1573" s="90" t="s">
        <v>244</v>
      </c>
      <c r="Z1573" s="90">
        <v>0</v>
      </c>
      <c r="AA1573" s="90">
        <v>1</v>
      </c>
      <c r="AB1573" s="90">
        <v>8.0599192850900003E-2</v>
      </c>
      <c r="AC1573" s="90">
        <v>1.116731595141E-2</v>
      </c>
      <c r="AD1573" s="90">
        <v>214.28564910060399</v>
      </c>
      <c r="AF1573" s="90">
        <v>-1</v>
      </c>
      <c r="AG1573" s="90">
        <v>-1</v>
      </c>
      <c r="AH1573" s="90">
        <v>-1</v>
      </c>
      <c r="AI1573" s="90">
        <v>-1</v>
      </c>
      <c r="AJ1573" s="90">
        <v>0</v>
      </c>
      <c r="AM1573" s="90" t="s">
        <v>379</v>
      </c>
      <c r="AN1573" s="90">
        <v>-1</v>
      </c>
      <c r="AQ1573" s="90">
        <v>357</v>
      </c>
      <c r="AR1573" s="90" t="s">
        <v>405</v>
      </c>
      <c r="AS1573" s="90" t="s">
        <v>406</v>
      </c>
      <c r="AT1573" s="90" t="s">
        <v>244</v>
      </c>
      <c r="AU1573" s="90">
        <v>122.34610000000001</v>
      </c>
      <c r="AV1573" s="90">
        <v>54.247766573527898</v>
      </c>
      <c r="AW1573" s="90">
        <v>29.833719569945099</v>
      </c>
      <c r="AX1573" s="90">
        <v>0.17379209170000001</v>
      </c>
    </row>
    <row r="1574" spans="1:50" x14ac:dyDescent="0.25">
      <c r="A1574" s="102">
        <v>830000</v>
      </c>
      <c r="B1574" s="102">
        <v>2400000</v>
      </c>
      <c r="C1574" s="102">
        <v>2400000</v>
      </c>
      <c r="D1574" s="90" t="s">
        <v>374</v>
      </c>
      <c r="E1574" s="90" t="s">
        <v>68</v>
      </c>
      <c r="F1574" s="90" t="s">
        <v>375</v>
      </c>
      <c r="G1574" s="90" t="s">
        <v>376</v>
      </c>
      <c r="H1574" s="90">
        <v>0.59</v>
      </c>
      <c r="I1574" s="90">
        <v>0.64</v>
      </c>
      <c r="J1574" s="90" t="s">
        <v>244</v>
      </c>
      <c r="K1574" s="90">
        <v>3.095682092608E-2</v>
      </c>
      <c r="L1574" s="90">
        <v>3739.7483514464102</v>
      </c>
      <c r="M1574" s="90">
        <v>10.933043748172899</v>
      </c>
      <c r="N1574" s="90">
        <v>1.5148136045526499</v>
      </c>
      <c r="O1574" s="90">
        <v>0.33845227748927997</v>
      </c>
      <c r="P1574" s="90">
        <v>4.6893813492540001E-2</v>
      </c>
      <c r="Q1574" s="90">
        <v>115.770720024363</v>
      </c>
      <c r="R1574" s="90">
        <v>1300</v>
      </c>
      <c r="S1574" s="90" t="s">
        <v>387</v>
      </c>
      <c r="T1574" s="90">
        <v>1300</v>
      </c>
      <c r="U1574" s="90" t="s">
        <v>378</v>
      </c>
      <c r="V1574" s="90" t="s">
        <v>244</v>
      </c>
      <c r="Z1574" s="90">
        <v>0</v>
      </c>
      <c r="AA1574" s="90">
        <v>1</v>
      </c>
      <c r="AB1574" s="90">
        <v>0.33845227748927997</v>
      </c>
      <c r="AC1574" s="90">
        <v>4.6893813492540001E-2</v>
      </c>
      <c r="AD1574" s="90">
        <v>148.16312652806801</v>
      </c>
      <c r="AF1574" s="90">
        <v>-1</v>
      </c>
      <c r="AG1574" s="90">
        <v>-1</v>
      </c>
      <c r="AH1574" s="90">
        <v>-1</v>
      </c>
      <c r="AI1574" s="90">
        <v>-1</v>
      </c>
      <c r="AJ1574" s="90">
        <v>0</v>
      </c>
      <c r="AM1574" s="90" t="s">
        <v>379</v>
      </c>
      <c r="AN1574" s="90">
        <v>-1</v>
      </c>
      <c r="AQ1574" s="90">
        <v>357</v>
      </c>
      <c r="AR1574" s="90" t="s">
        <v>405</v>
      </c>
      <c r="AS1574" s="90" t="s">
        <v>406</v>
      </c>
      <c r="AT1574" s="90" t="s">
        <v>244</v>
      </c>
      <c r="AU1574" s="90">
        <v>122.34610000000001</v>
      </c>
      <c r="AV1574" s="90">
        <v>98.735594459471102</v>
      </c>
      <c r="AW1574" s="90">
        <v>125.277809581829</v>
      </c>
      <c r="AX1574" s="90">
        <v>0.12016474169999999</v>
      </c>
    </row>
    <row r="1575" spans="1:50" x14ac:dyDescent="0.25">
      <c r="A1575" s="102">
        <v>830000</v>
      </c>
      <c r="B1575" s="102">
        <v>2400000</v>
      </c>
      <c r="C1575" s="102">
        <v>2400000</v>
      </c>
      <c r="D1575" s="90" t="s">
        <v>374</v>
      </c>
      <c r="E1575" s="90" t="s">
        <v>68</v>
      </c>
      <c r="F1575" s="90" t="s">
        <v>375</v>
      </c>
      <c r="G1575" s="90" t="s">
        <v>376</v>
      </c>
      <c r="H1575" s="90">
        <v>0.59</v>
      </c>
      <c r="I1575" s="90">
        <v>0.64</v>
      </c>
      <c r="J1575" s="90" t="s">
        <v>244</v>
      </c>
      <c r="K1575" s="90">
        <v>1.305961033707E-2</v>
      </c>
      <c r="L1575" s="90">
        <v>3666.8022040303799</v>
      </c>
      <c r="M1575" s="90">
        <v>9.1449516373431603</v>
      </c>
      <c r="N1575" s="90">
        <v>1.3451366194457399</v>
      </c>
      <c r="O1575" s="90">
        <v>0.11942950493505999</v>
      </c>
      <c r="P1575" s="90">
        <v>1.7566960100079999E-2</v>
      </c>
      <c r="Q1575" s="90">
        <v>47.887007967749803</v>
      </c>
      <c r="R1575" s="90">
        <v>1200</v>
      </c>
      <c r="S1575" s="90" t="s">
        <v>384</v>
      </c>
      <c r="T1575" s="90">
        <v>1200</v>
      </c>
      <c r="U1575" s="90" t="s">
        <v>378</v>
      </c>
      <c r="V1575" s="90" t="s">
        <v>244</v>
      </c>
      <c r="Z1575" s="90">
        <v>0</v>
      </c>
      <c r="AA1575" s="90">
        <v>1</v>
      </c>
      <c r="AB1575" s="90">
        <v>0.11942950493505999</v>
      </c>
      <c r="AC1575" s="90">
        <v>1.7566960100079999E-2</v>
      </c>
      <c r="AD1575" s="90">
        <v>47.887007967750598</v>
      </c>
      <c r="AF1575" s="90">
        <v>-1</v>
      </c>
      <c r="AG1575" s="90">
        <v>-1</v>
      </c>
      <c r="AH1575" s="90">
        <v>-1</v>
      </c>
      <c r="AI1575" s="90">
        <v>-1</v>
      </c>
      <c r="AJ1575" s="90">
        <v>0</v>
      </c>
      <c r="AM1575" s="90" t="s">
        <v>379</v>
      </c>
      <c r="AN1575" s="90">
        <v>-1</v>
      </c>
      <c r="AQ1575" s="90">
        <v>357</v>
      </c>
      <c r="AR1575" s="90" t="s">
        <v>405</v>
      </c>
      <c r="AS1575" s="90" t="s">
        <v>406</v>
      </c>
      <c r="AT1575" s="90" t="s">
        <v>244</v>
      </c>
      <c r="AU1575" s="90">
        <v>122.34610000000001</v>
      </c>
      <c r="AV1575" s="90">
        <v>63.885023287821902</v>
      </c>
      <c r="AW1575" s="90">
        <v>52.850367966618002</v>
      </c>
      <c r="AX1575" s="90">
        <v>3.8837800499999998E-2</v>
      </c>
    </row>
    <row r="1576" spans="1:50" x14ac:dyDescent="0.25">
      <c r="A1576" s="102">
        <v>830000</v>
      </c>
      <c r="B1576" s="102">
        <v>2400000</v>
      </c>
      <c r="C1576" s="102">
        <v>2400000</v>
      </c>
      <c r="D1576" s="90" t="s">
        <v>374</v>
      </c>
      <c r="E1576" s="90" t="s">
        <v>68</v>
      </c>
      <c r="F1576" s="90" t="s">
        <v>375</v>
      </c>
      <c r="G1576" s="90" t="s">
        <v>376</v>
      </c>
      <c r="H1576" s="90">
        <v>0.59</v>
      </c>
      <c r="I1576" s="90">
        <v>0.64</v>
      </c>
      <c r="J1576" s="90" t="s">
        <v>244</v>
      </c>
      <c r="K1576" s="90">
        <v>2.48540201413E-3</v>
      </c>
      <c r="L1576" s="90">
        <v>3666.8022040303799</v>
      </c>
      <c r="M1576" s="90">
        <v>9.1449516373431603</v>
      </c>
      <c r="N1576" s="90">
        <v>1.3451366194457399</v>
      </c>
      <c r="O1576" s="90">
        <v>2.272888121862E-2</v>
      </c>
      <c r="P1576" s="90">
        <v>3.3432052632500001E-3</v>
      </c>
      <c r="Q1576" s="90">
        <v>9.1134775833354293</v>
      </c>
      <c r="R1576" s="90">
        <v>1210</v>
      </c>
      <c r="S1576" s="90" t="s">
        <v>385</v>
      </c>
      <c r="T1576" s="90">
        <v>1210</v>
      </c>
      <c r="U1576" s="90" t="s">
        <v>378</v>
      </c>
      <c r="V1576" s="90" t="s">
        <v>244</v>
      </c>
      <c r="Z1576" s="90">
        <v>0</v>
      </c>
      <c r="AA1576" s="90">
        <v>1</v>
      </c>
      <c r="AB1576" s="90">
        <v>2.272888121862E-2</v>
      </c>
      <c r="AC1576" s="90">
        <v>3.3432052632500001E-3</v>
      </c>
      <c r="AD1576" s="90">
        <v>9.11347758333679</v>
      </c>
      <c r="AF1576" s="90">
        <v>-1</v>
      </c>
      <c r="AG1576" s="90">
        <v>-1</v>
      </c>
      <c r="AH1576" s="90">
        <v>-1</v>
      </c>
      <c r="AI1576" s="90">
        <v>-1</v>
      </c>
      <c r="AJ1576" s="90">
        <v>0</v>
      </c>
      <c r="AM1576" s="90" t="s">
        <v>379</v>
      </c>
      <c r="AN1576" s="90">
        <v>-1</v>
      </c>
      <c r="AQ1576" s="90">
        <v>357</v>
      </c>
      <c r="AR1576" s="90" t="s">
        <v>405</v>
      </c>
      <c r="AS1576" s="90" t="s">
        <v>406</v>
      </c>
      <c r="AT1576" s="90" t="s">
        <v>244</v>
      </c>
      <c r="AU1576" s="90">
        <v>122.34610000000001</v>
      </c>
      <c r="AV1576" s="90">
        <v>12.8063389086971</v>
      </c>
      <c r="AW1576" s="90">
        <v>10.0580651031536</v>
      </c>
      <c r="AX1576" s="90">
        <v>7.3913038000000004E-3</v>
      </c>
    </row>
    <row r="1577" spans="1:50" x14ac:dyDescent="0.25">
      <c r="A1577" s="102">
        <v>830000</v>
      </c>
      <c r="B1577" s="102">
        <v>2400000</v>
      </c>
      <c r="C1577" s="102">
        <v>2400000</v>
      </c>
      <c r="D1577" s="90" t="s">
        <v>374</v>
      </c>
      <c r="E1577" s="90" t="s">
        <v>68</v>
      </c>
      <c r="F1577" s="90" t="s">
        <v>375</v>
      </c>
      <c r="G1577" s="90" t="s">
        <v>376</v>
      </c>
      <c r="H1577" s="90">
        <v>0.59</v>
      </c>
      <c r="I1577" s="90">
        <v>0.64</v>
      </c>
      <c r="J1577" s="90" t="s">
        <v>244</v>
      </c>
      <c r="K1577" s="90">
        <v>3.3687270265679997E-2</v>
      </c>
      <c r="L1577" s="90">
        <v>3666.8022040303799</v>
      </c>
      <c r="M1577" s="90">
        <v>9.1449516373431603</v>
      </c>
      <c r="N1577" s="90">
        <v>1.3451366194457399</v>
      </c>
      <c r="O1577" s="90">
        <v>0.30806845737379002</v>
      </c>
      <c r="P1577" s="90">
        <v>4.531398084353E-2</v>
      </c>
      <c r="Q1577" s="90">
        <v>123.52455685798</v>
      </c>
      <c r="R1577" s="90">
        <v>1210</v>
      </c>
      <c r="S1577" s="90" t="s">
        <v>385</v>
      </c>
      <c r="T1577" s="90">
        <v>1210</v>
      </c>
      <c r="U1577" s="90" t="s">
        <v>378</v>
      </c>
      <c r="V1577" s="90" t="s">
        <v>244</v>
      </c>
      <c r="Z1577" s="90">
        <v>0</v>
      </c>
      <c r="AA1577" s="90">
        <v>1</v>
      </c>
      <c r="AB1577" s="90">
        <v>0.30806845737379002</v>
      </c>
      <c r="AC1577" s="90">
        <v>4.531398084353E-2</v>
      </c>
      <c r="AD1577" s="90">
        <v>123.52455685797899</v>
      </c>
      <c r="AF1577" s="90">
        <v>-1</v>
      </c>
      <c r="AG1577" s="90">
        <v>-1</v>
      </c>
      <c r="AH1577" s="90">
        <v>-1</v>
      </c>
      <c r="AI1577" s="90">
        <v>-1</v>
      </c>
      <c r="AJ1577" s="90">
        <v>0</v>
      </c>
      <c r="AM1577" s="90" t="s">
        <v>379</v>
      </c>
      <c r="AN1577" s="90">
        <v>-1</v>
      </c>
      <c r="AQ1577" s="90">
        <v>357</v>
      </c>
      <c r="AR1577" s="90" t="s">
        <v>405</v>
      </c>
      <c r="AS1577" s="90" t="s">
        <v>406</v>
      </c>
      <c r="AT1577" s="90" t="s">
        <v>244</v>
      </c>
      <c r="AU1577" s="90">
        <v>122.34610000000001</v>
      </c>
      <c r="AV1577" s="90">
        <v>62.4315369600628</v>
      </c>
      <c r="AW1577" s="90">
        <v>136.32754602781</v>
      </c>
      <c r="AX1577" s="90">
        <v>0.1001821224</v>
      </c>
    </row>
    <row r="1578" spans="1:50" x14ac:dyDescent="0.25">
      <c r="A1578" s="102">
        <v>830000</v>
      </c>
      <c r="B1578" s="102">
        <v>2400000</v>
      </c>
      <c r="C1578" s="102">
        <v>2400000</v>
      </c>
      <c r="D1578" s="90" t="s">
        <v>374</v>
      </c>
      <c r="E1578" s="90" t="s">
        <v>68</v>
      </c>
      <c r="F1578" s="90" t="s">
        <v>375</v>
      </c>
      <c r="G1578" s="90" t="s">
        <v>376</v>
      </c>
      <c r="H1578" s="90">
        <v>0.59</v>
      </c>
      <c r="I1578" s="90">
        <v>0.64</v>
      </c>
      <c r="J1578" s="90" t="s">
        <v>244</v>
      </c>
      <c r="K1578" s="90">
        <v>3.4432289417369998E-2</v>
      </c>
      <c r="L1578" s="90">
        <v>3666.8022040303799</v>
      </c>
      <c r="M1578" s="90">
        <v>9.1449516373431603</v>
      </c>
      <c r="N1578" s="90">
        <v>1.3451366194457399</v>
      </c>
      <c r="O1578" s="90">
        <v>0.31488162148486998</v>
      </c>
      <c r="P1578" s="90">
        <v>4.6316133386659998E-2</v>
      </c>
      <c r="Q1578" s="90">
        <v>126.256394725435</v>
      </c>
      <c r="R1578" s="90">
        <v>1210</v>
      </c>
      <c r="S1578" s="90" t="s">
        <v>385</v>
      </c>
      <c r="T1578" s="90">
        <v>1210</v>
      </c>
      <c r="U1578" s="90" t="s">
        <v>378</v>
      </c>
      <c r="V1578" s="90" t="s">
        <v>244</v>
      </c>
      <c r="Z1578" s="90">
        <v>0</v>
      </c>
      <c r="AA1578" s="90">
        <v>1</v>
      </c>
      <c r="AB1578" s="90">
        <v>0.31488162148486998</v>
      </c>
      <c r="AC1578" s="90">
        <v>4.6316133386659998E-2</v>
      </c>
      <c r="AD1578" s="90">
        <v>155.32835768613799</v>
      </c>
      <c r="AF1578" s="90">
        <v>-1</v>
      </c>
      <c r="AG1578" s="90">
        <v>-1</v>
      </c>
      <c r="AH1578" s="90">
        <v>-1</v>
      </c>
      <c r="AI1578" s="90">
        <v>-1</v>
      </c>
      <c r="AJ1578" s="90">
        <v>0</v>
      </c>
      <c r="AM1578" s="90" t="s">
        <v>379</v>
      </c>
      <c r="AN1578" s="90">
        <v>-1</v>
      </c>
      <c r="AQ1578" s="90">
        <v>357</v>
      </c>
      <c r="AR1578" s="90" t="s">
        <v>405</v>
      </c>
      <c r="AS1578" s="90" t="s">
        <v>406</v>
      </c>
      <c r="AT1578" s="90" t="s">
        <v>244</v>
      </c>
      <c r="AU1578" s="90">
        <v>122.34610000000001</v>
      </c>
      <c r="AV1578" s="90">
        <v>51.378108434519604</v>
      </c>
      <c r="AW1578" s="90">
        <v>139.34253156662999</v>
      </c>
      <c r="AX1578" s="90">
        <v>0.12597595919999999</v>
      </c>
    </row>
    <row r="1579" spans="1:50" x14ac:dyDescent="0.25">
      <c r="A1579" s="102">
        <v>830000</v>
      </c>
      <c r="B1579" s="102">
        <v>2400000</v>
      </c>
      <c r="C1579" s="102">
        <v>2400000</v>
      </c>
      <c r="D1579" s="90" t="s">
        <v>374</v>
      </c>
      <c r="E1579" s="90" t="s">
        <v>68</v>
      </c>
      <c r="F1579" s="90" t="s">
        <v>375</v>
      </c>
      <c r="G1579" s="90" t="s">
        <v>376</v>
      </c>
      <c r="H1579" s="90">
        <v>0.59</v>
      </c>
      <c r="I1579" s="90">
        <v>0.64</v>
      </c>
      <c r="J1579" s="90" t="s">
        <v>244</v>
      </c>
      <c r="K1579" s="90">
        <v>7.2006650604799997E-3</v>
      </c>
      <c r="L1579" s="90">
        <v>3666.8022040303799</v>
      </c>
      <c r="M1579" s="90">
        <v>9.1449516373431603</v>
      </c>
      <c r="N1579" s="90">
        <v>1.3451366194457399</v>
      </c>
      <c r="O1579" s="90">
        <v>6.584973373486E-2</v>
      </c>
      <c r="P1579" s="90">
        <v>9.6858782572200007E-3</v>
      </c>
      <c r="Q1579" s="90">
        <v>26.4034145142782</v>
      </c>
      <c r="R1579" s="90">
        <v>1210</v>
      </c>
      <c r="S1579" s="90" t="s">
        <v>385</v>
      </c>
      <c r="T1579" s="90">
        <v>1210</v>
      </c>
      <c r="U1579" s="90" t="s">
        <v>378</v>
      </c>
      <c r="V1579" s="90" t="s">
        <v>244</v>
      </c>
      <c r="Z1579" s="90">
        <v>0</v>
      </c>
      <c r="AA1579" s="90">
        <v>1</v>
      </c>
      <c r="AB1579" s="90">
        <v>6.584973373486E-2</v>
      </c>
      <c r="AC1579" s="90">
        <v>9.6858782572200007E-3</v>
      </c>
      <c r="AD1579" s="90">
        <v>26.4034145142775</v>
      </c>
      <c r="AF1579" s="90">
        <v>-1</v>
      </c>
      <c r="AG1579" s="90">
        <v>-1</v>
      </c>
      <c r="AH1579" s="90">
        <v>-1</v>
      </c>
      <c r="AI1579" s="90">
        <v>-1</v>
      </c>
      <c r="AJ1579" s="90">
        <v>0</v>
      </c>
      <c r="AM1579" s="90" t="s">
        <v>379</v>
      </c>
      <c r="AN1579" s="90">
        <v>-1</v>
      </c>
      <c r="AQ1579" s="90">
        <v>357</v>
      </c>
      <c r="AR1579" s="90" t="s">
        <v>405</v>
      </c>
      <c r="AS1579" s="90" t="s">
        <v>406</v>
      </c>
      <c r="AT1579" s="90" t="s">
        <v>244</v>
      </c>
      <c r="AU1579" s="90">
        <v>122.34610000000001</v>
      </c>
      <c r="AV1579" s="90">
        <v>47.642059768065998</v>
      </c>
      <c r="AW1579" s="90">
        <v>29.140057645582299</v>
      </c>
      <c r="AX1579" s="90">
        <v>2.1413961499999998E-2</v>
      </c>
    </row>
    <row r="1580" spans="1:50" x14ac:dyDescent="0.25">
      <c r="A1580" s="102">
        <v>830000</v>
      </c>
      <c r="B1580" s="102">
        <v>2400000</v>
      </c>
      <c r="C1580" s="102">
        <v>2400000</v>
      </c>
      <c r="D1580" s="90" t="s">
        <v>374</v>
      </c>
      <c r="E1580" s="90" t="s">
        <v>68</v>
      </c>
      <c r="F1580" s="90" t="s">
        <v>375</v>
      </c>
      <c r="G1580" s="90" t="s">
        <v>376</v>
      </c>
      <c r="H1580" s="90">
        <v>0.59</v>
      </c>
      <c r="I1580" s="90">
        <v>0.64</v>
      </c>
      <c r="J1580" s="90" t="s">
        <v>244</v>
      </c>
      <c r="K1580" s="90">
        <v>0.26731300538922997</v>
      </c>
      <c r="L1580" s="90">
        <v>3666.8022040303799</v>
      </c>
      <c r="M1580" s="90">
        <v>9.1449516373431603</v>
      </c>
      <c r="N1580" s="90">
        <v>1.3451366194457399</v>
      </c>
      <c r="O1580" s="90">
        <v>2.4445645063173602</v>
      </c>
      <c r="P1580" s="90">
        <v>0.35957251240315002</v>
      </c>
      <c r="Q1580" s="90">
        <v>980.18391732721295</v>
      </c>
      <c r="R1580" s="90">
        <v>1210</v>
      </c>
      <c r="S1580" s="90" t="s">
        <v>385</v>
      </c>
      <c r="T1580" s="90">
        <v>1210</v>
      </c>
      <c r="U1580" s="90" t="s">
        <v>378</v>
      </c>
      <c r="V1580" s="90" t="s">
        <v>244</v>
      </c>
      <c r="Z1580" s="90">
        <v>0</v>
      </c>
      <c r="AA1580" s="90">
        <v>1</v>
      </c>
      <c r="AB1580" s="90">
        <v>2.4445645063173602</v>
      </c>
      <c r="AC1580" s="90">
        <v>0.35957251240315002</v>
      </c>
      <c r="AD1580" s="90">
        <v>980.18391732721295</v>
      </c>
      <c r="AF1580" s="90">
        <v>-1</v>
      </c>
      <c r="AG1580" s="90">
        <v>-1</v>
      </c>
      <c r="AH1580" s="90">
        <v>-1</v>
      </c>
      <c r="AI1580" s="90">
        <v>-1</v>
      </c>
      <c r="AJ1580" s="90">
        <v>0</v>
      </c>
      <c r="AM1580" s="90" t="s">
        <v>379</v>
      </c>
      <c r="AN1580" s="90">
        <v>-1</v>
      </c>
      <c r="AQ1580" s="90">
        <v>357</v>
      </c>
      <c r="AR1580" s="90" t="s">
        <v>405</v>
      </c>
      <c r="AS1580" s="90" t="s">
        <v>406</v>
      </c>
      <c r="AT1580" s="90" t="s">
        <v>244</v>
      </c>
      <c r="AU1580" s="90">
        <v>122.34610000000001</v>
      </c>
      <c r="AV1580" s="90">
        <v>135.02180863530401</v>
      </c>
      <c r="AW1580" s="90">
        <v>1081.77735265045</v>
      </c>
      <c r="AX1580" s="90">
        <v>0.79495857039999995</v>
      </c>
    </row>
    <row r="1581" spans="1:50" x14ac:dyDescent="0.25">
      <c r="A1581" s="102">
        <v>830000</v>
      </c>
      <c r="B1581" s="102">
        <v>2400000</v>
      </c>
      <c r="C1581" s="102">
        <v>2400000</v>
      </c>
      <c r="D1581" s="90" t="s">
        <v>374</v>
      </c>
      <c r="E1581" s="90" t="s">
        <v>68</v>
      </c>
      <c r="F1581" s="90" t="s">
        <v>375</v>
      </c>
      <c r="G1581" s="90" t="s">
        <v>376</v>
      </c>
      <c r="H1581" s="90">
        <v>0.59</v>
      </c>
      <c r="I1581" s="90">
        <v>0.64</v>
      </c>
      <c r="J1581" s="90" t="s">
        <v>244</v>
      </c>
      <c r="K1581" s="90">
        <v>0.19469798386032</v>
      </c>
      <c r="L1581" s="90">
        <v>3666.8022040303799</v>
      </c>
      <c r="M1581" s="90">
        <v>9.1449516373431603</v>
      </c>
      <c r="N1581" s="90">
        <v>1.3451366194457399</v>
      </c>
      <c r="O1581" s="90">
        <v>1.7805036462908499</v>
      </c>
      <c r="P1581" s="90">
        <v>0.26189538782277</v>
      </c>
      <c r="Q1581" s="90">
        <v>713.91899633929597</v>
      </c>
      <c r="R1581" s="90">
        <v>1210</v>
      </c>
      <c r="S1581" s="90" t="s">
        <v>385</v>
      </c>
      <c r="T1581" s="90">
        <v>1210</v>
      </c>
      <c r="U1581" s="90" t="s">
        <v>378</v>
      </c>
      <c r="V1581" s="90" t="s">
        <v>244</v>
      </c>
      <c r="Z1581" s="90">
        <v>0</v>
      </c>
      <c r="AA1581" s="90">
        <v>1</v>
      </c>
      <c r="AB1581" s="90">
        <v>1.7805036462908499</v>
      </c>
      <c r="AC1581" s="90">
        <v>0.26189538782277</v>
      </c>
      <c r="AD1581" s="90">
        <v>920.78822353152304</v>
      </c>
      <c r="AF1581" s="90">
        <v>-1</v>
      </c>
      <c r="AG1581" s="90">
        <v>-1</v>
      </c>
      <c r="AH1581" s="90">
        <v>-1</v>
      </c>
      <c r="AI1581" s="90">
        <v>-1</v>
      </c>
      <c r="AJ1581" s="90">
        <v>0</v>
      </c>
      <c r="AM1581" s="90" t="s">
        <v>379</v>
      </c>
      <c r="AN1581" s="90">
        <v>-1</v>
      </c>
      <c r="AQ1581" s="90">
        <v>357</v>
      </c>
      <c r="AR1581" s="90" t="s">
        <v>405</v>
      </c>
      <c r="AS1581" s="90" t="s">
        <v>406</v>
      </c>
      <c r="AT1581" s="90" t="s">
        <v>244</v>
      </c>
      <c r="AU1581" s="90">
        <v>122.34610000000001</v>
      </c>
      <c r="AV1581" s="90">
        <v>121.40005002038301</v>
      </c>
      <c r="AW1581" s="90">
        <v>787.91478641347203</v>
      </c>
      <c r="AX1581" s="90">
        <v>0.74678688039999996</v>
      </c>
    </row>
    <row r="1582" spans="1:50" x14ac:dyDescent="0.25">
      <c r="A1582" s="102">
        <v>830000</v>
      </c>
      <c r="B1582" s="102">
        <v>2400000</v>
      </c>
      <c r="C1582" s="102">
        <v>2400000</v>
      </c>
      <c r="D1582" s="90" t="s">
        <v>374</v>
      </c>
      <c r="E1582" s="90" t="s">
        <v>68</v>
      </c>
      <c r="F1582" s="90" t="s">
        <v>375</v>
      </c>
      <c r="G1582" s="90" t="s">
        <v>376</v>
      </c>
      <c r="H1582" s="90">
        <v>0.59</v>
      </c>
      <c r="I1582" s="90">
        <v>0.64</v>
      </c>
      <c r="J1582" s="90" t="s">
        <v>244</v>
      </c>
      <c r="K1582" s="90">
        <v>0.10827728990002</v>
      </c>
      <c r="L1582" s="90">
        <v>3834.71425967615</v>
      </c>
      <c r="M1582" s="90">
        <v>9.6353595647854</v>
      </c>
      <c r="N1582" s="90">
        <v>1.2933729952753401</v>
      </c>
      <c r="O1582" s="90">
        <v>1.0432906208872701</v>
      </c>
      <c r="P1582" s="90">
        <v>0.14004292275829</v>
      </c>
      <c r="Q1582" s="90">
        <v>415.21246757872501</v>
      </c>
      <c r="R1582" s="90">
        <v>1400</v>
      </c>
      <c r="S1582" s="90" t="s">
        <v>324</v>
      </c>
      <c r="T1582" s="90">
        <v>1400</v>
      </c>
      <c r="U1582" s="90" t="s">
        <v>378</v>
      </c>
      <c r="V1582" s="90" t="s">
        <v>244</v>
      </c>
      <c r="Z1582" s="90">
        <v>0</v>
      </c>
      <c r="AA1582" s="90">
        <v>1</v>
      </c>
      <c r="AB1582" s="90">
        <v>1.0432906208872701</v>
      </c>
      <c r="AC1582" s="90">
        <v>0.14004292275829</v>
      </c>
      <c r="AD1582" s="90">
        <v>630.95594006613396</v>
      </c>
      <c r="AF1582" s="90">
        <v>-1</v>
      </c>
      <c r="AG1582" s="90">
        <v>-1</v>
      </c>
      <c r="AH1582" s="90">
        <v>-1</v>
      </c>
      <c r="AI1582" s="90">
        <v>-1</v>
      </c>
      <c r="AJ1582" s="90">
        <v>0</v>
      </c>
      <c r="AM1582" s="90" t="s">
        <v>379</v>
      </c>
      <c r="AN1582" s="90">
        <v>-1</v>
      </c>
      <c r="AQ1582" s="90">
        <v>357</v>
      </c>
      <c r="AR1582" s="90" t="s">
        <v>405</v>
      </c>
      <c r="AS1582" s="90" t="s">
        <v>406</v>
      </c>
      <c r="AT1582" s="90" t="s">
        <v>244</v>
      </c>
      <c r="AU1582" s="90">
        <v>122.34610000000001</v>
      </c>
      <c r="AV1582" s="90">
        <v>155.03754455218001</v>
      </c>
      <c r="AW1582" s="90">
        <v>438.18264603199498</v>
      </c>
      <c r="AX1582" s="90">
        <v>0.51172420119999995</v>
      </c>
    </row>
    <row r="1583" spans="1:50" x14ac:dyDescent="0.25">
      <c r="A1583" s="102">
        <v>830000</v>
      </c>
      <c r="B1583" s="102">
        <v>2400000</v>
      </c>
      <c r="C1583" s="102">
        <v>2400000</v>
      </c>
      <c r="D1583" s="90" t="s">
        <v>374</v>
      </c>
      <c r="E1583" s="90" t="s">
        <v>68</v>
      </c>
      <c r="F1583" s="90" t="s">
        <v>375</v>
      </c>
      <c r="G1583" s="90" t="s">
        <v>376</v>
      </c>
      <c r="H1583" s="90">
        <v>0.59</v>
      </c>
      <c r="I1583" s="90">
        <v>0.64</v>
      </c>
      <c r="J1583" s="90" t="s">
        <v>244</v>
      </c>
      <c r="K1583" s="90">
        <v>0.24038834054536001</v>
      </c>
      <c r="L1583" s="90">
        <v>3834.71425967615</v>
      </c>
      <c r="M1583" s="90">
        <v>9.6353595647854</v>
      </c>
      <c r="N1583" s="90">
        <v>1.2933729952753401</v>
      </c>
      <c r="O1583" s="90">
        <v>2.3162280963367001</v>
      </c>
      <c r="P1583" s="90">
        <v>0.31091178804043001</v>
      </c>
      <c r="Q1583" s="90">
        <v>921.82059734920904</v>
      </c>
      <c r="R1583" s="90">
        <v>1410</v>
      </c>
      <c r="S1583" s="90" t="s">
        <v>325</v>
      </c>
      <c r="T1583" s="90">
        <v>1410</v>
      </c>
      <c r="U1583" s="90" t="s">
        <v>378</v>
      </c>
      <c r="V1583" s="90" t="s">
        <v>244</v>
      </c>
      <c r="Z1583" s="90">
        <v>0</v>
      </c>
      <c r="AA1583" s="90">
        <v>1</v>
      </c>
      <c r="AB1583" s="90">
        <v>2.3162280963367001</v>
      </c>
      <c r="AC1583" s="90">
        <v>0.31091178804043001</v>
      </c>
      <c r="AD1583" s="90">
        <v>1548.01963055027</v>
      </c>
      <c r="AF1583" s="90">
        <v>-1</v>
      </c>
      <c r="AG1583" s="90">
        <v>-1</v>
      </c>
      <c r="AH1583" s="90">
        <v>-1</v>
      </c>
      <c r="AI1583" s="90">
        <v>-1</v>
      </c>
      <c r="AJ1583" s="90">
        <v>0</v>
      </c>
      <c r="AM1583" s="90" t="s">
        <v>379</v>
      </c>
      <c r="AN1583" s="90">
        <v>-1</v>
      </c>
      <c r="AQ1583" s="90">
        <v>357</v>
      </c>
      <c r="AR1583" s="90" t="s">
        <v>405</v>
      </c>
      <c r="AS1583" s="90" t="s">
        <v>406</v>
      </c>
      <c r="AT1583" s="90" t="s">
        <v>244</v>
      </c>
      <c r="AU1583" s="90">
        <v>122.34610000000001</v>
      </c>
      <c r="AV1583" s="90">
        <v>126.668349197871</v>
      </c>
      <c r="AW1583" s="90">
        <v>972.81709980610106</v>
      </c>
      <c r="AX1583" s="90">
        <v>1.2554903735</v>
      </c>
    </row>
    <row r="1584" spans="1:50" x14ac:dyDescent="0.25">
      <c r="A1584" s="102">
        <v>830000</v>
      </c>
      <c r="B1584" s="102">
        <v>2400000</v>
      </c>
      <c r="C1584" s="102">
        <v>2400000</v>
      </c>
      <c r="D1584" s="90" t="s">
        <v>374</v>
      </c>
      <c r="E1584" s="90" t="s">
        <v>68</v>
      </c>
      <c r="F1584" s="90" t="s">
        <v>375</v>
      </c>
      <c r="G1584" s="90" t="s">
        <v>376</v>
      </c>
      <c r="H1584" s="90">
        <v>0.59</v>
      </c>
      <c r="I1584" s="90">
        <v>0.64</v>
      </c>
      <c r="J1584" s="90" t="s">
        <v>244</v>
      </c>
      <c r="K1584" s="90">
        <v>4.9539741838089998E-2</v>
      </c>
      <c r="L1584" s="90">
        <v>3834.71425967615</v>
      </c>
      <c r="M1584" s="90">
        <v>9.6353595647854</v>
      </c>
      <c r="N1584" s="90">
        <v>1.2933729952753401</v>
      </c>
      <c r="O1584" s="90">
        <v>0.47733322535669997</v>
      </c>
      <c r="P1584" s="90">
        <v>6.4073364286300005E-2</v>
      </c>
      <c r="Q1584" s="90">
        <v>189.970754447225</v>
      </c>
      <c r="R1584" s="90">
        <v>1410</v>
      </c>
      <c r="S1584" s="90" t="s">
        <v>325</v>
      </c>
      <c r="T1584" s="90">
        <v>1410</v>
      </c>
      <c r="U1584" s="90" t="s">
        <v>378</v>
      </c>
      <c r="V1584" s="90" t="s">
        <v>244</v>
      </c>
      <c r="Z1584" s="90">
        <v>0</v>
      </c>
      <c r="AA1584" s="90">
        <v>1</v>
      </c>
      <c r="AB1584" s="90">
        <v>0.47733322535669997</v>
      </c>
      <c r="AC1584" s="90">
        <v>6.4073364286300005E-2</v>
      </c>
      <c r="AD1584" s="90">
        <v>189.97075444722299</v>
      </c>
      <c r="AF1584" s="90">
        <v>-1</v>
      </c>
      <c r="AG1584" s="90">
        <v>-1</v>
      </c>
      <c r="AH1584" s="90">
        <v>-1</v>
      </c>
      <c r="AI1584" s="90">
        <v>-1</v>
      </c>
      <c r="AJ1584" s="90">
        <v>0</v>
      </c>
      <c r="AM1584" s="90" t="s">
        <v>379</v>
      </c>
      <c r="AN1584" s="90">
        <v>-1</v>
      </c>
      <c r="AQ1584" s="90">
        <v>357</v>
      </c>
      <c r="AR1584" s="90" t="s">
        <v>405</v>
      </c>
      <c r="AS1584" s="90" t="s">
        <v>406</v>
      </c>
      <c r="AT1584" s="90" t="s">
        <v>244</v>
      </c>
      <c r="AU1584" s="90">
        <v>122.34610000000001</v>
      </c>
      <c r="AV1584" s="90">
        <v>84.275691140053695</v>
      </c>
      <c r="AW1584" s="90">
        <v>200.480222421538</v>
      </c>
      <c r="AX1584" s="90">
        <v>0.15407198250000001</v>
      </c>
    </row>
    <row r="1585" spans="1:50" x14ac:dyDescent="0.25">
      <c r="A1585" s="102">
        <v>830000</v>
      </c>
      <c r="B1585" s="102">
        <v>2400000</v>
      </c>
      <c r="C1585" s="102">
        <v>2400000</v>
      </c>
      <c r="D1585" s="90" t="s">
        <v>374</v>
      </c>
      <c r="E1585" s="90" t="s">
        <v>68</v>
      </c>
      <c r="F1585" s="90" t="s">
        <v>375</v>
      </c>
      <c r="G1585" s="90" t="s">
        <v>376</v>
      </c>
      <c r="H1585" s="90">
        <v>0.59</v>
      </c>
      <c r="I1585" s="90">
        <v>0.64</v>
      </c>
      <c r="J1585" s="90" t="s">
        <v>244</v>
      </c>
      <c r="K1585" s="90">
        <v>2.5878265237230001E-2</v>
      </c>
      <c r="L1585" s="90">
        <v>3738.72128163659</v>
      </c>
      <c r="M1585" s="90">
        <v>11.4620414758429</v>
      </c>
      <c r="N1585" s="90">
        <v>1.54040877852201</v>
      </c>
      <c r="O1585" s="90">
        <v>0.29661774947198999</v>
      </c>
      <c r="P1585" s="90">
        <v>3.9863106944350003E-2</v>
      </c>
      <c r="Q1585" s="90">
        <v>96.751620974268207</v>
      </c>
      <c r="R1585" s="90">
        <v>1300</v>
      </c>
      <c r="S1585" s="90" t="s">
        <v>387</v>
      </c>
      <c r="T1585" s="90">
        <v>1300</v>
      </c>
      <c r="U1585" s="90" t="s">
        <v>378</v>
      </c>
      <c r="V1585" s="90" t="s">
        <v>244</v>
      </c>
      <c r="Z1585" s="90">
        <v>0</v>
      </c>
      <c r="AA1585" s="90">
        <v>1</v>
      </c>
      <c r="AB1585" s="90">
        <v>0.29661774947198999</v>
      </c>
      <c r="AC1585" s="90">
        <v>3.9863106944350003E-2</v>
      </c>
      <c r="AD1585" s="90">
        <v>96.751620974269599</v>
      </c>
      <c r="AF1585" s="90">
        <v>-1</v>
      </c>
      <c r="AG1585" s="90">
        <v>-1</v>
      </c>
      <c r="AH1585" s="90">
        <v>-1</v>
      </c>
      <c r="AI1585" s="90">
        <v>-1</v>
      </c>
      <c r="AJ1585" s="90">
        <v>0</v>
      </c>
      <c r="AM1585" s="90" t="s">
        <v>379</v>
      </c>
      <c r="AN1585" s="90">
        <v>-1</v>
      </c>
      <c r="AQ1585" s="90">
        <v>357</v>
      </c>
      <c r="AR1585" s="90" t="s">
        <v>405</v>
      </c>
      <c r="AS1585" s="90" t="s">
        <v>406</v>
      </c>
      <c r="AT1585" s="90" t="s">
        <v>244</v>
      </c>
      <c r="AU1585" s="90">
        <v>122.34610000000001</v>
      </c>
      <c r="AV1585" s="90">
        <v>104.236442803812</v>
      </c>
      <c r="AW1585" s="90">
        <v>104.725623875856</v>
      </c>
      <c r="AX1585" s="90">
        <v>7.8468467900000005E-2</v>
      </c>
    </row>
    <row r="1586" spans="1:50" x14ac:dyDescent="0.25">
      <c r="A1586" s="102">
        <v>830000</v>
      </c>
      <c r="B1586" s="102">
        <v>2400000</v>
      </c>
      <c r="C1586" s="102">
        <v>2400000</v>
      </c>
      <c r="D1586" s="90" t="s">
        <v>374</v>
      </c>
      <c r="E1586" s="90" t="s">
        <v>68</v>
      </c>
      <c r="F1586" s="90" t="s">
        <v>375</v>
      </c>
      <c r="G1586" s="90" t="s">
        <v>376</v>
      </c>
      <c r="H1586" s="90">
        <v>0.59</v>
      </c>
      <c r="I1586" s="90">
        <v>0.64</v>
      </c>
      <c r="J1586" s="90" t="s">
        <v>244</v>
      </c>
      <c r="K1586" s="90">
        <v>0.12595263928889999</v>
      </c>
      <c r="L1586" s="90">
        <v>3738.72128163659</v>
      </c>
      <c r="M1586" s="90">
        <v>11.4620414758429</v>
      </c>
      <c r="N1586" s="90">
        <v>1.54040877852201</v>
      </c>
      <c r="O1586" s="90">
        <v>1.44367437552128</v>
      </c>
      <c r="P1586" s="90">
        <v>0.19401855123864001</v>
      </c>
      <c r="Q1586" s="90">
        <v>470.90181298771398</v>
      </c>
      <c r="R1586" s="90">
        <v>1400</v>
      </c>
      <c r="S1586" s="90" t="s">
        <v>324</v>
      </c>
      <c r="T1586" s="90">
        <v>1400</v>
      </c>
      <c r="U1586" s="90" t="s">
        <v>378</v>
      </c>
      <c r="V1586" s="90" t="s">
        <v>244</v>
      </c>
      <c r="Z1586" s="90">
        <v>0</v>
      </c>
      <c r="AA1586" s="90">
        <v>1</v>
      </c>
      <c r="AB1586" s="90">
        <v>1.44367437552128</v>
      </c>
      <c r="AC1586" s="90">
        <v>0.19401855123864001</v>
      </c>
      <c r="AD1586" s="90">
        <v>470.90181298771398</v>
      </c>
      <c r="AF1586" s="90">
        <v>-1</v>
      </c>
      <c r="AG1586" s="90">
        <v>-1</v>
      </c>
      <c r="AH1586" s="90">
        <v>-1</v>
      </c>
      <c r="AI1586" s="90">
        <v>-1</v>
      </c>
      <c r="AJ1586" s="90">
        <v>0</v>
      </c>
      <c r="AM1586" s="90" t="s">
        <v>379</v>
      </c>
      <c r="AN1586" s="90">
        <v>-1</v>
      </c>
      <c r="AQ1586" s="90">
        <v>357</v>
      </c>
      <c r="AR1586" s="90" t="s">
        <v>405</v>
      </c>
      <c r="AS1586" s="90" t="s">
        <v>406</v>
      </c>
      <c r="AT1586" s="90" t="s">
        <v>244</v>
      </c>
      <c r="AU1586" s="90">
        <v>122.34610000000001</v>
      </c>
      <c r="AV1586" s="90">
        <v>120.450445488131</v>
      </c>
      <c r="AW1586" s="90">
        <v>509.71224722452399</v>
      </c>
      <c r="AX1586" s="90">
        <v>0.38191550120000001</v>
      </c>
    </row>
    <row r="1587" spans="1:50" x14ac:dyDescent="0.25">
      <c r="A1587" s="102">
        <v>830000</v>
      </c>
      <c r="B1587" s="102">
        <v>2400000</v>
      </c>
      <c r="C1587" s="102">
        <v>2400000</v>
      </c>
      <c r="D1587" s="90" t="s">
        <v>374</v>
      </c>
      <c r="E1587" s="90" t="s">
        <v>68</v>
      </c>
      <c r="F1587" s="90" t="s">
        <v>375</v>
      </c>
      <c r="G1587" s="90" t="s">
        <v>376</v>
      </c>
      <c r="H1587" s="90">
        <v>0.59</v>
      </c>
      <c r="I1587" s="90">
        <v>0.64</v>
      </c>
      <c r="J1587" s="90" t="s">
        <v>244</v>
      </c>
      <c r="K1587" s="90">
        <v>0.45125266223881</v>
      </c>
      <c r="L1587" s="90">
        <v>3738.72128163659</v>
      </c>
      <c r="M1587" s="90">
        <v>11.4620414758429</v>
      </c>
      <c r="N1587" s="90">
        <v>1.54040877852201</v>
      </c>
      <c r="O1587" s="90">
        <v>5.1722767306658097</v>
      </c>
      <c r="P1587" s="90">
        <v>0.69511356224409004</v>
      </c>
      <c r="Q1587" s="90">
        <v>1687.10793170741</v>
      </c>
      <c r="R1587" s="90">
        <v>1410</v>
      </c>
      <c r="S1587" s="90" t="s">
        <v>325</v>
      </c>
      <c r="T1587" s="90">
        <v>1410</v>
      </c>
      <c r="U1587" s="90" t="s">
        <v>378</v>
      </c>
      <c r="V1587" s="90" t="s">
        <v>244</v>
      </c>
      <c r="Z1587" s="90">
        <v>0</v>
      </c>
      <c r="AA1587" s="90">
        <v>1</v>
      </c>
      <c r="AB1587" s="90">
        <v>5.1722767306658097</v>
      </c>
      <c r="AC1587" s="90">
        <v>0.69511356224409004</v>
      </c>
      <c r="AD1587" s="90">
        <v>1741.70666550237</v>
      </c>
      <c r="AF1587" s="90">
        <v>-1</v>
      </c>
      <c r="AG1587" s="90">
        <v>-1</v>
      </c>
      <c r="AH1587" s="90">
        <v>-1</v>
      </c>
      <c r="AI1587" s="90">
        <v>-1</v>
      </c>
      <c r="AJ1587" s="90">
        <v>0</v>
      </c>
      <c r="AM1587" s="90" t="s">
        <v>379</v>
      </c>
      <c r="AN1587" s="90">
        <v>-1</v>
      </c>
      <c r="AQ1587" s="90">
        <v>357</v>
      </c>
      <c r="AR1587" s="90" t="s">
        <v>405</v>
      </c>
      <c r="AS1587" s="90" t="s">
        <v>406</v>
      </c>
      <c r="AT1587" s="90" t="s">
        <v>244</v>
      </c>
      <c r="AU1587" s="90">
        <v>122.34610000000001</v>
      </c>
      <c r="AV1587" s="90">
        <v>172.38105184781199</v>
      </c>
      <c r="AW1587" s="90">
        <v>1826.15473430622</v>
      </c>
      <c r="AX1587" s="90">
        <v>1.4125763710000001</v>
      </c>
    </row>
    <row r="1588" spans="1:50" x14ac:dyDescent="0.25">
      <c r="A1588" s="102">
        <v>830000</v>
      </c>
      <c r="B1588" s="102">
        <v>2400000</v>
      </c>
      <c r="C1588" s="102">
        <v>2400000</v>
      </c>
      <c r="D1588" s="90" t="s">
        <v>374</v>
      </c>
      <c r="E1588" s="90" t="s">
        <v>68</v>
      </c>
      <c r="F1588" s="90" t="s">
        <v>375</v>
      </c>
      <c r="G1588" s="90" t="s">
        <v>376</v>
      </c>
      <c r="H1588" s="90">
        <v>0.59</v>
      </c>
      <c r="I1588" s="90">
        <v>0.64</v>
      </c>
      <c r="J1588" s="90" t="s">
        <v>244</v>
      </c>
      <c r="K1588" s="90">
        <v>1.0958070269999999E-5</v>
      </c>
      <c r="L1588" s="90">
        <v>3738.72128163659</v>
      </c>
      <c r="M1588" s="90">
        <v>11.4620414758429</v>
      </c>
      <c r="N1588" s="90">
        <v>1.54040877852201</v>
      </c>
      <c r="O1588" s="90">
        <v>1.2560185596999999E-4</v>
      </c>
      <c r="P1588" s="90">
        <v>1.6879907639999999E-5</v>
      </c>
      <c r="Q1588" s="90">
        <v>4.0969170539070003E-2</v>
      </c>
      <c r="R1588" s="90">
        <v>1410</v>
      </c>
      <c r="S1588" s="90" t="s">
        <v>325</v>
      </c>
      <c r="T1588" s="90">
        <v>1410</v>
      </c>
      <c r="U1588" s="90" t="s">
        <v>378</v>
      </c>
      <c r="V1588" s="90" t="s">
        <v>244</v>
      </c>
      <c r="Z1588" s="90">
        <v>0</v>
      </c>
      <c r="AA1588" s="90">
        <v>1</v>
      </c>
      <c r="AB1588" s="90">
        <v>1.2560185596999999E-4</v>
      </c>
      <c r="AC1588" s="90">
        <v>1.6879907639999999E-5</v>
      </c>
      <c r="AD1588" s="90">
        <v>0.28527203931396999</v>
      </c>
      <c r="AF1588" s="90">
        <v>-1</v>
      </c>
      <c r="AG1588" s="90">
        <v>-1</v>
      </c>
      <c r="AH1588" s="90">
        <v>-1</v>
      </c>
      <c r="AI1588" s="90">
        <v>-1</v>
      </c>
      <c r="AJ1588" s="90">
        <v>0</v>
      </c>
      <c r="AM1588" s="90" t="s">
        <v>379</v>
      </c>
      <c r="AN1588" s="90">
        <v>-1</v>
      </c>
      <c r="AQ1588" s="90">
        <v>357</v>
      </c>
      <c r="AR1588" s="90" t="s">
        <v>405</v>
      </c>
      <c r="AS1588" s="90" t="s">
        <v>406</v>
      </c>
      <c r="AT1588" s="90" t="s">
        <v>244</v>
      </c>
      <c r="AU1588" s="90">
        <v>122.34610000000001</v>
      </c>
      <c r="AV1588" s="90">
        <v>3.88250847586353</v>
      </c>
      <c r="AW1588" s="90">
        <v>4.4345737064860002E-2</v>
      </c>
      <c r="AX1588" s="90">
        <v>2.313642E-4</v>
      </c>
    </row>
    <row r="1589" spans="1:50" x14ac:dyDescent="0.25">
      <c r="A1589" s="102">
        <v>830000</v>
      </c>
      <c r="B1589" s="102">
        <v>2400000</v>
      </c>
      <c r="C1589" s="102">
        <v>2400000</v>
      </c>
      <c r="D1589" s="90" t="s">
        <v>374</v>
      </c>
      <c r="E1589" s="90" t="s">
        <v>68</v>
      </c>
      <c r="F1589" s="90" t="s">
        <v>375</v>
      </c>
      <c r="G1589" s="90" t="s">
        <v>376</v>
      </c>
      <c r="H1589" s="90">
        <v>0.59</v>
      </c>
      <c r="I1589" s="90">
        <v>0.64</v>
      </c>
      <c r="J1589" s="90" t="s">
        <v>244</v>
      </c>
      <c r="K1589" s="90">
        <v>0.16393563730020999</v>
      </c>
      <c r="L1589" s="90">
        <v>3744.6331390922501</v>
      </c>
      <c r="M1589" s="90">
        <v>11.747704000972</v>
      </c>
      <c r="N1589" s="90">
        <v>1.5485933910671199</v>
      </c>
      <c r="O1589" s="90">
        <v>1.9258673422136601</v>
      </c>
      <c r="P1589" s="90">
        <v>0.25386964448348998</v>
      </c>
      <c r="Q1589" s="90">
        <v>613.87882011260501</v>
      </c>
      <c r="R1589" s="90">
        <v>1400</v>
      </c>
      <c r="S1589" s="90" t="s">
        <v>324</v>
      </c>
      <c r="T1589" s="90">
        <v>1400</v>
      </c>
      <c r="U1589" s="90" t="s">
        <v>378</v>
      </c>
      <c r="V1589" s="90" t="s">
        <v>244</v>
      </c>
      <c r="Z1589" s="90">
        <v>0</v>
      </c>
      <c r="AA1589" s="90">
        <v>1</v>
      </c>
      <c r="AB1589" s="90">
        <v>1.9258673422136601</v>
      </c>
      <c r="AC1589" s="90">
        <v>0.25386964448348998</v>
      </c>
      <c r="AD1589" s="90">
        <v>665.06723816995202</v>
      </c>
      <c r="AF1589" s="90">
        <v>-1</v>
      </c>
      <c r="AG1589" s="90">
        <v>-1</v>
      </c>
      <c r="AH1589" s="90">
        <v>-1</v>
      </c>
      <c r="AI1589" s="90">
        <v>-1</v>
      </c>
      <c r="AJ1589" s="90">
        <v>0</v>
      </c>
      <c r="AM1589" s="90" t="s">
        <v>379</v>
      </c>
      <c r="AN1589" s="90">
        <v>-1</v>
      </c>
      <c r="AQ1589" s="90">
        <v>357</v>
      </c>
      <c r="AR1589" s="90" t="s">
        <v>405</v>
      </c>
      <c r="AS1589" s="90" t="s">
        <v>406</v>
      </c>
      <c r="AT1589" s="90" t="s">
        <v>244</v>
      </c>
      <c r="AU1589" s="90">
        <v>122.34610000000001</v>
      </c>
      <c r="AV1589" s="90">
        <v>197.378942595941</v>
      </c>
      <c r="AW1589" s="90">
        <v>663.42398666862505</v>
      </c>
      <c r="AX1589" s="90">
        <v>0.53938948760000005</v>
      </c>
    </row>
    <row r="1590" spans="1:50" x14ac:dyDescent="0.25">
      <c r="A1590" s="102">
        <v>830000</v>
      </c>
      <c r="B1590" s="102">
        <v>2400000</v>
      </c>
      <c r="C1590" s="102">
        <v>2400000</v>
      </c>
      <c r="D1590" s="90" t="s">
        <v>374</v>
      </c>
      <c r="E1590" s="90" t="s">
        <v>68</v>
      </c>
      <c r="F1590" s="90" t="s">
        <v>375</v>
      </c>
      <c r="G1590" s="90" t="s">
        <v>376</v>
      </c>
      <c r="H1590" s="90">
        <v>0.59</v>
      </c>
      <c r="I1590" s="90">
        <v>0.64</v>
      </c>
      <c r="J1590" s="90" t="s">
        <v>244</v>
      </c>
      <c r="K1590" s="90">
        <v>0.23056246601943001</v>
      </c>
      <c r="L1590" s="90">
        <v>3744.6331390922501</v>
      </c>
      <c r="M1590" s="90">
        <v>11.747704000972</v>
      </c>
      <c r="N1590" s="90">
        <v>1.5485933910671199</v>
      </c>
      <c r="O1590" s="90">
        <v>2.70857960453043</v>
      </c>
      <c r="P1590" s="90">
        <v>0.35704751110582</v>
      </c>
      <c r="Q1590" s="90">
        <v>863.37185088719002</v>
      </c>
      <c r="R1590" s="90">
        <v>1410</v>
      </c>
      <c r="S1590" s="90" t="s">
        <v>325</v>
      </c>
      <c r="T1590" s="90">
        <v>1410</v>
      </c>
      <c r="U1590" s="90" t="s">
        <v>378</v>
      </c>
      <c r="V1590" s="90" t="s">
        <v>244</v>
      </c>
      <c r="Z1590" s="90">
        <v>0</v>
      </c>
      <c r="AA1590" s="90">
        <v>1</v>
      </c>
      <c r="AB1590" s="90">
        <v>2.70857960453043</v>
      </c>
      <c r="AC1590" s="90">
        <v>0.35704751110582</v>
      </c>
      <c r="AD1590" s="90">
        <v>863.37185088719002</v>
      </c>
      <c r="AF1590" s="90">
        <v>-1</v>
      </c>
      <c r="AG1590" s="90">
        <v>-1</v>
      </c>
      <c r="AH1590" s="90">
        <v>-1</v>
      </c>
      <c r="AI1590" s="90">
        <v>-1</v>
      </c>
      <c r="AJ1590" s="90">
        <v>0</v>
      </c>
      <c r="AM1590" s="90" t="s">
        <v>379</v>
      </c>
      <c r="AN1590" s="90">
        <v>-1</v>
      </c>
      <c r="AQ1590" s="90">
        <v>357</v>
      </c>
      <c r="AR1590" s="90" t="s">
        <v>405</v>
      </c>
      <c r="AS1590" s="90" t="s">
        <v>406</v>
      </c>
      <c r="AT1590" s="90" t="s">
        <v>244</v>
      </c>
      <c r="AU1590" s="90">
        <v>122.34610000000001</v>
      </c>
      <c r="AV1590" s="90">
        <v>126.43115986234</v>
      </c>
      <c r="AW1590" s="90">
        <v>933.05319637511195</v>
      </c>
      <c r="AX1590" s="90">
        <v>0.70022047919999997</v>
      </c>
    </row>
    <row r="1591" spans="1:50" x14ac:dyDescent="0.25">
      <c r="A1591" s="102">
        <v>830000</v>
      </c>
      <c r="B1591" s="102">
        <v>2400000</v>
      </c>
      <c r="C1591" s="102">
        <v>2400000</v>
      </c>
      <c r="D1591" s="90" t="s">
        <v>374</v>
      </c>
      <c r="E1591" s="90" t="s">
        <v>68</v>
      </c>
      <c r="F1591" s="90" t="s">
        <v>375</v>
      </c>
      <c r="G1591" s="90" t="s">
        <v>376</v>
      </c>
      <c r="H1591" s="90">
        <v>0.59</v>
      </c>
      <c r="I1591" s="90">
        <v>0.64</v>
      </c>
      <c r="J1591" s="90" t="s">
        <v>244</v>
      </c>
      <c r="K1591" s="90">
        <v>5.9981402628109998E-2</v>
      </c>
      <c r="L1591" s="90">
        <v>3744.6331390922501</v>
      </c>
      <c r="M1591" s="90">
        <v>11.747704000972</v>
      </c>
      <c r="N1591" s="90">
        <v>1.5485933910671199</v>
      </c>
      <c r="O1591" s="90">
        <v>0.70464376363820003</v>
      </c>
      <c r="P1591" s="90">
        <v>9.288680369683E-2</v>
      </c>
      <c r="Q1591" s="90">
        <v>224.60834801047099</v>
      </c>
      <c r="R1591" s="90">
        <v>1410</v>
      </c>
      <c r="S1591" s="90" t="s">
        <v>325</v>
      </c>
      <c r="T1591" s="90">
        <v>1410</v>
      </c>
      <c r="U1591" s="90" t="s">
        <v>378</v>
      </c>
      <c r="V1591" s="90" t="s">
        <v>244</v>
      </c>
      <c r="Z1591" s="90">
        <v>0</v>
      </c>
      <c r="AA1591" s="90">
        <v>1</v>
      </c>
      <c r="AB1591" s="90">
        <v>0.70464376363820003</v>
      </c>
      <c r="AC1591" s="90">
        <v>9.288680369683E-2</v>
      </c>
      <c r="AD1591" s="90">
        <v>224.60834801047</v>
      </c>
      <c r="AF1591" s="90">
        <v>-1</v>
      </c>
      <c r="AG1591" s="90">
        <v>-1</v>
      </c>
      <c r="AH1591" s="90">
        <v>-1</v>
      </c>
      <c r="AI1591" s="90">
        <v>-1</v>
      </c>
      <c r="AJ1591" s="90">
        <v>0</v>
      </c>
      <c r="AM1591" s="90" t="s">
        <v>379</v>
      </c>
      <c r="AN1591" s="90">
        <v>-1</v>
      </c>
      <c r="AQ1591" s="90">
        <v>357</v>
      </c>
      <c r="AR1591" s="90" t="s">
        <v>405</v>
      </c>
      <c r="AS1591" s="90" t="s">
        <v>406</v>
      </c>
      <c r="AT1591" s="90" t="s">
        <v>244</v>
      </c>
      <c r="AU1591" s="90">
        <v>122.34610000000001</v>
      </c>
      <c r="AV1591" s="90">
        <v>65.044749780465196</v>
      </c>
      <c r="AW1591" s="90">
        <v>242.736124450142</v>
      </c>
      <c r="AX1591" s="90">
        <v>0.18216411029999999</v>
      </c>
    </row>
    <row r="1592" spans="1:50" x14ac:dyDescent="0.25">
      <c r="A1592" s="102">
        <v>830000</v>
      </c>
      <c r="B1592" s="102">
        <v>2400000</v>
      </c>
      <c r="C1592" s="102">
        <v>2400000</v>
      </c>
      <c r="D1592" s="90" t="s">
        <v>374</v>
      </c>
      <c r="E1592" s="90" t="s">
        <v>68</v>
      </c>
      <c r="F1592" s="90" t="s">
        <v>375</v>
      </c>
      <c r="G1592" s="90" t="s">
        <v>376</v>
      </c>
      <c r="H1592" s="90">
        <v>0.59</v>
      </c>
      <c r="I1592" s="90">
        <v>0.64</v>
      </c>
      <c r="J1592" s="90" t="s">
        <v>244</v>
      </c>
      <c r="K1592" s="90">
        <v>0.14961413920492</v>
      </c>
      <c r="L1592" s="90">
        <v>3744.6331390922501</v>
      </c>
      <c r="M1592" s="90">
        <v>11.747704000972</v>
      </c>
      <c r="N1592" s="90">
        <v>1.5485933910671199</v>
      </c>
      <c r="O1592" s="90">
        <v>1.75762262173967</v>
      </c>
      <c r="P1592" s="90">
        <v>0.23169146718294001</v>
      </c>
      <c r="Q1592" s="90">
        <v>560.25006374351995</v>
      </c>
      <c r="R1592" s="90">
        <v>1410</v>
      </c>
      <c r="S1592" s="90" t="s">
        <v>325</v>
      </c>
      <c r="T1592" s="90">
        <v>1410</v>
      </c>
      <c r="U1592" s="90" t="s">
        <v>378</v>
      </c>
      <c r="V1592" s="90" t="s">
        <v>244</v>
      </c>
      <c r="Z1592" s="90">
        <v>0</v>
      </c>
      <c r="AA1592" s="90">
        <v>1</v>
      </c>
      <c r="AB1592" s="90">
        <v>1.75762262173967</v>
      </c>
      <c r="AC1592" s="90">
        <v>0.23169146718294001</v>
      </c>
      <c r="AD1592" s="90">
        <v>560.25006374351995</v>
      </c>
      <c r="AF1592" s="90">
        <v>-1</v>
      </c>
      <c r="AG1592" s="90">
        <v>-1</v>
      </c>
      <c r="AH1592" s="90">
        <v>-1</v>
      </c>
      <c r="AI1592" s="90">
        <v>-1</v>
      </c>
      <c r="AJ1592" s="90">
        <v>0</v>
      </c>
      <c r="AM1592" s="90" t="s">
        <v>379</v>
      </c>
      <c r="AN1592" s="90">
        <v>-1</v>
      </c>
      <c r="AQ1592" s="90">
        <v>357</v>
      </c>
      <c r="AR1592" s="90" t="s">
        <v>405</v>
      </c>
      <c r="AS1592" s="90" t="s">
        <v>406</v>
      </c>
      <c r="AT1592" s="90" t="s">
        <v>244</v>
      </c>
      <c r="AU1592" s="90">
        <v>122.34610000000001</v>
      </c>
      <c r="AV1592" s="90">
        <v>100.61539421717301</v>
      </c>
      <c r="AW1592" s="90">
        <v>605.46694012329306</v>
      </c>
      <c r="AX1592" s="90">
        <v>0.45437961370000002</v>
      </c>
    </row>
    <row r="1593" spans="1:50" x14ac:dyDescent="0.25">
      <c r="A1593" s="102">
        <v>830000</v>
      </c>
      <c r="B1593" s="102">
        <v>2400000</v>
      </c>
      <c r="C1593" s="102">
        <v>2400000</v>
      </c>
      <c r="D1593" s="90" t="s">
        <v>374</v>
      </c>
      <c r="E1593" s="90" t="s">
        <v>68</v>
      </c>
      <c r="F1593" s="90" t="s">
        <v>375</v>
      </c>
      <c r="G1593" s="90" t="s">
        <v>376</v>
      </c>
      <c r="H1593" s="90">
        <v>0.59</v>
      </c>
      <c r="I1593" s="90">
        <v>0.64</v>
      </c>
      <c r="J1593" s="90" t="s">
        <v>244</v>
      </c>
      <c r="K1593" s="90">
        <v>0.16654795453648</v>
      </c>
      <c r="L1593" s="90">
        <v>3812.2415391179502</v>
      </c>
      <c r="M1593" s="90">
        <v>9.6130347832793799</v>
      </c>
      <c r="N1593" s="90">
        <v>1.5888493779011399</v>
      </c>
      <c r="O1593" s="90">
        <v>1.60103128004322</v>
      </c>
      <c r="P1593" s="90">
        <v>0.26461961395598999</v>
      </c>
      <c r="Q1593" s="90">
        <v>634.92103053910103</v>
      </c>
      <c r="R1593" s="90">
        <v>1300</v>
      </c>
      <c r="S1593" s="90" t="s">
        <v>387</v>
      </c>
      <c r="T1593" s="90">
        <v>1300</v>
      </c>
      <c r="U1593" s="90" t="s">
        <v>378</v>
      </c>
      <c r="V1593" s="90" t="s">
        <v>244</v>
      </c>
      <c r="Z1593" s="90">
        <v>0</v>
      </c>
      <c r="AA1593" s="90">
        <v>1</v>
      </c>
      <c r="AB1593" s="90">
        <v>1.60103128004322</v>
      </c>
      <c r="AC1593" s="90">
        <v>0.26461961395598999</v>
      </c>
      <c r="AD1593" s="90">
        <v>725.01112046475498</v>
      </c>
      <c r="AF1593" s="90">
        <v>-1</v>
      </c>
      <c r="AG1593" s="90">
        <v>-1</v>
      </c>
      <c r="AH1593" s="90">
        <v>-1</v>
      </c>
      <c r="AI1593" s="90">
        <v>-1</v>
      </c>
      <c r="AJ1593" s="90">
        <v>0</v>
      </c>
      <c r="AM1593" s="90" t="s">
        <v>379</v>
      </c>
      <c r="AN1593" s="90">
        <v>-1</v>
      </c>
      <c r="AQ1593" s="90">
        <v>357</v>
      </c>
      <c r="AR1593" s="90" t="s">
        <v>405</v>
      </c>
      <c r="AS1593" s="90" t="s">
        <v>406</v>
      </c>
      <c r="AT1593" s="90" t="s">
        <v>244</v>
      </c>
      <c r="AU1593" s="90">
        <v>122.34610000000001</v>
      </c>
      <c r="AV1593" s="90">
        <v>118.57446457905699</v>
      </c>
      <c r="AW1593" s="90">
        <v>673.99565945353902</v>
      </c>
      <c r="AX1593" s="90">
        <v>0.58800577490000006</v>
      </c>
    </row>
    <row r="1594" spans="1:50" x14ac:dyDescent="0.25">
      <c r="A1594" s="102">
        <v>830000</v>
      </c>
      <c r="B1594" s="102">
        <v>2400000</v>
      </c>
      <c r="C1594" s="102">
        <v>2400000</v>
      </c>
      <c r="D1594" s="90" t="s">
        <v>374</v>
      </c>
      <c r="E1594" s="90" t="s">
        <v>68</v>
      </c>
      <c r="F1594" s="90" t="s">
        <v>375</v>
      </c>
      <c r="G1594" s="90" t="s">
        <v>376</v>
      </c>
      <c r="H1594" s="90">
        <v>0.59</v>
      </c>
      <c r="I1594" s="90">
        <v>0.64</v>
      </c>
      <c r="J1594" s="90" t="s">
        <v>244</v>
      </c>
      <c r="K1594" s="90">
        <v>4.9884267565349999E-2</v>
      </c>
      <c r="L1594" s="90">
        <v>3812.2415391179502</v>
      </c>
      <c r="M1594" s="90">
        <v>9.6130347832793799</v>
      </c>
      <c r="N1594" s="90">
        <v>1.5888493779011399</v>
      </c>
      <c r="O1594" s="90">
        <v>0.47953919924413002</v>
      </c>
      <c r="P1594" s="90">
        <v>7.9258587488259993E-2</v>
      </c>
      <c r="Q1594" s="90">
        <v>190.17087696110499</v>
      </c>
      <c r="R1594" s="90">
        <v>1300</v>
      </c>
      <c r="S1594" s="90" t="s">
        <v>387</v>
      </c>
      <c r="T1594" s="90">
        <v>1300</v>
      </c>
      <c r="U1594" s="90" t="s">
        <v>378</v>
      </c>
      <c r="V1594" s="90" t="s">
        <v>244</v>
      </c>
      <c r="Z1594" s="90">
        <v>0</v>
      </c>
      <c r="AA1594" s="90">
        <v>1</v>
      </c>
      <c r="AB1594" s="90">
        <v>0.47953919924413002</v>
      </c>
      <c r="AC1594" s="90">
        <v>7.9258587488259993E-2</v>
      </c>
      <c r="AD1594" s="90">
        <v>190.17087696110599</v>
      </c>
      <c r="AF1594" s="90">
        <v>-1</v>
      </c>
      <c r="AG1594" s="90">
        <v>-1</v>
      </c>
      <c r="AH1594" s="90">
        <v>-1</v>
      </c>
      <c r="AI1594" s="90">
        <v>-1</v>
      </c>
      <c r="AJ1594" s="90">
        <v>0</v>
      </c>
      <c r="AM1594" s="90" t="s">
        <v>379</v>
      </c>
      <c r="AN1594" s="90">
        <v>-1</v>
      </c>
      <c r="AQ1594" s="90">
        <v>357</v>
      </c>
      <c r="AR1594" s="90" t="s">
        <v>405</v>
      </c>
      <c r="AS1594" s="90" t="s">
        <v>406</v>
      </c>
      <c r="AT1594" s="90" t="s">
        <v>244</v>
      </c>
      <c r="AU1594" s="90">
        <v>122.34610000000001</v>
      </c>
      <c r="AV1594" s="90">
        <v>63.4813262527964</v>
      </c>
      <c r="AW1594" s="90">
        <v>201.87446857356201</v>
      </c>
      <c r="AX1594" s="90">
        <v>0.15423428789999999</v>
      </c>
    </row>
    <row r="1595" spans="1:50" x14ac:dyDescent="0.25">
      <c r="A1595" s="102">
        <v>830000</v>
      </c>
      <c r="B1595" s="102">
        <v>2400000</v>
      </c>
      <c r="C1595" s="102">
        <v>2400000</v>
      </c>
      <c r="D1595" s="90" t="s">
        <v>374</v>
      </c>
      <c r="E1595" s="90" t="s">
        <v>68</v>
      </c>
      <c r="F1595" s="90" t="s">
        <v>375</v>
      </c>
      <c r="G1595" s="90" t="s">
        <v>376</v>
      </c>
      <c r="H1595" s="90">
        <v>0.59</v>
      </c>
      <c r="I1595" s="90">
        <v>0.64</v>
      </c>
      <c r="J1595" s="90" t="s">
        <v>244</v>
      </c>
      <c r="K1595" s="90">
        <v>3.5293251827190002E-2</v>
      </c>
      <c r="L1595" s="90">
        <v>3812.2415391179502</v>
      </c>
      <c r="M1595" s="90">
        <v>9.6130347832793799</v>
      </c>
      <c r="N1595" s="90">
        <v>1.5888493779011399</v>
      </c>
      <c r="O1595" s="90">
        <v>0.33927525742983</v>
      </c>
      <c r="P1595" s="90">
        <v>5.6075661209740002E-2</v>
      </c>
      <c r="Q1595" s="90">
        <v>134.546400666171</v>
      </c>
      <c r="R1595" s="90">
        <v>1300</v>
      </c>
      <c r="S1595" s="90" t="s">
        <v>387</v>
      </c>
      <c r="T1595" s="90">
        <v>1300</v>
      </c>
      <c r="U1595" s="90" t="s">
        <v>378</v>
      </c>
      <c r="V1595" s="90" t="s">
        <v>244</v>
      </c>
      <c r="Z1595" s="90">
        <v>0</v>
      </c>
      <c r="AA1595" s="90">
        <v>1</v>
      </c>
      <c r="AB1595" s="90">
        <v>0.33927525742983</v>
      </c>
      <c r="AC1595" s="90">
        <v>5.6075661209740002E-2</v>
      </c>
      <c r="AD1595" s="90">
        <v>175.31886100983499</v>
      </c>
      <c r="AF1595" s="90">
        <v>-1</v>
      </c>
      <c r="AG1595" s="90">
        <v>-1</v>
      </c>
      <c r="AH1595" s="90">
        <v>-1</v>
      </c>
      <c r="AI1595" s="90">
        <v>-1</v>
      </c>
      <c r="AJ1595" s="90">
        <v>0</v>
      </c>
      <c r="AM1595" s="90" t="s">
        <v>379</v>
      </c>
      <c r="AN1595" s="90">
        <v>-1</v>
      </c>
      <c r="AQ1595" s="90">
        <v>357</v>
      </c>
      <c r="AR1595" s="90" t="s">
        <v>405</v>
      </c>
      <c r="AS1595" s="90" t="s">
        <v>406</v>
      </c>
      <c r="AT1595" s="90" t="s">
        <v>244</v>
      </c>
      <c r="AU1595" s="90">
        <v>122.34610000000001</v>
      </c>
      <c r="AV1595" s="90">
        <v>54.344625769811699</v>
      </c>
      <c r="AW1595" s="90">
        <v>142.82672282425401</v>
      </c>
      <c r="AX1595" s="90">
        <v>0.1421888573</v>
      </c>
    </row>
    <row r="1596" spans="1:50" x14ac:dyDescent="0.25">
      <c r="A1596" s="102">
        <v>830000</v>
      </c>
      <c r="B1596" s="102">
        <v>2400000</v>
      </c>
      <c r="C1596" s="102">
        <v>2400000</v>
      </c>
      <c r="D1596" s="90" t="s">
        <v>374</v>
      </c>
      <c r="E1596" s="90" t="s">
        <v>68</v>
      </c>
      <c r="F1596" s="90" t="s">
        <v>375</v>
      </c>
      <c r="G1596" s="90" t="s">
        <v>376</v>
      </c>
      <c r="H1596" s="90">
        <v>0.59</v>
      </c>
      <c r="I1596" s="90">
        <v>0.64</v>
      </c>
      <c r="J1596" s="90" t="s">
        <v>244</v>
      </c>
      <c r="K1596" s="90">
        <v>0.30053744387217002</v>
      </c>
      <c r="L1596" s="90">
        <v>3812.2415391179502</v>
      </c>
      <c r="M1596" s="90">
        <v>9.6130347832793799</v>
      </c>
      <c r="N1596" s="90">
        <v>1.5888493779011399</v>
      </c>
      <c r="O1596" s="90">
        <v>2.88907690162109</v>
      </c>
      <c r="P1596" s="90">
        <v>0.47750873073229999</v>
      </c>
      <c r="Q1596" s="90">
        <v>1145.72132758983</v>
      </c>
      <c r="R1596" s="90">
        <v>1450</v>
      </c>
      <c r="S1596" s="90" t="s">
        <v>391</v>
      </c>
      <c r="T1596" s="90">
        <v>1450</v>
      </c>
      <c r="U1596" s="90" t="s">
        <v>378</v>
      </c>
      <c r="V1596" s="90" t="s">
        <v>244</v>
      </c>
      <c r="Z1596" s="90">
        <v>0</v>
      </c>
      <c r="AA1596" s="90">
        <v>1</v>
      </c>
      <c r="AB1596" s="90">
        <v>2.88907690162109</v>
      </c>
      <c r="AC1596" s="90">
        <v>0.47750873073229999</v>
      </c>
      <c r="AD1596" s="90">
        <v>1264.56263949462</v>
      </c>
      <c r="AF1596" s="90">
        <v>-1</v>
      </c>
      <c r="AG1596" s="90">
        <v>-1</v>
      </c>
      <c r="AH1596" s="90">
        <v>-1</v>
      </c>
      <c r="AI1596" s="90">
        <v>-1</v>
      </c>
      <c r="AJ1596" s="90">
        <v>0</v>
      </c>
      <c r="AM1596" s="90" t="s">
        <v>379</v>
      </c>
      <c r="AN1596" s="90">
        <v>-1</v>
      </c>
      <c r="AQ1596" s="90">
        <v>357</v>
      </c>
      <c r="AR1596" s="90" t="s">
        <v>405</v>
      </c>
      <c r="AS1596" s="90" t="s">
        <v>406</v>
      </c>
      <c r="AT1596" s="90" t="s">
        <v>244</v>
      </c>
      <c r="AU1596" s="90">
        <v>122.34610000000001</v>
      </c>
      <c r="AV1596" s="90">
        <v>144.68847050873799</v>
      </c>
      <c r="AW1596" s="90">
        <v>1216.2318849057899</v>
      </c>
      <c r="AX1596" s="90">
        <v>1.0255982478000001</v>
      </c>
    </row>
    <row r="1597" spans="1:50" x14ac:dyDescent="0.25">
      <c r="A1597" s="102">
        <v>830000</v>
      </c>
      <c r="B1597" s="102">
        <v>2400000</v>
      </c>
      <c r="C1597" s="102">
        <v>2400000</v>
      </c>
      <c r="D1597" s="90" t="s">
        <v>374</v>
      </c>
      <c r="E1597" s="90" t="s">
        <v>68</v>
      </c>
      <c r="F1597" s="90" t="s">
        <v>375</v>
      </c>
      <c r="G1597" s="90" t="s">
        <v>376</v>
      </c>
      <c r="H1597" s="90">
        <v>0.59</v>
      </c>
      <c r="I1597" s="90">
        <v>0.64</v>
      </c>
      <c r="J1597" s="90" t="s">
        <v>244</v>
      </c>
      <c r="K1597" s="90">
        <v>2.6259450470779998E-2</v>
      </c>
      <c r="L1597" s="90">
        <v>3666.8022038937802</v>
      </c>
      <c r="M1597" s="90">
        <v>9.1449516370024799</v>
      </c>
      <c r="N1597" s="90">
        <v>1.34513661939563</v>
      </c>
      <c r="O1597" s="90">
        <v>0.24014140456958</v>
      </c>
      <c r="P1597" s="90">
        <v>3.532254843345E-2</v>
      </c>
      <c r="Q1597" s="90">
        <v>96.288210859310396</v>
      </c>
      <c r="R1597" s="90">
        <v>1200</v>
      </c>
      <c r="S1597" s="90" t="s">
        <v>384</v>
      </c>
      <c r="T1597" s="90">
        <v>1200</v>
      </c>
      <c r="U1597" s="90" t="s">
        <v>378</v>
      </c>
      <c r="V1597" s="90" t="s">
        <v>244</v>
      </c>
      <c r="Z1597" s="90">
        <v>0</v>
      </c>
      <c r="AA1597" s="90">
        <v>1</v>
      </c>
      <c r="AB1597" s="90">
        <v>0.24014140456958</v>
      </c>
      <c r="AC1597" s="90">
        <v>3.532254843345E-2</v>
      </c>
      <c r="AD1597" s="90">
        <v>96.288210859311505</v>
      </c>
      <c r="AF1597" s="90">
        <v>-1</v>
      </c>
      <c r="AG1597" s="90">
        <v>-1</v>
      </c>
      <c r="AH1597" s="90">
        <v>-1</v>
      </c>
      <c r="AI1597" s="90">
        <v>-1</v>
      </c>
      <c r="AJ1597" s="90">
        <v>0</v>
      </c>
      <c r="AM1597" s="90" t="s">
        <v>379</v>
      </c>
      <c r="AN1597" s="90">
        <v>-1</v>
      </c>
      <c r="AQ1597" s="90">
        <v>357</v>
      </c>
      <c r="AR1597" s="90" t="s">
        <v>405</v>
      </c>
      <c r="AS1597" s="90" t="s">
        <v>406</v>
      </c>
      <c r="AT1597" s="90" t="s">
        <v>244</v>
      </c>
      <c r="AU1597" s="90">
        <v>122.34610000000001</v>
      </c>
      <c r="AV1597" s="90">
        <v>90.637956129645204</v>
      </c>
      <c r="AW1597" s="90">
        <v>106.268225786388</v>
      </c>
      <c r="AX1597" s="90">
        <v>7.8092628400000003E-2</v>
      </c>
    </row>
    <row r="1598" spans="1:50" x14ac:dyDescent="0.25">
      <c r="A1598" s="102">
        <v>830000</v>
      </c>
      <c r="B1598" s="102">
        <v>2400000</v>
      </c>
      <c r="C1598" s="102">
        <v>2400000</v>
      </c>
      <c r="D1598" s="90" t="s">
        <v>374</v>
      </c>
      <c r="E1598" s="90" t="s">
        <v>68</v>
      </c>
      <c r="F1598" s="90" t="s">
        <v>375</v>
      </c>
      <c r="G1598" s="90" t="s">
        <v>376</v>
      </c>
      <c r="H1598" s="90">
        <v>0.59</v>
      </c>
      <c r="I1598" s="90">
        <v>0.64</v>
      </c>
      <c r="J1598" s="90" t="s">
        <v>244</v>
      </c>
      <c r="K1598" s="90">
        <v>1.0006904249119999E-2</v>
      </c>
      <c r="L1598" s="90">
        <v>3666.8022038937802</v>
      </c>
      <c r="M1598" s="90">
        <v>9.1449516370024799</v>
      </c>
      <c r="N1598" s="90">
        <v>1.34513661939563</v>
      </c>
      <c r="O1598" s="90">
        <v>9.1512655394340003E-2</v>
      </c>
      <c r="P1598" s="90">
        <v>1.346065335228E-2</v>
      </c>
      <c r="Q1598" s="90">
        <v>36.693338554838199</v>
      </c>
      <c r="R1598" s="90">
        <v>1210</v>
      </c>
      <c r="S1598" s="90" t="s">
        <v>385</v>
      </c>
      <c r="T1598" s="90">
        <v>1210</v>
      </c>
      <c r="U1598" s="90" t="s">
        <v>378</v>
      </c>
      <c r="V1598" s="90" t="s">
        <v>244</v>
      </c>
      <c r="Z1598" s="90">
        <v>0</v>
      </c>
      <c r="AA1598" s="90">
        <v>1</v>
      </c>
      <c r="AB1598" s="90">
        <v>9.1512655394340003E-2</v>
      </c>
      <c r="AC1598" s="90">
        <v>1.346065335228E-2</v>
      </c>
      <c r="AD1598" s="90">
        <v>36.693338554837901</v>
      </c>
      <c r="AF1598" s="90">
        <v>-1</v>
      </c>
      <c r="AG1598" s="90">
        <v>-1</v>
      </c>
      <c r="AH1598" s="90">
        <v>-1</v>
      </c>
      <c r="AI1598" s="90">
        <v>-1</v>
      </c>
      <c r="AJ1598" s="90">
        <v>0</v>
      </c>
      <c r="AM1598" s="90" t="s">
        <v>379</v>
      </c>
      <c r="AN1598" s="90">
        <v>-1</v>
      </c>
      <c r="AQ1598" s="90">
        <v>357</v>
      </c>
      <c r="AR1598" s="90" t="s">
        <v>405</v>
      </c>
      <c r="AS1598" s="90" t="s">
        <v>406</v>
      </c>
      <c r="AT1598" s="90" t="s">
        <v>244</v>
      </c>
      <c r="AU1598" s="90">
        <v>122.34610000000001</v>
      </c>
      <c r="AV1598" s="90">
        <v>34.529523856526197</v>
      </c>
      <c r="AW1598" s="90">
        <v>40.496504728904704</v>
      </c>
      <c r="AX1598" s="90">
        <v>2.9759398699999998E-2</v>
      </c>
    </row>
    <row r="1599" spans="1:50" x14ac:dyDescent="0.25">
      <c r="A1599" s="102">
        <v>830000</v>
      </c>
      <c r="B1599" s="102">
        <v>2400000</v>
      </c>
      <c r="C1599" s="102">
        <v>2400000</v>
      </c>
      <c r="D1599" s="90" t="s">
        <v>374</v>
      </c>
      <c r="E1599" s="90" t="s">
        <v>68</v>
      </c>
      <c r="F1599" s="90" t="s">
        <v>375</v>
      </c>
      <c r="G1599" s="90" t="s">
        <v>376</v>
      </c>
      <c r="H1599" s="90">
        <v>0.59</v>
      </c>
      <c r="I1599" s="90">
        <v>0.64</v>
      </c>
      <c r="J1599" s="90" t="s">
        <v>244</v>
      </c>
      <c r="K1599" s="90">
        <v>3.2963927760449999E-2</v>
      </c>
      <c r="L1599" s="90">
        <v>3666.8022038937802</v>
      </c>
      <c r="M1599" s="90">
        <v>9.1449516370024799</v>
      </c>
      <c r="N1599" s="90">
        <v>1.34513661939563</v>
      </c>
      <c r="O1599" s="90">
        <v>0.30145352513502</v>
      </c>
      <c r="P1599" s="90">
        <v>4.4340986349699997E-2</v>
      </c>
      <c r="Q1599" s="90">
        <v>120.87220296103899</v>
      </c>
      <c r="R1599" s="90">
        <v>1210</v>
      </c>
      <c r="S1599" s="90" t="s">
        <v>385</v>
      </c>
      <c r="T1599" s="90">
        <v>1210</v>
      </c>
      <c r="U1599" s="90" t="s">
        <v>378</v>
      </c>
      <c r="V1599" s="90" t="s">
        <v>244</v>
      </c>
      <c r="Z1599" s="90">
        <v>0</v>
      </c>
      <c r="AA1599" s="90">
        <v>1</v>
      </c>
      <c r="AB1599" s="90">
        <v>0.30145352513502</v>
      </c>
      <c r="AC1599" s="90">
        <v>4.4340986349699997E-2</v>
      </c>
      <c r="AD1599" s="90">
        <v>120.872202961037</v>
      </c>
      <c r="AF1599" s="90">
        <v>-1</v>
      </c>
      <c r="AG1599" s="90">
        <v>-1</v>
      </c>
      <c r="AH1599" s="90">
        <v>-1</v>
      </c>
      <c r="AI1599" s="90">
        <v>-1</v>
      </c>
      <c r="AJ1599" s="90">
        <v>0</v>
      </c>
      <c r="AM1599" s="90" t="s">
        <v>379</v>
      </c>
      <c r="AN1599" s="90">
        <v>-1</v>
      </c>
      <c r="AQ1599" s="90">
        <v>357</v>
      </c>
      <c r="AR1599" s="90" t="s">
        <v>405</v>
      </c>
      <c r="AS1599" s="90" t="s">
        <v>406</v>
      </c>
      <c r="AT1599" s="90" t="s">
        <v>244</v>
      </c>
      <c r="AU1599" s="90">
        <v>122.34610000000001</v>
      </c>
      <c r="AV1599" s="90">
        <v>62.205041215360403</v>
      </c>
      <c r="AW1599" s="90">
        <v>133.400282764933</v>
      </c>
      <c r="AX1599" s="90">
        <v>9.8030983700000004E-2</v>
      </c>
    </row>
    <row r="1600" spans="1:50" x14ac:dyDescent="0.25">
      <c r="A1600" s="102">
        <v>830000</v>
      </c>
      <c r="B1600" s="102">
        <v>2400000</v>
      </c>
      <c r="C1600" s="102">
        <v>2400000</v>
      </c>
      <c r="D1600" s="90" t="s">
        <v>374</v>
      </c>
      <c r="E1600" s="90" t="s">
        <v>68</v>
      </c>
      <c r="F1600" s="90" t="s">
        <v>375</v>
      </c>
      <c r="G1600" s="90" t="s">
        <v>376</v>
      </c>
      <c r="H1600" s="90">
        <v>0.59</v>
      </c>
      <c r="I1600" s="90">
        <v>0.64</v>
      </c>
      <c r="J1600" s="90" t="s">
        <v>244</v>
      </c>
      <c r="K1600" s="90">
        <v>1.7413342076829999E-2</v>
      </c>
      <c r="L1600" s="90">
        <v>3666.8022038937802</v>
      </c>
      <c r="M1600" s="90">
        <v>9.1449516370024799</v>
      </c>
      <c r="N1600" s="90">
        <v>1.34513661939563</v>
      </c>
      <c r="O1600" s="90">
        <v>0.15924417113122999</v>
      </c>
      <c r="P1600" s="90">
        <v>2.3423324093610001E-2</v>
      </c>
      <c r="Q1600" s="90">
        <v>63.851281104494902</v>
      </c>
      <c r="R1600" s="90">
        <v>1210</v>
      </c>
      <c r="S1600" s="90" t="s">
        <v>385</v>
      </c>
      <c r="T1600" s="90">
        <v>1210</v>
      </c>
      <c r="U1600" s="90" t="s">
        <v>378</v>
      </c>
      <c r="V1600" s="90" t="s">
        <v>244</v>
      </c>
      <c r="Z1600" s="90">
        <v>0</v>
      </c>
      <c r="AA1600" s="90">
        <v>1</v>
      </c>
      <c r="AB1600" s="90">
        <v>0.15924417113122999</v>
      </c>
      <c r="AC1600" s="90">
        <v>2.3423324093610001E-2</v>
      </c>
      <c r="AD1600" s="90">
        <v>63.8512811044952</v>
      </c>
      <c r="AF1600" s="90">
        <v>-1</v>
      </c>
      <c r="AG1600" s="90">
        <v>-1</v>
      </c>
      <c r="AH1600" s="90">
        <v>-1</v>
      </c>
      <c r="AI1600" s="90">
        <v>-1</v>
      </c>
      <c r="AJ1600" s="90">
        <v>0</v>
      </c>
      <c r="AM1600" s="90" t="s">
        <v>379</v>
      </c>
      <c r="AN1600" s="90">
        <v>-1</v>
      </c>
      <c r="AQ1600" s="90">
        <v>357</v>
      </c>
      <c r="AR1600" s="90" t="s">
        <v>405</v>
      </c>
      <c r="AS1600" s="90" t="s">
        <v>406</v>
      </c>
      <c r="AT1600" s="90" t="s">
        <v>244</v>
      </c>
      <c r="AU1600" s="90">
        <v>122.34610000000001</v>
      </c>
      <c r="AV1600" s="90">
        <v>34.015517985073899</v>
      </c>
      <c r="AW1600" s="90">
        <v>70.469295219087996</v>
      </c>
      <c r="AX1600" s="90">
        <v>5.1785304999999997E-2</v>
      </c>
    </row>
    <row r="1601" spans="1:50" x14ac:dyDescent="0.25">
      <c r="A1601" s="102">
        <v>830000</v>
      </c>
      <c r="B1601" s="102">
        <v>2400000</v>
      </c>
      <c r="C1601" s="102">
        <v>2400000</v>
      </c>
      <c r="D1601" s="90" t="s">
        <v>374</v>
      </c>
      <c r="E1601" s="90" t="s">
        <v>68</v>
      </c>
      <c r="F1601" s="90" t="s">
        <v>375</v>
      </c>
      <c r="G1601" s="90" t="s">
        <v>376</v>
      </c>
      <c r="H1601" s="90">
        <v>0.59</v>
      </c>
      <c r="I1601" s="90">
        <v>0.64</v>
      </c>
      <c r="J1601" s="90" t="s">
        <v>244</v>
      </c>
      <c r="K1601" s="90">
        <v>0.12488136141198</v>
      </c>
      <c r="L1601" s="90">
        <v>3666.8022038937802</v>
      </c>
      <c r="M1601" s="90">
        <v>9.1449516370024799</v>
      </c>
      <c r="N1601" s="90">
        <v>1.34513661939563</v>
      </c>
      <c r="O1601" s="90">
        <v>1.1420340104756399</v>
      </c>
      <c r="P1601" s="90">
        <v>0.16798249231524001</v>
      </c>
      <c r="Q1601" s="90">
        <v>457.915251250729</v>
      </c>
      <c r="R1601" s="90">
        <v>1210</v>
      </c>
      <c r="S1601" s="90" t="s">
        <v>385</v>
      </c>
      <c r="T1601" s="90">
        <v>1210</v>
      </c>
      <c r="U1601" s="90" t="s">
        <v>378</v>
      </c>
      <c r="V1601" s="90" t="s">
        <v>244</v>
      </c>
      <c r="Z1601" s="90">
        <v>0</v>
      </c>
      <c r="AA1601" s="90">
        <v>1</v>
      </c>
      <c r="AB1601" s="90">
        <v>1.1420340104756399</v>
      </c>
      <c r="AC1601" s="90">
        <v>0.16798249231524001</v>
      </c>
      <c r="AD1601" s="90">
        <v>457.915251250729</v>
      </c>
      <c r="AF1601" s="90">
        <v>-1</v>
      </c>
      <c r="AG1601" s="90">
        <v>-1</v>
      </c>
      <c r="AH1601" s="90">
        <v>-1</v>
      </c>
      <c r="AI1601" s="90">
        <v>-1</v>
      </c>
      <c r="AJ1601" s="90">
        <v>0</v>
      </c>
      <c r="AM1601" s="90" t="s">
        <v>379</v>
      </c>
      <c r="AN1601" s="90">
        <v>-1</v>
      </c>
      <c r="AQ1601" s="90">
        <v>357</v>
      </c>
      <c r="AR1601" s="90" t="s">
        <v>405</v>
      </c>
      <c r="AS1601" s="90" t="s">
        <v>406</v>
      </c>
      <c r="AT1601" s="90" t="s">
        <v>244</v>
      </c>
      <c r="AU1601" s="90">
        <v>122.34610000000001</v>
      </c>
      <c r="AV1601" s="90">
        <v>109.44728045994501</v>
      </c>
      <c r="AW1601" s="90">
        <v>505.37693946815398</v>
      </c>
      <c r="AX1601" s="90">
        <v>0.37138300990000001</v>
      </c>
    </row>
    <row r="1602" spans="1:50" x14ac:dyDescent="0.25">
      <c r="A1602" s="102">
        <v>830000</v>
      </c>
      <c r="B1602" s="102">
        <v>2400000</v>
      </c>
      <c r="C1602" s="102">
        <v>2400000</v>
      </c>
      <c r="D1602" s="90" t="s">
        <v>374</v>
      </c>
      <c r="E1602" s="90" t="s">
        <v>68</v>
      </c>
      <c r="F1602" s="90" t="s">
        <v>375</v>
      </c>
      <c r="G1602" s="90" t="s">
        <v>376</v>
      </c>
      <c r="H1602" s="90">
        <v>0.59</v>
      </c>
      <c r="I1602" s="90">
        <v>0.64</v>
      </c>
      <c r="J1602" s="90" t="s">
        <v>244</v>
      </c>
      <c r="K1602" s="90">
        <v>0.27321174838369</v>
      </c>
      <c r="L1602" s="90">
        <v>3666.8022038937802</v>
      </c>
      <c r="M1602" s="90">
        <v>9.1449516370024799</v>
      </c>
      <c r="N1602" s="90">
        <v>1.34513661939563</v>
      </c>
      <c r="O1602" s="90">
        <v>2.4985082256297599</v>
      </c>
      <c r="P1602" s="90">
        <v>0.36750712760000998</v>
      </c>
      <c r="Q1602" s="90">
        <v>1001.8134411029901</v>
      </c>
      <c r="R1602" s="90">
        <v>1210</v>
      </c>
      <c r="S1602" s="90" t="s">
        <v>385</v>
      </c>
      <c r="T1602" s="90">
        <v>1210</v>
      </c>
      <c r="U1602" s="90" t="s">
        <v>378</v>
      </c>
      <c r="V1602" s="90" t="s">
        <v>244</v>
      </c>
      <c r="Z1602" s="90">
        <v>0</v>
      </c>
      <c r="AA1602" s="90">
        <v>1</v>
      </c>
      <c r="AB1602" s="90">
        <v>2.4985082256297599</v>
      </c>
      <c r="AC1602" s="90">
        <v>0.36750712760000998</v>
      </c>
      <c r="AD1602" s="90">
        <v>1001.8134411029901</v>
      </c>
      <c r="AF1602" s="90">
        <v>-1</v>
      </c>
      <c r="AG1602" s="90">
        <v>-1</v>
      </c>
      <c r="AH1602" s="90">
        <v>-1</v>
      </c>
      <c r="AI1602" s="90">
        <v>-1</v>
      </c>
      <c r="AJ1602" s="90">
        <v>0</v>
      </c>
      <c r="AM1602" s="90" t="s">
        <v>379</v>
      </c>
      <c r="AN1602" s="90">
        <v>-1</v>
      </c>
      <c r="AQ1602" s="90">
        <v>357</v>
      </c>
      <c r="AR1602" s="90" t="s">
        <v>405</v>
      </c>
      <c r="AS1602" s="90" t="s">
        <v>406</v>
      </c>
      <c r="AT1602" s="90" t="s">
        <v>244</v>
      </c>
      <c r="AU1602" s="90">
        <v>122.34610000000001</v>
      </c>
      <c r="AV1602" s="90">
        <v>137.23405073396</v>
      </c>
      <c r="AW1602" s="90">
        <v>1105.64871862168</v>
      </c>
      <c r="AX1602" s="90">
        <v>0.81250076329999998</v>
      </c>
    </row>
    <row r="1603" spans="1:50" x14ac:dyDescent="0.25">
      <c r="A1603" s="102">
        <v>830000</v>
      </c>
      <c r="B1603" s="102">
        <v>2400000</v>
      </c>
      <c r="C1603" s="102">
        <v>2400000</v>
      </c>
      <c r="D1603" s="90" t="s">
        <v>374</v>
      </c>
      <c r="E1603" s="90" t="s">
        <v>68</v>
      </c>
      <c r="F1603" s="90" t="s">
        <v>375</v>
      </c>
      <c r="G1603" s="90" t="s">
        <v>376</v>
      </c>
      <c r="H1603" s="90">
        <v>0.59</v>
      </c>
      <c r="I1603" s="90">
        <v>0.64</v>
      </c>
      <c r="J1603" s="90" t="s">
        <v>244</v>
      </c>
      <c r="K1603" s="90">
        <v>0.13302671952215001</v>
      </c>
      <c r="L1603" s="90">
        <v>3666.8022038937802</v>
      </c>
      <c r="M1603" s="90">
        <v>9.1449516370024799</v>
      </c>
      <c r="N1603" s="90">
        <v>1.34513661939563</v>
      </c>
      <c r="O1603" s="90">
        <v>1.21652291645921</v>
      </c>
      <c r="P1603" s="90">
        <v>0.17893911178732</v>
      </c>
      <c r="Q1603" s="90">
        <v>487.78266832060098</v>
      </c>
      <c r="R1603" s="90">
        <v>1210</v>
      </c>
      <c r="S1603" s="90" t="s">
        <v>385</v>
      </c>
      <c r="T1603" s="90">
        <v>1210</v>
      </c>
      <c r="U1603" s="90" t="s">
        <v>378</v>
      </c>
      <c r="V1603" s="90" t="s">
        <v>244</v>
      </c>
      <c r="Z1603" s="90">
        <v>0</v>
      </c>
      <c r="AA1603" s="90">
        <v>1</v>
      </c>
      <c r="AB1603" s="90">
        <v>1.21652291645921</v>
      </c>
      <c r="AC1603" s="90">
        <v>0.17893911178732</v>
      </c>
      <c r="AD1603" s="90">
        <v>487.78266832060098</v>
      </c>
      <c r="AF1603" s="90">
        <v>-1</v>
      </c>
      <c r="AG1603" s="90">
        <v>-1</v>
      </c>
      <c r="AH1603" s="90">
        <v>-1</v>
      </c>
      <c r="AI1603" s="90">
        <v>-1</v>
      </c>
      <c r="AJ1603" s="90">
        <v>0</v>
      </c>
      <c r="AM1603" s="90" t="s">
        <v>379</v>
      </c>
      <c r="AN1603" s="90">
        <v>-1</v>
      </c>
      <c r="AQ1603" s="90">
        <v>357</v>
      </c>
      <c r="AR1603" s="90" t="s">
        <v>405</v>
      </c>
      <c r="AS1603" s="90" t="s">
        <v>406</v>
      </c>
      <c r="AT1603" s="90" t="s">
        <v>244</v>
      </c>
      <c r="AU1603" s="90">
        <v>122.34610000000001</v>
      </c>
      <c r="AV1603" s="90">
        <v>110.232550393491</v>
      </c>
      <c r="AW1603" s="90">
        <v>538.34003424904097</v>
      </c>
      <c r="AX1603" s="90">
        <v>0.39560638139999998</v>
      </c>
    </row>
    <row r="1604" spans="1:50" x14ac:dyDescent="0.25">
      <c r="A1604" s="102">
        <v>830000</v>
      </c>
      <c r="B1604" s="102">
        <v>2400000</v>
      </c>
      <c r="C1604" s="102">
        <v>2400000</v>
      </c>
      <c r="D1604" s="90" t="s">
        <v>374</v>
      </c>
      <c r="E1604" s="90" t="s">
        <v>68</v>
      </c>
      <c r="F1604" s="90" t="s">
        <v>375</v>
      </c>
      <c r="G1604" s="90" t="s">
        <v>376</v>
      </c>
      <c r="H1604" s="90">
        <v>0.59</v>
      </c>
      <c r="I1604" s="90">
        <v>0.64</v>
      </c>
      <c r="J1604" s="90" t="s">
        <v>409</v>
      </c>
      <c r="K1604" s="90">
        <v>8.8704408599900003E-2</v>
      </c>
      <c r="L1604" s="90">
        <v>3730.3272970311</v>
      </c>
      <c r="M1604" s="90">
        <v>10.3218188523109</v>
      </c>
      <c r="N1604" s="90">
        <v>1.8942524655046999</v>
      </c>
      <c r="O1604" s="90">
        <v>0.91559083696957</v>
      </c>
      <c r="P1604" s="90">
        <v>0.1680285446915</v>
      </c>
      <c r="Q1604" s="90">
        <v>330.89647676721802</v>
      </c>
      <c r="R1604" s="90">
        <v>1300</v>
      </c>
      <c r="S1604" s="90" t="s">
        <v>387</v>
      </c>
      <c r="T1604" s="90">
        <v>1300</v>
      </c>
      <c r="U1604" s="90" t="s">
        <v>409</v>
      </c>
      <c r="V1604" s="90" t="s">
        <v>409</v>
      </c>
      <c r="Z1604" s="90">
        <v>0</v>
      </c>
      <c r="AA1604" s="90">
        <v>1</v>
      </c>
      <c r="AB1604" s="90">
        <v>0.91559083696957</v>
      </c>
      <c r="AC1604" s="90">
        <v>0.1680285446915</v>
      </c>
      <c r="AD1604" s="90">
        <v>330.89647676721802</v>
      </c>
      <c r="AF1604" s="90">
        <v>-1</v>
      </c>
      <c r="AG1604" s="90">
        <v>-1</v>
      </c>
      <c r="AH1604" s="90">
        <v>-1</v>
      </c>
      <c r="AI1604" s="90">
        <v>-1</v>
      </c>
      <c r="AJ1604" s="90">
        <v>0</v>
      </c>
      <c r="AM1604" s="90" t="s">
        <v>379</v>
      </c>
      <c r="AN1604" s="90">
        <v>-1</v>
      </c>
      <c r="AQ1604" s="90">
        <v>357</v>
      </c>
      <c r="AR1604" s="90" t="s">
        <v>405</v>
      </c>
      <c r="AS1604" s="90" t="s">
        <v>406</v>
      </c>
      <c r="AT1604" s="90" t="s">
        <v>244</v>
      </c>
      <c r="AU1604" s="90">
        <v>122.34610000000001</v>
      </c>
      <c r="AV1604" s="90">
        <v>92.953424891584703</v>
      </c>
      <c r="AW1604" s="90">
        <v>358.97400563770998</v>
      </c>
      <c r="AX1604" s="90">
        <v>0.2683669722</v>
      </c>
    </row>
    <row r="1605" spans="1:50" x14ac:dyDescent="0.25">
      <c r="A1605" s="102">
        <v>830000</v>
      </c>
      <c r="B1605" s="102">
        <v>2400000</v>
      </c>
      <c r="C1605" s="102">
        <v>2400000</v>
      </c>
      <c r="D1605" s="90" t="s">
        <v>374</v>
      </c>
      <c r="E1605" s="90" t="s">
        <v>68</v>
      </c>
      <c r="F1605" s="90" t="s">
        <v>375</v>
      </c>
      <c r="G1605" s="90" t="s">
        <v>376</v>
      </c>
      <c r="H1605" s="90">
        <v>0.59</v>
      </c>
      <c r="I1605" s="90">
        <v>0.64</v>
      </c>
      <c r="J1605" s="90" t="s">
        <v>244</v>
      </c>
      <c r="K1605" s="90">
        <v>0.14008533930364001</v>
      </c>
      <c r="L1605" s="90">
        <v>3730.3272970311</v>
      </c>
      <c r="M1605" s="90">
        <v>10.3218188523109</v>
      </c>
      <c r="N1605" s="90">
        <v>1.8942524655046999</v>
      </c>
      <c r="O1605" s="90">
        <v>1.4459354961567099</v>
      </c>
      <c r="P1605" s="90">
        <v>0.26535699935697998</v>
      </c>
      <c r="Q1605" s="90">
        <v>522.56416511824</v>
      </c>
      <c r="R1605" s="90">
        <v>1300</v>
      </c>
      <c r="S1605" s="90" t="s">
        <v>387</v>
      </c>
      <c r="T1605" s="90">
        <v>1300</v>
      </c>
      <c r="U1605" s="90" t="s">
        <v>378</v>
      </c>
      <c r="V1605" s="90" t="s">
        <v>244</v>
      </c>
      <c r="Z1605" s="90">
        <v>0</v>
      </c>
      <c r="AA1605" s="90">
        <v>1</v>
      </c>
      <c r="AB1605" s="90">
        <v>1.4459354961567099</v>
      </c>
      <c r="AC1605" s="90">
        <v>0.26535699935697998</v>
      </c>
      <c r="AD1605" s="90">
        <v>522.56416511824</v>
      </c>
      <c r="AF1605" s="90">
        <v>-1</v>
      </c>
      <c r="AG1605" s="90">
        <v>-1</v>
      </c>
      <c r="AH1605" s="90">
        <v>-1</v>
      </c>
      <c r="AI1605" s="90">
        <v>-1</v>
      </c>
      <c r="AJ1605" s="90">
        <v>0</v>
      </c>
      <c r="AM1605" s="90" t="s">
        <v>379</v>
      </c>
      <c r="AN1605" s="90">
        <v>-1</v>
      </c>
      <c r="AQ1605" s="90">
        <v>357</v>
      </c>
      <c r="AR1605" s="90" t="s">
        <v>405</v>
      </c>
      <c r="AS1605" s="90" t="s">
        <v>406</v>
      </c>
      <c r="AT1605" s="90" t="s">
        <v>244</v>
      </c>
      <c r="AU1605" s="90">
        <v>122.34610000000001</v>
      </c>
      <c r="AV1605" s="90">
        <v>119.048971382532</v>
      </c>
      <c r="AW1605" s="90">
        <v>566.90525504502602</v>
      </c>
      <c r="AX1605" s="90">
        <v>0.42381521909999997</v>
      </c>
    </row>
    <row r="1606" spans="1:50" x14ac:dyDescent="0.25">
      <c r="A1606" s="102">
        <v>830000</v>
      </c>
      <c r="B1606" s="102">
        <v>2400000</v>
      </c>
      <c r="C1606" s="102">
        <v>2400000</v>
      </c>
      <c r="D1606" s="90" t="s">
        <v>374</v>
      </c>
      <c r="E1606" s="90" t="s">
        <v>68</v>
      </c>
      <c r="F1606" s="90" t="s">
        <v>375</v>
      </c>
      <c r="G1606" s="90" t="s">
        <v>376</v>
      </c>
      <c r="H1606" s="90">
        <v>0.59</v>
      </c>
      <c r="I1606" s="90">
        <v>0.64</v>
      </c>
      <c r="J1606" s="90" t="s">
        <v>244</v>
      </c>
      <c r="K1606" s="90">
        <v>5.2420228226300004E-3</v>
      </c>
      <c r="L1606" s="90">
        <v>3730.3272970311</v>
      </c>
      <c r="M1606" s="90">
        <v>10.3218188523109</v>
      </c>
      <c r="N1606" s="90">
        <v>1.8942524655046999</v>
      </c>
      <c r="O1606" s="90">
        <v>5.410720999496E-2</v>
      </c>
      <c r="P1606" s="90">
        <v>9.9297146560100007E-3</v>
      </c>
      <c r="Q1606" s="90">
        <v>19.554460826950301</v>
      </c>
      <c r="R1606" s="90">
        <v>1400</v>
      </c>
      <c r="S1606" s="90" t="s">
        <v>324</v>
      </c>
      <c r="T1606" s="90">
        <v>1400</v>
      </c>
      <c r="U1606" s="90" t="s">
        <v>378</v>
      </c>
      <c r="V1606" s="90" t="s">
        <v>244</v>
      </c>
      <c r="Z1606" s="90">
        <v>0</v>
      </c>
      <c r="AA1606" s="90">
        <v>1</v>
      </c>
      <c r="AB1606" s="90">
        <v>5.410720999496E-2</v>
      </c>
      <c r="AC1606" s="90">
        <v>9.9297146560100007E-3</v>
      </c>
      <c r="AD1606" s="90">
        <v>19.5544608269485</v>
      </c>
      <c r="AF1606" s="90">
        <v>-1</v>
      </c>
      <c r="AG1606" s="90">
        <v>-1</v>
      </c>
      <c r="AH1606" s="90">
        <v>-1</v>
      </c>
      <c r="AI1606" s="90">
        <v>-1</v>
      </c>
      <c r="AJ1606" s="90">
        <v>0</v>
      </c>
      <c r="AM1606" s="90" t="s">
        <v>379</v>
      </c>
      <c r="AN1606" s="90">
        <v>-1</v>
      </c>
      <c r="AQ1606" s="90">
        <v>357</v>
      </c>
      <c r="AR1606" s="90" t="s">
        <v>405</v>
      </c>
      <c r="AS1606" s="90" t="s">
        <v>406</v>
      </c>
      <c r="AT1606" s="90" t="s">
        <v>244</v>
      </c>
      <c r="AU1606" s="90">
        <v>122.34610000000001</v>
      </c>
      <c r="AV1606" s="90">
        <v>70.247571580408305</v>
      </c>
      <c r="AW1606" s="90">
        <v>21.213713726161998</v>
      </c>
      <c r="AX1606" s="90">
        <v>1.5859254499999999E-2</v>
      </c>
    </row>
    <row r="1607" spans="1:50" x14ac:dyDescent="0.25">
      <c r="A1607" s="102">
        <v>830000</v>
      </c>
      <c r="B1607" s="102">
        <v>2400000</v>
      </c>
      <c r="C1607" s="102">
        <v>2400000</v>
      </c>
      <c r="D1607" s="90" t="s">
        <v>374</v>
      </c>
      <c r="E1607" s="90" t="s">
        <v>68</v>
      </c>
      <c r="F1607" s="90" t="s">
        <v>375</v>
      </c>
      <c r="G1607" s="90" t="s">
        <v>376</v>
      </c>
      <c r="H1607" s="90">
        <v>0.59</v>
      </c>
      <c r="I1607" s="90">
        <v>0.64</v>
      </c>
      <c r="J1607" s="90" t="s">
        <v>409</v>
      </c>
      <c r="K1607" s="90">
        <v>2.97424661286E-3</v>
      </c>
      <c r="L1607" s="90">
        <v>3730.3272970311</v>
      </c>
      <c r="M1607" s="90">
        <v>10.3218188523109</v>
      </c>
      <c r="N1607" s="90">
        <v>1.8942524655046999</v>
      </c>
      <c r="O1607" s="90">
        <v>3.0699634760090001E-2</v>
      </c>
      <c r="P1607" s="90">
        <v>5.6339739794300002E-3</v>
      </c>
      <c r="Q1607" s="90">
        <v>11.0949133280726</v>
      </c>
      <c r="R1607" s="90">
        <v>1210</v>
      </c>
      <c r="S1607" s="90" t="s">
        <v>385</v>
      </c>
      <c r="T1607" s="90">
        <v>1210</v>
      </c>
      <c r="U1607" s="90" t="s">
        <v>409</v>
      </c>
      <c r="V1607" s="90" t="s">
        <v>409</v>
      </c>
      <c r="Z1607" s="90">
        <v>0</v>
      </c>
      <c r="AA1607" s="90">
        <v>1</v>
      </c>
      <c r="AB1607" s="90">
        <v>3.0699634760090001E-2</v>
      </c>
      <c r="AC1607" s="90">
        <v>5.6339739794300002E-3</v>
      </c>
      <c r="AD1607" s="90">
        <v>11.0949133280727</v>
      </c>
      <c r="AF1607" s="90">
        <v>-1</v>
      </c>
      <c r="AG1607" s="90">
        <v>-1</v>
      </c>
      <c r="AH1607" s="90">
        <v>-1</v>
      </c>
      <c r="AI1607" s="90">
        <v>-1</v>
      </c>
      <c r="AJ1607" s="90">
        <v>0</v>
      </c>
      <c r="AM1607" s="90" t="s">
        <v>379</v>
      </c>
      <c r="AN1607" s="90">
        <v>-1</v>
      </c>
      <c r="AQ1607" s="90">
        <v>357</v>
      </c>
      <c r="AR1607" s="90" t="s">
        <v>405</v>
      </c>
      <c r="AS1607" s="90" t="s">
        <v>406</v>
      </c>
      <c r="AT1607" s="90" t="s">
        <v>244</v>
      </c>
      <c r="AU1607" s="90">
        <v>122.34610000000001</v>
      </c>
      <c r="AV1607" s="90">
        <v>24.773595128936901</v>
      </c>
      <c r="AW1607" s="90">
        <v>12.0363490070742</v>
      </c>
      <c r="AX1607" s="90">
        <v>8.9983075999999999E-3</v>
      </c>
    </row>
    <row r="1608" spans="1:50" x14ac:dyDescent="0.25">
      <c r="A1608" s="102">
        <v>830000</v>
      </c>
      <c r="B1608" s="102">
        <v>2400000</v>
      </c>
      <c r="C1608" s="102">
        <v>2400000</v>
      </c>
      <c r="D1608" s="90" t="s">
        <v>374</v>
      </c>
      <c r="E1608" s="90" t="s">
        <v>68</v>
      </c>
      <c r="F1608" s="90" t="s">
        <v>375</v>
      </c>
      <c r="G1608" s="90" t="s">
        <v>376</v>
      </c>
      <c r="H1608" s="90">
        <v>0.59</v>
      </c>
      <c r="I1608" s="90">
        <v>0.64</v>
      </c>
      <c r="J1608" s="90" t="s">
        <v>409</v>
      </c>
      <c r="K1608" s="90">
        <v>3.7322799424719999E-2</v>
      </c>
      <c r="L1608" s="90">
        <v>3730.3272970311</v>
      </c>
      <c r="M1608" s="90">
        <v>10.3218188523109</v>
      </c>
      <c r="N1608" s="90">
        <v>1.8942524655046999</v>
      </c>
      <c r="O1608" s="90">
        <v>0.38523917472314001</v>
      </c>
      <c r="P1608" s="90">
        <v>7.0698804829819994E-2</v>
      </c>
      <c r="Q1608" s="90">
        <v>139.22625749566799</v>
      </c>
      <c r="R1608" s="90">
        <v>1330</v>
      </c>
      <c r="S1608" s="90" t="s">
        <v>397</v>
      </c>
      <c r="T1608" s="90">
        <v>1330</v>
      </c>
      <c r="U1608" s="90" t="s">
        <v>409</v>
      </c>
      <c r="V1608" s="90" t="s">
        <v>409</v>
      </c>
      <c r="Z1608" s="90">
        <v>0</v>
      </c>
      <c r="AA1608" s="90">
        <v>1</v>
      </c>
      <c r="AB1608" s="90">
        <v>0.38523917472314001</v>
      </c>
      <c r="AC1608" s="90">
        <v>7.0698804829819994E-2</v>
      </c>
      <c r="AD1608" s="90">
        <v>139.226257495667</v>
      </c>
      <c r="AF1608" s="90">
        <v>-1</v>
      </c>
      <c r="AG1608" s="90">
        <v>-1</v>
      </c>
      <c r="AH1608" s="90">
        <v>-1</v>
      </c>
      <c r="AI1608" s="90">
        <v>-1</v>
      </c>
      <c r="AJ1608" s="90">
        <v>0</v>
      </c>
      <c r="AM1608" s="90" t="s">
        <v>379</v>
      </c>
      <c r="AN1608" s="90">
        <v>-1</v>
      </c>
      <c r="AQ1608" s="90">
        <v>357</v>
      </c>
      <c r="AR1608" s="90" t="s">
        <v>405</v>
      </c>
      <c r="AS1608" s="90" t="s">
        <v>406</v>
      </c>
      <c r="AT1608" s="90" t="s">
        <v>244</v>
      </c>
      <c r="AU1608" s="90">
        <v>122.34610000000001</v>
      </c>
      <c r="AV1608" s="90">
        <v>49.428285520882199</v>
      </c>
      <c r="AW1608" s="90">
        <v>151.04001055389401</v>
      </c>
      <c r="AX1608" s="90">
        <v>0.1129166727</v>
      </c>
    </row>
    <row r="1609" spans="1:50" x14ac:dyDescent="0.25">
      <c r="A1609" s="102">
        <v>830000</v>
      </c>
      <c r="B1609" s="102">
        <v>2400000</v>
      </c>
      <c r="C1609" s="102">
        <v>2400000</v>
      </c>
      <c r="D1609" s="90" t="s">
        <v>374</v>
      </c>
      <c r="E1609" s="90" t="s">
        <v>68</v>
      </c>
      <c r="F1609" s="90" t="s">
        <v>375</v>
      </c>
      <c r="G1609" s="90" t="s">
        <v>376</v>
      </c>
      <c r="H1609" s="90">
        <v>0.59</v>
      </c>
      <c r="I1609" s="90">
        <v>0.64</v>
      </c>
      <c r="J1609" s="90" t="s">
        <v>244</v>
      </c>
      <c r="K1609" s="90">
        <v>1.307523631757E-2</v>
      </c>
      <c r="L1609" s="90">
        <v>3730.3272970311</v>
      </c>
      <c r="M1609" s="90">
        <v>10.3218188523109</v>
      </c>
      <c r="N1609" s="90">
        <v>1.8942524655046999</v>
      </c>
      <c r="O1609" s="90">
        <v>0.13496022072117</v>
      </c>
      <c r="P1609" s="90">
        <v>2.476779863162E-2</v>
      </c>
      <c r="Q1609" s="90">
        <v>48.774910950586197</v>
      </c>
      <c r="R1609" s="90">
        <v>1450</v>
      </c>
      <c r="S1609" s="90" t="s">
        <v>391</v>
      </c>
      <c r="T1609" s="90">
        <v>1450</v>
      </c>
      <c r="U1609" s="90" t="s">
        <v>378</v>
      </c>
      <c r="V1609" s="90" t="s">
        <v>244</v>
      </c>
      <c r="Z1609" s="90">
        <v>0</v>
      </c>
      <c r="AA1609" s="90">
        <v>1</v>
      </c>
      <c r="AB1609" s="90">
        <v>0.13496022072117</v>
      </c>
      <c r="AC1609" s="90">
        <v>2.476779863162E-2</v>
      </c>
      <c r="AD1609" s="90">
        <v>48.774910950586602</v>
      </c>
      <c r="AF1609" s="90">
        <v>-1</v>
      </c>
      <c r="AG1609" s="90">
        <v>-1</v>
      </c>
      <c r="AH1609" s="90">
        <v>-1</v>
      </c>
      <c r="AI1609" s="90">
        <v>-1</v>
      </c>
      <c r="AJ1609" s="90">
        <v>0</v>
      </c>
      <c r="AM1609" s="90" t="s">
        <v>379</v>
      </c>
      <c r="AN1609" s="90">
        <v>-1</v>
      </c>
      <c r="AQ1609" s="90">
        <v>357</v>
      </c>
      <c r="AR1609" s="90" t="s">
        <v>405</v>
      </c>
      <c r="AS1609" s="90" t="s">
        <v>406</v>
      </c>
      <c r="AT1609" s="90" t="s">
        <v>244</v>
      </c>
      <c r="AU1609" s="90">
        <v>122.34610000000001</v>
      </c>
      <c r="AV1609" s="90">
        <v>53.826042143654902</v>
      </c>
      <c r="AW1609" s="90">
        <v>52.913604066180703</v>
      </c>
      <c r="AX1609" s="90">
        <v>3.9557916399999997E-2</v>
      </c>
    </row>
    <row r="1610" spans="1:50" x14ac:dyDescent="0.25">
      <c r="A1610" s="102">
        <v>830000</v>
      </c>
      <c r="B1610" s="102">
        <v>2400000</v>
      </c>
      <c r="C1610" s="102">
        <v>2400000</v>
      </c>
      <c r="D1610" s="90" t="s">
        <v>374</v>
      </c>
      <c r="E1610" s="90" t="s">
        <v>68</v>
      </c>
      <c r="F1610" s="90" t="s">
        <v>375</v>
      </c>
      <c r="G1610" s="90" t="s">
        <v>376</v>
      </c>
      <c r="H1610" s="90">
        <v>0.59</v>
      </c>
      <c r="I1610" s="90">
        <v>0.64</v>
      </c>
      <c r="J1610" s="90" t="s">
        <v>244</v>
      </c>
      <c r="K1610" s="90">
        <v>4.1279770258189998E-2</v>
      </c>
      <c r="L1610" s="90">
        <v>3730.3272970311</v>
      </c>
      <c r="M1610" s="90">
        <v>10.3218188523109</v>
      </c>
      <c r="N1610" s="90">
        <v>1.8942524655046999</v>
      </c>
      <c r="O1610" s="90">
        <v>0.42608231087012999</v>
      </c>
      <c r="P1610" s="90">
        <v>7.8194306587049997E-2</v>
      </c>
      <c r="Q1610" s="90">
        <v>153.98705380932799</v>
      </c>
      <c r="R1610" s="90">
        <v>1450</v>
      </c>
      <c r="S1610" s="90" t="s">
        <v>391</v>
      </c>
      <c r="T1610" s="90">
        <v>1450</v>
      </c>
      <c r="U1610" s="90" t="s">
        <v>378</v>
      </c>
      <c r="V1610" s="90" t="s">
        <v>244</v>
      </c>
      <c r="Z1610" s="90">
        <v>0</v>
      </c>
      <c r="AA1610" s="90">
        <v>1</v>
      </c>
      <c r="AB1610" s="90">
        <v>0.42608231087012999</v>
      </c>
      <c r="AC1610" s="90">
        <v>7.8194306587049997E-2</v>
      </c>
      <c r="AD1610" s="90">
        <v>153.98705380933001</v>
      </c>
      <c r="AF1610" s="90">
        <v>-1</v>
      </c>
      <c r="AG1610" s="90">
        <v>-1</v>
      </c>
      <c r="AH1610" s="90">
        <v>-1</v>
      </c>
      <c r="AI1610" s="90">
        <v>-1</v>
      </c>
      <c r="AJ1610" s="90">
        <v>0</v>
      </c>
      <c r="AM1610" s="90" t="s">
        <v>379</v>
      </c>
      <c r="AN1610" s="90">
        <v>-1</v>
      </c>
      <c r="AQ1610" s="90">
        <v>357</v>
      </c>
      <c r="AR1610" s="90" t="s">
        <v>405</v>
      </c>
      <c r="AS1610" s="90" t="s">
        <v>406</v>
      </c>
      <c r="AT1610" s="90" t="s">
        <v>244</v>
      </c>
      <c r="AU1610" s="90">
        <v>122.34610000000001</v>
      </c>
      <c r="AV1610" s="90">
        <v>62.083675949988802</v>
      </c>
      <c r="AW1610" s="90">
        <v>167.053303384586</v>
      </c>
      <c r="AX1610" s="90">
        <v>0.1248881215</v>
      </c>
    </row>
    <row r="1611" spans="1:50" x14ac:dyDescent="0.25">
      <c r="A1611" s="102">
        <v>830000</v>
      </c>
      <c r="B1611" s="102">
        <v>2400000</v>
      </c>
      <c r="C1611" s="102">
        <v>2400000</v>
      </c>
      <c r="D1611" s="90" t="s">
        <v>374</v>
      </c>
      <c r="E1611" s="90" t="s">
        <v>68</v>
      </c>
      <c r="F1611" s="90" t="s">
        <v>375</v>
      </c>
      <c r="G1611" s="90" t="s">
        <v>376</v>
      </c>
      <c r="H1611" s="90">
        <v>0.59</v>
      </c>
      <c r="I1611" s="90">
        <v>0.64</v>
      </c>
      <c r="J1611" s="90" t="s">
        <v>244</v>
      </c>
      <c r="K1611" s="90">
        <v>0.16342695818212</v>
      </c>
      <c r="L1611" s="90">
        <v>3738.3300647813699</v>
      </c>
      <c r="M1611" s="90">
        <v>11.4920911954561</v>
      </c>
      <c r="N1611" s="90">
        <v>1.5171858905506399</v>
      </c>
      <c r="O1611" s="90">
        <v>1.8781175072249801</v>
      </c>
      <c r="P1611" s="90">
        <v>0.24794907508953001</v>
      </c>
      <c r="Q1611" s="90">
        <v>610.943911168005</v>
      </c>
      <c r="R1611" s="90">
        <v>1400</v>
      </c>
      <c r="S1611" s="90" t="s">
        <v>324</v>
      </c>
      <c r="T1611" s="90">
        <v>1400</v>
      </c>
      <c r="U1611" s="90" t="s">
        <v>378</v>
      </c>
      <c r="V1611" s="90" t="s">
        <v>244</v>
      </c>
      <c r="Z1611" s="90">
        <v>0</v>
      </c>
      <c r="AA1611" s="90">
        <v>1</v>
      </c>
      <c r="AB1611" s="90">
        <v>1.8781175072249801</v>
      </c>
      <c r="AC1611" s="90">
        <v>0.24794907508953001</v>
      </c>
      <c r="AD1611" s="90">
        <v>610.943911168005</v>
      </c>
      <c r="AF1611" s="90">
        <v>-1</v>
      </c>
      <c r="AG1611" s="90">
        <v>-1</v>
      </c>
      <c r="AH1611" s="90">
        <v>-1</v>
      </c>
      <c r="AI1611" s="90">
        <v>-1</v>
      </c>
      <c r="AJ1611" s="90">
        <v>0</v>
      </c>
      <c r="AM1611" s="90" t="s">
        <v>379</v>
      </c>
      <c r="AN1611" s="90">
        <v>-1</v>
      </c>
      <c r="AQ1611" s="90">
        <v>357</v>
      </c>
      <c r="AR1611" s="90" t="s">
        <v>405</v>
      </c>
      <c r="AS1611" s="90" t="s">
        <v>406</v>
      </c>
      <c r="AT1611" s="90" t="s">
        <v>244</v>
      </c>
      <c r="AU1611" s="90">
        <v>122.34610000000001</v>
      </c>
      <c r="AV1611" s="90">
        <v>126.45922636714501</v>
      </c>
      <c r="AW1611" s="90">
        <v>661.36543531262998</v>
      </c>
      <c r="AX1611" s="90">
        <v>0.4954938452</v>
      </c>
    </row>
    <row r="1612" spans="1:50" x14ac:dyDescent="0.25">
      <c r="A1612" s="102">
        <v>830000</v>
      </c>
      <c r="B1612" s="102">
        <v>2400000</v>
      </c>
      <c r="C1612" s="102">
        <v>2400000</v>
      </c>
      <c r="D1612" s="90" t="s">
        <v>374</v>
      </c>
      <c r="E1612" s="90" t="s">
        <v>68</v>
      </c>
      <c r="F1612" s="90" t="s">
        <v>375</v>
      </c>
      <c r="G1612" s="90" t="s">
        <v>376</v>
      </c>
      <c r="H1612" s="90">
        <v>0.59</v>
      </c>
      <c r="I1612" s="90">
        <v>0.64</v>
      </c>
      <c r="J1612" s="90" t="s">
        <v>244</v>
      </c>
      <c r="K1612" s="90">
        <v>0.10903992848834999</v>
      </c>
      <c r="L1612" s="90">
        <v>3813.0885459989099</v>
      </c>
      <c r="M1612" s="90">
        <v>9.6462723099190395</v>
      </c>
      <c r="N1612" s="90">
        <v>1.3275614122708299</v>
      </c>
      <c r="O1612" s="90">
        <v>1.05182884285281</v>
      </c>
      <c r="P1612" s="90">
        <v>0.14475720145790999</v>
      </c>
      <c r="Q1612" s="90">
        <v>415.77890237550201</v>
      </c>
      <c r="R1612" s="90">
        <v>1200</v>
      </c>
      <c r="S1612" s="90" t="s">
        <v>384</v>
      </c>
      <c r="T1612" s="90">
        <v>1200</v>
      </c>
      <c r="U1612" s="90" t="s">
        <v>378</v>
      </c>
      <c r="V1612" s="90" t="s">
        <v>244</v>
      </c>
      <c r="Z1612" s="90">
        <v>0</v>
      </c>
      <c r="AA1612" s="90">
        <v>1</v>
      </c>
      <c r="AB1612" s="90">
        <v>1.05182884285281</v>
      </c>
      <c r="AC1612" s="90">
        <v>0.14475720145790999</v>
      </c>
      <c r="AD1612" s="90">
        <v>415.77890237550201</v>
      </c>
      <c r="AF1612" s="90">
        <v>-1</v>
      </c>
      <c r="AG1612" s="90">
        <v>-1</v>
      </c>
      <c r="AH1612" s="90">
        <v>-1</v>
      </c>
      <c r="AI1612" s="90">
        <v>-1</v>
      </c>
      <c r="AJ1612" s="90">
        <v>0</v>
      </c>
      <c r="AM1612" s="90" t="s">
        <v>379</v>
      </c>
      <c r="AN1612" s="90">
        <v>-1</v>
      </c>
      <c r="AQ1612" s="90">
        <v>357</v>
      </c>
      <c r="AR1612" s="90" t="s">
        <v>405</v>
      </c>
      <c r="AS1612" s="90" t="s">
        <v>406</v>
      </c>
      <c r="AT1612" s="90" t="s">
        <v>244</v>
      </c>
      <c r="AU1612" s="90">
        <v>122.34610000000001</v>
      </c>
      <c r="AV1612" s="90">
        <v>117.83791104140499</v>
      </c>
      <c r="AW1612" s="90">
        <v>441.26893490115299</v>
      </c>
      <c r="AX1612" s="90">
        <v>0.3372091666</v>
      </c>
    </row>
    <row r="1613" spans="1:50" x14ac:dyDescent="0.25">
      <c r="A1613" s="102">
        <v>830000</v>
      </c>
      <c r="B1613" s="102">
        <v>2400000</v>
      </c>
      <c r="C1613" s="102">
        <v>2400000</v>
      </c>
      <c r="D1613" s="90" t="s">
        <v>374</v>
      </c>
      <c r="E1613" s="90" t="s">
        <v>68</v>
      </c>
      <c r="F1613" s="90" t="s">
        <v>375</v>
      </c>
      <c r="G1613" s="90" t="s">
        <v>376</v>
      </c>
      <c r="H1613" s="90">
        <v>0.59</v>
      </c>
      <c r="I1613" s="90">
        <v>0.64</v>
      </c>
      <c r="J1613" s="90" t="s">
        <v>244</v>
      </c>
      <c r="K1613" s="90">
        <v>0.11016858296701</v>
      </c>
      <c r="L1613" s="90">
        <v>3813.0885459989099</v>
      </c>
      <c r="M1613" s="90">
        <v>9.6462723099190395</v>
      </c>
      <c r="N1613" s="90">
        <v>1.3275614122708299</v>
      </c>
      <c r="O1613" s="90">
        <v>1.0627161512977501</v>
      </c>
      <c r="P1613" s="90">
        <v>0.14625555959156999</v>
      </c>
      <c r="Q1613" s="90">
        <v>420.08256184046297</v>
      </c>
      <c r="R1613" s="90">
        <v>1400</v>
      </c>
      <c r="S1613" s="90" t="s">
        <v>324</v>
      </c>
      <c r="T1613" s="90">
        <v>1400</v>
      </c>
      <c r="U1613" s="90" t="s">
        <v>378</v>
      </c>
      <c r="V1613" s="90" t="s">
        <v>244</v>
      </c>
      <c r="Z1613" s="90">
        <v>0</v>
      </c>
      <c r="AA1613" s="90">
        <v>1</v>
      </c>
      <c r="AB1613" s="90">
        <v>1.0627161512977501</v>
      </c>
      <c r="AC1613" s="90">
        <v>0.14625555959156999</v>
      </c>
      <c r="AD1613" s="90">
        <v>420.08256184046297</v>
      </c>
      <c r="AF1613" s="90">
        <v>-1</v>
      </c>
      <c r="AG1613" s="90">
        <v>-1</v>
      </c>
      <c r="AH1613" s="90">
        <v>-1</v>
      </c>
      <c r="AI1613" s="90">
        <v>-1</v>
      </c>
      <c r="AJ1613" s="90">
        <v>0</v>
      </c>
      <c r="AM1613" s="90" t="s">
        <v>379</v>
      </c>
      <c r="AN1613" s="90">
        <v>-1</v>
      </c>
      <c r="AQ1613" s="90">
        <v>357</v>
      </c>
      <c r="AR1613" s="90" t="s">
        <v>405</v>
      </c>
      <c r="AS1613" s="90" t="s">
        <v>406</v>
      </c>
      <c r="AT1613" s="90" t="s">
        <v>244</v>
      </c>
      <c r="AU1613" s="90">
        <v>122.34610000000001</v>
      </c>
      <c r="AV1613" s="90">
        <v>118.181636298586</v>
      </c>
      <c r="AW1613" s="90">
        <v>445.83643752678</v>
      </c>
      <c r="AX1613" s="90">
        <v>0.34069956350000002</v>
      </c>
    </row>
    <row r="1614" spans="1:50" x14ac:dyDescent="0.25">
      <c r="A1614" s="102">
        <v>830000</v>
      </c>
      <c r="B1614" s="102">
        <v>2400000</v>
      </c>
      <c r="C1614" s="102">
        <v>2400000</v>
      </c>
      <c r="D1614" s="90" t="s">
        <v>374</v>
      </c>
      <c r="E1614" s="90" t="s">
        <v>68</v>
      </c>
      <c r="F1614" s="90" t="s">
        <v>375</v>
      </c>
      <c r="G1614" s="90" t="s">
        <v>376</v>
      </c>
      <c r="H1614" s="90">
        <v>0.59</v>
      </c>
      <c r="I1614" s="90">
        <v>0.64</v>
      </c>
      <c r="J1614" s="90" t="s">
        <v>244</v>
      </c>
      <c r="K1614" s="90">
        <v>0.39855494221253002</v>
      </c>
      <c r="L1614" s="90">
        <v>3813.0885459989099</v>
      </c>
      <c r="M1614" s="90">
        <v>9.6462723099190395</v>
      </c>
      <c r="N1614" s="90">
        <v>1.3275614122708299</v>
      </c>
      <c r="O1614" s="90">
        <v>3.8445695030461802</v>
      </c>
      <c r="P1614" s="90">
        <v>0.52910616195118998</v>
      </c>
      <c r="Q1614" s="90">
        <v>1519.72528510188</v>
      </c>
      <c r="R1614" s="90">
        <v>1450</v>
      </c>
      <c r="S1614" s="90" t="s">
        <v>391</v>
      </c>
      <c r="T1614" s="90">
        <v>1450</v>
      </c>
      <c r="U1614" s="90" t="s">
        <v>378</v>
      </c>
      <c r="V1614" s="90" t="s">
        <v>244</v>
      </c>
      <c r="Z1614" s="90">
        <v>0</v>
      </c>
      <c r="AA1614" s="90">
        <v>1</v>
      </c>
      <c r="AB1614" s="90">
        <v>3.8445695030461802</v>
      </c>
      <c r="AC1614" s="90">
        <v>0.52910616195118998</v>
      </c>
      <c r="AD1614" s="90">
        <v>1519.72528510188</v>
      </c>
      <c r="AF1614" s="90">
        <v>-1</v>
      </c>
      <c r="AG1614" s="90">
        <v>-1</v>
      </c>
      <c r="AH1614" s="90">
        <v>-1</v>
      </c>
      <c r="AI1614" s="90">
        <v>-1</v>
      </c>
      <c r="AJ1614" s="90">
        <v>0</v>
      </c>
      <c r="AM1614" s="90" t="s">
        <v>379</v>
      </c>
      <c r="AN1614" s="90">
        <v>-1</v>
      </c>
      <c r="AQ1614" s="90">
        <v>357</v>
      </c>
      <c r="AR1614" s="90" t="s">
        <v>405</v>
      </c>
      <c r="AS1614" s="90" t="s">
        <v>406</v>
      </c>
      <c r="AT1614" s="90" t="s">
        <v>244</v>
      </c>
      <c r="AU1614" s="90">
        <v>122.34610000000001</v>
      </c>
      <c r="AV1614" s="90">
        <v>164.67681025769599</v>
      </c>
      <c r="AW1614" s="90">
        <v>1612.89462757206</v>
      </c>
      <c r="AX1614" s="90">
        <v>1.2325428103</v>
      </c>
    </row>
    <row r="1615" spans="1:50" x14ac:dyDescent="0.25">
      <c r="A1615" s="102">
        <v>830000</v>
      </c>
      <c r="B1615" s="102">
        <v>2400000</v>
      </c>
      <c r="C1615" s="102">
        <v>2400000</v>
      </c>
      <c r="D1615" s="90" t="s">
        <v>374</v>
      </c>
      <c r="E1615" s="90" t="s">
        <v>68</v>
      </c>
      <c r="F1615" s="90" t="s">
        <v>375</v>
      </c>
      <c r="G1615" s="90" t="s">
        <v>376</v>
      </c>
      <c r="H1615" s="90">
        <v>0.59</v>
      </c>
      <c r="I1615" s="90">
        <v>0.64</v>
      </c>
      <c r="J1615" s="90" t="s">
        <v>244</v>
      </c>
      <c r="K1615" s="90">
        <v>0.32832670825801002</v>
      </c>
      <c r="L1615" s="90">
        <v>3713.4391479556798</v>
      </c>
      <c r="M1615" s="90">
        <v>11.736175122556901</v>
      </c>
      <c r="N1615" s="90">
        <v>2.3837198730832498</v>
      </c>
      <c r="O1615" s="90">
        <v>3.8532997455287199</v>
      </c>
      <c r="P1615" s="90">
        <v>0.78263889933862996</v>
      </c>
      <c r="Q1615" s="90">
        <v>1219.2212517647299</v>
      </c>
      <c r="R1615" s="90">
        <v>1300</v>
      </c>
      <c r="S1615" s="90" t="s">
        <v>387</v>
      </c>
      <c r="T1615" s="90">
        <v>1300</v>
      </c>
      <c r="U1615" s="90" t="s">
        <v>378</v>
      </c>
      <c r="V1615" s="90" t="s">
        <v>244</v>
      </c>
      <c r="Z1615" s="90">
        <v>0</v>
      </c>
      <c r="AA1615" s="90">
        <v>1</v>
      </c>
      <c r="AB1615" s="90">
        <v>3.8532997455287199</v>
      </c>
      <c r="AC1615" s="90">
        <v>0.78263889933862996</v>
      </c>
      <c r="AD1615" s="90">
        <v>1347.3350334660199</v>
      </c>
      <c r="AF1615" s="90">
        <v>-1</v>
      </c>
      <c r="AG1615" s="90">
        <v>-1</v>
      </c>
      <c r="AH1615" s="90">
        <v>-1</v>
      </c>
      <c r="AI1615" s="90">
        <v>-1</v>
      </c>
      <c r="AJ1615" s="90">
        <v>0</v>
      </c>
      <c r="AM1615" s="90" t="s">
        <v>379</v>
      </c>
      <c r="AN1615" s="90">
        <v>-1</v>
      </c>
      <c r="AQ1615" s="90">
        <v>357</v>
      </c>
      <c r="AR1615" s="90" t="s">
        <v>405</v>
      </c>
      <c r="AS1615" s="90" t="s">
        <v>406</v>
      </c>
      <c r="AT1615" s="90" t="s">
        <v>244</v>
      </c>
      <c r="AU1615" s="90">
        <v>122.34610000000001</v>
      </c>
      <c r="AV1615" s="90">
        <v>194.02685580775301</v>
      </c>
      <c r="AW1615" s="90">
        <v>1328.6910479593901</v>
      </c>
      <c r="AX1615" s="90">
        <v>1.0927291430999999</v>
      </c>
    </row>
    <row r="1616" spans="1:50" x14ac:dyDescent="0.25">
      <c r="A1616" s="102">
        <v>830000</v>
      </c>
      <c r="B1616" s="102">
        <v>2400000</v>
      </c>
      <c r="C1616" s="102">
        <v>2400000</v>
      </c>
      <c r="D1616" s="90" t="s">
        <v>374</v>
      </c>
      <c r="E1616" s="90" t="s">
        <v>68</v>
      </c>
      <c r="F1616" s="90" t="s">
        <v>375</v>
      </c>
      <c r="G1616" s="90" t="s">
        <v>376</v>
      </c>
      <c r="H1616" s="90">
        <v>0.59</v>
      </c>
      <c r="I1616" s="90">
        <v>0.64</v>
      </c>
      <c r="J1616" s="90" t="s">
        <v>244</v>
      </c>
      <c r="K1616" s="90">
        <v>0.21944381763533999</v>
      </c>
      <c r="L1616" s="90">
        <v>3713.4391479556798</v>
      </c>
      <c r="M1616" s="90">
        <v>11.736175122556901</v>
      </c>
      <c r="N1616" s="90">
        <v>2.3837198730832498</v>
      </c>
      <c r="O1616" s="90">
        <v>2.5754310733308499</v>
      </c>
      <c r="P1616" s="90">
        <v>0.52309258912262002</v>
      </c>
      <c r="Q1616" s="90">
        <v>814.89126318393403</v>
      </c>
      <c r="R1616" s="90">
        <v>1300</v>
      </c>
      <c r="S1616" s="90" t="s">
        <v>387</v>
      </c>
      <c r="T1616" s="90">
        <v>1300</v>
      </c>
      <c r="U1616" s="90" t="s">
        <v>378</v>
      </c>
      <c r="V1616" s="90" t="s">
        <v>244</v>
      </c>
      <c r="Z1616" s="90">
        <v>0</v>
      </c>
      <c r="AA1616" s="90">
        <v>1</v>
      </c>
      <c r="AB1616" s="90">
        <v>2.5754310733308499</v>
      </c>
      <c r="AC1616" s="90">
        <v>0.52309258912262002</v>
      </c>
      <c r="AD1616" s="90">
        <v>814.89126318393403</v>
      </c>
      <c r="AF1616" s="90">
        <v>-1</v>
      </c>
      <c r="AG1616" s="90">
        <v>-1</v>
      </c>
      <c r="AH1616" s="90">
        <v>-1</v>
      </c>
      <c r="AI1616" s="90">
        <v>-1</v>
      </c>
      <c r="AJ1616" s="90">
        <v>0</v>
      </c>
      <c r="AM1616" s="90" t="s">
        <v>379</v>
      </c>
      <c r="AN1616" s="90">
        <v>-1</v>
      </c>
      <c r="AQ1616" s="90">
        <v>357</v>
      </c>
      <c r="AR1616" s="90" t="s">
        <v>405</v>
      </c>
      <c r="AS1616" s="90" t="s">
        <v>406</v>
      </c>
      <c r="AT1616" s="90" t="s">
        <v>244</v>
      </c>
      <c r="AU1616" s="90">
        <v>122.34610000000001</v>
      </c>
      <c r="AV1616" s="90">
        <v>123.246557556955</v>
      </c>
      <c r="AW1616" s="90">
        <v>888.05762275356597</v>
      </c>
      <c r="AX1616" s="90">
        <v>0.66090126780000003</v>
      </c>
    </row>
    <row r="1617" spans="1:50" x14ac:dyDescent="0.25">
      <c r="A1617" s="102">
        <v>830000</v>
      </c>
      <c r="B1617" s="102">
        <v>2400000</v>
      </c>
      <c r="C1617" s="102">
        <v>2400000</v>
      </c>
      <c r="D1617" s="90" t="s">
        <v>374</v>
      </c>
      <c r="E1617" s="90" t="s">
        <v>68</v>
      </c>
      <c r="F1617" s="90" t="s">
        <v>375</v>
      </c>
      <c r="G1617" s="90" t="s">
        <v>376</v>
      </c>
      <c r="H1617" s="90">
        <v>0.59</v>
      </c>
      <c r="I1617" s="90">
        <v>0.64</v>
      </c>
      <c r="J1617" s="90" t="s">
        <v>244</v>
      </c>
      <c r="K1617" s="90">
        <v>0.10492724011676</v>
      </c>
      <c r="L1617" s="90">
        <v>3722.8297313449002</v>
      </c>
      <c r="M1617" s="90">
        <v>10.0229665241979</v>
      </c>
      <c r="N1617" s="90">
        <v>1.85120057494112</v>
      </c>
      <c r="O1617" s="90">
        <v>1.0516822151667999</v>
      </c>
      <c r="P1617" s="90">
        <v>0.19424136723113</v>
      </c>
      <c r="Q1617" s="90">
        <v>390.62624913465402</v>
      </c>
      <c r="R1617" s="90">
        <v>1300</v>
      </c>
      <c r="S1617" s="90" t="s">
        <v>387</v>
      </c>
      <c r="T1617" s="90">
        <v>1300</v>
      </c>
      <c r="U1617" s="90" t="s">
        <v>378</v>
      </c>
      <c r="V1617" s="90" t="s">
        <v>244</v>
      </c>
      <c r="Z1617" s="90">
        <v>0</v>
      </c>
      <c r="AA1617" s="90">
        <v>1</v>
      </c>
      <c r="AB1617" s="90">
        <v>1.0516822151667999</v>
      </c>
      <c r="AC1617" s="90">
        <v>0.19424136723113</v>
      </c>
      <c r="AD1617" s="90">
        <v>390.62624913465402</v>
      </c>
      <c r="AF1617" s="90">
        <v>-1</v>
      </c>
      <c r="AG1617" s="90">
        <v>-1</v>
      </c>
      <c r="AH1617" s="90">
        <v>-1</v>
      </c>
      <c r="AI1617" s="90">
        <v>-1</v>
      </c>
      <c r="AJ1617" s="90">
        <v>0</v>
      </c>
      <c r="AM1617" s="90" t="s">
        <v>379</v>
      </c>
      <c r="AN1617" s="90">
        <v>-1</v>
      </c>
      <c r="AQ1617" s="90">
        <v>357</v>
      </c>
      <c r="AR1617" s="90" t="s">
        <v>405</v>
      </c>
      <c r="AS1617" s="90" t="s">
        <v>406</v>
      </c>
      <c r="AT1617" s="90" t="s">
        <v>244</v>
      </c>
      <c r="AU1617" s="90">
        <v>122.34610000000001</v>
      </c>
      <c r="AV1617" s="90">
        <v>117.00356943641501</v>
      </c>
      <c r="AW1617" s="90">
        <v>424.625475551232</v>
      </c>
      <c r="AX1617" s="90">
        <v>0.31680961000000002</v>
      </c>
    </row>
    <row r="1618" spans="1:50" x14ac:dyDescent="0.25">
      <c r="A1618" s="102">
        <v>830000</v>
      </c>
      <c r="B1618" s="102">
        <v>2400000</v>
      </c>
      <c r="C1618" s="102">
        <v>2400000</v>
      </c>
      <c r="D1618" s="90" t="s">
        <v>374</v>
      </c>
      <c r="E1618" s="90" t="s">
        <v>68</v>
      </c>
      <c r="F1618" s="90" t="s">
        <v>375</v>
      </c>
      <c r="G1618" s="90" t="s">
        <v>376</v>
      </c>
      <c r="H1618" s="90">
        <v>0.59</v>
      </c>
      <c r="I1618" s="90">
        <v>0.64</v>
      </c>
      <c r="J1618" s="90" t="s">
        <v>244</v>
      </c>
      <c r="K1618" s="90">
        <v>3.7968009286020003E-2</v>
      </c>
      <c r="L1618" s="90">
        <v>3722.8297313449002</v>
      </c>
      <c r="M1618" s="90">
        <v>10.0229665241979</v>
      </c>
      <c r="N1618" s="90">
        <v>1.85120057494112</v>
      </c>
      <c r="O1618" s="90">
        <v>0.38055208606420998</v>
      </c>
      <c r="P1618" s="90">
        <v>7.0286400619649997E-2</v>
      </c>
      <c r="Q1618" s="90">
        <v>141.34843380997401</v>
      </c>
      <c r="R1618" s="90">
        <v>1300</v>
      </c>
      <c r="S1618" s="90" t="s">
        <v>387</v>
      </c>
      <c r="T1618" s="90">
        <v>1300</v>
      </c>
      <c r="U1618" s="90" t="s">
        <v>378</v>
      </c>
      <c r="V1618" s="90" t="s">
        <v>244</v>
      </c>
      <c r="Z1618" s="90">
        <v>0</v>
      </c>
      <c r="AA1618" s="90">
        <v>1</v>
      </c>
      <c r="AB1618" s="90">
        <v>0.38055208606420998</v>
      </c>
      <c r="AC1618" s="90">
        <v>7.0286400619649997E-2</v>
      </c>
      <c r="AD1618" s="90">
        <v>141.34843380997299</v>
      </c>
      <c r="AF1618" s="90">
        <v>-1</v>
      </c>
      <c r="AG1618" s="90">
        <v>-1</v>
      </c>
      <c r="AH1618" s="90">
        <v>-1</v>
      </c>
      <c r="AI1618" s="90">
        <v>-1</v>
      </c>
      <c r="AJ1618" s="90">
        <v>0</v>
      </c>
      <c r="AM1618" s="90" t="s">
        <v>379</v>
      </c>
      <c r="AN1618" s="90">
        <v>-1</v>
      </c>
      <c r="AQ1618" s="90">
        <v>357</v>
      </c>
      <c r="AR1618" s="90" t="s">
        <v>405</v>
      </c>
      <c r="AS1618" s="90" t="s">
        <v>406</v>
      </c>
      <c r="AT1618" s="90" t="s">
        <v>244</v>
      </c>
      <c r="AU1618" s="90">
        <v>122.34610000000001</v>
      </c>
      <c r="AV1618" s="90">
        <v>106.164223719631</v>
      </c>
      <c r="AW1618" s="90">
        <v>153.651082224871</v>
      </c>
      <c r="AX1618" s="90">
        <v>0.11463782140000001</v>
      </c>
    </row>
    <row r="1619" spans="1:50" x14ac:dyDescent="0.25">
      <c r="A1619" s="102">
        <v>830000</v>
      </c>
      <c r="B1619" s="102">
        <v>2400000</v>
      </c>
      <c r="C1619" s="102">
        <v>2400000</v>
      </c>
      <c r="D1619" s="90" t="s">
        <v>374</v>
      </c>
      <c r="E1619" s="90" t="s">
        <v>68</v>
      </c>
      <c r="F1619" s="90" t="s">
        <v>375</v>
      </c>
      <c r="G1619" s="90" t="s">
        <v>376</v>
      </c>
      <c r="H1619" s="90">
        <v>0.59</v>
      </c>
      <c r="I1619" s="90">
        <v>0.64</v>
      </c>
      <c r="J1619" s="90" t="s">
        <v>244</v>
      </c>
      <c r="K1619" s="90">
        <v>0.17965125257709</v>
      </c>
      <c r="L1619" s="90">
        <v>3672.8043873305</v>
      </c>
      <c r="M1619" s="90">
        <v>9.3149864605386092</v>
      </c>
      <c r="N1619" s="90">
        <v>1.42314231496216</v>
      </c>
      <c r="O1619" s="90">
        <v>1.6734489853744501</v>
      </c>
      <c r="P1619" s="90">
        <v>0.25566929947841999</v>
      </c>
      <c r="Q1619" s="90">
        <v>659.82390865457705</v>
      </c>
      <c r="R1619" s="90">
        <v>1200</v>
      </c>
      <c r="S1619" s="90" t="s">
        <v>384</v>
      </c>
      <c r="T1619" s="90">
        <v>1200</v>
      </c>
      <c r="U1619" s="90" t="s">
        <v>378</v>
      </c>
      <c r="V1619" s="90" t="s">
        <v>244</v>
      </c>
      <c r="Z1619" s="90">
        <v>0</v>
      </c>
      <c r="AA1619" s="90">
        <v>1</v>
      </c>
      <c r="AB1619" s="90">
        <v>1.6734489853744501</v>
      </c>
      <c r="AC1619" s="90">
        <v>0.25566929947841999</v>
      </c>
      <c r="AD1619" s="90">
        <v>659.82390865457705</v>
      </c>
      <c r="AF1619" s="90">
        <v>-1</v>
      </c>
      <c r="AG1619" s="90">
        <v>-1</v>
      </c>
      <c r="AH1619" s="90">
        <v>-1</v>
      </c>
      <c r="AI1619" s="90">
        <v>-1</v>
      </c>
      <c r="AJ1619" s="90">
        <v>0</v>
      </c>
      <c r="AM1619" s="90" t="s">
        <v>379</v>
      </c>
      <c r="AN1619" s="90">
        <v>-1</v>
      </c>
      <c r="AQ1619" s="90">
        <v>357</v>
      </c>
      <c r="AR1619" s="90" t="s">
        <v>405</v>
      </c>
      <c r="AS1619" s="90" t="s">
        <v>406</v>
      </c>
      <c r="AT1619" s="90" t="s">
        <v>244</v>
      </c>
      <c r="AU1619" s="90">
        <v>122.34610000000001</v>
      </c>
      <c r="AV1619" s="90">
        <v>188.59605027067599</v>
      </c>
      <c r="AW1619" s="90">
        <v>727.02282528382398</v>
      </c>
      <c r="AX1619" s="90">
        <v>0.53513699000000003</v>
      </c>
    </row>
    <row r="1620" spans="1:50" x14ac:dyDescent="0.25">
      <c r="A1620" s="102">
        <v>830000</v>
      </c>
      <c r="B1620" s="102">
        <v>2400000</v>
      </c>
      <c r="C1620" s="102">
        <v>2400000</v>
      </c>
      <c r="D1620" s="90" t="s">
        <v>374</v>
      </c>
      <c r="E1620" s="90" t="s">
        <v>68</v>
      </c>
      <c r="F1620" s="90" t="s">
        <v>375</v>
      </c>
      <c r="G1620" s="90" t="s">
        <v>376</v>
      </c>
      <c r="H1620" s="90">
        <v>0.59</v>
      </c>
      <c r="I1620" s="90">
        <v>0.64</v>
      </c>
      <c r="J1620" s="90" t="s">
        <v>244</v>
      </c>
      <c r="K1620" s="90">
        <v>6.6949742203349996E-2</v>
      </c>
      <c r="L1620" s="90">
        <v>3672.8043873305</v>
      </c>
      <c r="M1620" s="90">
        <v>9.3149864605386092</v>
      </c>
      <c r="N1620" s="90">
        <v>1.42314231496216</v>
      </c>
      <c r="O1620" s="90">
        <v>0.62363594216082996</v>
      </c>
      <c r="P1620" s="90">
        <v>9.5279011105400005E-2</v>
      </c>
      <c r="Q1620" s="90">
        <v>245.89330689513901</v>
      </c>
      <c r="R1620" s="90">
        <v>1300</v>
      </c>
      <c r="S1620" s="90" t="s">
        <v>387</v>
      </c>
      <c r="T1620" s="90">
        <v>1300</v>
      </c>
      <c r="U1620" s="90" t="s">
        <v>378</v>
      </c>
      <c r="V1620" s="90" t="s">
        <v>244</v>
      </c>
      <c r="Z1620" s="90">
        <v>0</v>
      </c>
      <c r="AA1620" s="90">
        <v>1</v>
      </c>
      <c r="AB1620" s="90">
        <v>0.62363594216082996</v>
      </c>
      <c r="AC1620" s="90">
        <v>9.5279011105400005E-2</v>
      </c>
      <c r="AD1620" s="90">
        <v>245.893306895141</v>
      </c>
      <c r="AF1620" s="90">
        <v>-1</v>
      </c>
      <c r="AG1620" s="90">
        <v>-1</v>
      </c>
      <c r="AH1620" s="90">
        <v>-1</v>
      </c>
      <c r="AI1620" s="90">
        <v>-1</v>
      </c>
      <c r="AJ1620" s="90">
        <v>0</v>
      </c>
      <c r="AM1620" s="90" t="s">
        <v>379</v>
      </c>
      <c r="AN1620" s="90">
        <v>-1</v>
      </c>
      <c r="AQ1620" s="90">
        <v>357</v>
      </c>
      <c r="AR1620" s="90" t="s">
        <v>405</v>
      </c>
      <c r="AS1620" s="90" t="s">
        <v>406</v>
      </c>
      <c r="AT1620" s="90" t="s">
        <v>244</v>
      </c>
      <c r="AU1620" s="90">
        <v>122.34610000000001</v>
      </c>
      <c r="AV1620" s="90">
        <v>111.16718670392601</v>
      </c>
      <c r="AW1620" s="90">
        <v>270.93599421368498</v>
      </c>
      <c r="AX1620" s="90">
        <v>0.19942685069999999</v>
      </c>
    </row>
    <row r="1621" spans="1:50" x14ac:dyDescent="0.25">
      <c r="A1621" s="102">
        <v>830000</v>
      </c>
      <c r="B1621" s="102">
        <v>2400000</v>
      </c>
      <c r="C1621" s="102">
        <v>2400000</v>
      </c>
      <c r="D1621" s="90" t="s">
        <v>374</v>
      </c>
      <c r="E1621" s="90" t="s">
        <v>68</v>
      </c>
      <c r="F1621" s="90" t="s">
        <v>375</v>
      </c>
      <c r="G1621" s="90" t="s">
        <v>376</v>
      </c>
      <c r="H1621" s="90">
        <v>0.59</v>
      </c>
      <c r="I1621" s="90">
        <v>0.64</v>
      </c>
      <c r="J1621" s="90" t="s">
        <v>244</v>
      </c>
      <c r="K1621" s="90">
        <v>0.27277967487117999</v>
      </c>
      <c r="L1621" s="90">
        <v>3672.8043873305</v>
      </c>
      <c r="M1621" s="90">
        <v>9.3149864605386092</v>
      </c>
      <c r="N1621" s="90">
        <v>1.42314231496216</v>
      </c>
      <c r="O1621" s="90">
        <v>2.5409389781352201</v>
      </c>
      <c r="P1621" s="90">
        <v>0.38820429797080003</v>
      </c>
      <c r="Q1621" s="90">
        <v>1001.8663866414699</v>
      </c>
      <c r="R1621" s="90">
        <v>1210</v>
      </c>
      <c r="S1621" s="90" t="s">
        <v>385</v>
      </c>
      <c r="T1621" s="90">
        <v>1210</v>
      </c>
      <c r="U1621" s="90" t="s">
        <v>378</v>
      </c>
      <c r="V1621" s="90" t="s">
        <v>244</v>
      </c>
      <c r="Z1621" s="90">
        <v>0</v>
      </c>
      <c r="AA1621" s="90">
        <v>1</v>
      </c>
      <c r="AB1621" s="90">
        <v>2.5409389781352201</v>
      </c>
      <c r="AC1621" s="90">
        <v>0.38820429797080003</v>
      </c>
      <c r="AD1621" s="90">
        <v>1001.8663866414699</v>
      </c>
      <c r="AF1621" s="90">
        <v>-1</v>
      </c>
      <c r="AG1621" s="90">
        <v>-1</v>
      </c>
      <c r="AH1621" s="90">
        <v>-1</v>
      </c>
      <c r="AI1621" s="90">
        <v>-1</v>
      </c>
      <c r="AJ1621" s="90">
        <v>0</v>
      </c>
      <c r="AM1621" s="90" t="s">
        <v>379</v>
      </c>
      <c r="AN1621" s="90">
        <v>-1</v>
      </c>
      <c r="AQ1621" s="90">
        <v>357</v>
      </c>
      <c r="AR1621" s="90" t="s">
        <v>405</v>
      </c>
      <c r="AS1621" s="90" t="s">
        <v>406</v>
      </c>
      <c r="AT1621" s="90" t="s">
        <v>244</v>
      </c>
      <c r="AU1621" s="90">
        <v>122.34610000000001</v>
      </c>
      <c r="AV1621" s="90">
        <v>136.63351045512599</v>
      </c>
      <c r="AW1621" s="90">
        <v>1103.90017915264</v>
      </c>
      <c r="AX1621" s="90">
        <v>0.81254370369999995</v>
      </c>
    </row>
    <row r="1622" spans="1:50" x14ac:dyDescent="0.25">
      <c r="A1622" s="102">
        <v>830000</v>
      </c>
      <c r="B1622" s="102">
        <v>2400000</v>
      </c>
      <c r="C1622" s="102">
        <v>2400000</v>
      </c>
      <c r="D1622" s="90" t="s">
        <v>374</v>
      </c>
      <c r="E1622" s="90" t="s">
        <v>68</v>
      </c>
      <c r="F1622" s="90" t="s">
        <v>375</v>
      </c>
      <c r="G1622" s="90" t="s">
        <v>376</v>
      </c>
      <c r="H1622" s="90">
        <v>0.59</v>
      </c>
      <c r="I1622" s="90">
        <v>0.64</v>
      </c>
      <c r="J1622" s="90" t="s">
        <v>244</v>
      </c>
      <c r="K1622" s="90">
        <v>9.2380902195459996E-2</v>
      </c>
      <c r="L1622" s="90">
        <v>3672.8043873305</v>
      </c>
      <c r="M1622" s="90">
        <v>9.3149864605386092</v>
      </c>
      <c r="N1622" s="90">
        <v>1.42314231496216</v>
      </c>
      <c r="O1622" s="90">
        <v>0.86052685316306998</v>
      </c>
      <c r="P1622" s="90">
        <v>0.13147117100874001</v>
      </c>
      <c r="Q1622" s="90">
        <v>339.296982889042</v>
      </c>
      <c r="R1622" s="90">
        <v>1210</v>
      </c>
      <c r="S1622" s="90" t="s">
        <v>385</v>
      </c>
      <c r="T1622" s="90">
        <v>1210</v>
      </c>
      <c r="U1622" s="90" t="s">
        <v>378</v>
      </c>
      <c r="V1622" s="90" t="s">
        <v>244</v>
      </c>
      <c r="Z1622" s="90">
        <v>0</v>
      </c>
      <c r="AA1622" s="90">
        <v>1</v>
      </c>
      <c r="AB1622" s="90">
        <v>0.86052685316306998</v>
      </c>
      <c r="AC1622" s="90">
        <v>0.13147117100874001</v>
      </c>
      <c r="AD1622" s="90">
        <v>339.29698288904399</v>
      </c>
      <c r="AF1622" s="90">
        <v>-1</v>
      </c>
      <c r="AG1622" s="90">
        <v>-1</v>
      </c>
      <c r="AH1622" s="90">
        <v>-1</v>
      </c>
      <c r="AI1622" s="90">
        <v>-1</v>
      </c>
      <c r="AJ1622" s="90">
        <v>0</v>
      </c>
      <c r="AM1622" s="90" t="s">
        <v>379</v>
      </c>
      <c r="AN1622" s="90">
        <v>-1</v>
      </c>
      <c r="AQ1622" s="90">
        <v>357</v>
      </c>
      <c r="AR1622" s="90" t="s">
        <v>405</v>
      </c>
      <c r="AS1622" s="90" t="s">
        <v>406</v>
      </c>
      <c r="AT1622" s="90" t="s">
        <v>244</v>
      </c>
      <c r="AU1622" s="90">
        <v>122.34610000000001</v>
      </c>
      <c r="AV1622" s="90">
        <v>101.23509480971801</v>
      </c>
      <c r="AW1622" s="90">
        <v>373.852247356813</v>
      </c>
      <c r="AX1622" s="90">
        <v>0.27518003479999997</v>
      </c>
    </row>
    <row r="1623" spans="1:50" x14ac:dyDescent="0.25">
      <c r="A1623" s="102">
        <v>830000</v>
      </c>
      <c r="B1623" s="102">
        <v>2400000</v>
      </c>
      <c r="C1623" s="102">
        <v>2400000</v>
      </c>
      <c r="D1623" s="90" t="s">
        <v>374</v>
      </c>
      <c r="E1623" s="90" t="s">
        <v>68</v>
      </c>
      <c r="F1623" s="90" t="s">
        <v>375</v>
      </c>
      <c r="G1623" s="90" t="s">
        <v>376</v>
      </c>
      <c r="H1623" s="90">
        <v>0.59</v>
      </c>
      <c r="I1623" s="90">
        <v>0.64</v>
      </c>
      <c r="J1623" s="90" t="s">
        <v>244</v>
      </c>
      <c r="K1623" s="90">
        <v>6.0018879736800004E-3</v>
      </c>
      <c r="L1623" s="90">
        <v>3672.8043873305</v>
      </c>
      <c r="M1623" s="90">
        <v>9.3149864605386092</v>
      </c>
      <c r="N1623" s="90">
        <v>1.42314231496216</v>
      </c>
      <c r="O1623" s="90">
        <v>5.5907505212490001E-2</v>
      </c>
      <c r="P1623" s="90">
        <v>8.5415407449999994E-3</v>
      </c>
      <c r="Q1623" s="90">
        <v>22.043760481998</v>
      </c>
      <c r="R1623" s="90">
        <v>1210</v>
      </c>
      <c r="S1623" s="90" t="s">
        <v>385</v>
      </c>
      <c r="T1623" s="90">
        <v>1210</v>
      </c>
      <c r="U1623" s="90" t="s">
        <v>378</v>
      </c>
      <c r="V1623" s="90" t="s">
        <v>244</v>
      </c>
      <c r="Z1623" s="90">
        <v>0</v>
      </c>
      <c r="AA1623" s="90">
        <v>1</v>
      </c>
      <c r="AB1623" s="90">
        <v>5.5907505212490001E-2</v>
      </c>
      <c r="AC1623" s="90">
        <v>8.5415407449999994E-3</v>
      </c>
      <c r="AD1623" s="90">
        <v>22.0437604819973</v>
      </c>
      <c r="AF1623" s="90">
        <v>-1</v>
      </c>
      <c r="AG1623" s="90">
        <v>-1</v>
      </c>
      <c r="AH1623" s="90">
        <v>-1</v>
      </c>
      <c r="AI1623" s="90">
        <v>-1</v>
      </c>
      <c r="AJ1623" s="90">
        <v>0</v>
      </c>
      <c r="AM1623" s="90" t="s">
        <v>379</v>
      </c>
      <c r="AN1623" s="90">
        <v>-1</v>
      </c>
      <c r="AQ1623" s="90">
        <v>357</v>
      </c>
      <c r="AR1623" s="90" t="s">
        <v>405</v>
      </c>
      <c r="AS1623" s="90" t="s">
        <v>406</v>
      </c>
      <c r="AT1623" s="90" t="s">
        <v>244</v>
      </c>
      <c r="AU1623" s="90">
        <v>122.34610000000001</v>
      </c>
      <c r="AV1623" s="90">
        <v>43.332476172711502</v>
      </c>
      <c r="AW1623" s="90">
        <v>24.288778892811401</v>
      </c>
      <c r="AX1623" s="90">
        <v>1.7878151200000001E-2</v>
      </c>
    </row>
    <row r="1624" spans="1:50" x14ac:dyDescent="0.25">
      <c r="A1624" s="102">
        <v>830000</v>
      </c>
      <c r="B1624" s="102">
        <v>2400000</v>
      </c>
      <c r="C1624" s="102">
        <v>2400000</v>
      </c>
      <c r="D1624" s="90" t="s">
        <v>374</v>
      </c>
      <c r="E1624" s="90" t="s">
        <v>68</v>
      </c>
      <c r="F1624" s="90" t="s">
        <v>375</v>
      </c>
      <c r="G1624" s="90" t="s">
        <v>376</v>
      </c>
      <c r="H1624" s="90">
        <v>0.59</v>
      </c>
      <c r="I1624" s="90">
        <v>0.64</v>
      </c>
      <c r="J1624" s="90" t="s">
        <v>409</v>
      </c>
      <c r="K1624" s="90">
        <v>9.1639879912399996E-2</v>
      </c>
      <c r="L1624" s="90">
        <v>3670.7252798372301</v>
      </c>
      <c r="M1624" s="90">
        <v>9.7347006186457303</v>
      </c>
      <c r="N1624" s="90">
        <v>1.6293874320677999</v>
      </c>
      <c r="O1624" s="90">
        <v>0.89208679567590998</v>
      </c>
      <c r="P1624" s="90">
        <v>0.14931686860547</v>
      </c>
      <c r="Q1624" s="90">
        <v>336.38482383571301</v>
      </c>
      <c r="R1624" s="90">
        <v>1300</v>
      </c>
      <c r="S1624" s="90" t="s">
        <v>387</v>
      </c>
      <c r="T1624" s="90">
        <v>1300</v>
      </c>
      <c r="U1624" s="90" t="s">
        <v>409</v>
      </c>
      <c r="V1624" s="90" t="s">
        <v>409</v>
      </c>
      <c r="Z1624" s="90">
        <v>0</v>
      </c>
      <c r="AA1624" s="90">
        <v>1</v>
      </c>
      <c r="AB1624" s="90">
        <v>0.89208679567590998</v>
      </c>
      <c r="AC1624" s="90">
        <v>0.14931686860547</v>
      </c>
      <c r="AD1624" s="90">
        <v>336.38482383571397</v>
      </c>
      <c r="AF1624" s="90">
        <v>-1</v>
      </c>
      <c r="AG1624" s="90">
        <v>-1</v>
      </c>
      <c r="AH1624" s="90">
        <v>-1</v>
      </c>
      <c r="AI1624" s="90">
        <v>-1</v>
      </c>
      <c r="AJ1624" s="90">
        <v>0</v>
      </c>
      <c r="AM1624" s="90" t="s">
        <v>379</v>
      </c>
      <c r="AN1624" s="90">
        <v>-1</v>
      </c>
      <c r="AQ1624" s="90">
        <v>357</v>
      </c>
      <c r="AR1624" s="90" t="s">
        <v>405</v>
      </c>
      <c r="AS1624" s="90" t="s">
        <v>406</v>
      </c>
      <c r="AT1624" s="90" t="s">
        <v>244</v>
      </c>
      <c r="AU1624" s="90">
        <v>122.34610000000001</v>
      </c>
      <c r="AV1624" s="90">
        <v>78.790093805482698</v>
      </c>
      <c r="AW1624" s="90">
        <v>370.85343657148201</v>
      </c>
      <c r="AX1624" s="90">
        <v>0.2728181864</v>
      </c>
    </row>
    <row r="1625" spans="1:50" x14ac:dyDescent="0.25">
      <c r="A1625" s="102">
        <v>830000</v>
      </c>
      <c r="B1625" s="102">
        <v>2400000</v>
      </c>
      <c r="C1625" s="102">
        <v>2400000</v>
      </c>
      <c r="D1625" s="90" t="s">
        <v>374</v>
      </c>
      <c r="E1625" s="90" t="s">
        <v>68</v>
      </c>
      <c r="F1625" s="90" t="s">
        <v>375</v>
      </c>
      <c r="G1625" s="90" t="s">
        <v>376</v>
      </c>
      <c r="H1625" s="90">
        <v>0.59</v>
      </c>
      <c r="I1625" s="90">
        <v>0.64</v>
      </c>
      <c r="J1625" s="90" t="s">
        <v>409</v>
      </c>
      <c r="K1625" s="90">
        <v>9.6970670718769997E-2</v>
      </c>
      <c r="L1625" s="90">
        <v>3670.7252798372301</v>
      </c>
      <c r="M1625" s="90">
        <v>9.7347006186457303</v>
      </c>
      <c r="N1625" s="90">
        <v>1.6293874320677999</v>
      </c>
      <c r="O1625" s="90">
        <v>0.94398044823653005</v>
      </c>
      <c r="P1625" s="90">
        <v>0.15800279214835</v>
      </c>
      <c r="Q1625" s="90">
        <v>355.95269241017201</v>
      </c>
      <c r="R1625" s="90">
        <v>1330</v>
      </c>
      <c r="S1625" s="90" t="s">
        <v>397</v>
      </c>
      <c r="T1625" s="90">
        <v>1330</v>
      </c>
      <c r="U1625" s="90" t="s">
        <v>409</v>
      </c>
      <c r="V1625" s="90" t="s">
        <v>409</v>
      </c>
      <c r="Z1625" s="90">
        <v>0</v>
      </c>
      <c r="AA1625" s="90">
        <v>1</v>
      </c>
      <c r="AB1625" s="90">
        <v>0.94398044823653005</v>
      </c>
      <c r="AC1625" s="90">
        <v>0.15800279214835</v>
      </c>
      <c r="AD1625" s="90">
        <v>355.952692410174</v>
      </c>
      <c r="AF1625" s="90">
        <v>-1</v>
      </c>
      <c r="AG1625" s="90">
        <v>-1</v>
      </c>
      <c r="AH1625" s="90">
        <v>-1</v>
      </c>
      <c r="AI1625" s="90">
        <v>-1</v>
      </c>
      <c r="AJ1625" s="90">
        <v>0</v>
      </c>
      <c r="AM1625" s="90" t="s">
        <v>379</v>
      </c>
      <c r="AN1625" s="90">
        <v>-1</v>
      </c>
      <c r="AQ1625" s="90">
        <v>357</v>
      </c>
      <c r="AR1625" s="90" t="s">
        <v>405</v>
      </c>
      <c r="AS1625" s="90" t="s">
        <v>406</v>
      </c>
      <c r="AT1625" s="90" t="s">
        <v>244</v>
      </c>
      <c r="AU1625" s="90">
        <v>122.34610000000001</v>
      </c>
      <c r="AV1625" s="90">
        <v>82.339308518958006</v>
      </c>
      <c r="AW1625" s="90">
        <v>392.42638158270302</v>
      </c>
      <c r="AX1625" s="90">
        <v>0.28868831499999997</v>
      </c>
    </row>
    <row r="1626" spans="1:50" x14ac:dyDescent="0.25">
      <c r="A1626" s="102">
        <v>830000</v>
      </c>
      <c r="B1626" s="102">
        <v>2400000</v>
      </c>
      <c r="C1626" s="102">
        <v>2400000</v>
      </c>
      <c r="D1626" s="90" t="s">
        <v>374</v>
      </c>
      <c r="E1626" s="90" t="s">
        <v>68</v>
      </c>
      <c r="F1626" s="90" t="s">
        <v>375</v>
      </c>
      <c r="G1626" s="90" t="s">
        <v>376</v>
      </c>
      <c r="H1626" s="90">
        <v>0.59</v>
      </c>
      <c r="I1626" s="90">
        <v>0.64</v>
      </c>
      <c r="J1626" s="90" t="s">
        <v>409</v>
      </c>
      <c r="K1626" s="90">
        <v>0.15454188730585999</v>
      </c>
      <c r="L1626" s="90">
        <v>3670.7252798372301</v>
      </c>
      <c r="M1626" s="90">
        <v>9.7347006186457303</v>
      </c>
      <c r="N1626" s="90">
        <v>1.6293874320677999</v>
      </c>
      <c r="O1626" s="90">
        <v>1.5044190059631199</v>
      </c>
      <c r="P1626" s="90">
        <v>0.25180860890422002</v>
      </c>
      <c r="Q1626" s="90">
        <v>567.28081252741094</v>
      </c>
      <c r="R1626" s="90">
        <v>1210</v>
      </c>
      <c r="S1626" s="90" t="s">
        <v>385</v>
      </c>
      <c r="T1626" s="90">
        <v>1210</v>
      </c>
      <c r="U1626" s="90" t="s">
        <v>409</v>
      </c>
      <c r="V1626" s="90" t="s">
        <v>409</v>
      </c>
      <c r="Z1626" s="90">
        <v>0</v>
      </c>
      <c r="AA1626" s="90">
        <v>1</v>
      </c>
      <c r="AB1626" s="90">
        <v>1.5044190059631199</v>
      </c>
      <c r="AC1626" s="90">
        <v>0.25180860890422002</v>
      </c>
      <c r="AD1626" s="90">
        <v>567.28081252741094</v>
      </c>
      <c r="AF1626" s="90">
        <v>-1</v>
      </c>
      <c r="AG1626" s="90">
        <v>-1</v>
      </c>
      <c r="AH1626" s="90">
        <v>-1</v>
      </c>
      <c r="AI1626" s="90">
        <v>-1</v>
      </c>
      <c r="AJ1626" s="90">
        <v>0</v>
      </c>
      <c r="AM1626" s="90" t="s">
        <v>379</v>
      </c>
      <c r="AN1626" s="90">
        <v>-1</v>
      </c>
      <c r="AQ1626" s="90">
        <v>357</v>
      </c>
      <c r="AR1626" s="90" t="s">
        <v>405</v>
      </c>
      <c r="AS1626" s="90" t="s">
        <v>406</v>
      </c>
      <c r="AT1626" s="90" t="s">
        <v>244</v>
      </c>
      <c r="AU1626" s="90">
        <v>122.34610000000001</v>
      </c>
      <c r="AV1626" s="90">
        <v>100.075742154016</v>
      </c>
      <c r="AW1626" s="90">
        <v>625.40882917357305</v>
      </c>
      <c r="AX1626" s="90">
        <v>0.46008176200000001</v>
      </c>
    </row>
    <row r="1627" spans="1:50" x14ac:dyDescent="0.25">
      <c r="A1627" s="102">
        <v>830000</v>
      </c>
      <c r="B1627" s="102">
        <v>2400000</v>
      </c>
      <c r="C1627" s="102">
        <v>2400000</v>
      </c>
      <c r="D1627" s="90" t="s">
        <v>374</v>
      </c>
      <c r="E1627" s="90" t="s">
        <v>68</v>
      </c>
      <c r="F1627" s="90" t="s">
        <v>375</v>
      </c>
      <c r="G1627" s="90" t="s">
        <v>376</v>
      </c>
      <c r="H1627" s="90">
        <v>0.59</v>
      </c>
      <c r="I1627" s="90">
        <v>0.64</v>
      </c>
      <c r="J1627" s="90" t="s">
        <v>409</v>
      </c>
      <c r="K1627" s="90">
        <v>6.6682257909160006E-2</v>
      </c>
      <c r="L1627" s="90">
        <v>3670.7252798372301</v>
      </c>
      <c r="M1627" s="90">
        <v>9.7347006186457303</v>
      </c>
      <c r="N1627" s="90">
        <v>1.6293874320677999</v>
      </c>
      <c r="O1627" s="90">
        <v>0.64913181732105996</v>
      </c>
      <c r="P1627" s="90">
        <v>0.1086512329791</v>
      </c>
      <c r="Q1627" s="90">
        <v>244.77224982380599</v>
      </c>
      <c r="R1627" s="90">
        <v>1210</v>
      </c>
      <c r="S1627" s="90" t="s">
        <v>385</v>
      </c>
      <c r="T1627" s="90">
        <v>1210</v>
      </c>
      <c r="U1627" s="90" t="s">
        <v>409</v>
      </c>
      <c r="V1627" s="90" t="s">
        <v>409</v>
      </c>
      <c r="Z1627" s="90">
        <v>0</v>
      </c>
      <c r="AA1627" s="90">
        <v>1</v>
      </c>
      <c r="AB1627" s="90">
        <v>0.64913181732105996</v>
      </c>
      <c r="AC1627" s="90">
        <v>0.1086512329791</v>
      </c>
      <c r="AD1627" s="90">
        <v>244.772249823804</v>
      </c>
      <c r="AF1627" s="90">
        <v>-1</v>
      </c>
      <c r="AG1627" s="90">
        <v>-1</v>
      </c>
      <c r="AH1627" s="90">
        <v>-1</v>
      </c>
      <c r="AI1627" s="90">
        <v>-1</v>
      </c>
      <c r="AJ1627" s="90">
        <v>0</v>
      </c>
      <c r="AM1627" s="90" t="s">
        <v>379</v>
      </c>
      <c r="AN1627" s="90">
        <v>-1</v>
      </c>
      <c r="AQ1627" s="90">
        <v>357</v>
      </c>
      <c r="AR1627" s="90" t="s">
        <v>405</v>
      </c>
      <c r="AS1627" s="90" t="s">
        <v>406</v>
      </c>
      <c r="AT1627" s="90" t="s">
        <v>244</v>
      </c>
      <c r="AU1627" s="90">
        <v>122.34610000000001</v>
      </c>
      <c r="AV1627" s="90">
        <v>71.9109640461391</v>
      </c>
      <c r="AW1627" s="90">
        <v>269.85352367984399</v>
      </c>
      <c r="AX1627" s="90">
        <v>0.19851763980000001</v>
      </c>
    </row>
    <row r="1628" spans="1:50" x14ac:dyDescent="0.25">
      <c r="A1628" s="102">
        <v>830000</v>
      </c>
      <c r="B1628" s="102">
        <v>2400000</v>
      </c>
      <c r="C1628" s="102">
        <v>2400000</v>
      </c>
      <c r="D1628" s="90" t="s">
        <v>374</v>
      </c>
      <c r="E1628" s="90" t="s">
        <v>68</v>
      </c>
      <c r="F1628" s="90" t="s">
        <v>375</v>
      </c>
      <c r="G1628" s="90" t="s">
        <v>376</v>
      </c>
      <c r="H1628" s="90">
        <v>0.59</v>
      </c>
      <c r="I1628" s="90">
        <v>0.64</v>
      </c>
      <c r="J1628" s="90" t="s">
        <v>409</v>
      </c>
      <c r="K1628" s="90">
        <v>0.14619080982416</v>
      </c>
      <c r="L1628" s="90">
        <v>3670.7252798372301</v>
      </c>
      <c r="M1628" s="90">
        <v>9.7347006186457303</v>
      </c>
      <c r="N1628" s="90">
        <v>1.6293874320677999</v>
      </c>
      <c r="O1628" s="90">
        <v>1.4231237668355901</v>
      </c>
      <c r="P1628" s="90">
        <v>0.2382014682113</v>
      </c>
      <c r="Q1628" s="90">
        <v>536.62630130142895</v>
      </c>
      <c r="R1628" s="90">
        <v>1210</v>
      </c>
      <c r="S1628" s="90" t="s">
        <v>385</v>
      </c>
      <c r="T1628" s="90">
        <v>1210</v>
      </c>
      <c r="U1628" s="90" t="s">
        <v>409</v>
      </c>
      <c r="V1628" s="90" t="s">
        <v>409</v>
      </c>
      <c r="Z1628" s="90">
        <v>0</v>
      </c>
      <c r="AA1628" s="90">
        <v>1</v>
      </c>
      <c r="AB1628" s="90">
        <v>1.4231237668355901</v>
      </c>
      <c r="AC1628" s="90">
        <v>0.2382014682113</v>
      </c>
      <c r="AD1628" s="90">
        <v>536.62630130142895</v>
      </c>
      <c r="AF1628" s="90">
        <v>-1</v>
      </c>
      <c r="AG1628" s="90">
        <v>-1</v>
      </c>
      <c r="AH1628" s="90">
        <v>-1</v>
      </c>
      <c r="AI1628" s="90">
        <v>-1</v>
      </c>
      <c r="AJ1628" s="90">
        <v>0</v>
      </c>
      <c r="AM1628" s="90" t="s">
        <v>379</v>
      </c>
      <c r="AN1628" s="90">
        <v>-1</v>
      </c>
      <c r="AQ1628" s="90">
        <v>357</v>
      </c>
      <c r="AR1628" s="90" t="s">
        <v>405</v>
      </c>
      <c r="AS1628" s="90" t="s">
        <v>406</v>
      </c>
      <c r="AT1628" s="90" t="s">
        <v>244</v>
      </c>
      <c r="AU1628" s="90">
        <v>122.34610000000001</v>
      </c>
      <c r="AV1628" s="90">
        <v>97.299568033445894</v>
      </c>
      <c r="AW1628" s="90">
        <v>591.61321763276601</v>
      </c>
      <c r="AX1628" s="90">
        <v>0.43522003349999999</v>
      </c>
    </row>
    <row r="1629" spans="1:50" x14ac:dyDescent="0.25">
      <c r="A1629" s="102">
        <v>830000</v>
      </c>
      <c r="B1629" s="102">
        <v>2400000</v>
      </c>
      <c r="C1629" s="102">
        <v>2400000</v>
      </c>
      <c r="D1629" s="90" t="s">
        <v>374</v>
      </c>
      <c r="E1629" s="90" t="s">
        <v>68</v>
      </c>
      <c r="F1629" s="90" t="s">
        <v>375</v>
      </c>
      <c r="G1629" s="90" t="s">
        <v>376</v>
      </c>
      <c r="H1629" s="90">
        <v>0.59</v>
      </c>
      <c r="I1629" s="90">
        <v>0.64</v>
      </c>
      <c r="J1629" s="90" t="s">
        <v>409</v>
      </c>
      <c r="K1629" s="90">
        <v>6.1737947744380003E-2</v>
      </c>
      <c r="L1629" s="90">
        <v>3670.7252798372301</v>
      </c>
      <c r="M1629" s="90">
        <v>9.7347006186457303</v>
      </c>
      <c r="N1629" s="90">
        <v>1.6293874320677999</v>
      </c>
      <c r="O1629" s="90">
        <v>0.60100043810121995</v>
      </c>
      <c r="P1629" s="90">
        <v>0.10059503613636001</v>
      </c>
      <c r="Q1629" s="90">
        <v>226.62304551059901</v>
      </c>
      <c r="R1629" s="90">
        <v>1330</v>
      </c>
      <c r="S1629" s="90" t="s">
        <v>397</v>
      </c>
      <c r="T1629" s="90">
        <v>1330</v>
      </c>
      <c r="U1629" s="90" t="s">
        <v>409</v>
      </c>
      <c r="V1629" s="90" t="s">
        <v>409</v>
      </c>
      <c r="Z1629" s="90">
        <v>0</v>
      </c>
      <c r="AA1629" s="90">
        <v>1</v>
      </c>
      <c r="AB1629" s="90">
        <v>0.60100043810121995</v>
      </c>
      <c r="AC1629" s="90">
        <v>0.10059503613636001</v>
      </c>
      <c r="AD1629" s="90">
        <v>226.623045510597</v>
      </c>
      <c r="AF1629" s="90">
        <v>-1</v>
      </c>
      <c r="AG1629" s="90">
        <v>-1</v>
      </c>
      <c r="AH1629" s="90">
        <v>-1</v>
      </c>
      <c r="AI1629" s="90">
        <v>-1</v>
      </c>
      <c r="AJ1629" s="90">
        <v>0</v>
      </c>
      <c r="AM1629" s="90" t="s">
        <v>379</v>
      </c>
      <c r="AN1629" s="90">
        <v>-1</v>
      </c>
      <c r="AQ1629" s="90">
        <v>357</v>
      </c>
      <c r="AR1629" s="90" t="s">
        <v>405</v>
      </c>
      <c r="AS1629" s="90" t="s">
        <v>406</v>
      </c>
      <c r="AT1629" s="90" t="s">
        <v>244</v>
      </c>
      <c r="AU1629" s="90">
        <v>122.34610000000001</v>
      </c>
      <c r="AV1629" s="90">
        <v>69.665676262929594</v>
      </c>
      <c r="AW1629" s="90">
        <v>249.844610335174</v>
      </c>
      <c r="AX1629" s="90">
        <v>0.1837980904</v>
      </c>
    </row>
    <row r="1630" spans="1:50" x14ac:dyDescent="0.25">
      <c r="A1630" s="102">
        <v>830000</v>
      </c>
      <c r="B1630" s="102">
        <v>2400000</v>
      </c>
      <c r="C1630" s="102">
        <v>2400000</v>
      </c>
      <c r="D1630" s="90" t="s">
        <v>374</v>
      </c>
      <c r="E1630" s="90" t="s">
        <v>68</v>
      </c>
      <c r="F1630" s="90" t="s">
        <v>375</v>
      </c>
      <c r="G1630" s="90" t="s">
        <v>376</v>
      </c>
      <c r="H1630" s="90">
        <v>0.59</v>
      </c>
      <c r="I1630" s="90">
        <v>0.64</v>
      </c>
      <c r="J1630" s="90" t="s">
        <v>244</v>
      </c>
      <c r="K1630" s="90">
        <v>2.2746509668550002E-2</v>
      </c>
      <c r="L1630" s="90">
        <v>3752.6231907726501</v>
      </c>
      <c r="M1630" s="90">
        <v>11.2355518108663</v>
      </c>
      <c r="N1630" s="90">
        <v>1.95741109013884</v>
      </c>
      <c r="O1630" s="90">
        <v>0.25556958789741002</v>
      </c>
      <c r="P1630" s="90">
        <v>4.4524270287170001E-2</v>
      </c>
      <c r="Q1630" s="90">
        <v>85.359079691350104</v>
      </c>
      <c r="R1630" s="90">
        <v>1200</v>
      </c>
      <c r="S1630" s="90" t="s">
        <v>384</v>
      </c>
      <c r="T1630" s="90">
        <v>1200</v>
      </c>
      <c r="U1630" s="90" t="s">
        <v>378</v>
      </c>
      <c r="V1630" s="90" t="s">
        <v>244</v>
      </c>
      <c r="Z1630" s="90">
        <v>0</v>
      </c>
      <c r="AA1630" s="90">
        <v>1</v>
      </c>
      <c r="AB1630" s="90">
        <v>0.25556958789741002</v>
      </c>
      <c r="AC1630" s="90">
        <v>4.4524270287170001E-2</v>
      </c>
      <c r="AD1630" s="90">
        <v>85.359079691350502</v>
      </c>
      <c r="AF1630" s="90">
        <v>-1</v>
      </c>
      <c r="AG1630" s="90">
        <v>-1</v>
      </c>
      <c r="AH1630" s="90">
        <v>-1</v>
      </c>
      <c r="AI1630" s="90">
        <v>-1</v>
      </c>
      <c r="AJ1630" s="90">
        <v>0</v>
      </c>
      <c r="AM1630" s="90" t="s">
        <v>379</v>
      </c>
      <c r="AN1630" s="90">
        <v>-1</v>
      </c>
      <c r="AQ1630" s="90">
        <v>357</v>
      </c>
      <c r="AR1630" s="90" t="s">
        <v>405</v>
      </c>
      <c r="AS1630" s="90" t="s">
        <v>406</v>
      </c>
      <c r="AT1630" s="90" t="s">
        <v>244</v>
      </c>
      <c r="AU1630" s="90">
        <v>122.34610000000001</v>
      </c>
      <c r="AV1630" s="90">
        <v>42.754759156095297</v>
      </c>
      <c r="AW1630" s="90">
        <v>92.051858739371895</v>
      </c>
      <c r="AX1630" s="90">
        <v>6.9228775100000001E-2</v>
      </c>
    </row>
    <row r="1631" spans="1:50" x14ac:dyDescent="0.25">
      <c r="A1631" s="102">
        <v>830000</v>
      </c>
      <c r="B1631" s="102">
        <v>2400000</v>
      </c>
      <c r="C1631" s="102">
        <v>2400000</v>
      </c>
      <c r="D1631" s="90" t="s">
        <v>374</v>
      </c>
      <c r="E1631" s="90" t="s">
        <v>68</v>
      </c>
      <c r="F1631" s="90" t="s">
        <v>375</v>
      </c>
      <c r="G1631" s="90" t="s">
        <v>376</v>
      </c>
      <c r="H1631" s="90">
        <v>0.59</v>
      </c>
      <c r="I1631" s="90">
        <v>0.64</v>
      </c>
      <c r="J1631" s="90" t="s">
        <v>244</v>
      </c>
      <c r="K1631" s="90">
        <v>0.21647692604509999</v>
      </c>
      <c r="L1631" s="90">
        <v>3752.6231907726501</v>
      </c>
      <c r="M1631" s="90">
        <v>11.2355518108663</v>
      </c>
      <c r="N1631" s="90">
        <v>1.95741109013884</v>
      </c>
      <c r="O1631" s="90">
        <v>2.43223771843688</v>
      </c>
      <c r="P1631" s="90">
        <v>0.42373433579984998</v>
      </c>
      <c r="Q1631" s="90">
        <v>812.35633294404499</v>
      </c>
      <c r="R1631" s="90">
        <v>1300</v>
      </c>
      <c r="S1631" s="90" t="s">
        <v>387</v>
      </c>
      <c r="T1631" s="90">
        <v>1300</v>
      </c>
      <c r="U1631" s="90" t="s">
        <v>378</v>
      </c>
      <c r="V1631" s="90" t="s">
        <v>244</v>
      </c>
      <c r="Z1631" s="90">
        <v>0</v>
      </c>
      <c r="AA1631" s="90">
        <v>1</v>
      </c>
      <c r="AB1631" s="90">
        <v>2.43223771843688</v>
      </c>
      <c r="AC1631" s="90">
        <v>0.42373433579984998</v>
      </c>
      <c r="AD1631" s="90">
        <v>812.35633294404499</v>
      </c>
      <c r="AF1631" s="90">
        <v>-1</v>
      </c>
      <c r="AG1631" s="90">
        <v>-1</v>
      </c>
      <c r="AH1631" s="90">
        <v>-1</v>
      </c>
      <c r="AI1631" s="90">
        <v>-1</v>
      </c>
      <c r="AJ1631" s="90">
        <v>0</v>
      </c>
      <c r="AM1631" s="90" t="s">
        <v>379</v>
      </c>
      <c r="AN1631" s="90">
        <v>-1</v>
      </c>
      <c r="AQ1631" s="90">
        <v>357</v>
      </c>
      <c r="AR1631" s="90" t="s">
        <v>405</v>
      </c>
      <c r="AS1631" s="90" t="s">
        <v>406</v>
      </c>
      <c r="AT1631" s="90" t="s">
        <v>244</v>
      </c>
      <c r="AU1631" s="90">
        <v>122.34610000000001</v>
      </c>
      <c r="AV1631" s="90">
        <v>135.387920758332</v>
      </c>
      <c r="AW1631" s="90">
        <v>876.05103846705003</v>
      </c>
      <c r="AX1631" s="90">
        <v>0.65884536329999999</v>
      </c>
    </row>
    <row r="1632" spans="1:50" x14ac:dyDescent="0.25">
      <c r="A1632" s="102">
        <v>830000</v>
      </c>
      <c r="B1632" s="102">
        <v>2400000</v>
      </c>
      <c r="C1632" s="102">
        <v>2400000</v>
      </c>
      <c r="D1632" s="90" t="s">
        <v>374</v>
      </c>
      <c r="E1632" s="90" t="s">
        <v>68</v>
      </c>
      <c r="F1632" s="90" t="s">
        <v>375</v>
      </c>
      <c r="G1632" s="90" t="s">
        <v>376</v>
      </c>
      <c r="H1632" s="90">
        <v>0.59</v>
      </c>
      <c r="I1632" s="90">
        <v>0.64</v>
      </c>
      <c r="J1632" s="90" t="s">
        <v>244</v>
      </c>
      <c r="K1632" s="90">
        <v>8.7862277362330002E-2</v>
      </c>
      <c r="L1632" s="90">
        <v>3752.6231907726501</v>
      </c>
      <c r="M1632" s="90">
        <v>11.2355518108663</v>
      </c>
      <c r="N1632" s="90">
        <v>1.95741109013884</v>
      </c>
      <c r="O1632" s="90">
        <v>0.98718116952516999</v>
      </c>
      <c r="P1632" s="90">
        <v>0.17198259611388</v>
      </c>
      <c r="Q1632" s="90">
        <v>329.714019623978</v>
      </c>
      <c r="R1632" s="90">
        <v>1400</v>
      </c>
      <c r="S1632" s="90" t="s">
        <v>324</v>
      </c>
      <c r="T1632" s="90">
        <v>1400</v>
      </c>
      <c r="U1632" s="90" t="s">
        <v>378</v>
      </c>
      <c r="V1632" s="90" t="s">
        <v>244</v>
      </c>
      <c r="Z1632" s="90">
        <v>0</v>
      </c>
      <c r="AA1632" s="90">
        <v>1</v>
      </c>
      <c r="AB1632" s="90">
        <v>0.98718116952516999</v>
      </c>
      <c r="AC1632" s="90">
        <v>0.17198259611388</v>
      </c>
      <c r="AD1632" s="90">
        <v>329.71401962397698</v>
      </c>
      <c r="AF1632" s="90">
        <v>-1</v>
      </c>
      <c r="AG1632" s="90">
        <v>-1</v>
      </c>
      <c r="AH1632" s="90">
        <v>-1</v>
      </c>
      <c r="AI1632" s="90">
        <v>-1</v>
      </c>
      <c r="AJ1632" s="90">
        <v>0</v>
      </c>
      <c r="AM1632" s="90" t="s">
        <v>379</v>
      </c>
      <c r="AN1632" s="90">
        <v>-1</v>
      </c>
      <c r="AQ1632" s="90">
        <v>357</v>
      </c>
      <c r="AR1632" s="90" t="s">
        <v>405</v>
      </c>
      <c r="AS1632" s="90" t="s">
        <v>406</v>
      </c>
      <c r="AT1632" s="90" t="s">
        <v>244</v>
      </c>
      <c r="AU1632" s="90">
        <v>122.34610000000001</v>
      </c>
      <c r="AV1632" s="90">
        <v>121.326894238685</v>
      </c>
      <c r="AW1632" s="90">
        <v>355.56602143043301</v>
      </c>
      <c r="AX1632" s="90">
        <v>0.267407964</v>
      </c>
    </row>
    <row r="1633" spans="1:50" x14ac:dyDescent="0.25">
      <c r="A1633" s="102">
        <v>830000</v>
      </c>
      <c r="B1633" s="102">
        <v>2400000</v>
      </c>
      <c r="C1633" s="102">
        <v>2400000</v>
      </c>
      <c r="D1633" s="90" t="s">
        <v>374</v>
      </c>
      <c r="E1633" s="90" t="s">
        <v>68</v>
      </c>
      <c r="F1633" s="90" t="s">
        <v>375</v>
      </c>
      <c r="G1633" s="90" t="s">
        <v>376</v>
      </c>
      <c r="H1633" s="90">
        <v>0.59</v>
      </c>
      <c r="I1633" s="90">
        <v>0.64</v>
      </c>
      <c r="J1633" s="90" t="s">
        <v>244</v>
      </c>
      <c r="K1633" s="90">
        <v>0.10254964709432</v>
      </c>
      <c r="L1633" s="90">
        <v>3752.6231907726501</v>
      </c>
      <c r="M1633" s="90">
        <v>11.2355518108663</v>
      </c>
      <c r="N1633" s="90">
        <v>1.95741109013884</v>
      </c>
      <c r="O1633" s="90">
        <v>1.1522018731143799</v>
      </c>
      <c r="P1633" s="90">
        <v>0.20073181651225999</v>
      </c>
      <c r="Q1633" s="90">
        <v>384.83018389172702</v>
      </c>
      <c r="R1633" s="90">
        <v>1450</v>
      </c>
      <c r="S1633" s="90" t="s">
        <v>391</v>
      </c>
      <c r="T1633" s="90">
        <v>1450</v>
      </c>
      <c r="U1633" s="90" t="s">
        <v>378</v>
      </c>
      <c r="V1633" s="90" t="s">
        <v>244</v>
      </c>
      <c r="Z1633" s="90">
        <v>0</v>
      </c>
      <c r="AA1633" s="90">
        <v>1</v>
      </c>
      <c r="AB1633" s="90">
        <v>1.1522018731143799</v>
      </c>
      <c r="AC1633" s="90">
        <v>0.20073181651225999</v>
      </c>
      <c r="AD1633" s="90">
        <v>384.83018389172702</v>
      </c>
      <c r="AF1633" s="90">
        <v>-1</v>
      </c>
      <c r="AG1633" s="90">
        <v>-1</v>
      </c>
      <c r="AH1633" s="90">
        <v>-1</v>
      </c>
      <c r="AI1633" s="90">
        <v>-1</v>
      </c>
      <c r="AJ1633" s="90">
        <v>0</v>
      </c>
      <c r="AM1633" s="90" t="s">
        <v>379</v>
      </c>
      <c r="AN1633" s="90">
        <v>-1</v>
      </c>
      <c r="AQ1633" s="90">
        <v>357</v>
      </c>
      <c r="AR1633" s="90" t="s">
        <v>405</v>
      </c>
      <c r="AS1633" s="90" t="s">
        <v>406</v>
      </c>
      <c r="AT1633" s="90" t="s">
        <v>244</v>
      </c>
      <c r="AU1633" s="90">
        <v>122.34610000000001</v>
      </c>
      <c r="AV1633" s="90">
        <v>93.420032783772498</v>
      </c>
      <c r="AW1633" s="90">
        <v>415.00369795853402</v>
      </c>
      <c r="AX1633" s="90">
        <v>0.31210882719999999</v>
      </c>
    </row>
    <row r="1634" spans="1:50" x14ac:dyDescent="0.25">
      <c r="A1634" s="102">
        <v>830000</v>
      </c>
      <c r="B1634" s="102">
        <v>2400000</v>
      </c>
      <c r="C1634" s="102">
        <v>2400000</v>
      </c>
      <c r="D1634" s="90" t="s">
        <v>374</v>
      </c>
      <c r="E1634" s="90" t="s">
        <v>68</v>
      </c>
      <c r="F1634" s="90" t="s">
        <v>375</v>
      </c>
      <c r="G1634" s="90" t="s">
        <v>376</v>
      </c>
      <c r="H1634" s="90">
        <v>0.59</v>
      </c>
      <c r="I1634" s="90">
        <v>0.64</v>
      </c>
      <c r="J1634" s="90" t="s">
        <v>244</v>
      </c>
      <c r="K1634" s="90">
        <v>9.6129057552400005E-3</v>
      </c>
      <c r="L1634" s="90">
        <v>3666.8022036205798</v>
      </c>
      <c r="M1634" s="90">
        <v>9.1449516363211298</v>
      </c>
      <c r="N1634" s="90">
        <v>1.34513661929541</v>
      </c>
      <c r="O1634" s="90">
        <v>8.7909558216209993E-2</v>
      </c>
      <c r="P1634" s="90">
        <v>1.293067154921E-2</v>
      </c>
      <c r="Q1634" s="90">
        <v>35.248624006525702</v>
      </c>
      <c r="R1634" s="90">
        <v>1210</v>
      </c>
      <c r="S1634" s="90" t="s">
        <v>385</v>
      </c>
      <c r="T1634" s="90">
        <v>1210</v>
      </c>
      <c r="U1634" s="90" t="s">
        <v>378</v>
      </c>
      <c r="V1634" s="90" t="s">
        <v>244</v>
      </c>
      <c r="Z1634" s="90">
        <v>0</v>
      </c>
      <c r="AA1634" s="90">
        <v>1</v>
      </c>
      <c r="AB1634" s="90">
        <v>8.7909558216209993E-2</v>
      </c>
      <c r="AC1634" s="90">
        <v>1.293067154921E-2</v>
      </c>
      <c r="AD1634" s="90">
        <v>127.674923837474</v>
      </c>
      <c r="AF1634" s="90">
        <v>-1</v>
      </c>
      <c r="AG1634" s="90">
        <v>-1</v>
      </c>
      <c r="AH1634" s="90">
        <v>-1</v>
      </c>
      <c r="AI1634" s="90">
        <v>-1</v>
      </c>
      <c r="AJ1634" s="90">
        <v>0</v>
      </c>
      <c r="AM1634" s="90" t="s">
        <v>379</v>
      </c>
      <c r="AN1634" s="90">
        <v>-1</v>
      </c>
      <c r="AQ1634" s="90">
        <v>357</v>
      </c>
      <c r="AR1634" s="90" t="s">
        <v>405</v>
      </c>
      <c r="AS1634" s="90" t="s">
        <v>406</v>
      </c>
      <c r="AT1634" s="90" t="s">
        <v>244</v>
      </c>
      <c r="AU1634" s="90">
        <v>122.34610000000001</v>
      </c>
      <c r="AV1634" s="90">
        <v>25.812941687910399</v>
      </c>
      <c r="AW1634" s="90">
        <v>38.902049393534703</v>
      </c>
      <c r="AX1634" s="90">
        <v>0.1035481945</v>
      </c>
    </row>
    <row r="1635" spans="1:50" x14ac:dyDescent="0.25">
      <c r="A1635" s="102">
        <v>830000</v>
      </c>
      <c r="B1635" s="102">
        <v>2400000</v>
      </c>
      <c r="C1635" s="102">
        <v>2400000</v>
      </c>
      <c r="D1635" s="90" t="s">
        <v>374</v>
      </c>
      <c r="E1635" s="90" t="s">
        <v>68</v>
      </c>
      <c r="F1635" s="90" t="s">
        <v>375</v>
      </c>
      <c r="G1635" s="90" t="s">
        <v>376</v>
      </c>
      <c r="H1635" s="90">
        <v>0.59</v>
      </c>
      <c r="I1635" s="90">
        <v>0.64</v>
      </c>
      <c r="J1635" s="90" t="s">
        <v>244</v>
      </c>
      <c r="K1635" s="90">
        <v>2.8409333398429999E-2</v>
      </c>
      <c r="L1635" s="90">
        <v>3666.8022036205798</v>
      </c>
      <c r="M1635" s="90">
        <v>9.1449516363211298</v>
      </c>
      <c r="N1635" s="90">
        <v>1.34513661929541</v>
      </c>
      <c r="O1635" s="90">
        <v>0.2598019799488</v>
      </c>
      <c r="P1635" s="90">
        <v>3.8214434684000001E-2</v>
      </c>
      <c r="Q1635" s="90">
        <v>104.17140630876899</v>
      </c>
      <c r="R1635" s="90">
        <v>1210</v>
      </c>
      <c r="S1635" s="90" t="s">
        <v>385</v>
      </c>
      <c r="T1635" s="90">
        <v>1210</v>
      </c>
      <c r="U1635" s="90" t="s">
        <v>378</v>
      </c>
      <c r="V1635" s="90" t="s">
        <v>244</v>
      </c>
      <c r="Z1635" s="90">
        <v>0</v>
      </c>
      <c r="AA1635" s="90">
        <v>1</v>
      </c>
      <c r="AB1635" s="90">
        <v>0.2598019799488</v>
      </c>
      <c r="AC1635" s="90">
        <v>3.8214434684000001E-2</v>
      </c>
      <c r="AD1635" s="90">
        <v>496.74974988620198</v>
      </c>
      <c r="AF1635" s="90">
        <v>-1</v>
      </c>
      <c r="AG1635" s="90">
        <v>-1</v>
      </c>
      <c r="AH1635" s="90">
        <v>-1</v>
      </c>
      <c r="AI1635" s="90">
        <v>-1</v>
      </c>
      <c r="AJ1635" s="90">
        <v>0</v>
      </c>
      <c r="AM1635" s="90" t="s">
        <v>379</v>
      </c>
      <c r="AN1635" s="90">
        <v>-1</v>
      </c>
      <c r="AQ1635" s="90">
        <v>357</v>
      </c>
      <c r="AR1635" s="90" t="s">
        <v>405</v>
      </c>
      <c r="AS1635" s="90" t="s">
        <v>406</v>
      </c>
      <c r="AT1635" s="90" t="s">
        <v>244</v>
      </c>
      <c r="AU1635" s="90">
        <v>122.34610000000001</v>
      </c>
      <c r="AV1635" s="90">
        <v>89.508294013799002</v>
      </c>
      <c r="AW1635" s="90">
        <v>114.968493319554</v>
      </c>
      <c r="AX1635" s="90">
        <v>0.40287895369999999</v>
      </c>
    </row>
    <row r="1636" spans="1:50" x14ac:dyDescent="0.25">
      <c r="A1636" s="102">
        <v>830000</v>
      </c>
      <c r="B1636" s="102">
        <v>2400000</v>
      </c>
      <c r="C1636" s="102">
        <v>2400000</v>
      </c>
      <c r="D1636" s="90" t="s">
        <v>374</v>
      </c>
      <c r="E1636" s="90" t="s">
        <v>68</v>
      </c>
      <c r="F1636" s="90" t="s">
        <v>375</v>
      </c>
      <c r="G1636" s="90" t="s">
        <v>376</v>
      </c>
      <c r="H1636" s="90">
        <v>0.59</v>
      </c>
      <c r="I1636" s="90">
        <v>0.64</v>
      </c>
      <c r="J1636" s="90" t="s">
        <v>244</v>
      </c>
      <c r="K1636" s="90">
        <v>6.1124149145840002E-2</v>
      </c>
      <c r="L1636" s="90">
        <v>3801.05162863335</v>
      </c>
      <c r="M1636" s="90">
        <v>10.1075764617926</v>
      </c>
      <c r="N1636" s="90">
        <v>1.6394969356650799</v>
      </c>
      <c r="O1636" s="90">
        <v>0.61781701115361998</v>
      </c>
      <c r="P1636" s="90">
        <v>0.10021285521973999</v>
      </c>
      <c r="Q1636" s="90">
        <v>232.33604665963401</v>
      </c>
      <c r="R1636" s="90">
        <v>1300</v>
      </c>
      <c r="S1636" s="90" t="s">
        <v>387</v>
      </c>
      <c r="T1636" s="90">
        <v>1300</v>
      </c>
      <c r="U1636" s="90" t="s">
        <v>378</v>
      </c>
      <c r="V1636" s="90" t="s">
        <v>244</v>
      </c>
      <c r="Z1636" s="90">
        <v>0</v>
      </c>
      <c r="AA1636" s="90">
        <v>1</v>
      </c>
      <c r="AB1636" s="90">
        <v>0.61781701115361998</v>
      </c>
      <c r="AC1636" s="90">
        <v>0.10021285521973999</v>
      </c>
      <c r="AD1636" s="90">
        <v>312.19729989744798</v>
      </c>
      <c r="AF1636" s="90">
        <v>-1</v>
      </c>
      <c r="AG1636" s="90">
        <v>-1</v>
      </c>
      <c r="AH1636" s="90">
        <v>-1</v>
      </c>
      <c r="AI1636" s="90">
        <v>-1</v>
      </c>
      <c r="AJ1636" s="90">
        <v>0</v>
      </c>
      <c r="AM1636" s="90" t="s">
        <v>379</v>
      </c>
      <c r="AN1636" s="90">
        <v>-1</v>
      </c>
      <c r="AQ1636" s="90">
        <v>357</v>
      </c>
      <c r="AR1636" s="90" t="s">
        <v>405</v>
      </c>
      <c r="AS1636" s="90" t="s">
        <v>406</v>
      </c>
      <c r="AT1636" s="90" t="s">
        <v>244</v>
      </c>
      <c r="AU1636" s="90">
        <v>122.34610000000001</v>
      </c>
      <c r="AV1636" s="90">
        <v>87.205648224084996</v>
      </c>
      <c r="AW1636" s="90">
        <v>247.36065553458999</v>
      </c>
      <c r="AX1636" s="90">
        <v>0.25320137869999998</v>
      </c>
    </row>
    <row r="1637" spans="1:50" x14ac:dyDescent="0.25">
      <c r="A1637" s="102">
        <v>830000</v>
      </c>
      <c r="B1637" s="102">
        <v>2400000</v>
      </c>
      <c r="C1637" s="102">
        <v>2400000</v>
      </c>
      <c r="D1637" s="90" t="s">
        <v>374</v>
      </c>
      <c r="E1637" s="90" t="s">
        <v>68</v>
      </c>
      <c r="F1637" s="90" t="s">
        <v>375</v>
      </c>
      <c r="G1637" s="90" t="s">
        <v>376</v>
      </c>
      <c r="H1637" s="90">
        <v>0.59</v>
      </c>
      <c r="I1637" s="90">
        <v>0.64</v>
      </c>
      <c r="J1637" s="90" t="s">
        <v>244</v>
      </c>
      <c r="K1637" s="90">
        <v>7.7108053129769996E-2</v>
      </c>
      <c r="L1637" s="90">
        <v>3801.05162863335</v>
      </c>
      <c r="M1637" s="90">
        <v>10.1075764617926</v>
      </c>
      <c r="N1637" s="90">
        <v>1.6394969356650799</v>
      </c>
      <c r="O1637" s="90">
        <v>0.77937554282916</v>
      </c>
      <c r="P1637" s="90">
        <v>0.12641841682136001</v>
      </c>
      <c r="Q1637" s="90">
        <v>293.09169092967801</v>
      </c>
      <c r="R1637" s="90">
        <v>1400</v>
      </c>
      <c r="S1637" s="90" t="s">
        <v>324</v>
      </c>
      <c r="T1637" s="90">
        <v>1400</v>
      </c>
      <c r="U1637" s="90" t="s">
        <v>378</v>
      </c>
      <c r="V1637" s="90" t="s">
        <v>244</v>
      </c>
      <c r="Z1637" s="90">
        <v>0</v>
      </c>
      <c r="AA1637" s="90">
        <v>1</v>
      </c>
      <c r="AB1637" s="90">
        <v>0.77937554282916</v>
      </c>
      <c r="AC1637" s="90">
        <v>0.12641841682136001</v>
      </c>
      <c r="AD1637" s="90">
        <v>409.06727586324399</v>
      </c>
      <c r="AF1637" s="90">
        <v>-1</v>
      </c>
      <c r="AG1637" s="90">
        <v>-1</v>
      </c>
      <c r="AH1637" s="90">
        <v>-1</v>
      </c>
      <c r="AI1637" s="90">
        <v>-1</v>
      </c>
      <c r="AJ1637" s="90">
        <v>0</v>
      </c>
      <c r="AM1637" s="90" t="s">
        <v>379</v>
      </c>
      <c r="AN1637" s="90">
        <v>-1</v>
      </c>
      <c r="AQ1637" s="90">
        <v>357</v>
      </c>
      <c r="AR1637" s="90" t="s">
        <v>405</v>
      </c>
      <c r="AS1637" s="90" t="s">
        <v>406</v>
      </c>
      <c r="AT1637" s="90" t="s">
        <v>244</v>
      </c>
      <c r="AU1637" s="90">
        <v>122.34610000000001</v>
      </c>
      <c r="AV1637" s="90">
        <v>89.739468470264896</v>
      </c>
      <c r="AW1637" s="90">
        <v>312.04522002699201</v>
      </c>
      <c r="AX1637" s="90">
        <v>0.33176583609999999</v>
      </c>
    </row>
    <row r="1638" spans="1:50" x14ac:dyDescent="0.25">
      <c r="A1638" s="102">
        <v>830000</v>
      </c>
      <c r="B1638" s="102">
        <v>2400000</v>
      </c>
      <c r="C1638" s="102">
        <v>2400000</v>
      </c>
      <c r="D1638" s="90" t="s">
        <v>374</v>
      </c>
      <c r="E1638" s="90" t="s">
        <v>68</v>
      </c>
      <c r="F1638" s="90" t="s">
        <v>375</v>
      </c>
      <c r="G1638" s="90" t="s">
        <v>376</v>
      </c>
      <c r="H1638" s="90">
        <v>0.59</v>
      </c>
      <c r="I1638" s="90">
        <v>0.64</v>
      </c>
      <c r="J1638" s="90" t="s">
        <v>244</v>
      </c>
      <c r="K1638" s="90">
        <v>6.3551484525829996E-2</v>
      </c>
      <c r="L1638" s="90">
        <v>3801.05162863335</v>
      </c>
      <c r="M1638" s="90">
        <v>10.1075764617926</v>
      </c>
      <c r="N1638" s="90">
        <v>1.6394969356650799</v>
      </c>
      <c r="O1638" s="90">
        <v>0.64235148910532003</v>
      </c>
      <c r="P1638" s="90">
        <v>0.10419246413707001</v>
      </c>
      <c r="Q1638" s="90">
        <v>241.562473759</v>
      </c>
      <c r="R1638" s="90">
        <v>1300</v>
      </c>
      <c r="S1638" s="90" t="s">
        <v>387</v>
      </c>
      <c r="T1638" s="90">
        <v>1300</v>
      </c>
      <c r="U1638" s="90" t="s">
        <v>378</v>
      </c>
      <c r="V1638" s="90" t="s">
        <v>244</v>
      </c>
      <c r="Z1638" s="90">
        <v>0</v>
      </c>
      <c r="AA1638" s="90">
        <v>1</v>
      </c>
      <c r="AB1638" s="90">
        <v>0.64235148910532003</v>
      </c>
      <c r="AC1638" s="90">
        <v>0.10419246413707001</v>
      </c>
      <c r="AD1638" s="90">
        <v>241.56247375899801</v>
      </c>
      <c r="AF1638" s="90">
        <v>-1</v>
      </c>
      <c r="AG1638" s="90">
        <v>-1</v>
      </c>
      <c r="AH1638" s="90">
        <v>-1</v>
      </c>
      <c r="AI1638" s="90">
        <v>-1</v>
      </c>
      <c r="AJ1638" s="90">
        <v>0</v>
      </c>
      <c r="AM1638" s="90" t="s">
        <v>379</v>
      </c>
      <c r="AN1638" s="90">
        <v>-1</v>
      </c>
      <c r="AQ1638" s="90">
        <v>357</v>
      </c>
      <c r="AR1638" s="90" t="s">
        <v>405</v>
      </c>
      <c r="AS1638" s="90" t="s">
        <v>406</v>
      </c>
      <c r="AT1638" s="90" t="s">
        <v>244</v>
      </c>
      <c r="AU1638" s="90">
        <v>122.34610000000001</v>
      </c>
      <c r="AV1638" s="90">
        <v>64.529678630657202</v>
      </c>
      <c r="AW1638" s="90">
        <v>257.18373330643601</v>
      </c>
      <c r="AX1638" s="90">
        <v>0.19591441509999999</v>
      </c>
    </row>
    <row r="1639" spans="1:50" x14ac:dyDescent="0.25">
      <c r="A1639" s="102">
        <v>830000</v>
      </c>
      <c r="B1639" s="102">
        <v>2400000</v>
      </c>
      <c r="C1639" s="102">
        <v>2400000</v>
      </c>
      <c r="D1639" s="90" t="s">
        <v>374</v>
      </c>
      <c r="E1639" s="90" t="s">
        <v>68</v>
      </c>
      <c r="F1639" s="90" t="s">
        <v>375</v>
      </c>
      <c r="G1639" s="90" t="s">
        <v>376</v>
      </c>
      <c r="H1639" s="90">
        <v>0.59</v>
      </c>
      <c r="I1639" s="90">
        <v>0.64</v>
      </c>
      <c r="J1639" s="90" t="s">
        <v>244</v>
      </c>
      <c r="K1639" s="90">
        <v>7.9080950027679994E-2</v>
      </c>
      <c r="L1639" s="90">
        <v>3801.05162863335</v>
      </c>
      <c r="M1639" s="90">
        <v>10.1075764617926</v>
      </c>
      <c r="N1639" s="90">
        <v>1.6394969356650799</v>
      </c>
      <c r="O1639" s="90">
        <v>0.79931674907596995</v>
      </c>
      <c r="P1639" s="90">
        <v>0.12965297523986</v>
      </c>
      <c r="Q1639" s="90">
        <v>300.59077389658597</v>
      </c>
      <c r="R1639" s="90">
        <v>1300</v>
      </c>
      <c r="S1639" s="90" t="s">
        <v>387</v>
      </c>
      <c r="T1639" s="90">
        <v>1300</v>
      </c>
      <c r="U1639" s="90" t="s">
        <v>378</v>
      </c>
      <c r="V1639" s="90" t="s">
        <v>244</v>
      </c>
      <c r="Z1639" s="90">
        <v>0</v>
      </c>
      <c r="AA1639" s="90">
        <v>1</v>
      </c>
      <c r="AB1639" s="90">
        <v>0.79931674907596995</v>
      </c>
      <c r="AC1639" s="90">
        <v>0.12965297523986</v>
      </c>
      <c r="AD1639" s="90">
        <v>498.96904447697199</v>
      </c>
      <c r="AF1639" s="90">
        <v>-1</v>
      </c>
      <c r="AG1639" s="90">
        <v>-1</v>
      </c>
      <c r="AH1639" s="90">
        <v>-1</v>
      </c>
      <c r="AI1639" s="90">
        <v>-1</v>
      </c>
      <c r="AJ1639" s="90">
        <v>0</v>
      </c>
      <c r="AM1639" s="90" t="s">
        <v>379</v>
      </c>
      <c r="AN1639" s="90">
        <v>-1</v>
      </c>
      <c r="AQ1639" s="90">
        <v>357</v>
      </c>
      <c r="AR1639" s="90" t="s">
        <v>405</v>
      </c>
      <c r="AS1639" s="90" t="s">
        <v>406</v>
      </c>
      <c r="AT1639" s="90" t="s">
        <v>244</v>
      </c>
      <c r="AU1639" s="90">
        <v>122.34610000000001</v>
      </c>
      <c r="AV1639" s="90">
        <v>72.080186591154202</v>
      </c>
      <c r="AW1639" s="90">
        <v>320.02925050901001</v>
      </c>
      <c r="AX1639" s="90">
        <v>0.40467886819999999</v>
      </c>
    </row>
    <row r="1640" spans="1:50" x14ac:dyDescent="0.25">
      <c r="A1640" s="102">
        <v>830000</v>
      </c>
      <c r="B1640" s="102">
        <v>2400000</v>
      </c>
      <c r="C1640" s="102">
        <v>2400000</v>
      </c>
      <c r="D1640" s="90" t="s">
        <v>374</v>
      </c>
      <c r="E1640" s="90" t="s">
        <v>68</v>
      </c>
      <c r="F1640" s="90" t="s">
        <v>375</v>
      </c>
      <c r="G1640" s="90" t="s">
        <v>376</v>
      </c>
      <c r="H1640" s="90">
        <v>0.59</v>
      </c>
      <c r="I1640" s="90">
        <v>0.64</v>
      </c>
      <c r="J1640" s="90" t="s">
        <v>244</v>
      </c>
      <c r="K1640" s="90">
        <v>0.16848881457959999</v>
      </c>
      <c r="L1640" s="90">
        <v>3801.05162863335</v>
      </c>
      <c r="M1640" s="90">
        <v>10.1075764617926</v>
      </c>
      <c r="N1640" s="90">
        <v>1.6394969356650799</v>
      </c>
      <c r="O1640" s="90">
        <v>1.7030135763201399</v>
      </c>
      <c r="P1640" s="90">
        <v>0.27623689519709999</v>
      </c>
      <c r="Q1640" s="90">
        <v>640.43468306430702</v>
      </c>
      <c r="R1640" s="90">
        <v>1450</v>
      </c>
      <c r="S1640" s="90" t="s">
        <v>391</v>
      </c>
      <c r="T1640" s="90">
        <v>1450</v>
      </c>
      <c r="U1640" s="90" t="s">
        <v>378</v>
      </c>
      <c r="V1640" s="90" t="s">
        <v>244</v>
      </c>
      <c r="Z1640" s="90">
        <v>0</v>
      </c>
      <c r="AA1640" s="90">
        <v>1</v>
      </c>
      <c r="AB1640" s="90">
        <v>1.7030135763201399</v>
      </c>
      <c r="AC1640" s="90">
        <v>0.27623689519709999</v>
      </c>
      <c r="AD1640" s="90">
        <v>886.35468689064601</v>
      </c>
      <c r="AF1640" s="90">
        <v>-1</v>
      </c>
      <c r="AG1640" s="90">
        <v>-1</v>
      </c>
      <c r="AH1640" s="90">
        <v>-1</v>
      </c>
      <c r="AI1640" s="90">
        <v>-1</v>
      </c>
      <c r="AJ1640" s="90">
        <v>0</v>
      </c>
      <c r="AM1640" s="90" t="s">
        <v>379</v>
      </c>
      <c r="AN1640" s="90">
        <v>-1</v>
      </c>
      <c r="AQ1640" s="90">
        <v>357</v>
      </c>
      <c r="AR1640" s="90" t="s">
        <v>405</v>
      </c>
      <c r="AS1640" s="90" t="s">
        <v>406</v>
      </c>
      <c r="AT1640" s="90" t="s">
        <v>244</v>
      </c>
      <c r="AU1640" s="90">
        <v>122.34610000000001</v>
      </c>
      <c r="AV1640" s="90">
        <v>109.108548286969</v>
      </c>
      <c r="AW1640" s="90">
        <v>681.85004138403303</v>
      </c>
      <c r="AX1640" s="90">
        <v>0.7188602489</v>
      </c>
    </row>
    <row r="1641" spans="1:50" x14ac:dyDescent="0.25">
      <c r="A1641" s="102">
        <v>830000</v>
      </c>
      <c r="B1641" s="102">
        <v>2400000</v>
      </c>
      <c r="C1641" s="102">
        <v>2400000</v>
      </c>
      <c r="D1641" s="90" t="s">
        <v>374</v>
      </c>
      <c r="E1641" s="90" t="s">
        <v>68</v>
      </c>
      <c r="F1641" s="90" t="s">
        <v>375</v>
      </c>
      <c r="G1641" s="90" t="s">
        <v>376</v>
      </c>
      <c r="H1641" s="90">
        <v>0.59</v>
      </c>
      <c r="I1641" s="90">
        <v>0.64</v>
      </c>
      <c r="J1641" s="90" t="s">
        <v>244</v>
      </c>
      <c r="K1641" s="90">
        <v>0.18032421440204</v>
      </c>
      <c r="L1641" s="90">
        <v>3674.8611068390201</v>
      </c>
      <c r="M1641" s="90">
        <v>9.5466294984259292</v>
      </c>
      <c r="N1641" s="90">
        <v>1.5343691106234201</v>
      </c>
      <c r="O1641" s="90">
        <v>1.72148846449101</v>
      </c>
      <c r="P1641" s="90">
        <v>0.27668390447593</v>
      </c>
      <c r="Q1641" s="90">
        <v>662.66644212736503</v>
      </c>
      <c r="R1641" s="90">
        <v>1200</v>
      </c>
      <c r="S1641" s="90" t="s">
        <v>384</v>
      </c>
      <c r="T1641" s="90">
        <v>1200</v>
      </c>
      <c r="U1641" s="90" t="s">
        <v>378</v>
      </c>
      <c r="V1641" s="90" t="s">
        <v>244</v>
      </c>
      <c r="Z1641" s="90">
        <v>0</v>
      </c>
      <c r="AA1641" s="90">
        <v>1</v>
      </c>
      <c r="AB1641" s="90">
        <v>1.72148846449101</v>
      </c>
      <c r="AC1641" s="90">
        <v>0.27668390447593</v>
      </c>
      <c r="AD1641" s="90">
        <v>662.66644212736503</v>
      </c>
      <c r="AF1641" s="90">
        <v>-1</v>
      </c>
      <c r="AG1641" s="90">
        <v>-1</v>
      </c>
      <c r="AH1641" s="90">
        <v>-1</v>
      </c>
      <c r="AI1641" s="90">
        <v>-1</v>
      </c>
      <c r="AJ1641" s="90">
        <v>0</v>
      </c>
      <c r="AM1641" s="90" t="s">
        <v>379</v>
      </c>
      <c r="AN1641" s="90">
        <v>-1</v>
      </c>
      <c r="AQ1641" s="90">
        <v>357</v>
      </c>
      <c r="AR1641" s="90" t="s">
        <v>405</v>
      </c>
      <c r="AS1641" s="90" t="s">
        <v>406</v>
      </c>
      <c r="AT1641" s="90" t="s">
        <v>244</v>
      </c>
      <c r="AU1641" s="90">
        <v>122.34610000000001</v>
      </c>
      <c r="AV1641" s="90">
        <v>150.973660613856</v>
      </c>
      <c r="AW1641" s="90">
        <v>729.74620516713901</v>
      </c>
      <c r="AX1641" s="90">
        <v>0.53744236990000005</v>
      </c>
    </row>
    <row r="1642" spans="1:50" x14ac:dyDescent="0.25">
      <c r="A1642" s="102">
        <v>830000</v>
      </c>
      <c r="B1642" s="102">
        <v>2400000</v>
      </c>
      <c r="C1642" s="102">
        <v>2400000</v>
      </c>
      <c r="D1642" s="90" t="s">
        <v>374</v>
      </c>
      <c r="E1642" s="90" t="s">
        <v>68</v>
      </c>
      <c r="F1642" s="90" t="s">
        <v>375</v>
      </c>
      <c r="G1642" s="90" t="s">
        <v>376</v>
      </c>
      <c r="H1642" s="90">
        <v>0.59</v>
      </c>
      <c r="I1642" s="90">
        <v>0.64</v>
      </c>
      <c r="J1642" s="90" t="s">
        <v>244</v>
      </c>
      <c r="K1642" s="90">
        <v>0.10657774714357</v>
      </c>
      <c r="L1642" s="90">
        <v>3674.8611068390201</v>
      </c>
      <c r="M1642" s="90">
        <v>9.5466294984259292</v>
      </c>
      <c r="N1642" s="90">
        <v>1.5343691106234201</v>
      </c>
      <c r="O1642" s="90">
        <v>1.0174582647566299</v>
      </c>
      <c r="P1642" s="90">
        <v>0.16352960309692999</v>
      </c>
      <c r="Q1642" s="90">
        <v>391.65841783244701</v>
      </c>
      <c r="R1642" s="90">
        <v>1300</v>
      </c>
      <c r="S1642" s="90" t="s">
        <v>387</v>
      </c>
      <c r="T1642" s="90">
        <v>1300</v>
      </c>
      <c r="U1642" s="90" t="s">
        <v>378</v>
      </c>
      <c r="V1642" s="90" t="s">
        <v>244</v>
      </c>
      <c r="Z1642" s="90">
        <v>0</v>
      </c>
      <c r="AA1642" s="90">
        <v>1</v>
      </c>
      <c r="AB1642" s="90">
        <v>1.0174582647566299</v>
      </c>
      <c r="AC1642" s="90">
        <v>0.16352960309692999</v>
      </c>
      <c r="AD1642" s="90">
        <v>391.65841783244701</v>
      </c>
      <c r="AF1642" s="90">
        <v>-1</v>
      </c>
      <c r="AG1642" s="90">
        <v>-1</v>
      </c>
      <c r="AH1642" s="90">
        <v>-1</v>
      </c>
      <c r="AI1642" s="90">
        <v>-1</v>
      </c>
      <c r="AJ1642" s="90">
        <v>0</v>
      </c>
      <c r="AM1642" s="90" t="s">
        <v>379</v>
      </c>
      <c r="AN1642" s="90">
        <v>-1</v>
      </c>
      <c r="AQ1642" s="90">
        <v>357</v>
      </c>
      <c r="AR1642" s="90" t="s">
        <v>405</v>
      </c>
      <c r="AS1642" s="90" t="s">
        <v>406</v>
      </c>
      <c r="AT1642" s="90" t="s">
        <v>244</v>
      </c>
      <c r="AU1642" s="90">
        <v>122.34610000000001</v>
      </c>
      <c r="AV1642" s="90">
        <v>117.931392426607</v>
      </c>
      <c r="AW1642" s="90">
        <v>431.30484051290102</v>
      </c>
      <c r="AX1642" s="90">
        <v>0.31764672980000003</v>
      </c>
    </row>
    <row r="1643" spans="1:50" x14ac:dyDescent="0.25">
      <c r="A1643" s="102">
        <v>830000</v>
      </c>
      <c r="B1643" s="102">
        <v>2400000</v>
      </c>
      <c r="C1643" s="102">
        <v>2400000</v>
      </c>
      <c r="D1643" s="90" t="s">
        <v>374</v>
      </c>
      <c r="E1643" s="90" t="s">
        <v>68</v>
      </c>
      <c r="F1643" s="90" t="s">
        <v>375</v>
      </c>
      <c r="G1643" s="90" t="s">
        <v>376</v>
      </c>
      <c r="H1643" s="90">
        <v>0.59</v>
      </c>
      <c r="I1643" s="90">
        <v>0.64</v>
      </c>
      <c r="J1643" s="90" t="s">
        <v>244</v>
      </c>
      <c r="K1643" s="90">
        <v>8.922491280823E-2</v>
      </c>
      <c r="L1643" s="90">
        <v>3674.8611068390201</v>
      </c>
      <c r="M1643" s="90">
        <v>9.5466294984259292</v>
      </c>
      <c r="N1643" s="90">
        <v>1.5343691106234201</v>
      </c>
      <c r="O1643" s="90">
        <v>0.85179718460957998</v>
      </c>
      <c r="P1643" s="90">
        <v>0.13690395011102</v>
      </c>
      <c r="Q1643" s="90">
        <v>327.889161840089</v>
      </c>
      <c r="R1643" s="90">
        <v>1210</v>
      </c>
      <c r="S1643" s="90" t="s">
        <v>385</v>
      </c>
      <c r="T1643" s="90">
        <v>1210</v>
      </c>
      <c r="U1643" s="90" t="s">
        <v>378</v>
      </c>
      <c r="V1643" s="90" t="s">
        <v>244</v>
      </c>
      <c r="Z1643" s="90">
        <v>0</v>
      </c>
      <c r="AA1643" s="90">
        <v>1</v>
      </c>
      <c r="AB1643" s="90">
        <v>0.85179718460957998</v>
      </c>
      <c r="AC1643" s="90">
        <v>0.13690395011102</v>
      </c>
      <c r="AD1643" s="90">
        <v>327.88916184008798</v>
      </c>
      <c r="AF1643" s="90">
        <v>-1</v>
      </c>
      <c r="AG1643" s="90">
        <v>-1</v>
      </c>
      <c r="AH1643" s="90">
        <v>-1</v>
      </c>
      <c r="AI1643" s="90">
        <v>-1</v>
      </c>
      <c r="AJ1643" s="90">
        <v>0</v>
      </c>
      <c r="AM1643" s="90" t="s">
        <v>379</v>
      </c>
      <c r="AN1643" s="90">
        <v>-1</v>
      </c>
      <c r="AQ1643" s="90">
        <v>357</v>
      </c>
      <c r="AR1643" s="90" t="s">
        <v>405</v>
      </c>
      <c r="AS1643" s="90" t="s">
        <v>406</v>
      </c>
      <c r="AT1643" s="90" t="s">
        <v>244</v>
      </c>
      <c r="AU1643" s="90">
        <v>122.34610000000001</v>
      </c>
      <c r="AV1643" s="90">
        <v>82.963516426898494</v>
      </c>
      <c r="AW1643" s="90">
        <v>361.08041143608801</v>
      </c>
      <c r="AX1643" s="90">
        <v>0.26592794959999999</v>
      </c>
    </row>
    <row r="1644" spans="1:50" x14ac:dyDescent="0.25">
      <c r="A1644" s="102">
        <v>830000</v>
      </c>
      <c r="B1644" s="102">
        <v>2400000</v>
      </c>
      <c r="C1644" s="102">
        <v>2400000</v>
      </c>
      <c r="D1644" s="90" t="s">
        <v>374</v>
      </c>
      <c r="E1644" s="90" t="s">
        <v>68</v>
      </c>
      <c r="F1644" s="90" t="s">
        <v>375</v>
      </c>
      <c r="G1644" s="90" t="s">
        <v>376</v>
      </c>
      <c r="H1644" s="90">
        <v>0.59</v>
      </c>
      <c r="I1644" s="90">
        <v>0.64</v>
      </c>
      <c r="J1644" s="90" t="s">
        <v>244</v>
      </c>
      <c r="K1644" s="90">
        <v>2.3840138483679999E-2</v>
      </c>
      <c r="L1644" s="90">
        <v>3674.8611068390201</v>
      </c>
      <c r="M1644" s="90">
        <v>9.5466294984259292</v>
      </c>
      <c r="N1644" s="90">
        <v>1.5343691106234201</v>
      </c>
      <c r="O1644" s="90">
        <v>0.22759296929492001</v>
      </c>
      <c r="P1644" s="90">
        <v>3.657957208235E-2</v>
      </c>
      <c r="Q1644" s="90">
        <v>87.609197695357494</v>
      </c>
      <c r="R1644" s="90">
        <v>1210</v>
      </c>
      <c r="S1644" s="90" t="s">
        <v>385</v>
      </c>
      <c r="T1644" s="90">
        <v>1210</v>
      </c>
      <c r="U1644" s="90" t="s">
        <v>378</v>
      </c>
      <c r="V1644" s="90" t="s">
        <v>244</v>
      </c>
      <c r="Z1644" s="90">
        <v>0</v>
      </c>
      <c r="AA1644" s="90">
        <v>1</v>
      </c>
      <c r="AB1644" s="90">
        <v>0.22759296929492001</v>
      </c>
      <c r="AC1644" s="90">
        <v>3.657957208235E-2</v>
      </c>
      <c r="AD1644" s="90">
        <v>87.609197695357196</v>
      </c>
      <c r="AF1644" s="90">
        <v>-1</v>
      </c>
      <c r="AG1644" s="90">
        <v>-1</v>
      </c>
      <c r="AH1644" s="90">
        <v>-1</v>
      </c>
      <c r="AI1644" s="90">
        <v>-1</v>
      </c>
      <c r="AJ1644" s="90">
        <v>0</v>
      </c>
      <c r="AM1644" s="90" t="s">
        <v>379</v>
      </c>
      <c r="AN1644" s="90">
        <v>-1</v>
      </c>
      <c r="AQ1644" s="90">
        <v>357</v>
      </c>
      <c r="AR1644" s="90" t="s">
        <v>405</v>
      </c>
      <c r="AS1644" s="90" t="s">
        <v>406</v>
      </c>
      <c r="AT1644" s="90" t="s">
        <v>244</v>
      </c>
      <c r="AU1644" s="90">
        <v>122.34610000000001</v>
      </c>
      <c r="AV1644" s="90">
        <v>44.8379336322947</v>
      </c>
      <c r="AW1644" s="90">
        <v>96.477617533613795</v>
      </c>
      <c r="AX1644" s="90">
        <v>7.1053688300000001E-2</v>
      </c>
    </row>
    <row r="1645" spans="1:50" x14ac:dyDescent="0.25">
      <c r="A1645" s="102">
        <v>830000</v>
      </c>
      <c r="B1645" s="102">
        <v>2400000</v>
      </c>
      <c r="C1645" s="102">
        <v>2400000</v>
      </c>
      <c r="D1645" s="90" t="s">
        <v>374</v>
      </c>
      <c r="E1645" s="90" t="s">
        <v>68</v>
      </c>
      <c r="F1645" s="90" t="s">
        <v>375</v>
      </c>
      <c r="G1645" s="90" t="s">
        <v>376</v>
      </c>
      <c r="H1645" s="90">
        <v>0.59</v>
      </c>
      <c r="I1645" s="90">
        <v>0.64</v>
      </c>
      <c r="J1645" s="90" t="s">
        <v>244</v>
      </c>
      <c r="K1645" s="90">
        <v>0.20322641136686001</v>
      </c>
      <c r="L1645" s="90">
        <v>3682.2158959221001</v>
      </c>
      <c r="M1645" s="90">
        <v>9.5039214208394291</v>
      </c>
      <c r="N1645" s="90">
        <v>1.5075840882663301</v>
      </c>
      <c r="O1645" s="90">
        <v>1.93144784426984</v>
      </c>
      <c r="P1645" s="90">
        <v>0.30638090409214003</v>
      </c>
      <c r="Q1645" s="90">
        <v>748.32352240626301</v>
      </c>
      <c r="R1645" s="90">
        <v>1200</v>
      </c>
      <c r="S1645" s="90" t="s">
        <v>384</v>
      </c>
      <c r="T1645" s="90">
        <v>1200</v>
      </c>
      <c r="U1645" s="90" t="s">
        <v>378</v>
      </c>
      <c r="V1645" s="90" t="s">
        <v>244</v>
      </c>
      <c r="Z1645" s="90">
        <v>0</v>
      </c>
      <c r="AA1645" s="90">
        <v>1</v>
      </c>
      <c r="AB1645" s="90">
        <v>1.93144784426984</v>
      </c>
      <c r="AC1645" s="90">
        <v>0.30638090409214003</v>
      </c>
      <c r="AD1645" s="90">
        <v>748.32352240626301</v>
      </c>
      <c r="AF1645" s="90">
        <v>-1</v>
      </c>
      <c r="AG1645" s="90">
        <v>-1</v>
      </c>
      <c r="AH1645" s="90">
        <v>-1</v>
      </c>
      <c r="AI1645" s="90">
        <v>-1</v>
      </c>
      <c r="AJ1645" s="90">
        <v>0</v>
      </c>
      <c r="AM1645" s="90" t="s">
        <v>379</v>
      </c>
      <c r="AN1645" s="90">
        <v>-1</v>
      </c>
      <c r="AQ1645" s="90">
        <v>357</v>
      </c>
      <c r="AR1645" s="90" t="s">
        <v>405</v>
      </c>
      <c r="AS1645" s="90" t="s">
        <v>406</v>
      </c>
      <c r="AT1645" s="90" t="s">
        <v>244</v>
      </c>
      <c r="AU1645" s="90">
        <v>122.34610000000001</v>
      </c>
      <c r="AV1645" s="90">
        <v>163.329103752355</v>
      </c>
      <c r="AW1645" s="90">
        <v>822.42810804129101</v>
      </c>
      <c r="AX1645" s="90">
        <v>0.60691283240000005</v>
      </c>
    </row>
    <row r="1646" spans="1:50" x14ac:dyDescent="0.25">
      <c r="A1646" s="102">
        <v>830000</v>
      </c>
      <c r="B1646" s="102">
        <v>2400000</v>
      </c>
      <c r="C1646" s="102">
        <v>2400000</v>
      </c>
      <c r="D1646" s="90" t="s">
        <v>374</v>
      </c>
      <c r="E1646" s="90" t="s">
        <v>68</v>
      </c>
      <c r="F1646" s="90" t="s">
        <v>375</v>
      </c>
      <c r="G1646" s="90" t="s">
        <v>376</v>
      </c>
      <c r="H1646" s="90">
        <v>0.59</v>
      </c>
      <c r="I1646" s="90">
        <v>0.64</v>
      </c>
      <c r="J1646" s="90" t="s">
        <v>244</v>
      </c>
      <c r="K1646" s="90">
        <v>0.11746510028279999</v>
      </c>
      <c r="L1646" s="90">
        <v>3682.2158959221001</v>
      </c>
      <c r="M1646" s="90">
        <v>9.5039214208394291</v>
      </c>
      <c r="N1646" s="90">
        <v>1.5075840882663301</v>
      </c>
      <c r="O1646" s="90">
        <v>1.1163790827787901</v>
      </c>
      <c r="P1646" s="90">
        <v>0.17708851611296</v>
      </c>
      <c r="Q1646" s="90">
        <v>432.53185947742401</v>
      </c>
      <c r="R1646" s="90">
        <v>1300</v>
      </c>
      <c r="S1646" s="90" t="s">
        <v>387</v>
      </c>
      <c r="T1646" s="90">
        <v>1300</v>
      </c>
      <c r="U1646" s="90" t="s">
        <v>378</v>
      </c>
      <c r="V1646" s="90" t="s">
        <v>244</v>
      </c>
      <c r="Z1646" s="90">
        <v>0</v>
      </c>
      <c r="AA1646" s="90">
        <v>1</v>
      </c>
      <c r="AB1646" s="90">
        <v>1.1163790827787901</v>
      </c>
      <c r="AC1646" s="90">
        <v>0.17708851611296</v>
      </c>
      <c r="AD1646" s="90">
        <v>432.53185947742401</v>
      </c>
      <c r="AF1646" s="90">
        <v>-1</v>
      </c>
      <c r="AG1646" s="90">
        <v>-1</v>
      </c>
      <c r="AH1646" s="90">
        <v>-1</v>
      </c>
      <c r="AI1646" s="90">
        <v>-1</v>
      </c>
      <c r="AJ1646" s="90">
        <v>0</v>
      </c>
      <c r="AM1646" s="90" t="s">
        <v>379</v>
      </c>
      <c r="AN1646" s="90">
        <v>-1</v>
      </c>
      <c r="AQ1646" s="90">
        <v>357</v>
      </c>
      <c r="AR1646" s="90" t="s">
        <v>405</v>
      </c>
      <c r="AS1646" s="90" t="s">
        <v>406</v>
      </c>
      <c r="AT1646" s="90" t="s">
        <v>244</v>
      </c>
      <c r="AU1646" s="90">
        <v>122.34610000000001</v>
      </c>
      <c r="AV1646" s="90">
        <v>119.60753026089201</v>
      </c>
      <c r="AW1646" s="90">
        <v>475.36439548732602</v>
      </c>
      <c r="AX1646" s="90">
        <v>0.35079631750000001</v>
      </c>
    </row>
    <row r="1647" spans="1:50" x14ac:dyDescent="0.25">
      <c r="A1647" s="102">
        <v>830000</v>
      </c>
      <c r="B1647" s="102">
        <v>2400000</v>
      </c>
      <c r="C1647" s="102">
        <v>2400000</v>
      </c>
      <c r="D1647" s="90" t="s">
        <v>374</v>
      </c>
      <c r="E1647" s="90" t="s">
        <v>68</v>
      </c>
      <c r="F1647" s="90" t="s">
        <v>375</v>
      </c>
      <c r="G1647" s="90" t="s">
        <v>376</v>
      </c>
      <c r="H1647" s="90">
        <v>0.59</v>
      </c>
      <c r="I1647" s="90">
        <v>0.64</v>
      </c>
      <c r="J1647" s="90" t="s">
        <v>244</v>
      </c>
      <c r="K1647" s="90">
        <v>1.5958434915350001E-2</v>
      </c>
      <c r="L1647" s="90">
        <v>3682.2158959221001</v>
      </c>
      <c r="M1647" s="90">
        <v>9.5039214208394291</v>
      </c>
      <c r="N1647" s="90">
        <v>1.5075840882663301</v>
      </c>
      <c r="O1647" s="90">
        <v>0.15166771143506999</v>
      </c>
      <c r="P1647" s="90">
        <v>2.4058682552010002E-2</v>
      </c>
      <c r="Q1647" s="90">
        <v>58.762402719343697</v>
      </c>
      <c r="R1647" s="90">
        <v>1210</v>
      </c>
      <c r="S1647" s="90" t="s">
        <v>385</v>
      </c>
      <c r="T1647" s="90">
        <v>1210</v>
      </c>
      <c r="U1647" s="90" t="s">
        <v>378</v>
      </c>
      <c r="V1647" s="90" t="s">
        <v>244</v>
      </c>
      <c r="Z1647" s="90">
        <v>0</v>
      </c>
      <c r="AA1647" s="90">
        <v>1</v>
      </c>
      <c r="AB1647" s="90">
        <v>0.15166771143506999</v>
      </c>
      <c r="AC1647" s="90">
        <v>2.4058682552010002E-2</v>
      </c>
      <c r="AD1647" s="90">
        <v>58.762402719345502</v>
      </c>
      <c r="AF1647" s="90">
        <v>-1</v>
      </c>
      <c r="AG1647" s="90">
        <v>-1</v>
      </c>
      <c r="AH1647" s="90">
        <v>-1</v>
      </c>
      <c r="AI1647" s="90">
        <v>-1</v>
      </c>
      <c r="AJ1647" s="90">
        <v>0</v>
      </c>
      <c r="AM1647" s="90" t="s">
        <v>379</v>
      </c>
      <c r="AN1647" s="90">
        <v>-1</v>
      </c>
      <c r="AQ1647" s="90">
        <v>357</v>
      </c>
      <c r="AR1647" s="90" t="s">
        <v>405</v>
      </c>
      <c r="AS1647" s="90" t="s">
        <v>406</v>
      </c>
      <c r="AT1647" s="90" t="s">
        <v>244</v>
      </c>
      <c r="AU1647" s="90">
        <v>122.34610000000001</v>
      </c>
      <c r="AV1647" s="90">
        <v>46.951358638725402</v>
      </c>
      <c r="AW1647" s="90">
        <v>64.581494828642505</v>
      </c>
      <c r="AX1647" s="90">
        <v>4.7658072000000003E-2</v>
      </c>
    </row>
    <row r="1648" spans="1:50" x14ac:dyDescent="0.25">
      <c r="A1648" s="102">
        <v>830000</v>
      </c>
      <c r="B1648" s="102">
        <v>2400000</v>
      </c>
      <c r="C1648" s="102">
        <v>2400000</v>
      </c>
      <c r="D1648" s="90" t="s">
        <v>374</v>
      </c>
      <c r="E1648" s="90" t="s">
        <v>68</v>
      </c>
      <c r="F1648" s="90" t="s">
        <v>375</v>
      </c>
      <c r="G1648" s="90" t="s">
        <v>376</v>
      </c>
      <c r="H1648" s="90">
        <v>0.59</v>
      </c>
      <c r="I1648" s="90">
        <v>0.64</v>
      </c>
      <c r="J1648" s="90" t="s">
        <v>244</v>
      </c>
      <c r="K1648" s="90">
        <v>0.1874932705914</v>
      </c>
      <c r="L1648" s="90">
        <v>3682.2158959221001</v>
      </c>
      <c r="M1648" s="90">
        <v>9.5039214208394291</v>
      </c>
      <c r="N1648" s="90">
        <v>1.5075840882663301</v>
      </c>
      <c r="O1648" s="90">
        <v>1.7819213106368601</v>
      </c>
      <c r="P1648" s="90">
        <v>0.28266187140061</v>
      </c>
      <c r="Q1648" s="90">
        <v>690.39070135008001</v>
      </c>
      <c r="R1648" s="90">
        <v>1210</v>
      </c>
      <c r="S1648" s="90" t="s">
        <v>385</v>
      </c>
      <c r="T1648" s="90">
        <v>1210</v>
      </c>
      <c r="U1648" s="90" t="s">
        <v>378</v>
      </c>
      <c r="V1648" s="90" t="s">
        <v>244</v>
      </c>
      <c r="Z1648" s="90">
        <v>0</v>
      </c>
      <c r="AA1648" s="90">
        <v>1</v>
      </c>
      <c r="AB1648" s="90">
        <v>1.7819213106368601</v>
      </c>
      <c r="AC1648" s="90">
        <v>0.28266187140061</v>
      </c>
      <c r="AD1648" s="90">
        <v>690.39070135008001</v>
      </c>
      <c r="AF1648" s="90">
        <v>-1</v>
      </c>
      <c r="AG1648" s="90">
        <v>-1</v>
      </c>
      <c r="AH1648" s="90">
        <v>-1</v>
      </c>
      <c r="AI1648" s="90">
        <v>-1</v>
      </c>
      <c r="AJ1648" s="90">
        <v>0</v>
      </c>
      <c r="AM1648" s="90" t="s">
        <v>379</v>
      </c>
      <c r="AN1648" s="90">
        <v>-1</v>
      </c>
      <c r="AQ1648" s="90">
        <v>357</v>
      </c>
      <c r="AR1648" s="90" t="s">
        <v>405</v>
      </c>
      <c r="AS1648" s="90" t="s">
        <v>406</v>
      </c>
      <c r="AT1648" s="90" t="s">
        <v>244</v>
      </c>
      <c r="AU1648" s="90">
        <v>122.34610000000001</v>
      </c>
      <c r="AV1648" s="90">
        <v>111.407100223228</v>
      </c>
      <c r="AW1648" s="90">
        <v>758.758346249591</v>
      </c>
      <c r="AX1648" s="90">
        <v>0.55992757609999999</v>
      </c>
    </row>
    <row r="1649" spans="1:50" x14ac:dyDescent="0.25">
      <c r="A1649" s="102">
        <v>830000</v>
      </c>
      <c r="B1649" s="102">
        <v>2400000</v>
      </c>
      <c r="C1649" s="102">
        <v>2400000</v>
      </c>
      <c r="D1649" s="90" t="s">
        <v>374</v>
      </c>
      <c r="E1649" s="90" t="s">
        <v>68</v>
      </c>
      <c r="F1649" s="90" t="s">
        <v>375</v>
      </c>
      <c r="G1649" s="90" t="s">
        <v>376</v>
      </c>
      <c r="H1649" s="90">
        <v>0.59</v>
      </c>
      <c r="I1649" s="90">
        <v>0.64</v>
      </c>
      <c r="J1649" s="90" t="s">
        <v>244</v>
      </c>
      <c r="K1649" s="90">
        <v>0.37650171705462998</v>
      </c>
      <c r="L1649" s="90">
        <v>3676.3920478272498</v>
      </c>
      <c r="M1649" s="90">
        <v>9.2990608663647798</v>
      </c>
      <c r="N1649" s="90">
        <v>1.3572707127053401</v>
      </c>
      <c r="O1649" s="90">
        <v>3.50111238318188</v>
      </c>
      <c r="P1649" s="90">
        <v>0.51101475384151995</v>
      </c>
      <c r="Q1649" s="90">
        <v>1384.1679185729499</v>
      </c>
      <c r="R1649" s="90">
        <v>1200</v>
      </c>
      <c r="S1649" s="90" t="s">
        <v>384</v>
      </c>
      <c r="T1649" s="90">
        <v>1200</v>
      </c>
      <c r="U1649" s="90" t="s">
        <v>378</v>
      </c>
      <c r="V1649" s="90" t="s">
        <v>244</v>
      </c>
      <c r="Z1649" s="90">
        <v>0</v>
      </c>
      <c r="AA1649" s="90">
        <v>1</v>
      </c>
      <c r="AB1649" s="90">
        <v>3.50111238318188</v>
      </c>
      <c r="AC1649" s="90">
        <v>0.51101475384151995</v>
      </c>
      <c r="AD1649" s="90">
        <v>1384.1679185729499</v>
      </c>
      <c r="AF1649" s="90">
        <v>-1</v>
      </c>
      <c r="AG1649" s="90">
        <v>-1</v>
      </c>
      <c r="AH1649" s="90">
        <v>-1</v>
      </c>
      <c r="AI1649" s="90">
        <v>-1</v>
      </c>
      <c r="AJ1649" s="90">
        <v>0</v>
      </c>
      <c r="AM1649" s="90" t="s">
        <v>379</v>
      </c>
      <c r="AN1649" s="90">
        <v>-1</v>
      </c>
      <c r="AQ1649" s="90">
        <v>357</v>
      </c>
      <c r="AR1649" s="90" t="s">
        <v>405</v>
      </c>
      <c r="AS1649" s="90" t="s">
        <v>406</v>
      </c>
      <c r="AT1649" s="90" t="s">
        <v>244</v>
      </c>
      <c r="AU1649" s="90">
        <v>122.34610000000001</v>
      </c>
      <c r="AV1649" s="90">
        <v>161.307601309516</v>
      </c>
      <c r="AW1649" s="90">
        <v>1523.64839170716</v>
      </c>
      <c r="AX1649" s="90">
        <v>1.1226017182000001</v>
      </c>
    </row>
    <row r="1650" spans="1:50" x14ac:dyDescent="0.25">
      <c r="A1650" s="102">
        <v>830000</v>
      </c>
      <c r="B1650" s="102">
        <v>2400000</v>
      </c>
      <c r="C1650" s="102">
        <v>2400000</v>
      </c>
      <c r="D1650" s="90" t="s">
        <v>374</v>
      </c>
      <c r="E1650" s="90" t="s">
        <v>68</v>
      </c>
      <c r="F1650" s="90" t="s">
        <v>375</v>
      </c>
      <c r="G1650" s="90" t="s">
        <v>376</v>
      </c>
      <c r="H1650" s="90">
        <v>0.59</v>
      </c>
      <c r="I1650" s="90">
        <v>0.64</v>
      </c>
      <c r="J1650" s="90" t="s">
        <v>244</v>
      </c>
      <c r="K1650" s="90">
        <v>3.7296307790239999E-2</v>
      </c>
      <c r="L1650" s="90">
        <v>3676.3920478272498</v>
      </c>
      <c r="M1650" s="90">
        <v>9.2990608663647798</v>
      </c>
      <c r="N1650" s="90">
        <v>1.3572707127053401</v>
      </c>
      <c r="O1650" s="90">
        <v>0.34682063623213999</v>
      </c>
      <c r="P1650" s="90">
        <v>5.0621186255739997E-2</v>
      </c>
      <c r="Q1650" s="90">
        <v>137.11584937336599</v>
      </c>
      <c r="R1650" s="90">
        <v>1400</v>
      </c>
      <c r="S1650" s="90" t="s">
        <v>324</v>
      </c>
      <c r="T1650" s="90">
        <v>1400</v>
      </c>
      <c r="U1650" s="90" t="s">
        <v>378</v>
      </c>
      <c r="V1650" s="90" t="s">
        <v>244</v>
      </c>
      <c r="Z1650" s="90">
        <v>0</v>
      </c>
      <c r="AA1650" s="90">
        <v>1</v>
      </c>
      <c r="AB1650" s="90">
        <v>0.34682063623213999</v>
      </c>
      <c r="AC1650" s="90">
        <v>5.0621186255739997E-2</v>
      </c>
      <c r="AD1650" s="90">
        <v>137.11584937336801</v>
      </c>
      <c r="AF1650" s="90">
        <v>-1</v>
      </c>
      <c r="AG1650" s="90">
        <v>-1</v>
      </c>
      <c r="AH1650" s="90">
        <v>-1</v>
      </c>
      <c r="AI1650" s="90">
        <v>-1</v>
      </c>
      <c r="AJ1650" s="90">
        <v>0</v>
      </c>
      <c r="AM1650" s="90" t="s">
        <v>379</v>
      </c>
      <c r="AN1650" s="90">
        <v>-1</v>
      </c>
      <c r="AQ1650" s="90">
        <v>357</v>
      </c>
      <c r="AR1650" s="90" t="s">
        <v>405</v>
      </c>
      <c r="AS1650" s="90" t="s">
        <v>406</v>
      </c>
      <c r="AT1650" s="90" t="s">
        <v>244</v>
      </c>
      <c r="AU1650" s="90">
        <v>122.34610000000001</v>
      </c>
      <c r="AV1650" s="90">
        <v>106.059893615715</v>
      </c>
      <c r="AW1650" s="90">
        <v>150.93280271275299</v>
      </c>
      <c r="AX1650" s="90">
        <v>0.1112050684</v>
      </c>
    </row>
    <row r="1651" spans="1:50" x14ac:dyDescent="0.25">
      <c r="A1651" s="102">
        <v>830000</v>
      </c>
      <c r="B1651" s="102">
        <v>2400000</v>
      </c>
      <c r="C1651" s="102">
        <v>2400000</v>
      </c>
      <c r="D1651" s="90" t="s">
        <v>374</v>
      </c>
      <c r="E1651" s="90" t="s">
        <v>68</v>
      </c>
      <c r="F1651" s="90" t="s">
        <v>375</v>
      </c>
      <c r="G1651" s="90" t="s">
        <v>376</v>
      </c>
      <c r="H1651" s="90">
        <v>0.59</v>
      </c>
      <c r="I1651" s="90">
        <v>0.64</v>
      </c>
      <c r="J1651" s="90" t="s">
        <v>244</v>
      </c>
      <c r="K1651" s="90">
        <v>5.8857933520460003E-2</v>
      </c>
      <c r="L1651" s="90">
        <v>3676.3920478272498</v>
      </c>
      <c r="M1651" s="90">
        <v>9.2990608663647798</v>
      </c>
      <c r="N1651" s="90">
        <v>1.3572707127053401</v>
      </c>
      <c r="O1651" s="90">
        <v>0.54732350627520998</v>
      </c>
      <c r="P1651" s="90">
        <v>7.9886149377680002E-2</v>
      </c>
      <c r="Q1651" s="90">
        <v>216.38483874616699</v>
      </c>
      <c r="R1651" s="90">
        <v>1210</v>
      </c>
      <c r="S1651" s="90" t="s">
        <v>385</v>
      </c>
      <c r="T1651" s="90">
        <v>1210</v>
      </c>
      <c r="U1651" s="90" t="s">
        <v>378</v>
      </c>
      <c r="V1651" s="90" t="s">
        <v>244</v>
      </c>
      <c r="Z1651" s="90">
        <v>0</v>
      </c>
      <c r="AA1651" s="90">
        <v>1</v>
      </c>
      <c r="AB1651" s="90">
        <v>0.54732350627520998</v>
      </c>
      <c r="AC1651" s="90">
        <v>7.9886149377680002E-2</v>
      </c>
      <c r="AD1651" s="90">
        <v>216.38483874616901</v>
      </c>
      <c r="AF1651" s="90">
        <v>-1</v>
      </c>
      <c r="AG1651" s="90">
        <v>-1</v>
      </c>
      <c r="AH1651" s="90">
        <v>-1</v>
      </c>
      <c r="AI1651" s="90">
        <v>-1</v>
      </c>
      <c r="AJ1651" s="90">
        <v>0</v>
      </c>
      <c r="AM1651" s="90" t="s">
        <v>379</v>
      </c>
      <c r="AN1651" s="90">
        <v>-1</v>
      </c>
      <c r="AQ1651" s="90">
        <v>357</v>
      </c>
      <c r="AR1651" s="90" t="s">
        <v>405</v>
      </c>
      <c r="AS1651" s="90" t="s">
        <v>406</v>
      </c>
      <c r="AT1651" s="90" t="s">
        <v>244</v>
      </c>
      <c r="AU1651" s="90">
        <v>122.34610000000001</v>
      </c>
      <c r="AV1651" s="90">
        <v>62.948220964539097</v>
      </c>
      <c r="AW1651" s="90">
        <v>238.18960627647101</v>
      </c>
      <c r="AX1651" s="90">
        <v>0.17549459749999999</v>
      </c>
    </row>
    <row r="1652" spans="1:50" x14ac:dyDescent="0.25">
      <c r="A1652" s="102">
        <v>830000</v>
      </c>
      <c r="B1652" s="102">
        <v>2400000</v>
      </c>
      <c r="C1652" s="102">
        <v>2400000</v>
      </c>
      <c r="D1652" s="90" t="s">
        <v>374</v>
      </c>
      <c r="E1652" s="90" t="s">
        <v>68</v>
      </c>
      <c r="F1652" s="90" t="s">
        <v>375</v>
      </c>
      <c r="G1652" s="90" t="s">
        <v>376</v>
      </c>
      <c r="H1652" s="90">
        <v>0.59</v>
      </c>
      <c r="I1652" s="90">
        <v>0.64</v>
      </c>
      <c r="J1652" s="90" t="s">
        <v>244</v>
      </c>
      <c r="K1652" s="90">
        <v>0.10496784206691</v>
      </c>
      <c r="L1652" s="90">
        <v>3676.3920478272498</v>
      </c>
      <c r="M1652" s="90">
        <v>9.2990608663647798</v>
      </c>
      <c r="N1652" s="90">
        <v>1.3572707127053401</v>
      </c>
      <c r="O1652" s="90">
        <v>0.97610235239119003</v>
      </c>
      <c r="P1652" s="90">
        <v>0.1424697778133</v>
      </c>
      <c r="Q1652" s="90">
        <v>385.90293985238901</v>
      </c>
      <c r="R1652" s="90">
        <v>1210</v>
      </c>
      <c r="S1652" s="90" t="s">
        <v>385</v>
      </c>
      <c r="T1652" s="90">
        <v>1210</v>
      </c>
      <c r="U1652" s="90" t="s">
        <v>378</v>
      </c>
      <c r="V1652" s="90" t="s">
        <v>244</v>
      </c>
      <c r="Z1652" s="90">
        <v>0</v>
      </c>
      <c r="AA1652" s="90">
        <v>1</v>
      </c>
      <c r="AB1652" s="90">
        <v>0.97610235239119003</v>
      </c>
      <c r="AC1652" s="90">
        <v>0.1424697778133</v>
      </c>
      <c r="AD1652" s="90">
        <v>385.90293985238901</v>
      </c>
      <c r="AF1652" s="90">
        <v>-1</v>
      </c>
      <c r="AG1652" s="90">
        <v>-1</v>
      </c>
      <c r="AH1652" s="90">
        <v>-1</v>
      </c>
      <c r="AI1652" s="90">
        <v>-1</v>
      </c>
      <c r="AJ1652" s="90">
        <v>0</v>
      </c>
      <c r="AM1652" s="90" t="s">
        <v>379</v>
      </c>
      <c r="AN1652" s="90">
        <v>-1</v>
      </c>
      <c r="AQ1652" s="90">
        <v>357</v>
      </c>
      <c r="AR1652" s="90" t="s">
        <v>405</v>
      </c>
      <c r="AS1652" s="90" t="s">
        <v>406</v>
      </c>
      <c r="AT1652" s="90" t="s">
        <v>244</v>
      </c>
      <c r="AU1652" s="90">
        <v>122.34610000000001</v>
      </c>
      <c r="AV1652" s="90">
        <v>84.743326029917398</v>
      </c>
      <c r="AW1652" s="90">
        <v>424.78978581395899</v>
      </c>
      <c r="AX1652" s="90">
        <v>0.3129788644</v>
      </c>
    </row>
    <row r="1653" spans="1:50" x14ac:dyDescent="0.25">
      <c r="A1653" s="102">
        <v>830000</v>
      </c>
      <c r="B1653" s="102">
        <v>2400000</v>
      </c>
      <c r="C1653" s="102">
        <v>2400000</v>
      </c>
      <c r="D1653" s="90" t="s">
        <v>374</v>
      </c>
      <c r="E1653" s="90" t="s">
        <v>68</v>
      </c>
      <c r="F1653" s="90" t="s">
        <v>375</v>
      </c>
      <c r="G1653" s="90" t="s">
        <v>376</v>
      </c>
      <c r="H1653" s="90">
        <v>0.59</v>
      </c>
      <c r="I1653" s="90">
        <v>0.64</v>
      </c>
      <c r="J1653" s="90" t="s">
        <v>244</v>
      </c>
      <c r="K1653" s="90">
        <v>4.0139653258669999E-2</v>
      </c>
      <c r="L1653" s="90">
        <v>3676.3920478272498</v>
      </c>
      <c r="M1653" s="90">
        <v>9.2990608663647798</v>
      </c>
      <c r="N1653" s="90">
        <v>1.3572707127053401</v>
      </c>
      <c r="O1653" s="90">
        <v>0.3732610788072</v>
      </c>
      <c r="P1653" s="90">
        <v>5.4480375786139998E-2</v>
      </c>
      <c r="Q1653" s="90">
        <v>147.56910204273899</v>
      </c>
      <c r="R1653" s="90">
        <v>1210</v>
      </c>
      <c r="S1653" s="90" t="s">
        <v>385</v>
      </c>
      <c r="T1653" s="90">
        <v>1210</v>
      </c>
      <c r="U1653" s="90" t="s">
        <v>378</v>
      </c>
      <c r="V1653" s="90" t="s">
        <v>244</v>
      </c>
      <c r="Z1653" s="90">
        <v>0</v>
      </c>
      <c r="AA1653" s="90">
        <v>1</v>
      </c>
      <c r="AB1653" s="90">
        <v>0.3732610788072</v>
      </c>
      <c r="AC1653" s="90">
        <v>5.4480375786139998E-2</v>
      </c>
      <c r="AD1653" s="90">
        <v>147.569102042737</v>
      </c>
      <c r="AF1653" s="90">
        <v>-1</v>
      </c>
      <c r="AG1653" s="90">
        <v>-1</v>
      </c>
      <c r="AH1653" s="90">
        <v>-1</v>
      </c>
      <c r="AI1653" s="90">
        <v>-1</v>
      </c>
      <c r="AJ1653" s="90">
        <v>0</v>
      </c>
      <c r="AM1653" s="90" t="s">
        <v>379</v>
      </c>
      <c r="AN1653" s="90">
        <v>-1</v>
      </c>
      <c r="AQ1653" s="90">
        <v>357</v>
      </c>
      <c r="AR1653" s="90" t="s">
        <v>405</v>
      </c>
      <c r="AS1653" s="90" t="s">
        <v>406</v>
      </c>
      <c r="AT1653" s="90" t="s">
        <v>244</v>
      </c>
      <c r="AU1653" s="90">
        <v>122.34610000000001</v>
      </c>
      <c r="AV1653" s="90">
        <v>51.377535644326301</v>
      </c>
      <c r="AW1653" s="90">
        <v>162.43941358277999</v>
      </c>
      <c r="AX1653" s="90">
        <v>0.11968297</v>
      </c>
    </row>
    <row r="1654" spans="1:50" x14ac:dyDescent="0.25">
      <c r="A1654" s="102">
        <v>830000</v>
      </c>
      <c r="B1654" s="102">
        <v>2400000</v>
      </c>
      <c r="C1654" s="102">
        <v>2400000</v>
      </c>
      <c r="D1654" s="90" t="s">
        <v>374</v>
      </c>
      <c r="E1654" s="90" t="s">
        <v>68</v>
      </c>
      <c r="F1654" s="90" t="s">
        <v>375</v>
      </c>
      <c r="G1654" s="90" t="s">
        <v>376</v>
      </c>
      <c r="H1654" s="90">
        <v>0.59</v>
      </c>
      <c r="I1654" s="90">
        <v>0.64</v>
      </c>
      <c r="J1654" s="90" t="s">
        <v>409</v>
      </c>
      <c r="K1654" s="90">
        <v>4.9639680983300002E-2</v>
      </c>
      <c r="L1654" s="90">
        <v>3766.3117338586399</v>
      </c>
      <c r="M1654" s="90">
        <v>9.5704521041222694</v>
      </c>
      <c r="N1654" s="90">
        <v>1.42945307100133</v>
      </c>
      <c r="O1654" s="90">
        <v>0.47507418931459</v>
      </c>
      <c r="P1654" s="90">
        <v>7.0957594425099996E-2</v>
      </c>
      <c r="Q1654" s="90">
        <v>186.95851295240601</v>
      </c>
      <c r="R1654" s="90">
        <v>1300</v>
      </c>
      <c r="S1654" s="90" t="s">
        <v>387</v>
      </c>
      <c r="T1654" s="90">
        <v>1300</v>
      </c>
      <c r="U1654" s="90" t="s">
        <v>409</v>
      </c>
      <c r="V1654" s="90" t="s">
        <v>409</v>
      </c>
      <c r="Z1654" s="90">
        <v>0</v>
      </c>
      <c r="AA1654" s="90">
        <v>1</v>
      </c>
      <c r="AB1654" s="90">
        <v>0.47507418931459</v>
      </c>
      <c r="AC1654" s="90">
        <v>7.0957594425099996E-2</v>
      </c>
      <c r="AD1654" s="90">
        <v>264.912946023112</v>
      </c>
      <c r="AF1654" s="90">
        <v>-1</v>
      </c>
      <c r="AG1654" s="90">
        <v>-1</v>
      </c>
      <c r="AH1654" s="90">
        <v>-1</v>
      </c>
      <c r="AI1654" s="90">
        <v>-1</v>
      </c>
      <c r="AJ1654" s="90">
        <v>0</v>
      </c>
      <c r="AM1654" s="90" t="s">
        <v>379</v>
      </c>
      <c r="AN1654" s="90">
        <v>-1</v>
      </c>
      <c r="AQ1654" s="90">
        <v>357</v>
      </c>
      <c r="AR1654" s="90" t="s">
        <v>405</v>
      </c>
      <c r="AS1654" s="90" t="s">
        <v>406</v>
      </c>
      <c r="AT1654" s="90" t="s">
        <v>244</v>
      </c>
      <c r="AU1654" s="90">
        <v>122.34610000000001</v>
      </c>
      <c r="AV1654" s="90">
        <v>69.634107419838898</v>
      </c>
      <c r="AW1654" s="90">
        <v>200.88466179316001</v>
      </c>
      <c r="AX1654" s="90">
        <v>0.21485234880000001</v>
      </c>
    </row>
    <row r="1655" spans="1:50" x14ac:dyDescent="0.25">
      <c r="A1655" s="102">
        <v>830000</v>
      </c>
      <c r="B1655" s="102">
        <v>2400000</v>
      </c>
      <c r="C1655" s="102">
        <v>2400000</v>
      </c>
      <c r="D1655" s="90" t="s">
        <v>374</v>
      </c>
      <c r="E1655" s="90" t="s">
        <v>68</v>
      </c>
      <c r="F1655" s="90" t="s">
        <v>375</v>
      </c>
      <c r="G1655" s="90" t="s">
        <v>376</v>
      </c>
      <c r="H1655" s="90">
        <v>0.59</v>
      </c>
      <c r="I1655" s="90">
        <v>0.64</v>
      </c>
      <c r="J1655" s="90" t="s">
        <v>244</v>
      </c>
      <c r="K1655" s="90">
        <v>3.4983984061160003E-2</v>
      </c>
      <c r="L1655" s="90">
        <v>3766.3117338586399</v>
      </c>
      <c r="M1655" s="90">
        <v>9.5704521041222694</v>
      </c>
      <c r="N1655" s="90">
        <v>1.42945307100133</v>
      </c>
      <c r="O1655" s="90">
        <v>0.33481254386872</v>
      </c>
      <c r="P1655" s="90">
        <v>5.000796345209E-2</v>
      </c>
      <c r="Q1655" s="90">
        <v>131.76058966667799</v>
      </c>
      <c r="R1655" s="90">
        <v>1300</v>
      </c>
      <c r="S1655" s="90" t="s">
        <v>387</v>
      </c>
      <c r="T1655" s="90">
        <v>1300</v>
      </c>
      <c r="U1655" s="90" t="s">
        <v>378</v>
      </c>
      <c r="V1655" s="90" t="s">
        <v>244</v>
      </c>
      <c r="Z1655" s="90">
        <v>0</v>
      </c>
      <c r="AA1655" s="90">
        <v>1</v>
      </c>
      <c r="AB1655" s="90">
        <v>0.33481254386872</v>
      </c>
      <c r="AC1655" s="90">
        <v>5.000796345209E-2</v>
      </c>
      <c r="AD1655" s="90">
        <v>179.49306419014599</v>
      </c>
      <c r="AF1655" s="90">
        <v>-1</v>
      </c>
      <c r="AG1655" s="90">
        <v>-1</v>
      </c>
      <c r="AH1655" s="90">
        <v>-1</v>
      </c>
      <c r="AI1655" s="90">
        <v>-1</v>
      </c>
      <c r="AJ1655" s="90">
        <v>0</v>
      </c>
      <c r="AM1655" s="90" t="s">
        <v>379</v>
      </c>
      <c r="AN1655" s="90">
        <v>-1</v>
      </c>
      <c r="AQ1655" s="90">
        <v>357</v>
      </c>
      <c r="AR1655" s="90" t="s">
        <v>405</v>
      </c>
      <c r="AS1655" s="90" t="s">
        <v>406</v>
      </c>
      <c r="AT1655" s="90" t="s">
        <v>244</v>
      </c>
      <c r="AU1655" s="90">
        <v>122.34610000000001</v>
      </c>
      <c r="AV1655" s="90">
        <v>66.123337501519103</v>
      </c>
      <c r="AW1655" s="90">
        <v>141.57516057905201</v>
      </c>
      <c r="AX1655" s="90">
        <v>0.14557426130000001</v>
      </c>
    </row>
    <row r="1656" spans="1:50" x14ac:dyDescent="0.25">
      <c r="A1656" s="102">
        <v>830000</v>
      </c>
      <c r="B1656" s="102">
        <v>2400000</v>
      </c>
      <c r="C1656" s="102">
        <v>2400000</v>
      </c>
      <c r="D1656" s="90" t="s">
        <v>374</v>
      </c>
      <c r="E1656" s="90" t="s">
        <v>68</v>
      </c>
      <c r="F1656" s="90" t="s">
        <v>375</v>
      </c>
      <c r="G1656" s="90" t="s">
        <v>376</v>
      </c>
      <c r="H1656" s="90">
        <v>0.59</v>
      </c>
      <c r="I1656" s="90">
        <v>0.64</v>
      </c>
      <c r="J1656" s="90" t="s">
        <v>244</v>
      </c>
      <c r="K1656" s="90">
        <v>1.392692649441E-2</v>
      </c>
      <c r="L1656" s="90">
        <v>3766.3117338586399</v>
      </c>
      <c r="M1656" s="90">
        <v>9.5704521041222694</v>
      </c>
      <c r="N1656" s="90">
        <v>1.42945307100133</v>
      </c>
      <c r="O1656" s="90">
        <v>0.13328698297239999</v>
      </c>
      <c r="P1656" s="90">
        <v>1.990788784704E-2</v>
      </c>
      <c r="Q1656" s="90">
        <v>52.453146672490703</v>
      </c>
      <c r="R1656" s="90">
        <v>1400</v>
      </c>
      <c r="S1656" s="90" t="s">
        <v>324</v>
      </c>
      <c r="T1656" s="90">
        <v>1400</v>
      </c>
      <c r="U1656" s="90" t="s">
        <v>378</v>
      </c>
      <c r="V1656" s="90" t="s">
        <v>244</v>
      </c>
      <c r="Z1656" s="90">
        <v>0</v>
      </c>
      <c r="AA1656" s="90">
        <v>1</v>
      </c>
      <c r="AB1656" s="90">
        <v>0.13328698297239999</v>
      </c>
      <c r="AC1656" s="90">
        <v>1.990788784704E-2</v>
      </c>
      <c r="AD1656" s="90">
        <v>157.62976811027201</v>
      </c>
      <c r="AF1656" s="90">
        <v>-1</v>
      </c>
      <c r="AG1656" s="90">
        <v>-1</v>
      </c>
      <c r="AH1656" s="90">
        <v>-1</v>
      </c>
      <c r="AI1656" s="90">
        <v>-1</v>
      </c>
      <c r="AJ1656" s="90">
        <v>0</v>
      </c>
      <c r="AM1656" s="90" t="s">
        <v>379</v>
      </c>
      <c r="AN1656" s="90">
        <v>-1</v>
      </c>
      <c r="AQ1656" s="90">
        <v>357</v>
      </c>
      <c r="AR1656" s="90" t="s">
        <v>405</v>
      </c>
      <c r="AS1656" s="90" t="s">
        <v>406</v>
      </c>
      <c r="AT1656" s="90" t="s">
        <v>244</v>
      </c>
      <c r="AU1656" s="90">
        <v>122.34610000000001</v>
      </c>
      <c r="AV1656" s="90">
        <v>60.566909286392999</v>
      </c>
      <c r="AW1656" s="90">
        <v>56.360271928202202</v>
      </c>
      <c r="AX1656" s="90">
        <v>0.12784247209999999</v>
      </c>
    </row>
    <row r="1657" spans="1:50" x14ac:dyDescent="0.25">
      <c r="A1657" s="102">
        <v>830000</v>
      </c>
      <c r="B1657" s="102">
        <v>2400000</v>
      </c>
      <c r="C1657" s="102">
        <v>2400000</v>
      </c>
      <c r="D1657" s="90" t="s">
        <v>374</v>
      </c>
      <c r="E1657" s="90" t="s">
        <v>68</v>
      </c>
      <c r="F1657" s="90" t="s">
        <v>375</v>
      </c>
      <c r="G1657" s="90" t="s">
        <v>376</v>
      </c>
      <c r="H1657" s="90">
        <v>0.59</v>
      </c>
      <c r="I1657" s="90">
        <v>0.64</v>
      </c>
      <c r="J1657" s="90" t="s">
        <v>409</v>
      </c>
      <c r="K1657" s="90">
        <v>4.32184327269E-2</v>
      </c>
      <c r="L1657" s="90">
        <v>3766.3117338586399</v>
      </c>
      <c r="M1657" s="90">
        <v>9.5704521041222694</v>
      </c>
      <c r="N1657" s="90">
        <v>1.42945307100133</v>
      </c>
      <c r="O1657" s="90">
        <v>0.41361994042811001</v>
      </c>
      <c r="P1657" s="90">
        <v>6.1778721385339998E-2</v>
      </c>
      <c r="Q1657" s="90">
        <v>162.774090298337</v>
      </c>
      <c r="R1657" s="90">
        <v>1210</v>
      </c>
      <c r="S1657" s="90" t="s">
        <v>385</v>
      </c>
      <c r="T1657" s="90">
        <v>1210</v>
      </c>
      <c r="U1657" s="90" t="s">
        <v>409</v>
      </c>
      <c r="V1657" s="90" t="s">
        <v>409</v>
      </c>
      <c r="Z1657" s="90">
        <v>0</v>
      </c>
      <c r="AA1657" s="90">
        <v>1</v>
      </c>
      <c r="AB1657" s="90">
        <v>0.41361994042811001</v>
      </c>
      <c r="AC1657" s="90">
        <v>6.1778721385339998E-2</v>
      </c>
      <c r="AD1657" s="90">
        <v>162.774090298337</v>
      </c>
      <c r="AF1657" s="90">
        <v>-1</v>
      </c>
      <c r="AG1657" s="90">
        <v>-1</v>
      </c>
      <c r="AH1657" s="90">
        <v>-1</v>
      </c>
      <c r="AI1657" s="90">
        <v>-1</v>
      </c>
      <c r="AJ1657" s="90">
        <v>0</v>
      </c>
      <c r="AM1657" s="90" t="s">
        <v>379</v>
      </c>
      <c r="AN1657" s="90">
        <v>-1</v>
      </c>
      <c r="AQ1657" s="90">
        <v>357</v>
      </c>
      <c r="AR1657" s="90" t="s">
        <v>405</v>
      </c>
      <c r="AS1657" s="90" t="s">
        <v>406</v>
      </c>
      <c r="AT1657" s="90" t="s">
        <v>244</v>
      </c>
      <c r="AU1657" s="90">
        <v>122.34610000000001</v>
      </c>
      <c r="AV1657" s="90">
        <v>52.903276106048999</v>
      </c>
      <c r="AW1657" s="90">
        <v>174.89879204695299</v>
      </c>
      <c r="AX1657" s="90">
        <v>0.13201467180000001</v>
      </c>
    </row>
    <row r="1658" spans="1:50" x14ac:dyDescent="0.25">
      <c r="A1658" s="102">
        <v>830000</v>
      </c>
      <c r="B1658" s="102">
        <v>2400000</v>
      </c>
      <c r="C1658" s="102">
        <v>2400000</v>
      </c>
      <c r="D1658" s="90" t="s">
        <v>374</v>
      </c>
      <c r="E1658" s="90" t="s">
        <v>68</v>
      </c>
      <c r="F1658" s="90" t="s">
        <v>375</v>
      </c>
      <c r="G1658" s="90" t="s">
        <v>376</v>
      </c>
      <c r="H1658" s="90">
        <v>0.59</v>
      </c>
      <c r="I1658" s="90">
        <v>0.64</v>
      </c>
      <c r="J1658" s="90" t="s">
        <v>409</v>
      </c>
      <c r="K1658" s="90">
        <v>4.461873161952E-2</v>
      </c>
      <c r="L1658" s="90">
        <v>3766.3117338586399</v>
      </c>
      <c r="M1658" s="90">
        <v>9.5704521041222694</v>
      </c>
      <c r="N1658" s="90">
        <v>1.42945307100133</v>
      </c>
      <c r="O1658" s="90">
        <v>0.42702143391135999</v>
      </c>
      <c r="P1658" s="90">
        <v>6.3780382937710003E-2</v>
      </c>
      <c r="Q1658" s="90">
        <v>168.04805244850999</v>
      </c>
      <c r="R1658" s="90">
        <v>1210</v>
      </c>
      <c r="S1658" s="90" t="s">
        <v>385</v>
      </c>
      <c r="T1658" s="90">
        <v>1210</v>
      </c>
      <c r="U1658" s="90" t="s">
        <v>409</v>
      </c>
      <c r="V1658" s="90" t="s">
        <v>409</v>
      </c>
      <c r="Z1658" s="90">
        <v>0</v>
      </c>
      <c r="AA1658" s="90">
        <v>1</v>
      </c>
      <c r="AB1658" s="90">
        <v>0.42702143391135999</v>
      </c>
      <c r="AC1658" s="90">
        <v>6.3780382937710003E-2</v>
      </c>
      <c r="AD1658" s="90">
        <v>309.22051104555999</v>
      </c>
      <c r="AF1658" s="90">
        <v>-1</v>
      </c>
      <c r="AG1658" s="90">
        <v>-1</v>
      </c>
      <c r="AH1658" s="90">
        <v>-1</v>
      </c>
      <c r="AI1658" s="90">
        <v>-1</v>
      </c>
      <c r="AJ1658" s="90">
        <v>0</v>
      </c>
      <c r="AM1658" s="90" t="s">
        <v>379</v>
      </c>
      <c r="AN1658" s="90">
        <v>-1</v>
      </c>
      <c r="AQ1658" s="90">
        <v>357</v>
      </c>
      <c r="AR1658" s="90" t="s">
        <v>405</v>
      </c>
      <c r="AS1658" s="90" t="s">
        <v>406</v>
      </c>
      <c r="AT1658" s="90" t="s">
        <v>244</v>
      </c>
      <c r="AU1658" s="90">
        <v>122.34610000000001</v>
      </c>
      <c r="AV1658" s="90">
        <v>53.816374936692597</v>
      </c>
      <c r="AW1658" s="90">
        <v>180.565600613821</v>
      </c>
      <c r="AX1658" s="90">
        <v>0.2507871136</v>
      </c>
    </row>
    <row r="1659" spans="1:50" x14ac:dyDescent="0.25">
      <c r="A1659" s="102">
        <v>830000</v>
      </c>
      <c r="B1659" s="102">
        <v>2400000</v>
      </c>
      <c r="C1659" s="102">
        <v>2400000</v>
      </c>
      <c r="D1659" s="90" t="s">
        <v>374</v>
      </c>
      <c r="E1659" s="90" t="s">
        <v>68</v>
      </c>
      <c r="F1659" s="90" t="s">
        <v>375</v>
      </c>
      <c r="G1659" s="90" t="s">
        <v>376</v>
      </c>
      <c r="H1659" s="90">
        <v>0.59</v>
      </c>
      <c r="I1659" s="90">
        <v>0.64</v>
      </c>
      <c r="J1659" s="90" t="s">
        <v>244</v>
      </c>
      <c r="K1659" s="90">
        <v>0.16097619166002999</v>
      </c>
      <c r="L1659" s="90">
        <v>3766.3117338586399</v>
      </c>
      <c r="M1659" s="90">
        <v>9.5704521041222694</v>
      </c>
      <c r="N1659" s="90">
        <v>1.42945307100133</v>
      </c>
      <c r="O1659" s="90">
        <v>1.54061493218639</v>
      </c>
      <c r="P1659" s="90">
        <v>0.23010791152654</v>
      </c>
      <c r="Q1659" s="90">
        <v>606.28651952107498</v>
      </c>
      <c r="R1659" s="90">
        <v>1450</v>
      </c>
      <c r="S1659" s="90" t="s">
        <v>391</v>
      </c>
      <c r="T1659" s="90">
        <v>1450</v>
      </c>
      <c r="U1659" s="90" t="s">
        <v>378</v>
      </c>
      <c r="V1659" s="90" t="s">
        <v>244</v>
      </c>
      <c r="Z1659" s="90">
        <v>0</v>
      </c>
      <c r="AA1659" s="90">
        <v>1</v>
      </c>
      <c r="AB1659" s="90">
        <v>1.54061493218639</v>
      </c>
      <c r="AC1659" s="90">
        <v>0.23010791152654</v>
      </c>
      <c r="AD1659" s="90">
        <v>1023.53153423921</v>
      </c>
      <c r="AF1659" s="90">
        <v>-1</v>
      </c>
      <c r="AG1659" s="90">
        <v>-1</v>
      </c>
      <c r="AH1659" s="90">
        <v>-1</v>
      </c>
      <c r="AI1659" s="90">
        <v>-1</v>
      </c>
      <c r="AJ1659" s="90">
        <v>0</v>
      </c>
      <c r="AM1659" s="90" t="s">
        <v>379</v>
      </c>
      <c r="AN1659" s="90">
        <v>-1</v>
      </c>
      <c r="AQ1659" s="90">
        <v>357</v>
      </c>
      <c r="AR1659" s="90" t="s">
        <v>405</v>
      </c>
      <c r="AS1659" s="90" t="s">
        <v>406</v>
      </c>
      <c r="AT1659" s="90" t="s">
        <v>244</v>
      </c>
      <c r="AU1659" s="90">
        <v>122.34610000000001</v>
      </c>
      <c r="AV1659" s="90">
        <v>103.165313071395</v>
      </c>
      <c r="AW1659" s="90">
        <v>651.447535072915</v>
      </c>
      <c r="AX1659" s="90">
        <v>0.83011478849999998</v>
      </c>
    </row>
    <row r="1660" spans="1:50" x14ac:dyDescent="0.25">
      <c r="A1660" s="102">
        <v>830000</v>
      </c>
      <c r="B1660" s="102">
        <v>2400000</v>
      </c>
      <c r="C1660" s="102">
        <v>2400000</v>
      </c>
      <c r="D1660" s="90" t="s">
        <v>374</v>
      </c>
      <c r="E1660" s="90" t="s">
        <v>68</v>
      </c>
      <c r="F1660" s="90" t="s">
        <v>375</v>
      </c>
      <c r="G1660" s="90" t="s">
        <v>376</v>
      </c>
      <c r="H1660" s="90">
        <v>0.59</v>
      </c>
      <c r="I1660" s="90">
        <v>0.64</v>
      </c>
      <c r="J1660" s="90" t="s">
        <v>244</v>
      </c>
      <c r="K1660" s="90">
        <v>0.18950938513713</v>
      </c>
      <c r="L1660" s="90">
        <v>3660.0898214396798</v>
      </c>
      <c r="M1660" s="90">
        <v>9.12906302469246</v>
      </c>
      <c r="N1660" s="90">
        <v>1.3428284867987901</v>
      </c>
      <c r="O1660" s="90">
        <v>1.7300431206876099</v>
      </c>
      <c r="P1660" s="90">
        <v>0.25447860087786001</v>
      </c>
      <c r="Q1660" s="90">
        <v>693.62137160771704</v>
      </c>
      <c r="R1660" s="90">
        <v>1200</v>
      </c>
      <c r="S1660" s="90" t="s">
        <v>384</v>
      </c>
      <c r="T1660" s="90">
        <v>1200</v>
      </c>
      <c r="U1660" s="90" t="s">
        <v>378</v>
      </c>
      <c r="V1660" s="90" t="s">
        <v>244</v>
      </c>
      <c r="Z1660" s="90">
        <v>0</v>
      </c>
      <c r="AA1660" s="90">
        <v>1</v>
      </c>
      <c r="AB1660" s="90">
        <v>1.7300431206876099</v>
      </c>
      <c r="AC1660" s="90">
        <v>0.25447860087786001</v>
      </c>
      <c r="AD1660" s="90">
        <v>693.62137160771704</v>
      </c>
      <c r="AF1660" s="90">
        <v>-1</v>
      </c>
      <c r="AG1660" s="90">
        <v>-1</v>
      </c>
      <c r="AH1660" s="90">
        <v>-1</v>
      </c>
      <c r="AI1660" s="90">
        <v>-1</v>
      </c>
      <c r="AJ1660" s="90">
        <v>0</v>
      </c>
      <c r="AM1660" s="90" t="s">
        <v>379</v>
      </c>
      <c r="AN1660" s="90">
        <v>-1</v>
      </c>
      <c r="AQ1660" s="90">
        <v>357</v>
      </c>
      <c r="AR1660" s="90" t="s">
        <v>405</v>
      </c>
      <c r="AS1660" s="90" t="s">
        <v>406</v>
      </c>
      <c r="AT1660" s="90" t="s">
        <v>244</v>
      </c>
      <c r="AU1660" s="90">
        <v>122.34610000000001</v>
      </c>
      <c r="AV1660" s="90">
        <v>130.493706219861</v>
      </c>
      <c r="AW1660" s="90">
        <v>766.91727234728501</v>
      </c>
      <c r="AX1660" s="90">
        <v>0.56254774659999995</v>
      </c>
    </row>
    <row r="1661" spans="1:50" x14ac:dyDescent="0.25">
      <c r="A1661" s="102">
        <v>830000</v>
      </c>
      <c r="B1661" s="102">
        <v>2400000</v>
      </c>
      <c r="C1661" s="102">
        <v>2400000</v>
      </c>
      <c r="D1661" s="90" t="s">
        <v>374</v>
      </c>
      <c r="E1661" s="90" t="s">
        <v>68</v>
      </c>
      <c r="F1661" s="90" t="s">
        <v>375</v>
      </c>
      <c r="G1661" s="90" t="s">
        <v>376</v>
      </c>
      <c r="H1661" s="90">
        <v>0.59</v>
      </c>
      <c r="I1661" s="90">
        <v>0.64</v>
      </c>
      <c r="J1661" s="90" t="s">
        <v>244</v>
      </c>
      <c r="K1661" s="90">
        <v>0.10093424368690999</v>
      </c>
      <c r="L1661" s="90">
        <v>3660.0898214396798</v>
      </c>
      <c r="M1661" s="90">
        <v>9.12906302469246</v>
      </c>
      <c r="N1661" s="90">
        <v>1.3428284867987901</v>
      </c>
      <c r="O1661" s="90">
        <v>0.92143507196755003</v>
      </c>
      <c r="P1661" s="90">
        <v>0.13553737771627999</v>
      </c>
      <c r="Q1661" s="90">
        <v>369.42839795320498</v>
      </c>
      <c r="R1661" s="90">
        <v>1210</v>
      </c>
      <c r="S1661" s="90" t="s">
        <v>385</v>
      </c>
      <c r="T1661" s="90">
        <v>1210</v>
      </c>
      <c r="U1661" s="90" t="s">
        <v>378</v>
      </c>
      <c r="V1661" s="90" t="s">
        <v>244</v>
      </c>
      <c r="Z1661" s="90">
        <v>0</v>
      </c>
      <c r="AA1661" s="90">
        <v>1</v>
      </c>
      <c r="AB1661" s="90">
        <v>0.92143507196755003</v>
      </c>
      <c r="AC1661" s="90">
        <v>0.13553737771627999</v>
      </c>
      <c r="AD1661" s="90">
        <v>369.42839795320498</v>
      </c>
      <c r="AF1661" s="90">
        <v>-1</v>
      </c>
      <c r="AG1661" s="90">
        <v>-1</v>
      </c>
      <c r="AH1661" s="90">
        <v>-1</v>
      </c>
      <c r="AI1661" s="90">
        <v>-1</v>
      </c>
      <c r="AJ1661" s="90">
        <v>0</v>
      </c>
      <c r="AM1661" s="90" t="s">
        <v>379</v>
      </c>
      <c r="AN1661" s="90">
        <v>-1</v>
      </c>
      <c r="AQ1661" s="90">
        <v>357</v>
      </c>
      <c r="AR1661" s="90" t="s">
        <v>405</v>
      </c>
      <c r="AS1661" s="90" t="s">
        <v>406</v>
      </c>
      <c r="AT1661" s="90" t="s">
        <v>244</v>
      </c>
      <c r="AU1661" s="90">
        <v>122.34610000000001</v>
      </c>
      <c r="AV1661" s="90">
        <v>87.863266346628706</v>
      </c>
      <c r="AW1661" s="90">
        <v>408.46639230449301</v>
      </c>
      <c r="AX1661" s="90">
        <v>0.29961751660000002</v>
      </c>
    </row>
    <row r="1662" spans="1:50" x14ac:dyDescent="0.25">
      <c r="A1662" s="102">
        <v>830000</v>
      </c>
      <c r="B1662" s="102">
        <v>2400000</v>
      </c>
      <c r="C1662" s="102">
        <v>2400000</v>
      </c>
      <c r="D1662" s="90" t="s">
        <v>374</v>
      </c>
      <c r="E1662" s="90" t="s">
        <v>68</v>
      </c>
      <c r="F1662" s="90" t="s">
        <v>375</v>
      </c>
      <c r="G1662" s="90" t="s">
        <v>376</v>
      </c>
      <c r="H1662" s="90">
        <v>0.59</v>
      </c>
      <c r="I1662" s="90">
        <v>0.64</v>
      </c>
      <c r="J1662" s="90" t="s">
        <v>244</v>
      </c>
      <c r="K1662" s="90">
        <v>0.20945096192422999</v>
      </c>
      <c r="L1662" s="90">
        <v>3660.0898214396798</v>
      </c>
      <c r="M1662" s="90">
        <v>9.12906302469246</v>
      </c>
      <c r="N1662" s="90">
        <v>1.3428284867987901</v>
      </c>
      <c r="O1662" s="90">
        <v>1.9120910319887601</v>
      </c>
      <c r="P1662" s="90">
        <v>0.28125671825926002</v>
      </c>
      <c r="Q1662" s="90">
        <v>766.60933382962799</v>
      </c>
      <c r="R1662" s="90">
        <v>1210</v>
      </c>
      <c r="S1662" s="90" t="s">
        <v>385</v>
      </c>
      <c r="T1662" s="90">
        <v>1210</v>
      </c>
      <c r="U1662" s="90" t="s">
        <v>378</v>
      </c>
      <c r="V1662" s="90" t="s">
        <v>244</v>
      </c>
      <c r="Z1662" s="90">
        <v>0</v>
      </c>
      <c r="AA1662" s="90">
        <v>1</v>
      </c>
      <c r="AB1662" s="90">
        <v>1.9120910319887601</v>
      </c>
      <c r="AC1662" s="90">
        <v>0.28125671825926002</v>
      </c>
      <c r="AD1662" s="90">
        <v>766.60933382962799</v>
      </c>
      <c r="AF1662" s="90">
        <v>-1</v>
      </c>
      <c r="AG1662" s="90">
        <v>-1</v>
      </c>
      <c r="AH1662" s="90">
        <v>-1</v>
      </c>
      <c r="AI1662" s="90">
        <v>-1</v>
      </c>
      <c r="AJ1662" s="90">
        <v>0</v>
      </c>
      <c r="AM1662" s="90" t="s">
        <v>379</v>
      </c>
      <c r="AN1662" s="90">
        <v>-1</v>
      </c>
      <c r="AQ1662" s="90">
        <v>357</v>
      </c>
      <c r="AR1662" s="90" t="s">
        <v>405</v>
      </c>
      <c r="AS1662" s="90" t="s">
        <v>406</v>
      </c>
      <c r="AT1662" s="90" t="s">
        <v>244</v>
      </c>
      <c r="AU1662" s="90">
        <v>122.34610000000001</v>
      </c>
      <c r="AV1662" s="90">
        <v>117.448186622363</v>
      </c>
      <c r="AW1662" s="90">
        <v>847.61797044093396</v>
      </c>
      <c r="AX1662" s="90">
        <v>0.62174317420000003</v>
      </c>
    </row>
    <row r="1663" spans="1:50" x14ac:dyDescent="0.25">
      <c r="A1663" s="102">
        <v>830000</v>
      </c>
      <c r="B1663" s="102">
        <v>2400000</v>
      </c>
      <c r="C1663" s="102">
        <v>2400000</v>
      </c>
      <c r="D1663" s="90" t="s">
        <v>374</v>
      </c>
      <c r="E1663" s="90" t="s">
        <v>68</v>
      </c>
      <c r="F1663" s="90" t="s">
        <v>375</v>
      </c>
      <c r="G1663" s="90" t="s">
        <v>376</v>
      </c>
      <c r="H1663" s="90">
        <v>0.59</v>
      </c>
      <c r="I1663" s="90">
        <v>0.64</v>
      </c>
      <c r="J1663" s="90" t="s">
        <v>244</v>
      </c>
      <c r="K1663" s="90">
        <v>9.2744543326190004E-2</v>
      </c>
      <c r="L1663" s="90">
        <v>3660.0898214396798</v>
      </c>
      <c r="M1663" s="90">
        <v>9.12906302469246</v>
      </c>
      <c r="N1663" s="90">
        <v>1.3428284867987901</v>
      </c>
      <c r="O1663" s="90">
        <v>0.84667078122114003</v>
      </c>
      <c r="P1663" s="90">
        <v>0.12454001477355001</v>
      </c>
      <c r="Q1663" s="90">
        <v>339.45335902227401</v>
      </c>
      <c r="R1663" s="90">
        <v>1210</v>
      </c>
      <c r="S1663" s="90" t="s">
        <v>385</v>
      </c>
      <c r="T1663" s="90">
        <v>1210</v>
      </c>
      <c r="U1663" s="90" t="s">
        <v>378</v>
      </c>
      <c r="V1663" s="90" t="s">
        <v>244</v>
      </c>
      <c r="Z1663" s="90">
        <v>0</v>
      </c>
      <c r="AA1663" s="90">
        <v>1</v>
      </c>
      <c r="AB1663" s="90">
        <v>0.84667078122114003</v>
      </c>
      <c r="AC1663" s="90">
        <v>0.12454001477355001</v>
      </c>
      <c r="AD1663" s="90">
        <v>339.45335902227498</v>
      </c>
      <c r="AF1663" s="90">
        <v>-1</v>
      </c>
      <c r="AG1663" s="90">
        <v>-1</v>
      </c>
      <c r="AH1663" s="90">
        <v>-1</v>
      </c>
      <c r="AI1663" s="90">
        <v>-1</v>
      </c>
      <c r="AJ1663" s="90">
        <v>0</v>
      </c>
      <c r="AM1663" s="90" t="s">
        <v>379</v>
      </c>
      <c r="AN1663" s="90">
        <v>-1</v>
      </c>
      <c r="AQ1663" s="90">
        <v>357</v>
      </c>
      <c r="AR1663" s="90" t="s">
        <v>405</v>
      </c>
      <c r="AS1663" s="90" t="s">
        <v>406</v>
      </c>
      <c r="AT1663" s="90" t="s">
        <v>244</v>
      </c>
      <c r="AU1663" s="90">
        <v>122.34610000000001</v>
      </c>
      <c r="AV1663" s="90">
        <v>91.407373271677699</v>
      </c>
      <c r="AW1663" s="90">
        <v>375.32385080216397</v>
      </c>
      <c r="AX1663" s="90">
        <v>0.27530686049999997</v>
      </c>
    </row>
    <row r="1664" spans="1:50" x14ac:dyDescent="0.25">
      <c r="A1664" s="102">
        <v>830000</v>
      </c>
      <c r="B1664" s="102">
        <v>2400000</v>
      </c>
      <c r="C1664" s="102">
        <v>2400000</v>
      </c>
      <c r="D1664" s="90" t="s">
        <v>374</v>
      </c>
      <c r="E1664" s="90" t="s">
        <v>68</v>
      </c>
      <c r="F1664" s="90" t="s">
        <v>375</v>
      </c>
      <c r="G1664" s="90" t="s">
        <v>376</v>
      </c>
      <c r="H1664" s="90">
        <v>0.59</v>
      </c>
      <c r="I1664" s="90">
        <v>0.64</v>
      </c>
      <c r="J1664" s="90" t="s">
        <v>244</v>
      </c>
      <c r="K1664" s="90">
        <v>9.98028730426E-3</v>
      </c>
      <c r="L1664" s="90">
        <v>3660.0898214396798</v>
      </c>
      <c r="M1664" s="90">
        <v>9.12906302469246</v>
      </c>
      <c r="N1664" s="90">
        <v>1.3428284867987901</v>
      </c>
      <c r="O1664" s="90">
        <v>9.1110671805199994E-2</v>
      </c>
      <c r="P1664" s="90">
        <v>1.3401814098599999E-2</v>
      </c>
      <c r="Q1664" s="90">
        <v>36.528747977395</v>
      </c>
      <c r="R1664" s="90">
        <v>1210</v>
      </c>
      <c r="S1664" s="90" t="s">
        <v>385</v>
      </c>
      <c r="T1664" s="90">
        <v>1210</v>
      </c>
      <c r="U1664" s="90" t="s">
        <v>378</v>
      </c>
      <c r="V1664" s="90" t="s">
        <v>244</v>
      </c>
      <c r="Z1664" s="90">
        <v>0</v>
      </c>
      <c r="AA1664" s="90">
        <v>1</v>
      </c>
      <c r="AB1664" s="90">
        <v>9.1110671805199994E-2</v>
      </c>
      <c r="AC1664" s="90">
        <v>1.3401814098599999E-2</v>
      </c>
      <c r="AD1664" s="90">
        <v>36.528747977396101</v>
      </c>
      <c r="AF1664" s="90">
        <v>-1</v>
      </c>
      <c r="AG1664" s="90">
        <v>-1</v>
      </c>
      <c r="AH1664" s="90">
        <v>-1</v>
      </c>
      <c r="AI1664" s="90">
        <v>-1</v>
      </c>
      <c r="AJ1664" s="90">
        <v>0</v>
      </c>
      <c r="AM1664" s="90" t="s">
        <v>379</v>
      </c>
      <c r="AN1664" s="90">
        <v>-1</v>
      </c>
      <c r="AQ1664" s="90">
        <v>357</v>
      </c>
      <c r="AR1664" s="90" t="s">
        <v>405</v>
      </c>
      <c r="AS1664" s="90" t="s">
        <v>406</v>
      </c>
      <c r="AT1664" s="90" t="s">
        <v>244</v>
      </c>
      <c r="AU1664" s="90">
        <v>122.34610000000001</v>
      </c>
      <c r="AV1664" s="90">
        <v>27.382059922357101</v>
      </c>
      <c r="AW1664" s="90">
        <v>40.388789774675402</v>
      </c>
      <c r="AX1664" s="90">
        <v>2.9625910799999999E-2</v>
      </c>
    </row>
    <row r="1665" spans="1:50" x14ac:dyDescent="0.25">
      <c r="A1665" s="102">
        <v>830000</v>
      </c>
      <c r="B1665" s="102">
        <v>2400000</v>
      </c>
      <c r="C1665" s="102">
        <v>2400000</v>
      </c>
      <c r="D1665" s="90" t="s">
        <v>374</v>
      </c>
      <c r="E1665" s="90" t="s">
        <v>68</v>
      </c>
      <c r="F1665" s="90" t="s">
        <v>375</v>
      </c>
      <c r="G1665" s="90" t="s">
        <v>376</v>
      </c>
      <c r="H1665" s="90">
        <v>0.59</v>
      </c>
      <c r="I1665" s="90">
        <v>0.64</v>
      </c>
      <c r="J1665" s="90" t="s">
        <v>244</v>
      </c>
      <c r="K1665" s="90">
        <v>1.452681041381E-2</v>
      </c>
      <c r="L1665" s="90">
        <v>3660.0898214396798</v>
      </c>
      <c r="M1665" s="90">
        <v>9.12906302469246</v>
      </c>
      <c r="N1665" s="90">
        <v>1.3428284867987901</v>
      </c>
      <c r="O1665" s="90">
        <v>0.13261616781544</v>
      </c>
      <c r="P1665" s="90">
        <v>1.950701484599E-2</v>
      </c>
      <c r="Q1665" s="90">
        <v>53.169430933573601</v>
      </c>
      <c r="R1665" s="90">
        <v>1210</v>
      </c>
      <c r="S1665" s="90" t="s">
        <v>385</v>
      </c>
      <c r="T1665" s="90">
        <v>1210</v>
      </c>
      <c r="U1665" s="90" t="s">
        <v>378</v>
      </c>
      <c r="V1665" s="90" t="s">
        <v>244</v>
      </c>
      <c r="Z1665" s="90">
        <v>0</v>
      </c>
      <c r="AA1665" s="90">
        <v>1</v>
      </c>
      <c r="AB1665" s="90">
        <v>0.13261616781544</v>
      </c>
      <c r="AC1665" s="90">
        <v>1.950701484599E-2</v>
      </c>
      <c r="AD1665" s="90">
        <v>53.169430933574702</v>
      </c>
      <c r="AF1665" s="90">
        <v>-1</v>
      </c>
      <c r="AG1665" s="90">
        <v>-1</v>
      </c>
      <c r="AH1665" s="90">
        <v>-1</v>
      </c>
      <c r="AI1665" s="90">
        <v>-1</v>
      </c>
      <c r="AJ1665" s="90">
        <v>0</v>
      </c>
      <c r="AM1665" s="90" t="s">
        <v>379</v>
      </c>
      <c r="AN1665" s="90">
        <v>-1</v>
      </c>
      <c r="AQ1665" s="90">
        <v>357</v>
      </c>
      <c r="AR1665" s="90" t="s">
        <v>405</v>
      </c>
      <c r="AS1665" s="90" t="s">
        <v>406</v>
      </c>
      <c r="AT1665" s="90" t="s">
        <v>244</v>
      </c>
      <c r="AU1665" s="90">
        <v>122.34610000000001</v>
      </c>
      <c r="AV1665" s="90">
        <v>56.433992292256001</v>
      </c>
      <c r="AW1665" s="90">
        <v>58.787916020119503</v>
      </c>
      <c r="AX1665" s="90">
        <v>4.3122003999999999E-2</v>
      </c>
    </row>
    <row r="1666" spans="1:50" x14ac:dyDescent="0.25">
      <c r="A1666" s="102">
        <v>830000</v>
      </c>
      <c r="B1666" s="102">
        <v>2400000</v>
      </c>
      <c r="C1666" s="102">
        <v>2400000</v>
      </c>
      <c r="D1666" s="90" t="s">
        <v>374</v>
      </c>
      <c r="E1666" s="90" t="s">
        <v>68</v>
      </c>
      <c r="F1666" s="90" t="s">
        <v>375</v>
      </c>
      <c r="G1666" s="90" t="s">
        <v>376</v>
      </c>
      <c r="H1666" s="90">
        <v>0.59</v>
      </c>
      <c r="I1666" s="90">
        <v>0.64</v>
      </c>
      <c r="J1666" s="90" t="s">
        <v>244</v>
      </c>
      <c r="K1666" s="90">
        <v>6.1722182931999998E-4</v>
      </c>
      <c r="L1666" s="90">
        <v>3660.0898214396798</v>
      </c>
      <c r="M1666" s="90">
        <v>9.12906302469246</v>
      </c>
      <c r="N1666" s="90">
        <v>1.3428284867987901</v>
      </c>
      <c r="O1666" s="90">
        <v>5.6346569801600001E-3</v>
      </c>
      <c r="P1666" s="90">
        <v>8.2882305508999996E-4</v>
      </c>
      <c r="Q1666" s="90">
        <v>2.2590873350974499</v>
      </c>
      <c r="R1666" s="90">
        <v>1210</v>
      </c>
      <c r="S1666" s="90" t="s">
        <v>385</v>
      </c>
      <c r="T1666" s="90">
        <v>1210</v>
      </c>
      <c r="U1666" s="90" t="s">
        <v>378</v>
      </c>
      <c r="V1666" s="90" t="s">
        <v>244</v>
      </c>
      <c r="Z1666" s="90">
        <v>0</v>
      </c>
      <c r="AA1666" s="90">
        <v>1</v>
      </c>
      <c r="AB1666" s="90">
        <v>5.6346569801600001E-3</v>
      </c>
      <c r="AC1666" s="90">
        <v>8.2882305508999996E-4</v>
      </c>
      <c r="AD1666" s="90">
        <v>2.25908733509644</v>
      </c>
      <c r="AF1666" s="90">
        <v>-1</v>
      </c>
      <c r="AG1666" s="90">
        <v>-1</v>
      </c>
      <c r="AH1666" s="90">
        <v>-1</v>
      </c>
      <c r="AI1666" s="90">
        <v>-1</v>
      </c>
      <c r="AJ1666" s="90">
        <v>0</v>
      </c>
      <c r="AM1666" s="90" t="s">
        <v>379</v>
      </c>
      <c r="AN1666" s="90">
        <v>-1</v>
      </c>
      <c r="AQ1666" s="90">
        <v>357</v>
      </c>
      <c r="AR1666" s="90" t="s">
        <v>405</v>
      </c>
      <c r="AS1666" s="90" t="s">
        <v>406</v>
      </c>
      <c r="AT1666" s="90" t="s">
        <v>244</v>
      </c>
      <c r="AU1666" s="90">
        <v>122.34610000000001</v>
      </c>
      <c r="AV1666" s="90">
        <v>13.888210411970199</v>
      </c>
      <c r="AW1666" s="90">
        <v>2.4978081240644201</v>
      </c>
      <c r="AX1666" s="90">
        <v>1.8321876000000001E-3</v>
      </c>
    </row>
    <row r="1667" spans="1:50" x14ac:dyDescent="0.25">
      <c r="A1667" s="102">
        <v>830000</v>
      </c>
      <c r="B1667" s="102">
        <v>2400000</v>
      </c>
      <c r="C1667" s="102">
        <v>2400000</v>
      </c>
      <c r="D1667" s="90" t="s">
        <v>374</v>
      </c>
      <c r="E1667" s="90" t="s">
        <v>68</v>
      </c>
      <c r="F1667" s="90" t="s">
        <v>375</v>
      </c>
      <c r="G1667" s="90" t="s">
        <v>376</v>
      </c>
      <c r="H1667" s="90">
        <v>0.59</v>
      </c>
      <c r="I1667" s="90">
        <v>0.64</v>
      </c>
      <c r="J1667" s="90" t="s">
        <v>244</v>
      </c>
      <c r="K1667" s="90">
        <v>0.1169883457825</v>
      </c>
      <c r="L1667" s="90">
        <v>3713.30098809008</v>
      </c>
      <c r="M1667" s="90">
        <v>10.5351309658285</v>
      </c>
      <c r="N1667" s="90">
        <v>2.0126468128750701</v>
      </c>
      <c r="O1667" s="90">
        <v>1.2324875442943</v>
      </c>
      <c r="P1667" s="90">
        <v>0.23545622128268001</v>
      </c>
      <c r="Q1667" s="90">
        <v>434.41293998919201</v>
      </c>
      <c r="R1667" s="90">
        <v>1300</v>
      </c>
      <c r="S1667" s="90" t="s">
        <v>387</v>
      </c>
      <c r="T1667" s="90">
        <v>1300</v>
      </c>
      <c r="U1667" s="90" t="s">
        <v>378</v>
      </c>
      <c r="V1667" s="90" t="s">
        <v>244</v>
      </c>
      <c r="Z1667" s="90">
        <v>0</v>
      </c>
      <c r="AA1667" s="90">
        <v>1</v>
      </c>
      <c r="AB1667" s="90">
        <v>1.2324875442943</v>
      </c>
      <c r="AC1667" s="90">
        <v>0.23545622128268001</v>
      </c>
      <c r="AD1667" s="90">
        <v>434.41293998919201</v>
      </c>
      <c r="AF1667" s="90">
        <v>-1</v>
      </c>
      <c r="AG1667" s="90">
        <v>-1</v>
      </c>
      <c r="AH1667" s="90">
        <v>-1</v>
      </c>
      <c r="AI1667" s="90">
        <v>-1</v>
      </c>
      <c r="AJ1667" s="90">
        <v>0</v>
      </c>
      <c r="AM1667" s="90" t="s">
        <v>379</v>
      </c>
      <c r="AN1667" s="90">
        <v>-1</v>
      </c>
      <c r="AQ1667" s="90">
        <v>357</v>
      </c>
      <c r="AR1667" s="90" t="s">
        <v>405</v>
      </c>
      <c r="AS1667" s="90" t="s">
        <v>406</v>
      </c>
      <c r="AT1667" s="90" t="s">
        <v>244</v>
      </c>
      <c r="AU1667" s="90">
        <v>122.34610000000001</v>
      </c>
      <c r="AV1667" s="90">
        <v>116.463494224293</v>
      </c>
      <c r="AW1667" s="90">
        <v>473.43503847587402</v>
      </c>
      <c r="AX1667" s="90">
        <v>0.35232193020000002</v>
      </c>
    </row>
    <row r="1668" spans="1:50" x14ac:dyDescent="0.25">
      <c r="A1668" s="102">
        <v>830000</v>
      </c>
      <c r="B1668" s="102">
        <v>2400000</v>
      </c>
      <c r="C1668" s="102">
        <v>2400000</v>
      </c>
      <c r="D1668" s="90" t="s">
        <v>374</v>
      </c>
      <c r="E1668" s="90" t="s">
        <v>68</v>
      </c>
      <c r="F1668" s="90" t="s">
        <v>375</v>
      </c>
      <c r="G1668" s="90" t="s">
        <v>376</v>
      </c>
      <c r="H1668" s="90">
        <v>0.59</v>
      </c>
      <c r="I1668" s="90">
        <v>0.64</v>
      </c>
      <c r="J1668" s="90" t="s">
        <v>244</v>
      </c>
      <c r="K1668" s="90">
        <v>7.4203013365799998E-3</v>
      </c>
      <c r="L1668" s="90">
        <v>3713.30098809008</v>
      </c>
      <c r="M1668" s="90">
        <v>10.5351309658285</v>
      </c>
      <c r="N1668" s="90">
        <v>2.0126468128750701</v>
      </c>
      <c r="O1668" s="90">
        <v>7.8173846386859994E-2</v>
      </c>
      <c r="P1668" s="90">
        <v>1.493444583565E-2</v>
      </c>
      <c r="Q1668" s="90">
        <v>27.553812285078401</v>
      </c>
      <c r="R1668" s="90">
        <v>1300</v>
      </c>
      <c r="S1668" s="90" t="s">
        <v>387</v>
      </c>
      <c r="T1668" s="90">
        <v>1300</v>
      </c>
      <c r="U1668" s="90" t="s">
        <v>378</v>
      </c>
      <c r="V1668" s="90" t="s">
        <v>244</v>
      </c>
      <c r="Z1668" s="90">
        <v>0</v>
      </c>
      <c r="AA1668" s="90">
        <v>1</v>
      </c>
      <c r="AB1668" s="90">
        <v>7.8173846386859994E-2</v>
      </c>
      <c r="AC1668" s="90">
        <v>1.493444583565E-2</v>
      </c>
      <c r="AD1668" s="90">
        <v>27.553812285079101</v>
      </c>
      <c r="AF1668" s="90">
        <v>-1</v>
      </c>
      <c r="AG1668" s="90">
        <v>-1</v>
      </c>
      <c r="AH1668" s="90">
        <v>-1</v>
      </c>
      <c r="AI1668" s="90">
        <v>-1</v>
      </c>
      <c r="AJ1668" s="90">
        <v>0</v>
      </c>
      <c r="AM1668" s="90" t="s">
        <v>379</v>
      </c>
      <c r="AN1668" s="90">
        <v>-1</v>
      </c>
      <c r="AQ1668" s="90">
        <v>357</v>
      </c>
      <c r="AR1668" s="90" t="s">
        <v>405</v>
      </c>
      <c r="AS1668" s="90" t="s">
        <v>406</v>
      </c>
      <c r="AT1668" s="90" t="s">
        <v>244</v>
      </c>
      <c r="AU1668" s="90">
        <v>122.34610000000001</v>
      </c>
      <c r="AV1668" s="90">
        <v>46.696566678437897</v>
      </c>
      <c r="AW1668" s="90">
        <v>30.028894120115201</v>
      </c>
      <c r="AX1668" s="90">
        <v>2.2346968599999999E-2</v>
      </c>
    </row>
    <row r="1669" spans="1:50" x14ac:dyDescent="0.25">
      <c r="A1669" s="102">
        <v>830000</v>
      </c>
      <c r="B1669" s="102">
        <v>2400000</v>
      </c>
      <c r="C1669" s="102">
        <v>2400000</v>
      </c>
      <c r="D1669" s="90" t="s">
        <v>374</v>
      </c>
      <c r="E1669" s="90" t="s">
        <v>68</v>
      </c>
      <c r="F1669" s="90" t="s">
        <v>375</v>
      </c>
      <c r="G1669" s="90" t="s">
        <v>376</v>
      </c>
      <c r="H1669" s="90">
        <v>0.59</v>
      </c>
      <c r="I1669" s="90">
        <v>0.64</v>
      </c>
      <c r="J1669" s="90" t="s">
        <v>244</v>
      </c>
      <c r="K1669" s="90">
        <v>2.4960158523049999E-2</v>
      </c>
      <c r="L1669" s="90">
        <v>3660.0898214396798</v>
      </c>
      <c r="M1669" s="90">
        <v>9.1290630246924707</v>
      </c>
      <c r="N1669" s="90">
        <v>1.3428284867987901</v>
      </c>
      <c r="O1669" s="90">
        <v>0.22786286026326</v>
      </c>
      <c r="P1669" s="90">
        <v>3.3517211899760001E-2</v>
      </c>
      <c r="Q1669" s="90">
        <v>91.356422151747196</v>
      </c>
      <c r="R1669" s="90">
        <v>1200</v>
      </c>
      <c r="S1669" s="90" t="s">
        <v>384</v>
      </c>
      <c r="T1669" s="90">
        <v>1200</v>
      </c>
      <c r="U1669" s="90" t="s">
        <v>378</v>
      </c>
      <c r="V1669" s="90" t="s">
        <v>244</v>
      </c>
      <c r="Z1669" s="90">
        <v>0</v>
      </c>
      <c r="AA1669" s="90">
        <v>1</v>
      </c>
      <c r="AB1669" s="90">
        <v>0.22786286026326</v>
      </c>
      <c r="AC1669" s="90">
        <v>3.3517211899760001E-2</v>
      </c>
      <c r="AD1669" s="90">
        <v>175.738242479273</v>
      </c>
      <c r="AF1669" s="90">
        <v>-1</v>
      </c>
      <c r="AG1669" s="90">
        <v>-1</v>
      </c>
      <c r="AH1669" s="90">
        <v>-1</v>
      </c>
      <c r="AI1669" s="90">
        <v>-1</v>
      </c>
      <c r="AJ1669" s="90">
        <v>0</v>
      </c>
      <c r="AM1669" s="90" t="s">
        <v>379</v>
      </c>
      <c r="AN1669" s="90">
        <v>-1</v>
      </c>
      <c r="AQ1669" s="90">
        <v>357</v>
      </c>
      <c r="AR1669" s="90" t="s">
        <v>405</v>
      </c>
      <c r="AS1669" s="90" t="s">
        <v>406</v>
      </c>
      <c r="AT1669" s="90" t="s">
        <v>244</v>
      </c>
      <c r="AU1669" s="90">
        <v>122.34610000000001</v>
      </c>
      <c r="AV1669" s="90">
        <v>74.405588394994297</v>
      </c>
      <c r="AW1669" s="90">
        <v>101.01017782313799</v>
      </c>
      <c r="AX1669" s="90">
        <v>0.14252898820000001</v>
      </c>
    </row>
    <row r="1670" spans="1:50" x14ac:dyDescent="0.25">
      <c r="A1670" s="102">
        <v>830000</v>
      </c>
      <c r="B1670" s="102">
        <v>2400000</v>
      </c>
      <c r="C1670" s="102">
        <v>2400000</v>
      </c>
      <c r="D1670" s="90" t="s">
        <v>374</v>
      </c>
      <c r="E1670" s="90" t="s">
        <v>68</v>
      </c>
      <c r="F1670" s="90" t="s">
        <v>375</v>
      </c>
      <c r="G1670" s="90" t="s">
        <v>376</v>
      </c>
      <c r="H1670" s="90">
        <v>0.59</v>
      </c>
      <c r="I1670" s="90">
        <v>0.64</v>
      </c>
      <c r="J1670" s="90" t="s">
        <v>244</v>
      </c>
      <c r="K1670" s="90">
        <v>8.0306369650710002E-2</v>
      </c>
      <c r="L1670" s="90">
        <v>3660.0898214396798</v>
      </c>
      <c r="M1670" s="90">
        <v>9.1290630246924707</v>
      </c>
      <c r="N1670" s="90">
        <v>1.3428284867987901</v>
      </c>
      <c r="O1670" s="90">
        <v>0.73312190982560999</v>
      </c>
      <c r="P1670" s="90">
        <v>0.10783768083837</v>
      </c>
      <c r="Q1670" s="90">
        <v>293.92852615535099</v>
      </c>
      <c r="R1670" s="90">
        <v>1210</v>
      </c>
      <c r="S1670" s="90" t="s">
        <v>385</v>
      </c>
      <c r="T1670" s="90">
        <v>1210</v>
      </c>
      <c r="U1670" s="90" t="s">
        <v>378</v>
      </c>
      <c r="V1670" s="90" t="s">
        <v>244</v>
      </c>
      <c r="Z1670" s="90">
        <v>0</v>
      </c>
      <c r="AA1670" s="90">
        <v>1</v>
      </c>
      <c r="AB1670" s="90">
        <v>0.73312190982560999</v>
      </c>
      <c r="AC1670" s="90">
        <v>0.10783768083837</v>
      </c>
      <c r="AD1670" s="90">
        <v>293.92852615535202</v>
      </c>
      <c r="AF1670" s="90">
        <v>-1</v>
      </c>
      <c r="AG1670" s="90">
        <v>-1</v>
      </c>
      <c r="AH1670" s="90">
        <v>-1</v>
      </c>
      <c r="AI1670" s="90">
        <v>-1</v>
      </c>
      <c r="AJ1670" s="90">
        <v>0</v>
      </c>
      <c r="AM1670" s="90" t="s">
        <v>379</v>
      </c>
      <c r="AN1670" s="90">
        <v>-1</v>
      </c>
      <c r="AQ1670" s="90">
        <v>357</v>
      </c>
      <c r="AR1670" s="90" t="s">
        <v>405</v>
      </c>
      <c r="AS1670" s="90" t="s">
        <v>406</v>
      </c>
      <c r="AT1670" s="90" t="s">
        <v>244</v>
      </c>
      <c r="AU1670" s="90">
        <v>122.34610000000001</v>
      </c>
      <c r="AV1670" s="90">
        <v>91.284251792256299</v>
      </c>
      <c r="AW1670" s="90">
        <v>324.98834778062201</v>
      </c>
      <c r="AX1670" s="90">
        <v>0.23838485500000001</v>
      </c>
    </row>
    <row r="1671" spans="1:50" x14ac:dyDescent="0.25">
      <c r="A1671" s="102">
        <v>830000</v>
      </c>
      <c r="B1671" s="102">
        <v>2400000</v>
      </c>
      <c r="C1671" s="102">
        <v>2400000</v>
      </c>
      <c r="D1671" s="90" t="s">
        <v>374</v>
      </c>
      <c r="E1671" s="90" t="s">
        <v>68</v>
      </c>
      <c r="F1671" s="90" t="s">
        <v>375</v>
      </c>
      <c r="G1671" s="90" t="s">
        <v>376</v>
      </c>
      <c r="H1671" s="90">
        <v>0.59</v>
      </c>
      <c r="I1671" s="90">
        <v>0.64</v>
      </c>
      <c r="J1671" s="90" t="s">
        <v>244</v>
      </c>
      <c r="K1671" s="90">
        <v>0.21515689000117999</v>
      </c>
      <c r="L1671" s="90">
        <v>3660.0898214396798</v>
      </c>
      <c r="M1671" s="90">
        <v>9.1290630246924707</v>
      </c>
      <c r="N1671" s="90">
        <v>1.3428284867987901</v>
      </c>
      <c r="O1671" s="90">
        <v>1.96418080901763</v>
      </c>
      <c r="P1671" s="90">
        <v>0.28891880102461998</v>
      </c>
      <c r="Q1671" s="90">
        <v>787.49354310595095</v>
      </c>
      <c r="R1671" s="90">
        <v>1210</v>
      </c>
      <c r="S1671" s="90" t="s">
        <v>385</v>
      </c>
      <c r="T1671" s="90">
        <v>1210</v>
      </c>
      <c r="U1671" s="90" t="s">
        <v>378</v>
      </c>
      <c r="V1671" s="90" t="s">
        <v>244</v>
      </c>
      <c r="Z1671" s="90">
        <v>0</v>
      </c>
      <c r="AA1671" s="90">
        <v>1</v>
      </c>
      <c r="AB1671" s="90">
        <v>1.96418080901763</v>
      </c>
      <c r="AC1671" s="90">
        <v>0.28891880102461998</v>
      </c>
      <c r="AD1671" s="90">
        <v>857.10164358340103</v>
      </c>
      <c r="AF1671" s="90">
        <v>-1</v>
      </c>
      <c r="AG1671" s="90">
        <v>-1</v>
      </c>
      <c r="AH1671" s="90">
        <v>-1</v>
      </c>
      <c r="AI1671" s="90">
        <v>-1</v>
      </c>
      <c r="AJ1671" s="90">
        <v>0</v>
      </c>
      <c r="AM1671" s="90" t="s">
        <v>379</v>
      </c>
      <c r="AN1671" s="90">
        <v>-1</v>
      </c>
      <c r="AQ1671" s="90">
        <v>357</v>
      </c>
      <c r="AR1671" s="90" t="s">
        <v>405</v>
      </c>
      <c r="AS1671" s="90" t="s">
        <v>406</v>
      </c>
      <c r="AT1671" s="90" t="s">
        <v>244</v>
      </c>
      <c r="AU1671" s="90">
        <v>122.34610000000001</v>
      </c>
      <c r="AV1671" s="90">
        <v>120.83516267618501</v>
      </c>
      <c r="AW1671" s="90">
        <v>870.709042124902</v>
      </c>
      <c r="AX1671" s="90">
        <v>0.69513515290000005</v>
      </c>
    </row>
    <row r="1672" spans="1:50" x14ac:dyDescent="0.25">
      <c r="A1672" s="102">
        <v>830000</v>
      </c>
      <c r="B1672" s="102">
        <v>2400000</v>
      </c>
      <c r="C1672" s="102">
        <v>2400000</v>
      </c>
      <c r="D1672" s="90" t="s">
        <v>374</v>
      </c>
      <c r="E1672" s="90" t="s">
        <v>68</v>
      </c>
      <c r="F1672" s="90" t="s">
        <v>375</v>
      </c>
      <c r="G1672" s="90" t="s">
        <v>376</v>
      </c>
      <c r="H1672" s="90">
        <v>0.59</v>
      </c>
      <c r="I1672" s="90">
        <v>0.64</v>
      </c>
      <c r="J1672" s="90" t="s">
        <v>244</v>
      </c>
      <c r="K1672" s="90">
        <v>1.7605935395519998E-2</v>
      </c>
      <c r="L1672" s="90">
        <v>3660.0898214396798</v>
      </c>
      <c r="M1672" s="90">
        <v>9.1290630246924707</v>
      </c>
      <c r="N1672" s="90">
        <v>1.3428284867987901</v>
      </c>
      <c r="O1672" s="90">
        <v>0.16072569383439</v>
      </c>
      <c r="P1672" s="90">
        <v>2.3641751585840001E-2</v>
      </c>
      <c r="Q1672" s="90">
        <v>64.439304938078394</v>
      </c>
      <c r="R1672" s="90">
        <v>1210</v>
      </c>
      <c r="S1672" s="90" t="s">
        <v>385</v>
      </c>
      <c r="T1672" s="90">
        <v>1210</v>
      </c>
      <c r="U1672" s="90" t="s">
        <v>378</v>
      </c>
      <c r="V1672" s="90" t="s">
        <v>244</v>
      </c>
      <c r="Z1672" s="90">
        <v>0</v>
      </c>
      <c r="AA1672" s="90">
        <v>1</v>
      </c>
      <c r="AB1672" s="90">
        <v>0.16072569383439</v>
      </c>
      <c r="AC1672" s="90">
        <v>2.3641751585840001E-2</v>
      </c>
      <c r="AD1672" s="90">
        <v>64.439304938079502</v>
      </c>
      <c r="AF1672" s="90">
        <v>-1</v>
      </c>
      <c r="AG1672" s="90">
        <v>-1</v>
      </c>
      <c r="AH1672" s="90">
        <v>-1</v>
      </c>
      <c r="AI1672" s="90">
        <v>-1</v>
      </c>
      <c r="AJ1672" s="90">
        <v>0</v>
      </c>
      <c r="AM1672" s="90" t="s">
        <v>379</v>
      </c>
      <c r="AN1672" s="90">
        <v>-1</v>
      </c>
      <c r="AQ1672" s="90">
        <v>357</v>
      </c>
      <c r="AR1672" s="90" t="s">
        <v>405</v>
      </c>
      <c r="AS1672" s="90" t="s">
        <v>406</v>
      </c>
      <c r="AT1672" s="90" t="s">
        <v>244</v>
      </c>
      <c r="AU1672" s="90">
        <v>122.34610000000001</v>
      </c>
      <c r="AV1672" s="90">
        <v>35.698001257940597</v>
      </c>
      <c r="AW1672" s="90">
        <v>71.248692727732703</v>
      </c>
      <c r="AX1672" s="90">
        <v>5.2262210000000003E-2</v>
      </c>
    </row>
    <row r="1673" spans="1:50" x14ac:dyDescent="0.25">
      <c r="A1673" s="102">
        <v>830000</v>
      </c>
      <c r="B1673" s="102">
        <v>2400000</v>
      </c>
      <c r="C1673" s="102">
        <v>2400000</v>
      </c>
      <c r="D1673" s="90" t="s">
        <v>374</v>
      </c>
      <c r="E1673" s="90" t="s">
        <v>68</v>
      </c>
      <c r="F1673" s="90" t="s">
        <v>375</v>
      </c>
      <c r="G1673" s="90" t="s">
        <v>376</v>
      </c>
      <c r="H1673" s="90">
        <v>0.59</v>
      </c>
      <c r="I1673" s="90">
        <v>0.64</v>
      </c>
      <c r="J1673" s="90" t="s">
        <v>244</v>
      </c>
      <c r="K1673" s="90">
        <v>6.0482672987600003E-2</v>
      </c>
      <c r="L1673" s="90">
        <v>3660.0898214396798</v>
      </c>
      <c r="M1673" s="90">
        <v>9.1290630246924707</v>
      </c>
      <c r="N1673" s="90">
        <v>1.3428284867987901</v>
      </c>
      <c r="O1673" s="90">
        <v>0.55215013360571996</v>
      </c>
      <c r="P1673" s="90">
        <v>8.1217856245489994E-2</v>
      </c>
      <c r="Q1673" s="90">
        <v>221.372015775405</v>
      </c>
      <c r="R1673" s="90">
        <v>1210</v>
      </c>
      <c r="S1673" s="90" t="s">
        <v>385</v>
      </c>
      <c r="T1673" s="90">
        <v>1210</v>
      </c>
      <c r="U1673" s="90" t="s">
        <v>378</v>
      </c>
      <c r="V1673" s="90" t="s">
        <v>244</v>
      </c>
      <c r="Z1673" s="90">
        <v>0</v>
      </c>
      <c r="AA1673" s="90">
        <v>1</v>
      </c>
      <c r="AB1673" s="90">
        <v>0.55215013360571996</v>
      </c>
      <c r="AC1673" s="90">
        <v>8.1217856245489994E-2</v>
      </c>
      <c r="AD1673" s="90">
        <v>231.92819634276299</v>
      </c>
      <c r="AF1673" s="90">
        <v>-1</v>
      </c>
      <c r="AG1673" s="90">
        <v>-1</v>
      </c>
      <c r="AH1673" s="90">
        <v>-1</v>
      </c>
      <c r="AI1673" s="90">
        <v>-1</v>
      </c>
      <c r="AJ1673" s="90">
        <v>0</v>
      </c>
      <c r="AM1673" s="90" t="s">
        <v>379</v>
      </c>
      <c r="AN1673" s="90">
        <v>-1</v>
      </c>
      <c r="AQ1673" s="90">
        <v>357</v>
      </c>
      <c r="AR1673" s="90" t="s">
        <v>405</v>
      </c>
      <c r="AS1673" s="90" t="s">
        <v>406</v>
      </c>
      <c r="AT1673" s="90" t="s">
        <v>244</v>
      </c>
      <c r="AU1673" s="90">
        <v>122.34610000000001</v>
      </c>
      <c r="AV1673" s="90">
        <v>69.112020357435995</v>
      </c>
      <c r="AW1673" s="90">
        <v>244.764693623814</v>
      </c>
      <c r="AX1673" s="90">
        <v>0.188100727</v>
      </c>
    </row>
    <row r="1674" spans="1:50" x14ac:dyDescent="0.25">
      <c r="A1674" s="102">
        <v>830000</v>
      </c>
      <c r="B1674" s="102">
        <v>2400000</v>
      </c>
      <c r="C1674" s="102">
        <v>2400000</v>
      </c>
      <c r="D1674" s="90" t="s">
        <v>374</v>
      </c>
      <c r="E1674" s="90" t="s">
        <v>68</v>
      </c>
      <c r="F1674" s="90" t="s">
        <v>375</v>
      </c>
      <c r="G1674" s="90" t="s">
        <v>376</v>
      </c>
      <c r="H1674" s="90">
        <v>0.59</v>
      </c>
      <c r="I1674" s="90">
        <v>0.64</v>
      </c>
      <c r="J1674" s="90" t="s">
        <v>244</v>
      </c>
      <c r="K1674" s="90">
        <v>0.44203586761015001</v>
      </c>
      <c r="L1674" s="90">
        <v>3751.57029631244</v>
      </c>
      <c r="M1674" s="90">
        <v>11.600022620177601</v>
      </c>
      <c r="N1674" s="90">
        <v>1.5307694948656501</v>
      </c>
      <c r="O1674" s="90">
        <v>5.1276260632076802</v>
      </c>
      <c r="P1674" s="90">
        <v>0.67665502177409997</v>
      </c>
      <c r="Q1674" s="90">
        <v>1658.32863083096</v>
      </c>
      <c r="R1674" s="90">
        <v>1400</v>
      </c>
      <c r="S1674" s="90" t="s">
        <v>324</v>
      </c>
      <c r="T1674" s="90">
        <v>1400</v>
      </c>
      <c r="U1674" s="90" t="s">
        <v>378</v>
      </c>
      <c r="V1674" s="90" t="s">
        <v>244</v>
      </c>
      <c r="Z1674" s="90">
        <v>0</v>
      </c>
      <c r="AA1674" s="90">
        <v>1</v>
      </c>
      <c r="AB1674" s="90">
        <v>5.1276260632076802</v>
      </c>
      <c r="AC1674" s="90">
        <v>0.67665502177409997</v>
      </c>
      <c r="AD1674" s="90">
        <v>1658.32863083096</v>
      </c>
      <c r="AF1674" s="90">
        <v>-1</v>
      </c>
      <c r="AG1674" s="90">
        <v>-1</v>
      </c>
      <c r="AH1674" s="90">
        <v>-1</v>
      </c>
      <c r="AI1674" s="90">
        <v>-1</v>
      </c>
      <c r="AJ1674" s="90">
        <v>0</v>
      </c>
      <c r="AM1674" s="90" t="s">
        <v>379</v>
      </c>
      <c r="AN1674" s="90">
        <v>-1</v>
      </c>
      <c r="AQ1674" s="90">
        <v>357</v>
      </c>
      <c r="AR1674" s="90" t="s">
        <v>405</v>
      </c>
      <c r="AS1674" s="90" t="s">
        <v>406</v>
      </c>
      <c r="AT1674" s="90" t="s">
        <v>244</v>
      </c>
      <c r="AU1674" s="90">
        <v>122.34610000000001</v>
      </c>
      <c r="AV1674" s="90">
        <v>203.29779082146399</v>
      </c>
      <c r="AW1674" s="90">
        <v>1788.85568976932</v>
      </c>
      <c r="AX1674" s="90">
        <v>1.3449542829000001</v>
      </c>
    </row>
    <row r="1675" spans="1:50" x14ac:dyDescent="0.25">
      <c r="A1675" s="102">
        <v>830000</v>
      </c>
      <c r="B1675" s="102">
        <v>2400000</v>
      </c>
      <c r="C1675" s="102">
        <v>2400000</v>
      </c>
      <c r="D1675" s="90" t="s">
        <v>374</v>
      </c>
      <c r="E1675" s="90" t="s">
        <v>68</v>
      </c>
      <c r="F1675" s="90" t="s">
        <v>375</v>
      </c>
      <c r="G1675" s="90" t="s">
        <v>376</v>
      </c>
      <c r="H1675" s="90">
        <v>0.59</v>
      </c>
      <c r="I1675" s="90">
        <v>0.64</v>
      </c>
      <c r="J1675" s="90" t="s">
        <v>244</v>
      </c>
      <c r="K1675" s="90">
        <v>4.2394039634289997E-2</v>
      </c>
      <c r="L1675" s="90">
        <v>3751.57029631244</v>
      </c>
      <c r="M1675" s="90">
        <v>11.600022620177601</v>
      </c>
      <c r="N1675" s="90">
        <v>1.5307694948656501</v>
      </c>
      <c r="O1675" s="90">
        <v>0.49177181871849002</v>
      </c>
      <c r="P1675" s="90">
        <v>6.4895502636300006E-2</v>
      </c>
      <c r="Q1675" s="90">
        <v>159.044219832702</v>
      </c>
      <c r="R1675" s="90">
        <v>1410</v>
      </c>
      <c r="S1675" s="90" t="s">
        <v>325</v>
      </c>
      <c r="T1675" s="90">
        <v>1410</v>
      </c>
      <c r="U1675" s="90" t="s">
        <v>378</v>
      </c>
      <c r="V1675" s="90" t="s">
        <v>244</v>
      </c>
      <c r="Z1675" s="90">
        <v>0</v>
      </c>
      <c r="AA1675" s="90">
        <v>1</v>
      </c>
      <c r="AB1675" s="90">
        <v>0.49177181871849002</v>
      </c>
      <c r="AC1675" s="90">
        <v>6.4895502636300006E-2</v>
      </c>
      <c r="AD1675" s="90">
        <v>159.044219832702</v>
      </c>
      <c r="AF1675" s="90">
        <v>-1</v>
      </c>
      <c r="AG1675" s="90">
        <v>-1</v>
      </c>
      <c r="AH1675" s="90">
        <v>-1</v>
      </c>
      <c r="AI1675" s="90">
        <v>-1</v>
      </c>
      <c r="AJ1675" s="90">
        <v>0</v>
      </c>
      <c r="AM1675" s="90" t="s">
        <v>379</v>
      </c>
      <c r="AN1675" s="90">
        <v>-1</v>
      </c>
      <c r="AQ1675" s="90">
        <v>357</v>
      </c>
      <c r="AR1675" s="90" t="s">
        <v>405</v>
      </c>
      <c r="AS1675" s="90" t="s">
        <v>406</v>
      </c>
      <c r="AT1675" s="90" t="s">
        <v>244</v>
      </c>
      <c r="AU1675" s="90">
        <v>122.34610000000001</v>
      </c>
      <c r="AV1675" s="90">
        <v>53.301574308533098</v>
      </c>
      <c r="AW1675" s="90">
        <v>171.56259156551499</v>
      </c>
      <c r="AX1675" s="90">
        <v>0.12898963490000001</v>
      </c>
    </row>
    <row r="1676" spans="1:50" x14ac:dyDescent="0.25">
      <c r="A1676" s="102">
        <v>830000</v>
      </c>
      <c r="B1676" s="102">
        <v>2400000</v>
      </c>
      <c r="C1676" s="102">
        <v>2400000</v>
      </c>
      <c r="D1676" s="90" t="s">
        <v>374</v>
      </c>
      <c r="E1676" s="90" t="s">
        <v>68</v>
      </c>
      <c r="F1676" s="90" t="s">
        <v>375</v>
      </c>
      <c r="G1676" s="90" t="s">
        <v>376</v>
      </c>
      <c r="H1676" s="90">
        <v>0.59</v>
      </c>
      <c r="I1676" s="90">
        <v>0.64</v>
      </c>
      <c r="J1676" s="90" t="s">
        <v>244</v>
      </c>
      <c r="K1676" s="90">
        <v>0.13333354651550999</v>
      </c>
      <c r="L1676" s="90">
        <v>3751.57029631244</v>
      </c>
      <c r="M1676" s="90">
        <v>11.600022620177601</v>
      </c>
      <c r="N1676" s="90">
        <v>1.5307694948656501</v>
      </c>
      <c r="O1676" s="90">
        <v>1.5466721556085199</v>
      </c>
      <c r="P1676" s="90">
        <v>0.20410292564820001</v>
      </c>
      <c r="Q1676" s="90">
        <v>500.21017260961003</v>
      </c>
      <c r="R1676" s="90">
        <v>1410</v>
      </c>
      <c r="S1676" s="90" t="s">
        <v>325</v>
      </c>
      <c r="T1676" s="90">
        <v>1410</v>
      </c>
      <c r="U1676" s="90" t="s">
        <v>378</v>
      </c>
      <c r="V1676" s="90" t="s">
        <v>244</v>
      </c>
      <c r="Z1676" s="90">
        <v>0</v>
      </c>
      <c r="AA1676" s="90">
        <v>1</v>
      </c>
      <c r="AB1676" s="90">
        <v>1.5466721556085199</v>
      </c>
      <c r="AC1676" s="90">
        <v>0.20410292564820001</v>
      </c>
      <c r="AD1676" s="90">
        <v>500.21017260961003</v>
      </c>
      <c r="AF1676" s="90">
        <v>-1</v>
      </c>
      <c r="AG1676" s="90">
        <v>-1</v>
      </c>
      <c r="AH1676" s="90">
        <v>-1</v>
      </c>
      <c r="AI1676" s="90">
        <v>-1</v>
      </c>
      <c r="AJ1676" s="90">
        <v>0</v>
      </c>
      <c r="AM1676" s="90" t="s">
        <v>379</v>
      </c>
      <c r="AN1676" s="90">
        <v>-1</v>
      </c>
      <c r="AQ1676" s="90">
        <v>357</v>
      </c>
      <c r="AR1676" s="90" t="s">
        <v>405</v>
      </c>
      <c r="AS1676" s="90" t="s">
        <v>406</v>
      </c>
      <c r="AT1676" s="90" t="s">
        <v>244</v>
      </c>
      <c r="AU1676" s="90">
        <v>122.34610000000001</v>
      </c>
      <c r="AV1676" s="90">
        <v>98.231886210672499</v>
      </c>
      <c r="AW1676" s="90">
        <v>539.58171903769096</v>
      </c>
      <c r="AX1676" s="90">
        <v>0.40568546030000002</v>
      </c>
    </row>
    <row r="1677" spans="1:50" x14ac:dyDescent="0.25">
      <c r="A1677" s="102">
        <v>830000</v>
      </c>
      <c r="B1677" s="102">
        <v>2400000</v>
      </c>
      <c r="C1677" s="102">
        <v>2400000</v>
      </c>
      <c r="D1677" s="90" t="s">
        <v>374</v>
      </c>
      <c r="E1677" s="90" t="s">
        <v>68</v>
      </c>
      <c r="F1677" s="90" t="s">
        <v>375</v>
      </c>
      <c r="G1677" s="90" t="s">
        <v>376</v>
      </c>
      <c r="H1677" s="90">
        <v>0.59</v>
      </c>
      <c r="I1677" s="90">
        <v>0.64</v>
      </c>
      <c r="J1677" s="90" t="s">
        <v>244</v>
      </c>
      <c r="K1677" s="90">
        <v>7.6917142139450001E-2</v>
      </c>
      <c r="L1677" s="90">
        <v>3763.0874708188999</v>
      </c>
      <c r="M1677" s="90">
        <v>9.4599337823138594</v>
      </c>
      <c r="N1677" s="90">
        <v>1.44292040026144</v>
      </c>
      <c r="O1677" s="90">
        <v>0.72763107136409999</v>
      </c>
      <c r="P1677" s="90">
        <v>0.11098531352283</v>
      </c>
      <c r="Q1677" s="90">
        <v>289.44593387619398</v>
      </c>
      <c r="R1677" s="90">
        <v>1200</v>
      </c>
      <c r="S1677" s="90" t="s">
        <v>384</v>
      </c>
      <c r="T1677" s="90">
        <v>1200</v>
      </c>
      <c r="U1677" s="90" t="s">
        <v>378</v>
      </c>
      <c r="V1677" s="90" t="s">
        <v>244</v>
      </c>
      <c r="Z1677" s="90">
        <v>0</v>
      </c>
      <c r="AA1677" s="90">
        <v>1</v>
      </c>
      <c r="AB1677" s="90">
        <v>0.72763107136409999</v>
      </c>
      <c r="AC1677" s="90">
        <v>0.11098531352283</v>
      </c>
      <c r="AD1677" s="90">
        <v>289.445933876195</v>
      </c>
      <c r="AF1677" s="90">
        <v>-1</v>
      </c>
      <c r="AG1677" s="90">
        <v>-1</v>
      </c>
      <c r="AH1677" s="90">
        <v>-1</v>
      </c>
      <c r="AI1677" s="90">
        <v>-1</v>
      </c>
      <c r="AJ1677" s="90">
        <v>0</v>
      </c>
      <c r="AM1677" s="90" t="s">
        <v>379</v>
      </c>
      <c r="AN1677" s="90">
        <v>-1</v>
      </c>
      <c r="AQ1677" s="90">
        <v>357</v>
      </c>
      <c r="AR1677" s="90" t="s">
        <v>405</v>
      </c>
      <c r="AS1677" s="90" t="s">
        <v>406</v>
      </c>
      <c r="AT1677" s="90" t="s">
        <v>244</v>
      </c>
      <c r="AU1677" s="90">
        <v>122.34610000000001</v>
      </c>
      <c r="AV1677" s="90">
        <v>113.53363261685899</v>
      </c>
      <c r="AW1677" s="90">
        <v>311.27263065972397</v>
      </c>
      <c r="AX1677" s="90">
        <v>0.23474933810000001</v>
      </c>
    </row>
    <row r="1678" spans="1:50" x14ac:dyDescent="0.25">
      <c r="A1678" s="102">
        <v>830000</v>
      </c>
      <c r="B1678" s="102">
        <v>2400000</v>
      </c>
      <c r="C1678" s="102">
        <v>2400000</v>
      </c>
      <c r="D1678" s="90" t="s">
        <v>374</v>
      </c>
      <c r="E1678" s="90" t="s">
        <v>68</v>
      </c>
      <c r="F1678" s="90" t="s">
        <v>375</v>
      </c>
      <c r="G1678" s="90" t="s">
        <v>376</v>
      </c>
      <c r="H1678" s="90">
        <v>0.59</v>
      </c>
      <c r="I1678" s="90">
        <v>0.64</v>
      </c>
      <c r="J1678" s="90" t="s">
        <v>244</v>
      </c>
      <c r="K1678" s="90">
        <v>0.10999015421569</v>
      </c>
      <c r="L1678" s="90">
        <v>3763.0874708188999</v>
      </c>
      <c r="M1678" s="90">
        <v>9.4599337823138594</v>
      </c>
      <c r="N1678" s="90">
        <v>1.44292040026144</v>
      </c>
      <c r="O1678" s="90">
        <v>1.0404995755869499</v>
      </c>
      <c r="P1678" s="90">
        <v>0.15870703734572</v>
      </c>
      <c r="Q1678" s="90">
        <v>413.90257124251701</v>
      </c>
      <c r="R1678" s="90">
        <v>1400</v>
      </c>
      <c r="S1678" s="90" t="s">
        <v>324</v>
      </c>
      <c r="T1678" s="90">
        <v>1400</v>
      </c>
      <c r="U1678" s="90" t="s">
        <v>378</v>
      </c>
      <c r="V1678" s="90" t="s">
        <v>244</v>
      </c>
      <c r="Z1678" s="90">
        <v>0</v>
      </c>
      <c r="AA1678" s="90">
        <v>1</v>
      </c>
      <c r="AB1678" s="90">
        <v>1.0404995755869499</v>
      </c>
      <c r="AC1678" s="90">
        <v>0.15870703734572</v>
      </c>
      <c r="AD1678" s="90">
        <v>413.90257124251701</v>
      </c>
      <c r="AF1678" s="90">
        <v>-1</v>
      </c>
      <c r="AG1678" s="90">
        <v>-1</v>
      </c>
      <c r="AH1678" s="90">
        <v>-1</v>
      </c>
      <c r="AI1678" s="90">
        <v>-1</v>
      </c>
      <c r="AJ1678" s="90">
        <v>0</v>
      </c>
      <c r="AM1678" s="90" t="s">
        <v>379</v>
      </c>
      <c r="AN1678" s="90">
        <v>-1</v>
      </c>
      <c r="AQ1678" s="90">
        <v>357</v>
      </c>
      <c r="AR1678" s="90" t="s">
        <v>405</v>
      </c>
      <c r="AS1678" s="90" t="s">
        <v>406</v>
      </c>
      <c r="AT1678" s="90" t="s">
        <v>244</v>
      </c>
      <c r="AU1678" s="90">
        <v>122.34610000000001</v>
      </c>
      <c r="AV1678" s="90">
        <v>117.969425884765</v>
      </c>
      <c r="AW1678" s="90">
        <v>445.11436198854699</v>
      </c>
      <c r="AX1678" s="90">
        <v>0.3356874057</v>
      </c>
    </row>
    <row r="1679" spans="1:50" x14ac:dyDescent="0.25">
      <c r="A1679" s="102">
        <v>830000</v>
      </c>
      <c r="B1679" s="102">
        <v>2400000</v>
      </c>
      <c r="C1679" s="102">
        <v>2400000</v>
      </c>
      <c r="D1679" s="90" t="s">
        <v>374</v>
      </c>
      <c r="E1679" s="90" t="s">
        <v>68</v>
      </c>
      <c r="F1679" s="90" t="s">
        <v>375</v>
      </c>
      <c r="G1679" s="90" t="s">
        <v>376</v>
      </c>
      <c r="H1679" s="90">
        <v>0.59</v>
      </c>
      <c r="I1679" s="90">
        <v>0.64</v>
      </c>
      <c r="J1679" s="90" t="s">
        <v>244</v>
      </c>
      <c r="K1679" s="90">
        <v>0.10853906974508</v>
      </c>
      <c r="L1679" s="90">
        <v>3763.0874708188999</v>
      </c>
      <c r="M1679" s="90">
        <v>9.4599337823138594</v>
      </c>
      <c r="N1679" s="90">
        <v>1.44292040026144</v>
      </c>
      <c r="O1679" s="90">
        <v>1.02677241258248</v>
      </c>
      <c r="P1679" s="90">
        <v>0.15661323796057999</v>
      </c>
      <c r="Q1679" s="90">
        <v>408.44201345208302</v>
      </c>
      <c r="R1679" s="90">
        <v>1330</v>
      </c>
      <c r="S1679" s="90" t="s">
        <v>397</v>
      </c>
      <c r="T1679" s="90">
        <v>1330</v>
      </c>
      <c r="U1679" s="90" t="s">
        <v>378</v>
      </c>
      <c r="V1679" s="90" t="s">
        <v>244</v>
      </c>
      <c r="Z1679" s="90">
        <v>0</v>
      </c>
      <c r="AA1679" s="90">
        <v>1</v>
      </c>
      <c r="AB1679" s="90">
        <v>1.02677241258248</v>
      </c>
      <c r="AC1679" s="90">
        <v>0.15661323796057999</v>
      </c>
      <c r="AD1679" s="90">
        <v>408.44201345208302</v>
      </c>
      <c r="AF1679" s="90">
        <v>-1</v>
      </c>
      <c r="AG1679" s="90">
        <v>-1</v>
      </c>
      <c r="AH1679" s="90">
        <v>-1</v>
      </c>
      <c r="AI1679" s="90">
        <v>-1</v>
      </c>
      <c r="AJ1679" s="90">
        <v>0</v>
      </c>
      <c r="AM1679" s="90" t="s">
        <v>379</v>
      </c>
      <c r="AN1679" s="90">
        <v>-1</v>
      </c>
      <c r="AQ1679" s="90">
        <v>357</v>
      </c>
      <c r="AR1679" s="90" t="s">
        <v>405</v>
      </c>
      <c r="AS1679" s="90" t="s">
        <v>406</v>
      </c>
      <c r="AT1679" s="90" t="s">
        <v>244</v>
      </c>
      <c r="AU1679" s="90">
        <v>122.34610000000001</v>
      </c>
      <c r="AV1679" s="90">
        <v>84.197649911593601</v>
      </c>
      <c r="AW1679" s="90">
        <v>439.242031479236</v>
      </c>
      <c r="AX1679" s="90">
        <v>0.33125872950000002</v>
      </c>
    </row>
    <row r="1680" spans="1:50" x14ac:dyDescent="0.25">
      <c r="A1680" s="102">
        <v>830000</v>
      </c>
      <c r="B1680" s="102">
        <v>2400000</v>
      </c>
      <c r="C1680" s="102">
        <v>2400000</v>
      </c>
      <c r="D1680" s="90" t="s">
        <v>374</v>
      </c>
      <c r="E1680" s="90" t="s">
        <v>68</v>
      </c>
      <c r="F1680" s="90" t="s">
        <v>375</v>
      </c>
      <c r="G1680" s="90" t="s">
        <v>376</v>
      </c>
      <c r="H1680" s="90">
        <v>0.59</v>
      </c>
      <c r="I1680" s="90">
        <v>0.64</v>
      </c>
      <c r="J1680" s="90" t="s">
        <v>244</v>
      </c>
      <c r="K1680" s="90">
        <v>6.1768282046540002E-2</v>
      </c>
      <c r="L1680" s="90">
        <v>3763.0874708188999</v>
      </c>
      <c r="M1680" s="90">
        <v>9.4599337823138594</v>
      </c>
      <c r="N1680" s="90">
        <v>1.44292040026144</v>
      </c>
      <c r="O1680" s="90">
        <v>0.58432385800758002</v>
      </c>
      <c r="P1680" s="90">
        <v>8.9126714254049999E-2</v>
      </c>
      <c r="Q1680" s="90">
        <v>232.439448263354</v>
      </c>
      <c r="R1680" s="90">
        <v>1330</v>
      </c>
      <c r="S1680" s="90" t="s">
        <v>397</v>
      </c>
      <c r="T1680" s="90">
        <v>1330</v>
      </c>
      <c r="U1680" s="90" t="s">
        <v>378</v>
      </c>
      <c r="V1680" s="90" t="s">
        <v>244</v>
      </c>
      <c r="Z1680" s="90">
        <v>0</v>
      </c>
      <c r="AA1680" s="90">
        <v>1</v>
      </c>
      <c r="AB1680" s="90">
        <v>0.58432385800758002</v>
      </c>
      <c r="AC1680" s="90">
        <v>8.9126714254049999E-2</v>
      </c>
      <c r="AD1680" s="90">
        <v>232.43944826335499</v>
      </c>
      <c r="AF1680" s="90">
        <v>-1</v>
      </c>
      <c r="AG1680" s="90">
        <v>-1</v>
      </c>
      <c r="AH1680" s="90">
        <v>-1</v>
      </c>
      <c r="AI1680" s="90">
        <v>-1</v>
      </c>
      <c r="AJ1680" s="90">
        <v>0</v>
      </c>
      <c r="AM1680" s="90" t="s">
        <v>379</v>
      </c>
      <c r="AN1680" s="90">
        <v>-1</v>
      </c>
      <c r="AQ1680" s="90">
        <v>357</v>
      </c>
      <c r="AR1680" s="90" t="s">
        <v>405</v>
      </c>
      <c r="AS1680" s="90" t="s">
        <v>406</v>
      </c>
      <c r="AT1680" s="90" t="s">
        <v>244</v>
      </c>
      <c r="AU1680" s="90">
        <v>122.34610000000001</v>
      </c>
      <c r="AV1680" s="90">
        <v>66.322240904619093</v>
      </c>
      <c r="AW1680" s="90">
        <v>249.96736890066799</v>
      </c>
      <c r="AX1680" s="90">
        <v>0.18851536760000001</v>
      </c>
    </row>
    <row r="1681" spans="1:50" x14ac:dyDescent="0.25">
      <c r="A1681" s="102">
        <v>830000</v>
      </c>
      <c r="B1681" s="102">
        <v>2400000</v>
      </c>
      <c r="C1681" s="102">
        <v>2400000</v>
      </c>
      <c r="D1681" s="90" t="s">
        <v>374</v>
      </c>
      <c r="E1681" s="90" t="s">
        <v>68</v>
      </c>
      <c r="F1681" s="90" t="s">
        <v>375</v>
      </c>
      <c r="G1681" s="90" t="s">
        <v>376</v>
      </c>
      <c r="H1681" s="90">
        <v>0.59</v>
      </c>
      <c r="I1681" s="90">
        <v>0.64</v>
      </c>
      <c r="J1681" s="90" t="s">
        <v>244</v>
      </c>
      <c r="K1681" s="90">
        <v>9.5401915517739994E-2</v>
      </c>
      <c r="L1681" s="90">
        <v>3763.0874708188999</v>
      </c>
      <c r="M1681" s="90">
        <v>9.4599337823138594</v>
      </c>
      <c r="N1681" s="90">
        <v>1.44292040026144</v>
      </c>
      <c r="O1681" s="90">
        <v>0.90249580350376002</v>
      </c>
      <c r="P1681" s="90">
        <v>0.13765737012456999</v>
      </c>
      <c r="Q1681" s="90">
        <v>359.005752976949</v>
      </c>
      <c r="R1681" s="90">
        <v>1330</v>
      </c>
      <c r="S1681" s="90" t="s">
        <v>397</v>
      </c>
      <c r="T1681" s="90">
        <v>1330</v>
      </c>
      <c r="U1681" s="90" t="s">
        <v>378</v>
      </c>
      <c r="V1681" s="90" t="s">
        <v>244</v>
      </c>
      <c r="Z1681" s="90">
        <v>0</v>
      </c>
      <c r="AA1681" s="90">
        <v>1</v>
      </c>
      <c r="AB1681" s="90">
        <v>0.90249580350376002</v>
      </c>
      <c r="AC1681" s="90">
        <v>0.13765737012456999</v>
      </c>
      <c r="AD1681" s="90">
        <v>359.00575297695002</v>
      </c>
      <c r="AF1681" s="90">
        <v>-1</v>
      </c>
      <c r="AG1681" s="90">
        <v>-1</v>
      </c>
      <c r="AH1681" s="90">
        <v>-1</v>
      </c>
      <c r="AI1681" s="90">
        <v>-1</v>
      </c>
      <c r="AJ1681" s="90">
        <v>0</v>
      </c>
      <c r="AM1681" s="90" t="s">
        <v>379</v>
      </c>
      <c r="AN1681" s="90">
        <v>-1</v>
      </c>
      <c r="AQ1681" s="90">
        <v>357</v>
      </c>
      <c r="AR1681" s="90" t="s">
        <v>405</v>
      </c>
      <c r="AS1681" s="90" t="s">
        <v>406</v>
      </c>
      <c r="AT1681" s="90" t="s">
        <v>244</v>
      </c>
      <c r="AU1681" s="90">
        <v>122.34610000000001</v>
      </c>
      <c r="AV1681" s="90">
        <v>90.3905161695385</v>
      </c>
      <c r="AW1681" s="90">
        <v>386.07785452224903</v>
      </c>
      <c r="AX1681" s="90">
        <v>0.29116443869999997</v>
      </c>
    </row>
    <row r="1682" spans="1:50" x14ac:dyDescent="0.25">
      <c r="A1682" s="102">
        <v>830000</v>
      </c>
      <c r="B1682" s="102">
        <v>2400000</v>
      </c>
      <c r="C1682" s="102">
        <v>2400000</v>
      </c>
      <c r="D1682" s="90" t="s">
        <v>374</v>
      </c>
      <c r="E1682" s="90" t="s">
        <v>68</v>
      </c>
      <c r="F1682" s="90" t="s">
        <v>375</v>
      </c>
      <c r="G1682" s="90" t="s">
        <v>376</v>
      </c>
      <c r="H1682" s="90">
        <v>0.59</v>
      </c>
      <c r="I1682" s="90">
        <v>0.64</v>
      </c>
      <c r="J1682" s="90" t="s">
        <v>244</v>
      </c>
      <c r="K1682" s="90">
        <v>0.11648593131708999</v>
      </c>
      <c r="L1682" s="90">
        <v>3763.0874708188999</v>
      </c>
      <c r="M1682" s="90">
        <v>9.4599337823138594</v>
      </c>
      <c r="N1682" s="90">
        <v>1.44292040026144</v>
      </c>
      <c r="O1682" s="90">
        <v>1.1019491968308599</v>
      </c>
      <c r="P1682" s="90">
        <v>0.16807992664088001</v>
      </c>
      <c r="Q1682" s="90">
        <v>438.34674866602302</v>
      </c>
      <c r="R1682" s="90">
        <v>1330</v>
      </c>
      <c r="S1682" s="90" t="s">
        <v>397</v>
      </c>
      <c r="T1682" s="90">
        <v>1330</v>
      </c>
      <c r="U1682" s="90" t="s">
        <v>378</v>
      </c>
      <c r="V1682" s="90" t="s">
        <v>244</v>
      </c>
      <c r="Z1682" s="90">
        <v>0</v>
      </c>
      <c r="AA1682" s="90">
        <v>1</v>
      </c>
      <c r="AB1682" s="90">
        <v>1.1019491968308599</v>
      </c>
      <c r="AC1682" s="90">
        <v>0.16807992664088001</v>
      </c>
      <c r="AD1682" s="90">
        <v>438.34674866602302</v>
      </c>
      <c r="AF1682" s="90">
        <v>-1</v>
      </c>
      <c r="AG1682" s="90">
        <v>-1</v>
      </c>
      <c r="AH1682" s="90">
        <v>-1</v>
      </c>
      <c r="AI1682" s="90">
        <v>-1</v>
      </c>
      <c r="AJ1682" s="90">
        <v>0</v>
      </c>
      <c r="AM1682" s="90" t="s">
        <v>379</v>
      </c>
      <c r="AN1682" s="90">
        <v>-1</v>
      </c>
      <c r="AQ1682" s="90">
        <v>357</v>
      </c>
      <c r="AR1682" s="90" t="s">
        <v>405</v>
      </c>
      <c r="AS1682" s="90" t="s">
        <v>406</v>
      </c>
      <c r="AT1682" s="90" t="s">
        <v>244</v>
      </c>
      <c r="AU1682" s="90">
        <v>122.34610000000001</v>
      </c>
      <c r="AV1682" s="90">
        <v>94.299275479402496</v>
      </c>
      <c r="AW1682" s="90">
        <v>471.40183926982297</v>
      </c>
      <c r="AX1682" s="90">
        <v>0.3555123671</v>
      </c>
    </row>
    <row r="1683" spans="1:50" x14ac:dyDescent="0.25">
      <c r="A1683" s="102">
        <v>830000</v>
      </c>
      <c r="B1683" s="102">
        <v>2400000</v>
      </c>
      <c r="C1683" s="102">
        <v>2400000</v>
      </c>
      <c r="D1683" s="90" t="s">
        <v>374</v>
      </c>
      <c r="E1683" s="90" t="s">
        <v>68</v>
      </c>
      <c r="F1683" s="90" t="s">
        <v>375</v>
      </c>
      <c r="G1683" s="90" t="s">
        <v>376</v>
      </c>
      <c r="H1683" s="90">
        <v>0.59</v>
      </c>
      <c r="I1683" s="90">
        <v>0.64</v>
      </c>
      <c r="J1683" s="90" t="s">
        <v>244</v>
      </c>
      <c r="K1683" s="90">
        <v>1.5859379248640001E-2</v>
      </c>
      <c r="L1683" s="90">
        <v>3763.0874708188999</v>
      </c>
      <c r="M1683" s="90">
        <v>9.4599337823138594</v>
      </c>
      <c r="N1683" s="90">
        <v>1.44292040026144</v>
      </c>
      <c r="O1683" s="90">
        <v>0.15002867752081001</v>
      </c>
      <c r="P1683" s="90">
        <v>2.288382185335E-2</v>
      </c>
      <c r="Q1683" s="90">
        <v>59.6802313455525</v>
      </c>
      <c r="R1683" s="90">
        <v>1410</v>
      </c>
      <c r="S1683" s="90" t="s">
        <v>325</v>
      </c>
      <c r="T1683" s="90">
        <v>1410</v>
      </c>
      <c r="U1683" s="90" t="s">
        <v>378</v>
      </c>
      <c r="V1683" s="90" t="s">
        <v>244</v>
      </c>
      <c r="Z1683" s="90">
        <v>0</v>
      </c>
      <c r="AA1683" s="90">
        <v>1</v>
      </c>
      <c r="AB1683" s="90">
        <v>0.15002867752081001</v>
      </c>
      <c r="AC1683" s="90">
        <v>2.288382185335E-2</v>
      </c>
      <c r="AD1683" s="90">
        <v>59.680231345550702</v>
      </c>
      <c r="AF1683" s="90">
        <v>-1</v>
      </c>
      <c r="AG1683" s="90">
        <v>-1</v>
      </c>
      <c r="AH1683" s="90">
        <v>-1</v>
      </c>
      <c r="AI1683" s="90">
        <v>-1</v>
      </c>
      <c r="AJ1683" s="90">
        <v>0</v>
      </c>
      <c r="AM1683" s="90" t="s">
        <v>379</v>
      </c>
      <c r="AN1683" s="90">
        <v>-1</v>
      </c>
      <c r="AQ1683" s="90">
        <v>357</v>
      </c>
      <c r="AR1683" s="90" t="s">
        <v>405</v>
      </c>
      <c r="AS1683" s="90" t="s">
        <v>406</v>
      </c>
      <c r="AT1683" s="90" t="s">
        <v>244</v>
      </c>
      <c r="AU1683" s="90">
        <v>122.34610000000001</v>
      </c>
      <c r="AV1683" s="90">
        <v>68.145935655853293</v>
      </c>
      <c r="AW1683" s="90">
        <v>64.1806307676665</v>
      </c>
      <c r="AX1683" s="90">
        <v>4.8402458500000002E-2</v>
      </c>
    </row>
    <row r="1684" spans="1:50" x14ac:dyDescent="0.25">
      <c r="A1684" s="102">
        <v>830000</v>
      </c>
      <c r="B1684" s="102">
        <v>2400000</v>
      </c>
      <c r="C1684" s="102">
        <v>2400000</v>
      </c>
      <c r="D1684" s="90" t="s">
        <v>374</v>
      </c>
      <c r="E1684" s="90" t="s">
        <v>68</v>
      </c>
      <c r="F1684" s="90" t="s">
        <v>375</v>
      </c>
      <c r="G1684" s="90" t="s">
        <v>376</v>
      </c>
      <c r="H1684" s="90">
        <v>0.59</v>
      </c>
      <c r="I1684" s="90">
        <v>0.64</v>
      </c>
      <c r="J1684" s="90" t="s">
        <v>244</v>
      </c>
      <c r="K1684" s="90">
        <v>2.1349010602580001E-2</v>
      </c>
      <c r="L1684" s="90">
        <v>3763.0874708188999</v>
      </c>
      <c r="M1684" s="90">
        <v>9.4599337823138594</v>
      </c>
      <c r="N1684" s="90">
        <v>1.44292040026144</v>
      </c>
      <c r="O1684" s="90">
        <v>0.20196022661832</v>
      </c>
      <c r="P1684" s="90">
        <v>3.0804922923860001E-2</v>
      </c>
      <c r="Q1684" s="90">
        <v>80.338194312948701</v>
      </c>
      <c r="R1684" s="90">
        <v>1330</v>
      </c>
      <c r="S1684" s="90" t="s">
        <v>397</v>
      </c>
      <c r="T1684" s="90">
        <v>1330</v>
      </c>
      <c r="U1684" s="90" t="s">
        <v>378</v>
      </c>
      <c r="V1684" s="90" t="s">
        <v>244</v>
      </c>
      <c r="Z1684" s="90">
        <v>0</v>
      </c>
      <c r="AA1684" s="90">
        <v>1</v>
      </c>
      <c r="AB1684" s="90">
        <v>0.20196022661832</v>
      </c>
      <c r="AC1684" s="90">
        <v>3.0804922923860001E-2</v>
      </c>
      <c r="AD1684" s="90">
        <v>80.338194312947493</v>
      </c>
      <c r="AF1684" s="90">
        <v>-1</v>
      </c>
      <c r="AG1684" s="90">
        <v>-1</v>
      </c>
      <c r="AH1684" s="90">
        <v>-1</v>
      </c>
      <c r="AI1684" s="90">
        <v>-1</v>
      </c>
      <c r="AJ1684" s="90">
        <v>0</v>
      </c>
      <c r="AM1684" s="90" t="s">
        <v>379</v>
      </c>
      <c r="AN1684" s="90">
        <v>-1</v>
      </c>
      <c r="AQ1684" s="90">
        <v>357</v>
      </c>
      <c r="AR1684" s="90" t="s">
        <v>405</v>
      </c>
      <c r="AS1684" s="90" t="s">
        <v>406</v>
      </c>
      <c r="AT1684" s="90" t="s">
        <v>244</v>
      </c>
      <c r="AU1684" s="90">
        <v>122.34610000000001</v>
      </c>
      <c r="AV1684" s="90">
        <v>50.049388922010898</v>
      </c>
      <c r="AW1684" s="90">
        <v>86.396380668935294</v>
      </c>
      <c r="AX1684" s="90">
        <v>6.5156686399999997E-2</v>
      </c>
    </row>
    <row r="1685" spans="1:50" x14ac:dyDescent="0.25">
      <c r="A1685" s="102">
        <v>830000</v>
      </c>
      <c r="B1685" s="102">
        <v>2400000</v>
      </c>
      <c r="C1685" s="102">
        <v>2400000</v>
      </c>
      <c r="D1685" s="90" t="s">
        <v>374</v>
      </c>
      <c r="E1685" s="90" t="s">
        <v>68</v>
      </c>
      <c r="F1685" s="90" t="s">
        <v>375</v>
      </c>
      <c r="G1685" s="90" t="s">
        <v>376</v>
      </c>
      <c r="H1685" s="90">
        <v>0.59</v>
      </c>
      <c r="I1685" s="90">
        <v>0.64</v>
      </c>
      <c r="J1685" s="90" t="s">
        <v>244</v>
      </c>
      <c r="K1685" s="90">
        <v>1.1452568766020001E-2</v>
      </c>
      <c r="L1685" s="90">
        <v>3763.0874708188999</v>
      </c>
      <c r="M1685" s="90">
        <v>9.4599337823138594</v>
      </c>
      <c r="N1685" s="90">
        <v>1.44292040026144</v>
      </c>
      <c r="O1685" s="90">
        <v>0.10834054216395</v>
      </c>
      <c r="P1685" s="90">
        <v>1.6525145107880002E-2</v>
      </c>
      <c r="Q1685" s="90">
        <v>43.097018032105503</v>
      </c>
      <c r="R1685" s="90">
        <v>1450</v>
      </c>
      <c r="S1685" s="90" t="s">
        <v>391</v>
      </c>
      <c r="T1685" s="90">
        <v>1450</v>
      </c>
      <c r="U1685" s="90" t="s">
        <v>378</v>
      </c>
      <c r="V1685" s="90" t="s">
        <v>244</v>
      </c>
      <c r="Z1685" s="90">
        <v>0</v>
      </c>
      <c r="AA1685" s="90">
        <v>1</v>
      </c>
      <c r="AB1685" s="90">
        <v>0.10834054216395</v>
      </c>
      <c r="AC1685" s="90">
        <v>1.6525145107880002E-2</v>
      </c>
      <c r="AD1685" s="90">
        <v>43.0970180321073</v>
      </c>
      <c r="AF1685" s="90">
        <v>-1</v>
      </c>
      <c r="AG1685" s="90">
        <v>-1</v>
      </c>
      <c r="AH1685" s="90">
        <v>-1</v>
      </c>
      <c r="AI1685" s="90">
        <v>-1</v>
      </c>
      <c r="AJ1685" s="90">
        <v>0</v>
      </c>
      <c r="AM1685" s="90" t="s">
        <v>379</v>
      </c>
      <c r="AN1685" s="90">
        <v>-1</v>
      </c>
      <c r="AQ1685" s="90">
        <v>357</v>
      </c>
      <c r="AR1685" s="90" t="s">
        <v>405</v>
      </c>
      <c r="AS1685" s="90" t="s">
        <v>406</v>
      </c>
      <c r="AT1685" s="90" t="s">
        <v>244</v>
      </c>
      <c r="AU1685" s="90">
        <v>122.34610000000001</v>
      </c>
      <c r="AV1685" s="90">
        <v>71.584439475141593</v>
      </c>
      <c r="AW1685" s="90">
        <v>46.346901463751699</v>
      </c>
      <c r="AX1685" s="90">
        <v>3.4952974900000003E-2</v>
      </c>
    </row>
    <row r="1686" spans="1:50" x14ac:dyDescent="0.25">
      <c r="A1686" s="102">
        <v>830000</v>
      </c>
      <c r="B1686" s="102">
        <v>2400000</v>
      </c>
      <c r="C1686" s="102">
        <v>2400000</v>
      </c>
      <c r="D1686" s="90" t="s">
        <v>374</v>
      </c>
      <c r="E1686" s="90" t="s">
        <v>68</v>
      </c>
      <c r="F1686" s="90" t="s">
        <v>375</v>
      </c>
      <c r="G1686" s="90" t="s">
        <v>376</v>
      </c>
      <c r="H1686" s="90">
        <v>0.59</v>
      </c>
      <c r="I1686" s="90">
        <v>0.64</v>
      </c>
      <c r="J1686" s="90" t="s">
        <v>244</v>
      </c>
      <c r="K1686" s="90">
        <v>0.18979058916457001</v>
      </c>
      <c r="L1686" s="90">
        <v>3660.1208243814099</v>
      </c>
      <c r="M1686" s="90">
        <v>9.1299346287899308</v>
      </c>
      <c r="N1686" s="90">
        <v>1.3432281815759799</v>
      </c>
      <c r="O1686" s="90">
        <v>1.7327756722320999</v>
      </c>
      <c r="P1686" s="90">
        <v>0.25493206796376</v>
      </c>
      <c r="Q1686" s="90">
        <v>694.65648767288098</v>
      </c>
      <c r="R1686" s="90">
        <v>1200</v>
      </c>
      <c r="S1686" s="90" t="s">
        <v>384</v>
      </c>
      <c r="T1686" s="90">
        <v>1200</v>
      </c>
      <c r="U1686" s="90" t="s">
        <v>378</v>
      </c>
      <c r="V1686" s="90" t="s">
        <v>244</v>
      </c>
      <c r="Z1686" s="90">
        <v>0</v>
      </c>
      <c r="AA1686" s="90">
        <v>1</v>
      </c>
      <c r="AB1686" s="90">
        <v>1.7327756722320999</v>
      </c>
      <c r="AC1686" s="90">
        <v>0.25493206796376</v>
      </c>
      <c r="AD1686" s="90">
        <v>694.65648767288098</v>
      </c>
      <c r="AF1686" s="90">
        <v>-1</v>
      </c>
      <c r="AG1686" s="90">
        <v>-1</v>
      </c>
      <c r="AH1686" s="90">
        <v>-1</v>
      </c>
      <c r="AI1686" s="90">
        <v>-1</v>
      </c>
      <c r="AJ1686" s="90">
        <v>0</v>
      </c>
      <c r="AM1686" s="90" t="s">
        <v>379</v>
      </c>
      <c r="AN1686" s="90">
        <v>-1</v>
      </c>
      <c r="AQ1686" s="90">
        <v>357</v>
      </c>
      <c r="AR1686" s="90" t="s">
        <v>405</v>
      </c>
      <c r="AS1686" s="90" t="s">
        <v>406</v>
      </c>
      <c r="AT1686" s="90" t="s">
        <v>244</v>
      </c>
      <c r="AU1686" s="90">
        <v>122.34610000000001</v>
      </c>
      <c r="AV1686" s="90">
        <v>130.97701702011301</v>
      </c>
      <c r="AW1686" s="90">
        <v>768.05526467174502</v>
      </c>
      <c r="AX1686" s="90">
        <v>0.56338725680000001</v>
      </c>
    </row>
    <row r="1687" spans="1:50" x14ac:dyDescent="0.25">
      <c r="A1687" s="102">
        <v>830000</v>
      </c>
      <c r="B1687" s="102">
        <v>2400000</v>
      </c>
      <c r="C1687" s="102">
        <v>2400000</v>
      </c>
      <c r="D1687" s="90" t="s">
        <v>374</v>
      </c>
      <c r="E1687" s="90" t="s">
        <v>68</v>
      </c>
      <c r="F1687" s="90" t="s">
        <v>375</v>
      </c>
      <c r="G1687" s="90" t="s">
        <v>376</v>
      </c>
      <c r="H1687" s="90">
        <v>0.59</v>
      </c>
      <c r="I1687" s="90">
        <v>0.64</v>
      </c>
      <c r="J1687" s="90" t="s">
        <v>244</v>
      </c>
      <c r="K1687" s="90">
        <v>1.7829966238000001E-4</v>
      </c>
      <c r="L1687" s="90">
        <v>3660.1208243814099</v>
      </c>
      <c r="M1687" s="90">
        <v>9.1299346287899308</v>
      </c>
      <c r="N1687" s="90">
        <v>1.3432281815759799</v>
      </c>
      <c r="O1687" s="90">
        <v>1.62786426188E-3</v>
      </c>
      <c r="P1687" s="90">
        <v>2.3949713127E-4</v>
      </c>
      <c r="Q1687" s="90">
        <v>0.65259830726453005</v>
      </c>
      <c r="R1687" s="90">
        <v>1300</v>
      </c>
      <c r="S1687" s="90" t="s">
        <v>387</v>
      </c>
      <c r="T1687" s="90">
        <v>1300</v>
      </c>
      <c r="U1687" s="90" t="s">
        <v>378</v>
      </c>
      <c r="V1687" s="90" t="s">
        <v>244</v>
      </c>
      <c r="Z1687" s="90">
        <v>0</v>
      </c>
      <c r="AA1687" s="90">
        <v>1</v>
      </c>
      <c r="AB1687" s="90">
        <v>1.62786426188E-3</v>
      </c>
      <c r="AC1687" s="90">
        <v>2.3949713127E-4</v>
      </c>
      <c r="AD1687" s="90">
        <v>0.65259830726288004</v>
      </c>
      <c r="AF1687" s="90">
        <v>-1</v>
      </c>
      <c r="AG1687" s="90">
        <v>-1</v>
      </c>
      <c r="AH1687" s="90">
        <v>-1</v>
      </c>
      <c r="AI1687" s="90">
        <v>-1</v>
      </c>
      <c r="AJ1687" s="90">
        <v>0</v>
      </c>
      <c r="AM1687" s="90" t="s">
        <v>379</v>
      </c>
      <c r="AN1687" s="90">
        <v>-1</v>
      </c>
      <c r="AQ1687" s="90">
        <v>357</v>
      </c>
      <c r="AR1687" s="90" t="s">
        <v>405</v>
      </c>
      <c r="AS1687" s="90" t="s">
        <v>406</v>
      </c>
      <c r="AT1687" s="90" t="s">
        <v>244</v>
      </c>
      <c r="AU1687" s="90">
        <v>122.34610000000001</v>
      </c>
      <c r="AV1687" s="90">
        <v>7.1470006606416696</v>
      </c>
      <c r="AW1687" s="90">
        <v>0.72155313382052999</v>
      </c>
      <c r="AX1687" s="90">
        <v>5.2927680000000002E-4</v>
      </c>
    </row>
    <row r="1688" spans="1:50" x14ac:dyDescent="0.25">
      <c r="A1688" s="102">
        <v>830000</v>
      </c>
      <c r="B1688" s="102">
        <v>2400000</v>
      </c>
      <c r="C1688" s="102">
        <v>2400000</v>
      </c>
      <c r="D1688" s="90" t="s">
        <v>374</v>
      </c>
      <c r="E1688" s="90" t="s">
        <v>68</v>
      </c>
      <c r="F1688" s="90" t="s">
        <v>375</v>
      </c>
      <c r="G1688" s="90" t="s">
        <v>376</v>
      </c>
      <c r="H1688" s="90">
        <v>0.59</v>
      </c>
      <c r="I1688" s="90">
        <v>0.64</v>
      </c>
      <c r="J1688" s="90" t="s">
        <v>244</v>
      </c>
      <c r="K1688" s="90">
        <v>1.6522737880999999E-4</v>
      </c>
      <c r="L1688" s="90">
        <v>3660.1208243814099</v>
      </c>
      <c r="M1688" s="90">
        <v>9.1299346287899308</v>
      </c>
      <c r="N1688" s="90">
        <v>1.3432281815759799</v>
      </c>
      <c r="O1688" s="90">
        <v>1.50851516743E-3</v>
      </c>
      <c r="P1688" s="90">
        <v>2.2193807158000001E-4</v>
      </c>
      <c r="Q1688" s="90">
        <v>0.60475216994408998</v>
      </c>
      <c r="R1688" s="90">
        <v>1330</v>
      </c>
      <c r="S1688" s="90" t="s">
        <v>397</v>
      </c>
      <c r="T1688" s="90">
        <v>1330</v>
      </c>
      <c r="U1688" s="90" t="s">
        <v>378</v>
      </c>
      <c r="V1688" s="90" t="s">
        <v>244</v>
      </c>
      <c r="Z1688" s="90">
        <v>0</v>
      </c>
      <c r="AA1688" s="90">
        <v>1</v>
      </c>
      <c r="AB1688" s="90">
        <v>1.50851516743E-3</v>
      </c>
      <c r="AC1688" s="90">
        <v>2.2193807158000001E-4</v>
      </c>
      <c r="AD1688" s="90">
        <v>0.60475216994556003</v>
      </c>
      <c r="AF1688" s="90">
        <v>-1</v>
      </c>
      <c r="AG1688" s="90">
        <v>-1</v>
      </c>
      <c r="AH1688" s="90">
        <v>-1</v>
      </c>
      <c r="AI1688" s="90">
        <v>-1</v>
      </c>
      <c r="AJ1688" s="90">
        <v>0</v>
      </c>
      <c r="AM1688" s="90" t="s">
        <v>379</v>
      </c>
      <c r="AN1688" s="90">
        <v>-1</v>
      </c>
      <c r="AQ1688" s="90">
        <v>357</v>
      </c>
      <c r="AR1688" s="90" t="s">
        <v>405</v>
      </c>
      <c r="AS1688" s="90" t="s">
        <v>406</v>
      </c>
      <c r="AT1688" s="90" t="s">
        <v>244</v>
      </c>
      <c r="AU1688" s="90">
        <v>122.34610000000001</v>
      </c>
      <c r="AV1688" s="90">
        <v>7.21690469436263</v>
      </c>
      <c r="AW1688" s="90">
        <v>0.66865147909922995</v>
      </c>
      <c r="AX1688" s="90">
        <v>4.904722E-4</v>
      </c>
    </row>
    <row r="1689" spans="1:50" x14ac:dyDescent="0.25">
      <c r="A1689" s="102">
        <v>830000</v>
      </c>
      <c r="B1689" s="102">
        <v>2400000</v>
      </c>
      <c r="C1689" s="102">
        <v>2400000</v>
      </c>
      <c r="D1689" s="90" t="s">
        <v>374</v>
      </c>
      <c r="E1689" s="90" t="s">
        <v>68</v>
      </c>
      <c r="F1689" s="90" t="s">
        <v>375</v>
      </c>
      <c r="G1689" s="90" t="s">
        <v>376</v>
      </c>
      <c r="H1689" s="90">
        <v>0.59</v>
      </c>
      <c r="I1689" s="90">
        <v>0.64</v>
      </c>
      <c r="J1689" s="90" t="s">
        <v>244</v>
      </c>
      <c r="K1689" s="90">
        <v>1.047428676724E-2</v>
      </c>
      <c r="L1689" s="90">
        <v>3660.1208243814099</v>
      </c>
      <c r="M1689" s="90">
        <v>9.1299346287899308</v>
      </c>
      <c r="N1689" s="90">
        <v>1.3432281815759799</v>
      </c>
      <c r="O1689" s="90">
        <v>9.5629553468110001E-2</v>
      </c>
      <c r="P1689" s="90">
        <v>1.406935716766E-2</v>
      </c>
      <c r="Q1689" s="90">
        <v>38.337155117324997</v>
      </c>
      <c r="R1689" s="90">
        <v>1210</v>
      </c>
      <c r="S1689" s="90" t="s">
        <v>385</v>
      </c>
      <c r="T1689" s="90">
        <v>1210</v>
      </c>
      <c r="U1689" s="90" t="s">
        <v>378</v>
      </c>
      <c r="V1689" s="90" t="s">
        <v>244</v>
      </c>
      <c r="Z1689" s="90">
        <v>0</v>
      </c>
      <c r="AA1689" s="90">
        <v>1</v>
      </c>
      <c r="AB1689" s="90">
        <v>9.5629553468110001E-2</v>
      </c>
      <c r="AC1689" s="90">
        <v>1.406935716766E-2</v>
      </c>
      <c r="AD1689" s="90">
        <v>38.3371551173258</v>
      </c>
      <c r="AF1689" s="90">
        <v>-1</v>
      </c>
      <c r="AG1689" s="90">
        <v>-1</v>
      </c>
      <c r="AH1689" s="90">
        <v>-1</v>
      </c>
      <c r="AI1689" s="90">
        <v>-1</v>
      </c>
      <c r="AJ1689" s="90">
        <v>0</v>
      </c>
      <c r="AM1689" s="90" t="s">
        <v>379</v>
      </c>
      <c r="AN1689" s="90">
        <v>-1</v>
      </c>
      <c r="AQ1689" s="90">
        <v>357</v>
      </c>
      <c r="AR1689" s="90" t="s">
        <v>405</v>
      </c>
      <c r="AS1689" s="90" t="s">
        <v>406</v>
      </c>
      <c r="AT1689" s="90" t="s">
        <v>244</v>
      </c>
      <c r="AU1689" s="90">
        <v>122.34610000000001</v>
      </c>
      <c r="AV1689" s="90">
        <v>42.574635075761499</v>
      </c>
      <c r="AW1689" s="90">
        <v>42.3879346740733</v>
      </c>
      <c r="AX1689" s="90">
        <v>3.1092583199999999E-2</v>
      </c>
    </row>
    <row r="1690" spans="1:50" x14ac:dyDescent="0.25">
      <c r="A1690" s="102">
        <v>830000</v>
      </c>
      <c r="B1690" s="102">
        <v>2400000</v>
      </c>
      <c r="C1690" s="102">
        <v>2400000</v>
      </c>
      <c r="D1690" s="90" t="s">
        <v>374</v>
      </c>
      <c r="E1690" s="90" t="s">
        <v>68</v>
      </c>
      <c r="F1690" s="90" t="s">
        <v>375</v>
      </c>
      <c r="G1690" s="90" t="s">
        <v>376</v>
      </c>
      <c r="H1690" s="90">
        <v>0.59</v>
      </c>
      <c r="I1690" s="90">
        <v>0.64</v>
      </c>
      <c r="J1690" s="90" t="s">
        <v>244</v>
      </c>
      <c r="K1690" s="90">
        <v>0.13222590564334</v>
      </c>
      <c r="L1690" s="90">
        <v>3660.1208243814099</v>
      </c>
      <c r="M1690" s="90">
        <v>9.1299346287899308</v>
      </c>
      <c r="N1690" s="90">
        <v>1.3432281815759799</v>
      </c>
      <c r="O1690" s="90">
        <v>1.20721387475626</v>
      </c>
      <c r="P1690" s="90">
        <v>0.17760956279453999</v>
      </c>
      <c r="Q1690" s="90">
        <v>483.96279076789102</v>
      </c>
      <c r="R1690" s="90">
        <v>1210</v>
      </c>
      <c r="S1690" s="90" t="s">
        <v>385</v>
      </c>
      <c r="T1690" s="90">
        <v>1210</v>
      </c>
      <c r="U1690" s="90" t="s">
        <v>378</v>
      </c>
      <c r="V1690" s="90" t="s">
        <v>244</v>
      </c>
      <c r="Z1690" s="90">
        <v>0</v>
      </c>
      <c r="AA1690" s="90">
        <v>1</v>
      </c>
      <c r="AB1690" s="90">
        <v>1.20721387475626</v>
      </c>
      <c r="AC1690" s="90">
        <v>0.17760956279453999</v>
      </c>
      <c r="AD1690" s="90">
        <v>483.96279076789102</v>
      </c>
      <c r="AF1690" s="90">
        <v>-1</v>
      </c>
      <c r="AG1690" s="90">
        <v>-1</v>
      </c>
      <c r="AH1690" s="90">
        <v>-1</v>
      </c>
      <c r="AI1690" s="90">
        <v>-1</v>
      </c>
      <c r="AJ1690" s="90">
        <v>0</v>
      </c>
      <c r="AM1690" s="90" t="s">
        <v>379</v>
      </c>
      <c r="AN1690" s="90">
        <v>-1</v>
      </c>
      <c r="AQ1690" s="90">
        <v>357</v>
      </c>
      <c r="AR1690" s="90" t="s">
        <v>405</v>
      </c>
      <c r="AS1690" s="90" t="s">
        <v>406</v>
      </c>
      <c r="AT1690" s="90" t="s">
        <v>244</v>
      </c>
      <c r="AU1690" s="90">
        <v>122.34610000000001</v>
      </c>
      <c r="AV1690" s="90">
        <v>93.275593925297002</v>
      </c>
      <c r="AW1690" s="90">
        <v>535.09925546041995</v>
      </c>
      <c r="AX1690" s="90">
        <v>0.39250834610000002</v>
      </c>
    </row>
    <row r="1691" spans="1:50" x14ac:dyDescent="0.25">
      <c r="A1691" s="102">
        <v>830000</v>
      </c>
      <c r="B1691" s="102">
        <v>2400000</v>
      </c>
      <c r="C1691" s="102">
        <v>2400000</v>
      </c>
      <c r="D1691" s="90" t="s">
        <v>374</v>
      </c>
      <c r="E1691" s="90" t="s">
        <v>68</v>
      </c>
      <c r="F1691" s="90" t="s">
        <v>375</v>
      </c>
      <c r="G1691" s="90" t="s">
        <v>376</v>
      </c>
      <c r="H1691" s="90">
        <v>0.59</v>
      </c>
      <c r="I1691" s="90">
        <v>0.64</v>
      </c>
      <c r="J1691" s="90" t="s">
        <v>244</v>
      </c>
      <c r="K1691" s="90">
        <v>0.12720929913875001</v>
      </c>
      <c r="L1691" s="90">
        <v>3660.1208243814099</v>
      </c>
      <c r="M1691" s="90">
        <v>9.1299346287899308</v>
      </c>
      <c r="N1691" s="90">
        <v>1.3432281815759799</v>
      </c>
      <c r="O1691" s="90">
        <v>1.16141258531103</v>
      </c>
      <c r="P1691" s="90">
        <v>0.17087111556170001</v>
      </c>
      <c r="Q1691" s="90">
        <v>465.60140483272801</v>
      </c>
      <c r="R1691" s="90">
        <v>1210</v>
      </c>
      <c r="S1691" s="90" t="s">
        <v>385</v>
      </c>
      <c r="T1691" s="90">
        <v>1210</v>
      </c>
      <c r="U1691" s="90" t="s">
        <v>378</v>
      </c>
      <c r="V1691" s="90" t="s">
        <v>244</v>
      </c>
      <c r="Z1691" s="90">
        <v>0</v>
      </c>
      <c r="AA1691" s="90">
        <v>1</v>
      </c>
      <c r="AB1691" s="90">
        <v>1.16141258531103</v>
      </c>
      <c r="AC1691" s="90">
        <v>0.17087111556170001</v>
      </c>
      <c r="AD1691" s="90">
        <v>465.60140483272801</v>
      </c>
      <c r="AF1691" s="90">
        <v>-1</v>
      </c>
      <c r="AG1691" s="90">
        <v>-1</v>
      </c>
      <c r="AH1691" s="90">
        <v>-1</v>
      </c>
      <c r="AI1691" s="90">
        <v>-1</v>
      </c>
      <c r="AJ1691" s="90">
        <v>0</v>
      </c>
      <c r="AM1691" s="90" t="s">
        <v>379</v>
      </c>
      <c r="AN1691" s="90">
        <v>-1</v>
      </c>
      <c r="AQ1691" s="90">
        <v>357</v>
      </c>
      <c r="AR1691" s="90" t="s">
        <v>405</v>
      </c>
      <c r="AS1691" s="90" t="s">
        <v>406</v>
      </c>
      <c r="AT1691" s="90" t="s">
        <v>244</v>
      </c>
      <c r="AU1691" s="90">
        <v>122.34610000000001</v>
      </c>
      <c r="AV1691" s="90">
        <v>90.958208105468799</v>
      </c>
      <c r="AW1691" s="90">
        <v>514.79776920868096</v>
      </c>
      <c r="AX1691" s="90">
        <v>0.3776167111</v>
      </c>
    </row>
    <row r="1692" spans="1:50" x14ac:dyDescent="0.25">
      <c r="A1692" s="102">
        <v>830000</v>
      </c>
      <c r="B1692" s="102">
        <v>2400000</v>
      </c>
      <c r="C1692" s="102">
        <v>2400000</v>
      </c>
      <c r="D1692" s="90" t="s">
        <v>374</v>
      </c>
      <c r="E1692" s="90" t="s">
        <v>68</v>
      </c>
      <c r="F1692" s="90" t="s">
        <v>375</v>
      </c>
      <c r="G1692" s="90" t="s">
        <v>376</v>
      </c>
      <c r="H1692" s="90">
        <v>0.59</v>
      </c>
      <c r="I1692" s="90">
        <v>0.64</v>
      </c>
      <c r="J1692" s="90" t="s">
        <v>244</v>
      </c>
      <c r="K1692" s="90">
        <v>8.5801531759260002E-2</v>
      </c>
      <c r="L1692" s="90">
        <v>3660.1208243814099</v>
      </c>
      <c r="M1692" s="90">
        <v>9.1299346287899308</v>
      </c>
      <c r="N1692" s="90">
        <v>1.3432281815759799</v>
      </c>
      <c r="O1692" s="90">
        <v>0.78336237601209002</v>
      </c>
      <c r="P1692" s="90">
        <v>0.11525103548142</v>
      </c>
      <c r="Q1692" s="90">
        <v>314.04397315589398</v>
      </c>
      <c r="R1692" s="90">
        <v>1210</v>
      </c>
      <c r="S1692" s="90" t="s">
        <v>385</v>
      </c>
      <c r="T1692" s="90">
        <v>1210</v>
      </c>
      <c r="U1692" s="90" t="s">
        <v>378</v>
      </c>
      <c r="V1692" s="90" t="s">
        <v>244</v>
      </c>
      <c r="Z1692" s="90">
        <v>0</v>
      </c>
      <c r="AA1692" s="90">
        <v>1</v>
      </c>
      <c r="AB1692" s="90">
        <v>0.78336237601209002</v>
      </c>
      <c r="AC1692" s="90">
        <v>0.11525103548142</v>
      </c>
      <c r="AD1692" s="90">
        <v>314.04397315589398</v>
      </c>
      <c r="AF1692" s="90">
        <v>-1</v>
      </c>
      <c r="AG1692" s="90">
        <v>-1</v>
      </c>
      <c r="AH1692" s="90">
        <v>-1</v>
      </c>
      <c r="AI1692" s="90">
        <v>-1</v>
      </c>
      <c r="AJ1692" s="90">
        <v>0</v>
      </c>
      <c r="AM1692" s="90" t="s">
        <v>379</v>
      </c>
      <c r="AN1692" s="90">
        <v>-1</v>
      </c>
      <c r="AQ1692" s="90">
        <v>357</v>
      </c>
      <c r="AR1692" s="90" t="s">
        <v>405</v>
      </c>
      <c r="AS1692" s="90" t="s">
        <v>406</v>
      </c>
      <c r="AT1692" s="90" t="s">
        <v>244</v>
      </c>
      <c r="AU1692" s="90">
        <v>122.34610000000001</v>
      </c>
      <c r="AV1692" s="90">
        <v>77.357787283978595</v>
      </c>
      <c r="AW1692" s="90">
        <v>347.22647985172301</v>
      </c>
      <c r="AX1692" s="90">
        <v>0.25469908610000003</v>
      </c>
    </row>
    <row r="1693" spans="1:50" x14ac:dyDescent="0.25">
      <c r="A1693" s="102">
        <v>830000</v>
      </c>
      <c r="B1693" s="102">
        <v>2400000</v>
      </c>
      <c r="C1693" s="102">
        <v>2400000</v>
      </c>
      <c r="D1693" s="90" t="s">
        <v>374</v>
      </c>
      <c r="E1693" s="90" t="s">
        <v>68</v>
      </c>
      <c r="F1693" s="90" t="s">
        <v>375</v>
      </c>
      <c r="G1693" s="90" t="s">
        <v>376</v>
      </c>
      <c r="H1693" s="90">
        <v>0.59</v>
      </c>
      <c r="I1693" s="90">
        <v>0.64</v>
      </c>
      <c r="J1693" s="90" t="s">
        <v>244</v>
      </c>
      <c r="K1693" s="90">
        <v>7.1918314153539997E-2</v>
      </c>
      <c r="L1693" s="90">
        <v>3660.1208243814099</v>
      </c>
      <c r="M1693" s="90">
        <v>9.1299346287899308</v>
      </c>
      <c r="N1693" s="90">
        <v>1.3432281815759799</v>
      </c>
      <c r="O1693" s="90">
        <v>0.65660950683458996</v>
      </c>
      <c r="P1693" s="90">
        <v>9.6602706342469993E-2</v>
      </c>
      <c r="Q1693" s="90">
        <v>263.22971928777599</v>
      </c>
      <c r="R1693" s="90">
        <v>1210</v>
      </c>
      <c r="S1693" s="90" t="s">
        <v>385</v>
      </c>
      <c r="T1693" s="90">
        <v>1210</v>
      </c>
      <c r="U1693" s="90" t="s">
        <v>378</v>
      </c>
      <c r="V1693" s="90" t="s">
        <v>244</v>
      </c>
      <c r="Z1693" s="90">
        <v>0</v>
      </c>
      <c r="AA1693" s="90">
        <v>1</v>
      </c>
      <c r="AB1693" s="90">
        <v>0.65660950683458996</v>
      </c>
      <c r="AC1693" s="90">
        <v>9.6602706342469993E-2</v>
      </c>
      <c r="AD1693" s="90">
        <v>263.22971928777702</v>
      </c>
      <c r="AF1693" s="90">
        <v>-1</v>
      </c>
      <c r="AG1693" s="90">
        <v>-1</v>
      </c>
      <c r="AH1693" s="90">
        <v>-1</v>
      </c>
      <c r="AI1693" s="90">
        <v>-1</v>
      </c>
      <c r="AJ1693" s="90">
        <v>0</v>
      </c>
      <c r="AM1693" s="90" t="s">
        <v>379</v>
      </c>
      <c r="AN1693" s="90">
        <v>-1</v>
      </c>
      <c r="AQ1693" s="90">
        <v>357</v>
      </c>
      <c r="AR1693" s="90" t="s">
        <v>405</v>
      </c>
      <c r="AS1693" s="90" t="s">
        <v>406</v>
      </c>
      <c r="AT1693" s="90" t="s">
        <v>244</v>
      </c>
      <c r="AU1693" s="90">
        <v>122.34610000000001</v>
      </c>
      <c r="AV1693" s="90">
        <v>73.884124485434</v>
      </c>
      <c r="AW1693" s="90">
        <v>291.04309152043498</v>
      </c>
      <c r="AX1693" s="90">
        <v>0.21348720139999999</v>
      </c>
    </row>
    <row r="1694" spans="1:50" x14ac:dyDescent="0.25">
      <c r="A1694" s="102">
        <v>830000</v>
      </c>
      <c r="B1694" s="102">
        <v>2400000</v>
      </c>
      <c r="C1694" s="102">
        <v>2400000</v>
      </c>
      <c r="D1694" s="90" t="s">
        <v>374</v>
      </c>
      <c r="E1694" s="90" t="s">
        <v>68</v>
      </c>
      <c r="F1694" s="90" t="s">
        <v>375</v>
      </c>
      <c r="G1694" s="90" t="s">
        <v>376</v>
      </c>
      <c r="H1694" s="90">
        <v>0.59</v>
      </c>
      <c r="I1694" s="90">
        <v>0.64</v>
      </c>
      <c r="J1694" s="90" t="s">
        <v>244</v>
      </c>
      <c r="K1694" s="90">
        <v>0.17467191638308999</v>
      </c>
      <c r="L1694" s="90">
        <v>3739.83763285445</v>
      </c>
      <c r="M1694" s="90">
        <v>8.9203248769158208</v>
      </c>
      <c r="N1694" s="90">
        <v>1.5047955796805801</v>
      </c>
      <c r="O1694" s="90">
        <v>1.5581302410106399</v>
      </c>
      <c r="P1694" s="90">
        <v>0.26284552766760999</v>
      </c>
      <c r="Q1694" s="90">
        <v>653.24460629228895</v>
      </c>
      <c r="R1694" s="90">
        <v>1300</v>
      </c>
      <c r="S1694" s="90" t="s">
        <v>387</v>
      </c>
      <c r="T1694" s="90">
        <v>1300</v>
      </c>
      <c r="U1694" s="90" t="s">
        <v>378</v>
      </c>
      <c r="V1694" s="90" t="s">
        <v>244</v>
      </c>
      <c r="Z1694" s="90">
        <v>0</v>
      </c>
      <c r="AA1694" s="90">
        <v>1</v>
      </c>
      <c r="AB1694" s="90">
        <v>1.5581302410106399</v>
      </c>
      <c r="AC1694" s="90">
        <v>0.26284552766760999</v>
      </c>
      <c r="AD1694" s="90">
        <v>677.63156387359697</v>
      </c>
      <c r="AF1694" s="90">
        <v>-1</v>
      </c>
      <c r="AG1694" s="90">
        <v>-1</v>
      </c>
      <c r="AH1694" s="90">
        <v>-1</v>
      </c>
      <c r="AI1694" s="90">
        <v>-1</v>
      </c>
      <c r="AJ1694" s="90">
        <v>0</v>
      </c>
      <c r="AM1694" s="90" t="s">
        <v>379</v>
      </c>
      <c r="AN1694" s="90">
        <v>-1</v>
      </c>
      <c r="AQ1694" s="90">
        <v>357</v>
      </c>
      <c r="AR1694" s="90" t="s">
        <v>405</v>
      </c>
      <c r="AS1694" s="90" t="s">
        <v>406</v>
      </c>
      <c r="AT1694" s="90" t="s">
        <v>244</v>
      </c>
      <c r="AU1694" s="90">
        <v>122.34610000000001</v>
      </c>
      <c r="AV1694" s="90">
        <v>128.81379123790299</v>
      </c>
      <c r="AW1694" s="90">
        <v>706.87216662782703</v>
      </c>
      <c r="AX1694" s="90">
        <v>0.54957953270000004</v>
      </c>
    </row>
    <row r="1695" spans="1:50" x14ac:dyDescent="0.25">
      <c r="A1695" s="102">
        <v>830000</v>
      </c>
      <c r="B1695" s="102">
        <v>2400000</v>
      </c>
      <c r="C1695" s="102">
        <v>2400000</v>
      </c>
      <c r="D1695" s="90" t="s">
        <v>374</v>
      </c>
      <c r="E1695" s="90" t="s">
        <v>68</v>
      </c>
      <c r="F1695" s="90" t="s">
        <v>375</v>
      </c>
      <c r="G1695" s="90" t="s">
        <v>376</v>
      </c>
      <c r="H1695" s="90">
        <v>0.59</v>
      </c>
      <c r="I1695" s="90">
        <v>0.64</v>
      </c>
      <c r="J1695" s="90" t="s">
        <v>244</v>
      </c>
      <c r="K1695" s="90">
        <v>0.33380342209545</v>
      </c>
      <c r="L1695" s="90">
        <v>3739.83763285445</v>
      </c>
      <c r="M1695" s="90">
        <v>8.9203248769158208</v>
      </c>
      <c r="N1695" s="90">
        <v>1.5047955796805801</v>
      </c>
      <c r="O1695" s="90">
        <v>2.9776349701176801</v>
      </c>
      <c r="P1695" s="90">
        <v>0.50230591405147995</v>
      </c>
      <c r="Q1695" s="90">
        <v>1248.3705999281599</v>
      </c>
      <c r="R1695" s="90">
        <v>1300</v>
      </c>
      <c r="S1695" s="90" t="s">
        <v>387</v>
      </c>
      <c r="T1695" s="90">
        <v>1300</v>
      </c>
      <c r="U1695" s="90" t="s">
        <v>378</v>
      </c>
      <c r="V1695" s="90" t="s">
        <v>244</v>
      </c>
      <c r="Z1695" s="90">
        <v>0</v>
      </c>
      <c r="AA1695" s="90">
        <v>1</v>
      </c>
      <c r="AB1695" s="90">
        <v>2.9776349701176801</v>
      </c>
      <c r="AC1695" s="90">
        <v>0.50230591405147995</v>
      </c>
      <c r="AD1695" s="90">
        <v>1248.3705999281599</v>
      </c>
      <c r="AF1695" s="90">
        <v>-1</v>
      </c>
      <c r="AG1695" s="90">
        <v>-1</v>
      </c>
      <c r="AH1695" s="90">
        <v>-1</v>
      </c>
      <c r="AI1695" s="90">
        <v>-1</v>
      </c>
      <c r="AJ1695" s="90">
        <v>0</v>
      </c>
      <c r="AM1695" s="90" t="s">
        <v>379</v>
      </c>
      <c r="AN1695" s="90">
        <v>-1</v>
      </c>
      <c r="AQ1695" s="90">
        <v>357</v>
      </c>
      <c r="AR1695" s="90" t="s">
        <v>405</v>
      </c>
      <c r="AS1695" s="90" t="s">
        <v>406</v>
      </c>
      <c r="AT1695" s="90" t="s">
        <v>244</v>
      </c>
      <c r="AU1695" s="90">
        <v>122.34610000000001</v>
      </c>
      <c r="AV1695" s="90">
        <v>154.05259424820801</v>
      </c>
      <c r="AW1695" s="90">
        <v>1350.85452252607</v>
      </c>
      <c r="AX1695" s="90">
        <v>1.0124660178</v>
      </c>
    </row>
    <row r="1696" spans="1:50" x14ac:dyDescent="0.25">
      <c r="A1696" s="102">
        <v>830000</v>
      </c>
      <c r="B1696" s="102">
        <v>2400000</v>
      </c>
      <c r="C1696" s="102">
        <v>2400000</v>
      </c>
      <c r="D1696" s="90" t="s">
        <v>374</v>
      </c>
      <c r="E1696" s="90" t="s">
        <v>68</v>
      </c>
      <c r="F1696" s="90" t="s">
        <v>375</v>
      </c>
      <c r="G1696" s="90" t="s">
        <v>376</v>
      </c>
      <c r="H1696" s="90">
        <v>0.59</v>
      </c>
      <c r="I1696" s="90">
        <v>0.64</v>
      </c>
      <c r="J1696" s="90" t="s">
        <v>244</v>
      </c>
      <c r="K1696" s="90">
        <v>9.5361081042039997E-2</v>
      </c>
      <c r="L1696" s="90">
        <v>3739.83763285445</v>
      </c>
      <c r="M1696" s="90">
        <v>8.9203248769158208</v>
      </c>
      <c r="N1696" s="90">
        <v>1.5047955796805801</v>
      </c>
      <c r="O1696" s="90">
        <v>0.85065182350889001</v>
      </c>
      <c r="P1696" s="90">
        <v>0.14349893322561999</v>
      </c>
      <c r="Q1696" s="90">
        <v>356.634959590704</v>
      </c>
      <c r="R1696" s="90">
        <v>1300</v>
      </c>
      <c r="S1696" s="90" t="s">
        <v>387</v>
      </c>
      <c r="T1696" s="90">
        <v>1300</v>
      </c>
      <c r="U1696" s="90" t="s">
        <v>378</v>
      </c>
      <c r="V1696" s="90" t="s">
        <v>244</v>
      </c>
      <c r="Z1696" s="90">
        <v>0</v>
      </c>
      <c r="AA1696" s="90">
        <v>1</v>
      </c>
      <c r="AB1696" s="90">
        <v>0.85065182350889001</v>
      </c>
      <c r="AC1696" s="90">
        <v>0.14349893322561999</v>
      </c>
      <c r="AD1696" s="90">
        <v>384.33284791123299</v>
      </c>
      <c r="AF1696" s="90">
        <v>-1</v>
      </c>
      <c r="AG1696" s="90">
        <v>-1</v>
      </c>
      <c r="AH1696" s="90">
        <v>-1</v>
      </c>
      <c r="AI1696" s="90">
        <v>-1</v>
      </c>
      <c r="AJ1696" s="90">
        <v>0</v>
      </c>
      <c r="AM1696" s="90" t="s">
        <v>379</v>
      </c>
      <c r="AN1696" s="90">
        <v>-1</v>
      </c>
      <c r="AQ1696" s="90">
        <v>357</v>
      </c>
      <c r="AR1696" s="90" t="s">
        <v>405</v>
      </c>
      <c r="AS1696" s="90" t="s">
        <v>406</v>
      </c>
      <c r="AT1696" s="90" t="s">
        <v>244</v>
      </c>
      <c r="AU1696" s="90">
        <v>122.34610000000001</v>
      </c>
      <c r="AV1696" s="90">
        <v>111.69835153457301</v>
      </c>
      <c r="AW1696" s="90">
        <v>385.91260326198699</v>
      </c>
      <c r="AX1696" s="90">
        <v>0.31170547279999999</v>
      </c>
    </row>
    <row r="1697" spans="1:50" x14ac:dyDescent="0.25">
      <c r="A1697" s="102">
        <v>830000</v>
      </c>
      <c r="B1697" s="102">
        <v>2400000</v>
      </c>
      <c r="C1697" s="102">
        <v>2400000</v>
      </c>
      <c r="D1697" s="90" t="s">
        <v>374</v>
      </c>
      <c r="E1697" s="90" t="s">
        <v>68</v>
      </c>
      <c r="F1697" s="90" t="s">
        <v>375</v>
      </c>
      <c r="G1697" s="90" t="s">
        <v>376</v>
      </c>
      <c r="H1697" s="90">
        <v>0.59</v>
      </c>
      <c r="I1697" s="90">
        <v>0.64</v>
      </c>
      <c r="J1697" s="90" t="s">
        <v>409</v>
      </c>
      <c r="K1697" s="90">
        <v>8.432998629131E-2</v>
      </c>
      <c r="L1697" s="90">
        <v>3702.9317095713</v>
      </c>
      <c r="M1697" s="90">
        <v>10.4813251394477</v>
      </c>
      <c r="N1697" s="90">
        <v>1.52758386548646</v>
      </c>
      <c r="O1697" s="90">
        <v>0.88389000532441997</v>
      </c>
      <c r="P1697" s="90">
        <v>0.1288211264353</v>
      </c>
      <c r="Q1697" s="90">
        <v>312.26818030581597</v>
      </c>
      <c r="R1697" s="90">
        <v>1210</v>
      </c>
      <c r="S1697" s="90" t="s">
        <v>385</v>
      </c>
      <c r="T1697" s="90">
        <v>1210</v>
      </c>
      <c r="U1697" s="90" t="s">
        <v>409</v>
      </c>
      <c r="V1697" s="90" t="s">
        <v>409</v>
      </c>
      <c r="Z1697" s="90">
        <v>0</v>
      </c>
      <c r="AA1697" s="90">
        <v>1</v>
      </c>
      <c r="AB1697" s="90">
        <v>0.88389000532441997</v>
      </c>
      <c r="AC1697" s="90">
        <v>0.1288211264353</v>
      </c>
      <c r="AD1697" s="90">
        <v>312.268180305817</v>
      </c>
      <c r="AF1697" s="90">
        <v>-1</v>
      </c>
      <c r="AG1697" s="90">
        <v>-1</v>
      </c>
      <c r="AH1697" s="90">
        <v>-1</v>
      </c>
      <c r="AI1697" s="90">
        <v>-1</v>
      </c>
      <c r="AJ1697" s="90">
        <v>0</v>
      </c>
      <c r="AM1697" s="90" t="s">
        <v>379</v>
      </c>
      <c r="AN1697" s="90">
        <v>-1</v>
      </c>
      <c r="AQ1697" s="90">
        <v>357</v>
      </c>
      <c r="AR1697" s="90" t="s">
        <v>405</v>
      </c>
      <c r="AS1697" s="90" t="s">
        <v>406</v>
      </c>
      <c r="AT1697" s="90" t="s">
        <v>244</v>
      </c>
      <c r="AU1697" s="90">
        <v>122.34610000000001</v>
      </c>
      <c r="AV1697" s="90">
        <v>77.292342947863901</v>
      </c>
      <c r="AW1697" s="90">
        <v>341.27134662390603</v>
      </c>
      <c r="AX1697" s="90">
        <v>0.25325886479999998</v>
      </c>
    </row>
    <row r="1698" spans="1:50" x14ac:dyDescent="0.25">
      <c r="A1698" s="102">
        <v>830000</v>
      </c>
      <c r="B1698" s="102">
        <v>2400000</v>
      </c>
      <c r="C1698" s="102">
        <v>2400000</v>
      </c>
      <c r="D1698" s="90" t="s">
        <v>374</v>
      </c>
      <c r="E1698" s="90" t="s">
        <v>68</v>
      </c>
      <c r="F1698" s="90" t="s">
        <v>375</v>
      </c>
      <c r="G1698" s="90" t="s">
        <v>376</v>
      </c>
      <c r="H1698" s="90">
        <v>0.59</v>
      </c>
      <c r="I1698" s="90">
        <v>0.64</v>
      </c>
      <c r="J1698" s="90" t="s">
        <v>409</v>
      </c>
      <c r="K1698" s="90">
        <v>6.9237643119350004E-2</v>
      </c>
      <c r="L1698" s="90">
        <v>3702.9317095713</v>
      </c>
      <c r="M1698" s="90">
        <v>10.4813251394477</v>
      </c>
      <c r="N1698" s="90">
        <v>1.52758386548646</v>
      </c>
      <c r="O1698" s="90">
        <v>0.72570224942299999</v>
      </c>
      <c r="P1698" s="90">
        <v>0.10576630651343</v>
      </c>
      <c r="Q1698" s="90">
        <v>256.38226420263999</v>
      </c>
      <c r="R1698" s="90">
        <v>1210</v>
      </c>
      <c r="S1698" s="90" t="s">
        <v>385</v>
      </c>
      <c r="T1698" s="90">
        <v>1210</v>
      </c>
      <c r="U1698" s="90" t="s">
        <v>409</v>
      </c>
      <c r="V1698" s="90" t="s">
        <v>409</v>
      </c>
      <c r="Z1698" s="90">
        <v>0</v>
      </c>
      <c r="AA1698" s="90">
        <v>1</v>
      </c>
      <c r="AB1698" s="90">
        <v>0.72570224942299999</v>
      </c>
      <c r="AC1698" s="90">
        <v>0.10576630651343</v>
      </c>
      <c r="AD1698" s="90">
        <v>546.12127365828201</v>
      </c>
      <c r="AF1698" s="90">
        <v>-1</v>
      </c>
      <c r="AG1698" s="90">
        <v>-1</v>
      </c>
      <c r="AH1698" s="90">
        <v>-1</v>
      </c>
      <c r="AI1698" s="90">
        <v>-1</v>
      </c>
      <c r="AJ1698" s="90">
        <v>0</v>
      </c>
      <c r="AM1698" s="90" t="s">
        <v>379</v>
      </c>
      <c r="AN1698" s="90">
        <v>-1</v>
      </c>
      <c r="AQ1698" s="90">
        <v>357</v>
      </c>
      <c r="AR1698" s="90" t="s">
        <v>405</v>
      </c>
      <c r="AS1698" s="90" t="s">
        <v>406</v>
      </c>
      <c r="AT1698" s="90" t="s">
        <v>244</v>
      </c>
      <c r="AU1698" s="90">
        <v>122.34610000000001</v>
      </c>
      <c r="AV1698" s="90">
        <v>72.182093271673494</v>
      </c>
      <c r="AW1698" s="90">
        <v>280.19480072940001</v>
      </c>
      <c r="AX1698" s="90">
        <v>0.44292074100000001</v>
      </c>
    </row>
    <row r="1699" spans="1:50" x14ac:dyDescent="0.25">
      <c r="A1699" s="102">
        <v>830000</v>
      </c>
      <c r="B1699" s="102">
        <v>2400000</v>
      </c>
      <c r="C1699" s="102">
        <v>2400000</v>
      </c>
      <c r="D1699" s="90" t="s">
        <v>374</v>
      </c>
      <c r="E1699" s="90" t="s">
        <v>68</v>
      </c>
      <c r="F1699" s="90" t="s">
        <v>375</v>
      </c>
      <c r="G1699" s="90" t="s">
        <v>376</v>
      </c>
      <c r="H1699" s="90">
        <v>0.59</v>
      </c>
      <c r="I1699" s="90">
        <v>0.64</v>
      </c>
      <c r="J1699" s="90" t="s">
        <v>409</v>
      </c>
      <c r="K1699" s="90">
        <v>8.7981884383039999E-2</v>
      </c>
      <c r="L1699" s="90">
        <v>3702.9317095713</v>
      </c>
      <c r="M1699" s="90">
        <v>10.4813251394477</v>
      </c>
      <c r="N1699" s="90">
        <v>1.52758386548646</v>
      </c>
      <c r="O1699" s="90">
        <v>0.92216673659996995</v>
      </c>
      <c r="P1699" s="90">
        <v>0.13439970703863</v>
      </c>
      <c r="Q1699" s="90">
        <v>325.79090954980597</v>
      </c>
      <c r="R1699" s="90">
        <v>1330</v>
      </c>
      <c r="S1699" s="90" t="s">
        <v>397</v>
      </c>
      <c r="T1699" s="90">
        <v>1330</v>
      </c>
      <c r="U1699" s="90" t="s">
        <v>409</v>
      </c>
      <c r="V1699" s="90" t="s">
        <v>409</v>
      </c>
      <c r="Z1699" s="90">
        <v>0</v>
      </c>
      <c r="AA1699" s="90">
        <v>1</v>
      </c>
      <c r="AB1699" s="90">
        <v>0.92216673659996995</v>
      </c>
      <c r="AC1699" s="90">
        <v>0.13439970703863</v>
      </c>
      <c r="AD1699" s="90">
        <v>325.79090954980597</v>
      </c>
      <c r="AF1699" s="90">
        <v>-1</v>
      </c>
      <c r="AG1699" s="90">
        <v>-1</v>
      </c>
      <c r="AH1699" s="90">
        <v>-1</v>
      </c>
      <c r="AI1699" s="90">
        <v>-1</v>
      </c>
      <c r="AJ1699" s="90">
        <v>0</v>
      </c>
      <c r="AM1699" s="90" t="s">
        <v>379</v>
      </c>
      <c r="AN1699" s="90">
        <v>-1</v>
      </c>
      <c r="AQ1699" s="90">
        <v>357</v>
      </c>
      <c r="AR1699" s="90" t="s">
        <v>405</v>
      </c>
      <c r="AS1699" s="90" t="s">
        <v>406</v>
      </c>
      <c r="AT1699" s="90" t="s">
        <v>244</v>
      </c>
      <c r="AU1699" s="90">
        <v>122.34610000000001</v>
      </c>
      <c r="AV1699" s="90">
        <v>78.506126740283705</v>
      </c>
      <c r="AW1699" s="90">
        <v>356.05005387037198</v>
      </c>
      <c r="AX1699" s="90">
        <v>0.26422620400000002</v>
      </c>
    </row>
    <row r="1700" spans="1:50" x14ac:dyDescent="0.25">
      <c r="A1700" s="102">
        <v>830000</v>
      </c>
      <c r="B1700" s="102">
        <v>2400000</v>
      </c>
      <c r="C1700" s="102">
        <v>2400000</v>
      </c>
      <c r="D1700" s="90" t="s">
        <v>374</v>
      </c>
      <c r="E1700" s="90" t="s">
        <v>68</v>
      </c>
      <c r="F1700" s="90" t="s">
        <v>375</v>
      </c>
      <c r="G1700" s="90" t="s">
        <v>376</v>
      </c>
      <c r="H1700" s="90">
        <v>0.59</v>
      </c>
      <c r="I1700" s="90">
        <v>0.64</v>
      </c>
      <c r="J1700" s="90" t="s">
        <v>409</v>
      </c>
      <c r="K1700" s="90">
        <v>5.4359700409659997E-2</v>
      </c>
      <c r="L1700" s="90">
        <v>3702.9317095713</v>
      </c>
      <c r="M1700" s="90">
        <v>10.4813251394477</v>
      </c>
      <c r="N1700" s="90">
        <v>1.52758386548646</v>
      </c>
      <c r="O1700" s="90">
        <v>0.56976169447667002</v>
      </c>
      <c r="P1700" s="90">
        <v>8.3039001278480004E-2</v>
      </c>
      <c r="Q1700" s="90">
        <v>201.29025836974401</v>
      </c>
      <c r="R1700" s="90">
        <v>1410</v>
      </c>
      <c r="S1700" s="90" t="s">
        <v>325</v>
      </c>
      <c r="T1700" s="90">
        <v>1410</v>
      </c>
      <c r="U1700" s="90" t="s">
        <v>409</v>
      </c>
      <c r="V1700" s="90" t="s">
        <v>409</v>
      </c>
      <c r="Z1700" s="90">
        <v>0</v>
      </c>
      <c r="AA1700" s="90">
        <v>1</v>
      </c>
      <c r="AB1700" s="90">
        <v>0.56976169447667002</v>
      </c>
      <c r="AC1700" s="90">
        <v>8.3039001278480004E-2</v>
      </c>
      <c r="AD1700" s="90">
        <v>567.47244572917202</v>
      </c>
      <c r="AF1700" s="90">
        <v>-1</v>
      </c>
      <c r="AG1700" s="90">
        <v>-1</v>
      </c>
      <c r="AH1700" s="90">
        <v>-1</v>
      </c>
      <c r="AI1700" s="90">
        <v>-1</v>
      </c>
      <c r="AJ1700" s="90">
        <v>0</v>
      </c>
      <c r="AM1700" s="90" t="s">
        <v>379</v>
      </c>
      <c r="AN1700" s="90">
        <v>-1</v>
      </c>
      <c r="AQ1700" s="90">
        <v>357</v>
      </c>
      <c r="AR1700" s="90" t="s">
        <v>405</v>
      </c>
      <c r="AS1700" s="90" t="s">
        <v>406</v>
      </c>
      <c r="AT1700" s="90" t="s">
        <v>244</v>
      </c>
      <c r="AU1700" s="90">
        <v>122.34610000000001</v>
      </c>
      <c r="AV1700" s="90">
        <v>68.1041975062397</v>
      </c>
      <c r="AW1700" s="90">
        <v>219.98590272259099</v>
      </c>
      <c r="AX1700" s="90">
        <v>0.46023718229999999</v>
      </c>
    </row>
    <row r="1701" spans="1:50" x14ac:dyDescent="0.25">
      <c r="A1701" s="102">
        <v>830000</v>
      </c>
      <c r="B1701" s="102">
        <v>2400000</v>
      </c>
      <c r="C1701" s="102">
        <v>2400000</v>
      </c>
      <c r="D1701" s="90" t="s">
        <v>374</v>
      </c>
      <c r="E1701" s="90" t="s">
        <v>68</v>
      </c>
      <c r="F1701" s="90" t="s">
        <v>375</v>
      </c>
      <c r="G1701" s="90" t="s">
        <v>376</v>
      </c>
      <c r="H1701" s="90">
        <v>0.59</v>
      </c>
      <c r="I1701" s="90">
        <v>0.64</v>
      </c>
      <c r="J1701" s="90" t="s">
        <v>244</v>
      </c>
      <c r="K1701" s="90">
        <v>7.3322943828210002E-2</v>
      </c>
      <c r="L1701" s="90">
        <v>3684.8125254332999</v>
      </c>
      <c r="M1701" s="90">
        <v>9.5783281568712297</v>
      </c>
      <c r="N1701" s="90">
        <v>1.5417406931478701</v>
      </c>
      <c r="O1701" s="90">
        <v>0.70231121741447</v>
      </c>
      <c r="P1701" s="90">
        <v>0.11304496624135001</v>
      </c>
      <c r="Q1701" s="90">
        <v>270.18130181984498</v>
      </c>
      <c r="R1701" s="90">
        <v>1210</v>
      </c>
      <c r="S1701" s="90" t="s">
        <v>385</v>
      </c>
      <c r="T1701" s="90">
        <v>1210</v>
      </c>
      <c r="U1701" s="90" t="s">
        <v>378</v>
      </c>
      <c r="V1701" s="90" t="s">
        <v>244</v>
      </c>
      <c r="Z1701" s="90">
        <v>0</v>
      </c>
      <c r="AA1701" s="90">
        <v>1</v>
      </c>
      <c r="AB1701" s="90">
        <v>0.70231121741447</v>
      </c>
      <c r="AC1701" s="90">
        <v>0.11304496624135001</v>
      </c>
      <c r="AD1701" s="90">
        <v>270.18130181984498</v>
      </c>
      <c r="AF1701" s="90">
        <v>-1</v>
      </c>
      <c r="AG1701" s="90">
        <v>-1</v>
      </c>
      <c r="AH1701" s="90">
        <v>-1</v>
      </c>
      <c r="AI1701" s="90">
        <v>-1</v>
      </c>
      <c r="AJ1701" s="90">
        <v>0</v>
      </c>
      <c r="AM1701" s="90" t="s">
        <v>379</v>
      </c>
      <c r="AN1701" s="90">
        <v>-1</v>
      </c>
      <c r="AQ1701" s="90">
        <v>357</v>
      </c>
      <c r="AR1701" s="90" t="s">
        <v>405</v>
      </c>
      <c r="AS1701" s="90" t="s">
        <v>406</v>
      </c>
      <c r="AT1701" s="90" t="s">
        <v>244</v>
      </c>
      <c r="AU1701" s="90">
        <v>122.34610000000001</v>
      </c>
      <c r="AV1701" s="90">
        <v>72.836296982083198</v>
      </c>
      <c r="AW1701" s="90">
        <v>296.72742614048201</v>
      </c>
      <c r="AX1701" s="90">
        <v>0.2191251434</v>
      </c>
    </row>
    <row r="1702" spans="1:50" x14ac:dyDescent="0.25">
      <c r="A1702" s="102">
        <v>830000</v>
      </c>
      <c r="B1702" s="102">
        <v>2400000</v>
      </c>
      <c r="C1702" s="102">
        <v>2400000</v>
      </c>
      <c r="D1702" s="90" t="s">
        <v>374</v>
      </c>
      <c r="E1702" s="90" t="s">
        <v>68</v>
      </c>
      <c r="F1702" s="90" t="s">
        <v>375</v>
      </c>
      <c r="G1702" s="90" t="s">
        <v>376</v>
      </c>
      <c r="H1702" s="90">
        <v>0.59</v>
      </c>
      <c r="I1702" s="90">
        <v>0.64</v>
      </c>
      <c r="J1702" s="90" t="s">
        <v>244</v>
      </c>
      <c r="K1702" s="90">
        <v>5.2384279501199997E-2</v>
      </c>
      <c r="L1702" s="90">
        <v>3684.8125254332999</v>
      </c>
      <c r="M1702" s="90">
        <v>9.5783281568712297</v>
      </c>
      <c r="N1702" s="90">
        <v>1.5417406931478701</v>
      </c>
      <c r="O1702" s="90">
        <v>0.50175381932379004</v>
      </c>
      <c r="P1702" s="90">
        <v>8.0762975388230004E-2</v>
      </c>
      <c r="Q1702" s="90">
        <v>193.02624924183499</v>
      </c>
      <c r="R1702" s="90">
        <v>1330</v>
      </c>
      <c r="S1702" s="90" t="s">
        <v>397</v>
      </c>
      <c r="T1702" s="90">
        <v>1330</v>
      </c>
      <c r="U1702" s="90" t="s">
        <v>378</v>
      </c>
      <c r="V1702" s="90" t="s">
        <v>244</v>
      </c>
      <c r="Z1702" s="90">
        <v>0</v>
      </c>
      <c r="AA1702" s="90">
        <v>1</v>
      </c>
      <c r="AB1702" s="90">
        <v>0.50175381932379004</v>
      </c>
      <c r="AC1702" s="90">
        <v>8.0762975388230004E-2</v>
      </c>
      <c r="AD1702" s="90">
        <v>618.13572374506305</v>
      </c>
      <c r="AF1702" s="90">
        <v>-1</v>
      </c>
      <c r="AG1702" s="90">
        <v>-1</v>
      </c>
      <c r="AH1702" s="90">
        <v>-1</v>
      </c>
      <c r="AI1702" s="90">
        <v>-1</v>
      </c>
      <c r="AJ1702" s="90">
        <v>0</v>
      </c>
      <c r="AM1702" s="90" t="s">
        <v>379</v>
      </c>
      <c r="AN1702" s="90">
        <v>-1</v>
      </c>
      <c r="AQ1702" s="90">
        <v>357</v>
      </c>
      <c r="AR1702" s="90" t="s">
        <v>405</v>
      </c>
      <c r="AS1702" s="90" t="s">
        <v>406</v>
      </c>
      <c r="AT1702" s="90" t="s">
        <v>244</v>
      </c>
      <c r="AU1702" s="90">
        <v>122.34610000000001</v>
      </c>
      <c r="AV1702" s="90">
        <v>67.293238194012801</v>
      </c>
      <c r="AW1702" s="90">
        <v>211.99165793224299</v>
      </c>
      <c r="AX1702" s="90">
        <v>0.50132662100000003</v>
      </c>
    </row>
    <row r="1703" spans="1:50" x14ac:dyDescent="0.25">
      <c r="A1703" s="102">
        <v>830000</v>
      </c>
      <c r="B1703" s="102">
        <v>2400000</v>
      </c>
      <c r="C1703" s="102">
        <v>2400000</v>
      </c>
      <c r="D1703" s="90" t="s">
        <v>374</v>
      </c>
      <c r="E1703" s="90" t="s">
        <v>68</v>
      </c>
      <c r="F1703" s="90" t="s">
        <v>375</v>
      </c>
      <c r="G1703" s="90" t="s">
        <v>376</v>
      </c>
      <c r="H1703" s="90">
        <v>0.59</v>
      </c>
      <c r="I1703" s="90">
        <v>0.64</v>
      </c>
      <c r="J1703" s="90" t="s">
        <v>244</v>
      </c>
      <c r="K1703" s="90">
        <v>6.1156861336620003E-2</v>
      </c>
      <c r="L1703" s="90">
        <v>3684.8125254332999</v>
      </c>
      <c r="M1703" s="90">
        <v>9.5783281568712297</v>
      </c>
      <c r="N1703" s="90">
        <v>1.5417406931478701</v>
      </c>
      <c r="O1703" s="90">
        <v>0.58578048692641005</v>
      </c>
      <c r="P1703" s="90">
        <v>9.4288021787859999E-2</v>
      </c>
      <c r="Q1703" s="90">
        <v>225.35156866936501</v>
      </c>
      <c r="R1703" s="90">
        <v>1210</v>
      </c>
      <c r="S1703" s="90" t="s">
        <v>385</v>
      </c>
      <c r="T1703" s="90">
        <v>1210</v>
      </c>
      <c r="U1703" s="90" t="s">
        <v>378</v>
      </c>
      <c r="V1703" s="90" t="s">
        <v>244</v>
      </c>
      <c r="Z1703" s="90">
        <v>0</v>
      </c>
      <c r="AA1703" s="90">
        <v>1</v>
      </c>
      <c r="AB1703" s="90">
        <v>0.58578048692641005</v>
      </c>
      <c r="AC1703" s="90">
        <v>9.4288021787859999E-2</v>
      </c>
      <c r="AD1703" s="90">
        <v>225.351568669366</v>
      </c>
      <c r="AF1703" s="90">
        <v>-1</v>
      </c>
      <c r="AG1703" s="90">
        <v>-1</v>
      </c>
      <c r="AH1703" s="90">
        <v>-1</v>
      </c>
      <c r="AI1703" s="90">
        <v>-1</v>
      </c>
      <c r="AJ1703" s="90">
        <v>0</v>
      </c>
      <c r="AM1703" s="90" t="s">
        <v>379</v>
      </c>
      <c r="AN1703" s="90">
        <v>-1</v>
      </c>
      <c r="AQ1703" s="90">
        <v>357</v>
      </c>
      <c r="AR1703" s="90" t="s">
        <v>405</v>
      </c>
      <c r="AS1703" s="90" t="s">
        <v>406</v>
      </c>
      <c r="AT1703" s="90" t="s">
        <v>244</v>
      </c>
      <c r="AU1703" s="90">
        <v>122.34610000000001</v>
      </c>
      <c r="AV1703" s="90">
        <v>71.279430575274802</v>
      </c>
      <c r="AW1703" s="90">
        <v>247.49303707392801</v>
      </c>
      <c r="AX1703" s="90">
        <v>0.18276688460000001</v>
      </c>
    </row>
    <row r="1704" spans="1:50" x14ac:dyDescent="0.25">
      <c r="A1704" s="102">
        <v>830000</v>
      </c>
      <c r="B1704" s="102">
        <v>2400000</v>
      </c>
      <c r="C1704" s="102">
        <v>2400000</v>
      </c>
      <c r="D1704" s="90" t="s">
        <v>374</v>
      </c>
      <c r="E1704" s="90" t="s">
        <v>68</v>
      </c>
      <c r="F1704" s="90" t="s">
        <v>375</v>
      </c>
      <c r="G1704" s="90" t="s">
        <v>376</v>
      </c>
      <c r="H1704" s="90">
        <v>0.59</v>
      </c>
      <c r="I1704" s="90">
        <v>0.64</v>
      </c>
      <c r="J1704" s="90" t="s">
        <v>244</v>
      </c>
      <c r="K1704" s="90">
        <v>5.6977087786070003E-2</v>
      </c>
      <c r="L1704" s="90">
        <v>3684.8125254332999</v>
      </c>
      <c r="M1704" s="90">
        <v>9.5783281568712297</v>
      </c>
      <c r="N1704" s="90">
        <v>1.5417406931478701</v>
      </c>
      <c r="O1704" s="90">
        <v>0.54574524423783999</v>
      </c>
      <c r="P1704" s="90">
        <v>8.7843894816840004E-2</v>
      </c>
      <c r="Q1704" s="90">
        <v>209.94988673682701</v>
      </c>
      <c r="R1704" s="90">
        <v>1210</v>
      </c>
      <c r="S1704" s="90" t="s">
        <v>385</v>
      </c>
      <c r="T1704" s="90">
        <v>1210</v>
      </c>
      <c r="U1704" s="90" t="s">
        <v>378</v>
      </c>
      <c r="V1704" s="90" t="s">
        <v>244</v>
      </c>
      <c r="Z1704" s="90">
        <v>0</v>
      </c>
      <c r="AA1704" s="90">
        <v>1</v>
      </c>
      <c r="AB1704" s="90">
        <v>0.54574524423783999</v>
      </c>
      <c r="AC1704" s="90">
        <v>8.7843894816840004E-2</v>
      </c>
      <c r="AD1704" s="90">
        <v>566.91318865404799</v>
      </c>
      <c r="AF1704" s="90">
        <v>-1</v>
      </c>
      <c r="AG1704" s="90">
        <v>-1</v>
      </c>
      <c r="AH1704" s="90">
        <v>-1</v>
      </c>
      <c r="AI1704" s="90">
        <v>-1</v>
      </c>
      <c r="AJ1704" s="90">
        <v>0</v>
      </c>
      <c r="AM1704" s="90" t="s">
        <v>379</v>
      </c>
      <c r="AN1704" s="90">
        <v>-1</v>
      </c>
      <c r="AQ1704" s="90">
        <v>357</v>
      </c>
      <c r="AR1704" s="90" t="s">
        <v>405</v>
      </c>
      <c r="AS1704" s="90" t="s">
        <v>406</v>
      </c>
      <c r="AT1704" s="90" t="s">
        <v>244</v>
      </c>
      <c r="AU1704" s="90">
        <v>122.34610000000001</v>
      </c>
      <c r="AV1704" s="90">
        <v>68.540363982103798</v>
      </c>
      <c r="AW1704" s="90">
        <v>230.57809363671001</v>
      </c>
      <c r="AX1704" s="90">
        <v>0.45978360800000001</v>
      </c>
    </row>
    <row r="1705" spans="1:50" x14ac:dyDescent="0.25">
      <c r="A1705" s="102">
        <v>830000</v>
      </c>
      <c r="B1705" s="102">
        <v>2400000</v>
      </c>
      <c r="C1705" s="102">
        <v>2400000</v>
      </c>
      <c r="D1705" s="90" t="s">
        <v>374</v>
      </c>
      <c r="E1705" s="90" t="s">
        <v>68</v>
      </c>
      <c r="F1705" s="90" t="s">
        <v>375</v>
      </c>
      <c r="G1705" s="90" t="s">
        <v>376</v>
      </c>
      <c r="H1705" s="90">
        <v>0.59</v>
      </c>
      <c r="I1705" s="90">
        <v>0.64</v>
      </c>
      <c r="J1705" s="90" t="s">
        <v>244</v>
      </c>
      <c r="K1705" s="90">
        <v>2.3671560748E-3</v>
      </c>
      <c r="L1705" s="90">
        <v>3866.9204787235899</v>
      </c>
      <c r="M1705" s="90">
        <v>8.7607443780213696</v>
      </c>
      <c r="N1705" s="90">
        <v>1.18754416650045</v>
      </c>
      <c r="O1705" s="90">
        <v>2.0738049274270001E-2</v>
      </c>
      <c r="P1705" s="90">
        <v>2.8111023878300001E-3</v>
      </c>
      <c r="Q1705" s="90">
        <v>9.1536043020100202</v>
      </c>
      <c r="R1705" s="90">
        <v>1400</v>
      </c>
      <c r="S1705" s="90" t="s">
        <v>324</v>
      </c>
      <c r="T1705" s="90">
        <v>1400</v>
      </c>
      <c r="U1705" s="90" t="s">
        <v>378</v>
      </c>
      <c r="V1705" s="90" t="s">
        <v>244</v>
      </c>
      <c r="Z1705" s="90">
        <v>0</v>
      </c>
      <c r="AA1705" s="90">
        <v>1</v>
      </c>
      <c r="AB1705" s="90">
        <v>2.0738049274270001E-2</v>
      </c>
      <c r="AC1705" s="90">
        <v>2.8111023878300001E-3</v>
      </c>
      <c r="AD1705" s="90">
        <v>9.1536043020108693</v>
      </c>
      <c r="AF1705" s="90">
        <v>-1</v>
      </c>
      <c r="AG1705" s="90">
        <v>-1</v>
      </c>
      <c r="AH1705" s="90">
        <v>-1</v>
      </c>
      <c r="AI1705" s="90">
        <v>-1</v>
      </c>
      <c r="AJ1705" s="90">
        <v>0</v>
      </c>
      <c r="AM1705" s="90" t="s">
        <v>379</v>
      </c>
      <c r="AN1705" s="90">
        <v>-1</v>
      </c>
      <c r="AQ1705" s="90">
        <v>357</v>
      </c>
      <c r="AR1705" s="90" t="s">
        <v>405</v>
      </c>
      <c r="AS1705" s="90" t="s">
        <v>406</v>
      </c>
      <c r="AT1705" s="90" t="s">
        <v>244</v>
      </c>
      <c r="AU1705" s="90">
        <v>122.34610000000001</v>
      </c>
      <c r="AV1705" s="90">
        <v>34.363048276252201</v>
      </c>
      <c r="AW1705" s="90">
        <v>9.5795407641608001</v>
      </c>
      <c r="AX1705" s="90">
        <v>7.4238478000000002E-3</v>
      </c>
    </row>
    <row r="1706" spans="1:50" x14ac:dyDescent="0.25">
      <c r="A1706" s="102">
        <v>830000</v>
      </c>
      <c r="B1706" s="102">
        <v>2400000</v>
      </c>
      <c r="C1706" s="102">
        <v>2400000</v>
      </c>
      <c r="D1706" s="90" t="s">
        <v>374</v>
      </c>
      <c r="E1706" s="90" t="s">
        <v>68</v>
      </c>
      <c r="F1706" s="90" t="s">
        <v>375</v>
      </c>
      <c r="G1706" s="90" t="s">
        <v>376</v>
      </c>
      <c r="H1706" s="90">
        <v>0.59</v>
      </c>
      <c r="I1706" s="90">
        <v>0.64</v>
      </c>
      <c r="J1706" s="90" t="s">
        <v>244</v>
      </c>
      <c r="K1706" s="90">
        <v>0.61539629770816995</v>
      </c>
      <c r="L1706" s="90">
        <v>3866.9204787235899</v>
      </c>
      <c r="M1706" s="90">
        <v>8.7607443780213696</v>
      </c>
      <c r="N1706" s="90">
        <v>1.18754416650045</v>
      </c>
      <c r="O1706" s="90">
        <v>5.39132965540204</v>
      </c>
      <c r="P1706" s="90">
        <v>0.73081028342931997</v>
      </c>
      <c r="Q1706" s="90">
        <v>2379.6885461384099</v>
      </c>
      <c r="R1706" s="90">
        <v>1450</v>
      </c>
      <c r="S1706" s="90" t="s">
        <v>391</v>
      </c>
      <c r="T1706" s="90">
        <v>1450</v>
      </c>
      <c r="U1706" s="90" t="s">
        <v>378</v>
      </c>
      <c r="V1706" s="90" t="s">
        <v>244</v>
      </c>
      <c r="Z1706" s="90">
        <v>0</v>
      </c>
      <c r="AA1706" s="90">
        <v>1</v>
      </c>
      <c r="AB1706" s="90">
        <v>5.39132965540204</v>
      </c>
      <c r="AC1706" s="90">
        <v>0.73081028342931997</v>
      </c>
      <c r="AD1706" s="90">
        <v>2379.6885461384099</v>
      </c>
      <c r="AF1706" s="90">
        <v>-1</v>
      </c>
      <c r="AG1706" s="90">
        <v>-1</v>
      </c>
      <c r="AH1706" s="90">
        <v>-1</v>
      </c>
      <c r="AI1706" s="90">
        <v>-1</v>
      </c>
      <c r="AJ1706" s="90">
        <v>0</v>
      </c>
      <c r="AM1706" s="90" t="s">
        <v>379</v>
      </c>
      <c r="AN1706" s="90">
        <v>-1</v>
      </c>
      <c r="AQ1706" s="90">
        <v>357</v>
      </c>
      <c r="AR1706" s="90" t="s">
        <v>405</v>
      </c>
      <c r="AS1706" s="90" t="s">
        <v>406</v>
      </c>
      <c r="AT1706" s="90" t="s">
        <v>244</v>
      </c>
      <c r="AU1706" s="90">
        <v>122.34610000000001</v>
      </c>
      <c r="AV1706" s="90">
        <v>198.897132153011</v>
      </c>
      <c r="AW1706" s="90">
        <v>2490.4204597015</v>
      </c>
      <c r="AX1706" s="90">
        <v>1.9299988209000001</v>
      </c>
    </row>
    <row r="1707" spans="1:50" x14ac:dyDescent="0.25">
      <c r="A1707" s="102">
        <v>830000</v>
      </c>
      <c r="B1707" s="102">
        <v>2400000</v>
      </c>
      <c r="C1707" s="102">
        <v>2400000</v>
      </c>
      <c r="D1707" s="90" t="s">
        <v>374</v>
      </c>
      <c r="E1707" s="90" t="s">
        <v>68</v>
      </c>
      <c r="F1707" s="90" t="s">
        <v>375</v>
      </c>
      <c r="G1707" s="90" t="s">
        <v>376</v>
      </c>
      <c r="H1707" s="90">
        <v>0.59</v>
      </c>
      <c r="I1707" s="90">
        <v>0.64</v>
      </c>
      <c r="J1707" s="90" t="s">
        <v>244</v>
      </c>
      <c r="K1707" s="90">
        <v>0.13400144307617001</v>
      </c>
      <c r="L1707" s="90">
        <v>3751.3519647691801</v>
      </c>
      <c r="M1707" s="90">
        <v>11.238572096747999</v>
      </c>
      <c r="N1707" s="90">
        <v>1.4866221488143601</v>
      </c>
      <c r="O1707" s="90">
        <v>1.50598487907983</v>
      </c>
      <c r="P1707" s="90">
        <v>0.19920951325012001</v>
      </c>
      <c r="Q1707" s="90">
        <v>502.68657676570302</v>
      </c>
      <c r="R1707" s="90">
        <v>1400</v>
      </c>
      <c r="S1707" s="90" t="s">
        <v>324</v>
      </c>
      <c r="T1707" s="90">
        <v>1400</v>
      </c>
      <c r="U1707" s="90" t="s">
        <v>378</v>
      </c>
      <c r="V1707" s="90" t="s">
        <v>244</v>
      </c>
      <c r="Z1707" s="90">
        <v>0</v>
      </c>
      <c r="AA1707" s="90">
        <v>1</v>
      </c>
      <c r="AB1707" s="90">
        <v>1.50598487907983</v>
      </c>
      <c r="AC1707" s="90">
        <v>0.19920951325012001</v>
      </c>
      <c r="AD1707" s="90">
        <v>710.64090024064501</v>
      </c>
      <c r="AF1707" s="90">
        <v>-1</v>
      </c>
      <c r="AG1707" s="90">
        <v>-1</v>
      </c>
      <c r="AH1707" s="90">
        <v>-1</v>
      </c>
      <c r="AI1707" s="90">
        <v>-1</v>
      </c>
      <c r="AJ1707" s="90">
        <v>0</v>
      </c>
      <c r="AM1707" s="90" t="s">
        <v>379</v>
      </c>
      <c r="AN1707" s="90">
        <v>-1</v>
      </c>
      <c r="AQ1707" s="90">
        <v>357</v>
      </c>
      <c r="AR1707" s="90" t="s">
        <v>405</v>
      </c>
      <c r="AS1707" s="90" t="s">
        <v>406</v>
      </c>
      <c r="AT1707" s="90" t="s">
        <v>244</v>
      </c>
      <c r="AU1707" s="90">
        <v>122.34610000000001</v>
      </c>
      <c r="AV1707" s="90">
        <v>101.53125717186001</v>
      </c>
      <c r="AW1707" s="90">
        <v>542.284600523672</v>
      </c>
      <c r="AX1707" s="90">
        <v>0.57635109510000004</v>
      </c>
    </row>
    <row r="1708" spans="1:50" x14ac:dyDescent="0.25">
      <c r="A1708" s="102">
        <v>830000</v>
      </c>
      <c r="B1708" s="102">
        <v>2400000</v>
      </c>
      <c r="C1708" s="102">
        <v>2400000</v>
      </c>
      <c r="D1708" s="90" t="s">
        <v>374</v>
      </c>
      <c r="E1708" s="90" t="s">
        <v>68</v>
      </c>
      <c r="F1708" s="90" t="s">
        <v>375</v>
      </c>
      <c r="G1708" s="90" t="s">
        <v>376</v>
      </c>
      <c r="H1708" s="90">
        <v>0.59</v>
      </c>
      <c r="I1708" s="90">
        <v>0.64</v>
      </c>
      <c r="J1708" s="90" t="s">
        <v>244</v>
      </c>
      <c r="K1708" s="90">
        <v>0.27931562032369001</v>
      </c>
      <c r="L1708" s="90">
        <v>3751.3519647691801</v>
      </c>
      <c r="M1708" s="90">
        <v>11.238572096747999</v>
      </c>
      <c r="N1708" s="90">
        <v>1.4866221488143601</v>
      </c>
      <c r="O1708" s="90">
        <v>3.1391087367557602</v>
      </c>
      <c r="P1708" s="90">
        <v>0.41523678768303002</v>
      </c>
      <c r="Q1708" s="90">
        <v>1047.8112010920199</v>
      </c>
      <c r="R1708" s="90">
        <v>1410</v>
      </c>
      <c r="S1708" s="90" t="s">
        <v>325</v>
      </c>
      <c r="T1708" s="90">
        <v>1410</v>
      </c>
      <c r="U1708" s="90" t="s">
        <v>378</v>
      </c>
      <c r="V1708" s="90" t="s">
        <v>244</v>
      </c>
      <c r="Z1708" s="90">
        <v>0</v>
      </c>
      <c r="AA1708" s="90">
        <v>1</v>
      </c>
      <c r="AB1708" s="90">
        <v>3.1391087367557602</v>
      </c>
      <c r="AC1708" s="90">
        <v>0.41523678768303002</v>
      </c>
      <c r="AD1708" s="90">
        <v>1399.1516813881999</v>
      </c>
      <c r="AF1708" s="90">
        <v>-1</v>
      </c>
      <c r="AG1708" s="90">
        <v>-1</v>
      </c>
      <c r="AH1708" s="90">
        <v>-1</v>
      </c>
      <c r="AI1708" s="90">
        <v>-1</v>
      </c>
      <c r="AJ1708" s="90">
        <v>0</v>
      </c>
      <c r="AM1708" s="90" t="s">
        <v>379</v>
      </c>
      <c r="AN1708" s="90">
        <v>-1</v>
      </c>
      <c r="AQ1708" s="90">
        <v>357</v>
      </c>
      <c r="AR1708" s="90" t="s">
        <v>405</v>
      </c>
      <c r="AS1708" s="90" t="s">
        <v>406</v>
      </c>
      <c r="AT1708" s="90" t="s">
        <v>244</v>
      </c>
      <c r="AU1708" s="90">
        <v>122.34610000000001</v>
      </c>
      <c r="AV1708" s="90">
        <v>135.12898431711901</v>
      </c>
      <c r="AW1708" s="90">
        <v>1130.35021198359</v>
      </c>
      <c r="AX1708" s="90">
        <v>1.1347539995</v>
      </c>
    </row>
    <row r="1709" spans="1:50" x14ac:dyDescent="0.25">
      <c r="A1709" s="102">
        <v>830000</v>
      </c>
      <c r="B1709" s="102">
        <v>2400000</v>
      </c>
      <c r="C1709" s="102">
        <v>2400000</v>
      </c>
      <c r="D1709" s="90" t="s">
        <v>374</v>
      </c>
      <c r="E1709" s="90" t="s">
        <v>68</v>
      </c>
      <c r="F1709" s="90" t="s">
        <v>375</v>
      </c>
      <c r="G1709" s="90" t="s">
        <v>376</v>
      </c>
      <c r="H1709" s="90">
        <v>0.59</v>
      </c>
      <c r="I1709" s="90">
        <v>0.64</v>
      </c>
      <c r="J1709" s="90" t="s">
        <v>244</v>
      </c>
      <c r="K1709" s="90">
        <v>1.25071363215E-3</v>
      </c>
      <c r="L1709" s="90">
        <v>3751.3519647691801</v>
      </c>
      <c r="M1709" s="90">
        <v>11.238572096747999</v>
      </c>
      <c r="N1709" s="90">
        <v>1.4866221488143601</v>
      </c>
      <c r="O1709" s="90">
        <v>1.4056235327369999E-2</v>
      </c>
      <c r="P1709" s="90">
        <v>1.85933858738E-3</v>
      </c>
      <c r="Q1709" s="90">
        <v>4.6918670413520003</v>
      </c>
      <c r="R1709" s="90">
        <v>1450</v>
      </c>
      <c r="S1709" s="90" t="s">
        <v>391</v>
      </c>
      <c r="T1709" s="90">
        <v>1450</v>
      </c>
      <c r="U1709" s="90" t="s">
        <v>378</v>
      </c>
      <c r="V1709" s="90" t="s">
        <v>244</v>
      </c>
      <c r="Z1709" s="90">
        <v>0</v>
      </c>
      <c r="AA1709" s="90">
        <v>1</v>
      </c>
      <c r="AB1709" s="90">
        <v>1.4056235327369999E-2</v>
      </c>
      <c r="AC1709" s="90">
        <v>1.85933858738E-3</v>
      </c>
      <c r="AD1709" s="90">
        <v>4.69186704135155</v>
      </c>
      <c r="AF1709" s="90">
        <v>-1</v>
      </c>
      <c r="AG1709" s="90">
        <v>-1</v>
      </c>
      <c r="AH1709" s="90">
        <v>-1</v>
      </c>
      <c r="AI1709" s="90">
        <v>-1</v>
      </c>
      <c r="AJ1709" s="90">
        <v>0</v>
      </c>
      <c r="AM1709" s="90" t="s">
        <v>379</v>
      </c>
      <c r="AN1709" s="90">
        <v>-1</v>
      </c>
      <c r="AQ1709" s="90">
        <v>357</v>
      </c>
      <c r="AR1709" s="90" t="s">
        <v>405</v>
      </c>
      <c r="AS1709" s="90" t="s">
        <v>406</v>
      </c>
      <c r="AT1709" s="90" t="s">
        <v>244</v>
      </c>
      <c r="AU1709" s="90">
        <v>122.34610000000001</v>
      </c>
      <c r="AV1709" s="90">
        <v>10.333093724066</v>
      </c>
      <c r="AW1709" s="90">
        <v>5.0614584948732597</v>
      </c>
      <c r="AX1709" s="90">
        <v>3.8052450000000001E-3</v>
      </c>
    </row>
    <row r="1710" spans="1:50" x14ac:dyDescent="0.25">
      <c r="A1710" s="102">
        <v>830000</v>
      </c>
      <c r="B1710" s="102">
        <v>2400000</v>
      </c>
      <c r="C1710" s="102">
        <v>2400000</v>
      </c>
      <c r="D1710" s="90" t="s">
        <v>374</v>
      </c>
      <c r="E1710" s="90" t="s">
        <v>68</v>
      </c>
      <c r="F1710" s="90" t="s">
        <v>375</v>
      </c>
      <c r="G1710" s="90" t="s">
        <v>376</v>
      </c>
      <c r="H1710" s="90">
        <v>0.59</v>
      </c>
      <c r="I1710" s="90">
        <v>0.64</v>
      </c>
      <c r="J1710" s="90" t="s">
        <v>244</v>
      </c>
      <c r="K1710" s="90">
        <v>7.5341018750000005E-4</v>
      </c>
      <c r="L1710" s="90">
        <v>3751.3519647691801</v>
      </c>
      <c r="M1710" s="90">
        <v>11.238572096747999</v>
      </c>
      <c r="N1710" s="90">
        <v>1.4866221488143601</v>
      </c>
      <c r="O1710" s="90">
        <v>8.4672547106900004E-3</v>
      </c>
      <c r="P1710" s="90">
        <v>1.1200362718800001E-3</v>
      </c>
      <c r="Q1710" s="90">
        <v>2.8263067871739902</v>
      </c>
      <c r="R1710" s="90">
        <v>1450</v>
      </c>
      <c r="S1710" s="90" t="s">
        <v>391</v>
      </c>
      <c r="T1710" s="90">
        <v>1450</v>
      </c>
      <c r="U1710" s="90" t="s">
        <v>378</v>
      </c>
      <c r="V1710" s="90" t="s">
        <v>244</v>
      </c>
      <c r="Z1710" s="90">
        <v>0</v>
      </c>
      <c r="AA1710" s="90">
        <v>1</v>
      </c>
      <c r="AB1710" s="90">
        <v>8.4672547106900004E-3</v>
      </c>
      <c r="AC1710" s="90">
        <v>1.1200362718800001E-3</v>
      </c>
      <c r="AD1710" s="90">
        <v>2.8263067871748202</v>
      </c>
      <c r="AF1710" s="90">
        <v>-1</v>
      </c>
      <c r="AG1710" s="90">
        <v>-1</v>
      </c>
      <c r="AH1710" s="90">
        <v>-1</v>
      </c>
      <c r="AI1710" s="90">
        <v>-1</v>
      </c>
      <c r="AJ1710" s="90">
        <v>0</v>
      </c>
      <c r="AM1710" s="90" t="s">
        <v>379</v>
      </c>
      <c r="AN1710" s="90">
        <v>-1</v>
      </c>
      <c r="AQ1710" s="90">
        <v>357</v>
      </c>
      <c r="AR1710" s="90" t="s">
        <v>405</v>
      </c>
      <c r="AS1710" s="90" t="s">
        <v>406</v>
      </c>
      <c r="AT1710" s="90" t="s">
        <v>244</v>
      </c>
      <c r="AU1710" s="90">
        <v>122.34610000000001</v>
      </c>
      <c r="AV1710" s="90">
        <v>32.189760545339098</v>
      </c>
      <c r="AW1710" s="90">
        <v>3.0489428560070801</v>
      </c>
      <c r="AX1710" s="90">
        <v>2.2922196000000001E-3</v>
      </c>
    </row>
    <row r="1711" spans="1:50" x14ac:dyDescent="0.25">
      <c r="A1711" s="102">
        <v>830000</v>
      </c>
      <c r="B1711" s="102">
        <v>2400000</v>
      </c>
      <c r="C1711" s="102">
        <v>2400000</v>
      </c>
      <c r="D1711" s="90" t="s">
        <v>374</v>
      </c>
      <c r="E1711" s="90" t="s">
        <v>68</v>
      </c>
      <c r="F1711" s="90" t="s">
        <v>375</v>
      </c>
      <c r="G1711" s="90" t="s">
        <v>376</v>
      </c>
      <c r="H1711" s="90">
        <v>0.59</v>
      </c>
      <c r="I1711" s="90">
        <v>0.64</v>
      </c>
      <c r="J1711" s="90" t="s">
        <v>244</v>
      </c>
      <c r="K1711" s="90">
        <v>3.495222690021E-2</v>
      </c>
      <c r="L1711" s="90">
        <v>3751.3519647691801</v>
      </c>
      <c r="M1711" s="90">
        <v>11.238572096747999</v>
      </c>
      <c r="N1711" s="90">
        <v>1.4866221488143601</v>
      </c>
      <c r="O1711" s="90">
        <v>0.39281312195991003</v>
      </c>
      <c r="P1711" s="90">
        <v>5.1960754660230001E-2</v>
      </c>
      <c r="Q1711" s="90">
        <v>131.11810505516399</v>
      </c>
      <c r="R1711" s="90">
        <v>1410</v>
      </c>
      <c r="S1711" s="90" t="s">
        <v>325</v>
      </c>
      <c r="T1711" s="90">
        <v>1410</v>
      </c>
      <c r="U1711" s="90" t="s">
        <v>378</v>
      </c>
      <c r="V1711" s="90" t="s">
        <v>244</v>
      </c>
      <c r="Z1711" s="90">
        <v>0</v>
      </c>
      <c r="AA1711" s="90">
        <v>1</v>
      </c>
      <c r="AB1711" s="90">
        <v>0.39281312195991003</v>
      </c>
      <c r="AC1711" s="90">
        <v>5.1960754660230001E-2</v>
      </c>
      <c r="AD1711" s="90">
        <v>200.13739048133499</v>
      </c>
      <c r="AF1711" s="90">
        <v>-1</v>
      </c>
      <c r="AG1711" s="90">
        <v>-1</v>
      </c>
      <c r="AH1711" s="90">
        <v>-1</v>
      </c>
      <c r="AI1711" s="90">
        <v>-1</v>
      </c>
      <c r="AJ1711" s="90">
        <v>0</v>
      </c>
      <c r="AM1711" s="90" t="s">
        <v>379</v>
      </c>
      <c r="AN1711" s="90">
        <v>-1</v>
      </c>
      <c r="AQ1711" s="90">
        <v>357</v>
      </c>
      <c r="AR1711" s="90" t="s">
        <v>405</v>
      </c>
      <c r="AS1711" s="90" t="s">
        <v>406</v>
      </c>
      <c r="AT1711" s="90" t="s">
        <v>244</v>
      </c>
      <c r="AU1711" s="90">
        <v>122.34610000000001</v>
      </c>
      <c r="AV1711" s="90">
        <v>75.0224525950496</v>
      </c>
      <c r="AW1711" s="90">
        <v>141.44664390830201</v>
      </c>
      <c r="AX1711" s="90">
        <v>0.16231742939999999</v>
      </c>
    </row>
    <row r="1712" spans="1:50" x14ac:dyDescent="0.25">
      <c r="A1712" s="102">
        <v>830000</v>
      </c>
      <c r="B1712" s="102">
        <v>2400000</v>
      </c>
      <c r="C1712" s="102">
        <v>2400000</v>
      </c>
      <c r="D1712" s="90" t="s">
        <v>374</v>
      </c>
      <c r="E1712" s="90" t="s">
        <v>68</v>
      </c>
      <c r="F1712" s="90" t="s">
        <v>375</v>
      </c>
      <c r="G1712" s="90" t="s">
        <v>376</v>
      </c>
      <c r="H1712" s="90">
        <v>0.59</v>
      </c>
      <c r="I1712" s="90">
        <v>0.64</v>
      </c>
      <c r="J1712" s="90" t="s">
        <v>244</v>
      </c>
      <c r="K1712" s="90">
        <v>6.2574417859610001E-2</v>
      </c>
      <c r="L1712" s="90">
        <v>3664.1173325240802</v>
      </c>
      <c r="M1712" s="90">
        <v>9.1385963512820094</v>
      </c>
      <c r="N1712" s="90">
        <v>1.3442133882686</v>
      </c>
      <c r="O1712" s="90">
        <v>0.57184234673550005</v>
      </c>
      <c r="P1712" s="90">
        <v>8.4113370250010006E-2</v>
      </c>
      <c r="Q1712" s="90">
        <v>229.28000905203001</v>
      </c>
      <c r="R1712" s="90">
        <v>1200</v>
      </c>
      <c r="S1712" s="90" t="s">
        <v>384</v>
      </c>
      <c r="T1712" s="90">
        <v>1200</v>
      </c>
      <c r="U1712" s="90" t="s">
        <v>378</v>
      </c>
      <c r="V1712" s="90" t="s">
        <v>244</v>
      </c>
      <c r="Z1712" s="90">
        <v>0</v>
      </c>
      <c r="AA1712" s="90">
        <v>1</v>
      </c>
      <c r="AB1712" s="90">
        <v>0.57184234673550005</v>
      </c>
      <c r="AC1712" s="90">
        <v>8.4113370250010006E-2</v>
      </c>
      <c r="AD1712" s="90">
        <v>643.08392571164495</v>
      </c>
      <c r="AF1712" s="90">
        <v>-1</v>
      </c>
      <c r="AG1712" s="90">
        <v>-1</v>
      </c>
      <c r="AH1712" s="90">
        <v>-1</v>
      </c>
      <c r="AI1712" s="90">
        <v>-1</v>
      </c>
      <c r="AJ1712" s="90">
        <v>0</v>
      </c>
      <c r="AM1712" s="90" t="s">
        <v>379</v>
      </c>
      <c r="AN1712" s="90">
        <v>-1</v>
      </c>
      <c r="AQ1712" s="90">
        <v>357</v>
      </c>
      <c r="AR1712" s="90" t="s">
        <v>405</v>
      </c>
      <c r="AS1712" s="90" t="s">
        <v>406</v>
      </c>
      <c r="AT1712" s="90" t="s">
        <v>244</v>
      </c>
      <c r="AU1712" s="90">
        <v>122.34610000000001</v>
      </c>
      <c r="AV1712" s="90">
        <v>95.779612209040195</v>
      </c>
      <c r="AW1712" s="90">
        <v>253.22968479313499</v>
      </c>
      <c r="AX1712" s="90">
        <v>0.52156036149999996</v>
      </c>
    </row>
    <row r="1713" spans="1:50" x14ac:dyDescent="0.25">
      <c r="A1713" s="102">
        <v>830000</v>
      </c>
      <c r="B1713" s="102">
        <v>2400000</v>
      </c>
      <c r="C1713" s="102">
        <v>2400000</v>
      </c>
      <c r="D1713" s="90" t="s">
        <v>374</v>
      </c>
      <c r="E1713" s="90" t="s">
        <v>68</v>
      </c>
      <c r="F1713" s="90" t="s">
        <v>375</v>
      </c>
      <c r="G1713" s="90" t="s">
        <v>376</v>
      </c>
      <c r="H1713" s="90">
        <v>0.59</v>
      </c>
      <c r="I1713" s="90">
        <v>0.64</v>
      </c>
      <c r="J1713" s="90" t="s">
        <v>244</v>
      </c>
      <c r="K1713" s="90">
        <v>2.2625515102799999E-3</v>
      </c>
      <c r="L1713" s="90">
        <v>3664.1173325240802</v>
      </c>
      <c r="M1713" s="90">
        <v>9.1385963512820094</v>
      </c>
      <c r="N1713" s="90">
        <v>1.3442133882686</v>
      </c>
      <c r="O1713" s="90">
        <v>2.0676544976479999E-2</v>
      </c>
      <c r="P1713" s="90">
        <v>3.04135203177E-3</v>
      </c>
      <c r="Q1713" s="90">
        <v>8.2902542045674696</v>
      </c>
      <c r="R1713" s="90">
        <v>1210</v>
      </c>
      <c r="S1713" s="90" t="s">
        <v>385</v>
      </c>
      <c r="T1713" s="90">
        <v>1210</v>
      </c>
      <c r="U1713" s="90" t="s">
        <v>378</v>
      </c>
      <c r="V1713" s="90" t="s">
        <v>244</v>
      </c>
      <c r="Z1713" s="90">
        <v>0</v>
      </c>
      <c r="AA1713" s="90">
        <v>1</v>
      </c>
      <c r="AB1713" s="90">
        <v>2.0676544976479999E-2</v>
      </c>
      <c r="AC1713" s="90">
        <v>3.04135203177E-3</v>
      </c>
      <c r="AD1713" s="90">
        <v>19.240205405312601</v>
      </c>
      <c r="AF1713" s="90">
        <v>-1</v>
      </c>
      <c r="AG1713" s="90">
        <v>-1</v>
      </c>
      <c r="AH1713" s="90">
        <v>-1</v>
      </c>
      <c r="AI1713" s="90">
        <v>-1</v>
      </c>
      <c r="AJ1713" s="90">
        <v>0</v>
      </c>
      <c r="AM1713" s="90" t="s">
        <v>379</v>
      </c>
      <c r="AN1713" s="90">
        <v>-1</v>
      </c>
      <c r="AQ1713" s="90">
        <v>357</v>
      </c>
      <c r="AR1713" s="90" t="s">
        <v>405</v>
      </c>
      <c r="AS1713" s="90" t="s">
        <v>406</v>
      </c>
      <c r="AT1713" s="90" t="s">
        <v>244</v>
      </c>
      <c r="AU1713" s="90">
        <v>122.34610000000001</v>
      </c>
      <c r="AV1713" s="90">
        <v>26.588795556729501</v>
      </c>
      <c r="AW1713" s="90">
        <v>9.1562211104114599</v>
      </c>
      <c r="AX1713" s="90">
        <v>1.5604383899999999E-2</v>
      </c>
    </row>
    <row r="1714" spans="1:50" x14ac:dyDescent="0.25">
      <c r="A1714" s="102">
        <v>830000</v>
      </c>
      <c r="B1714" s="102">
        <v>2400000</v>
      </c>
      <c r="C1714" s="102">
        <v>2400000</v>
      </c>
      <c r="D1714" s="90" t="s">
        <v>374</v>
      </c>
      <c r="E1714" s="90" t="s">
        <v>68</v>
      </c>
      <c r="F1714" s="90" t="s">
        <v>375</v>
      </c>
      <c r="G1714" s="90" t="s">
        <v>376</v>
      </c>
      <c r="H1714" s="90">
        <v>0.59</v>
      </c>
      <c r="I1714" s="90">
        <v>0.64</v>
      </c>
      <c r="J1714" s="90" t="s">
        <v>244</v>
      </c>
      <c r="K1714" s="90">
        <v>0.10000989739787</v>
      </c>
      <c r="L1714" s="90">
        <v>3664.1173325240802</v>
      </c>
      <c r="M1714" s="90">
        <v>9.1385963512820094</v>
      </c>
      <c r="N1714" s="90">
        <v>1.3442133882686</v>
      </c>
      <c r="O1714" s="90">
        <v>0.9139500834523</v>
      </c>
      <c r="P1714" s="90">
        <v>0.13443464304159</v>
      </c>
      <c r="Q1714" s="90">
        <v>366.44799847950901</v>
      </c>
      <c r="R1714" s="90">
        <v>1210</v>
      </c>
      <c r="S1714" s="90" t="s">
        <v>385</v>
      </c>
      <c r="T1714" s="90">
        <v>1210</v>
      </c>
      <c r="U1714" s="90" t="s">
        <v>378</v>
      </c>
      <c r="V1714" s="90" t="s">
        <v>244</v>
      </c>
      <c r="Z1714" s="90">
        <v>0</v>
      </c>
      <c r="AA1714" s="90">
        <v>1</v>
      </c>
      <c r="AB1714" s="90">
        <v>0.9139500834523</v>
      </c>
      <c r="AC1714" s="90">
        <v>0.13443464304159</v>
      </c>
      <c r="AD1714" s="90">
        <v>642.70301012968798</v>
      </c>
      <c r="AF1714" s="90">
        <v>-1</v>
      </c>
      <c r="AG1714" s="90">
        <v>-1</v>
      </c>
      <c r="AH1714" s="90">
        <v>-1</v>
      </c>
      <c r="AI1714" s="90">
        <v>-1</v>
      </c>
      <c r="AJ1714" s="90">
        <v>0</v>
      </c>
      <c r="AM1714" s="90" t="s">
        <v>379</v>
      </c>
      <c r="AN1714" s="90">
        <v>-1</v>
      </c>
      <c r="AQ1714" s="90">
        <v>357</v>
      </c>
      <c r="AR1714" s="90" t="s">
        <v>405</v>
      </c>
      <c r="AS1714" s="90" t="s">
        <v>406</v>
      </c>
      <c r="AT1714" s="90" t="s">
        <v>244</v>
      </c>
      <c r="AU1714" s="90">
        <v>122.34610000000001</v>
      </c>
      <c r="AV1714" s="90">
        <v>80.455047157928007</v>
      </c>
      <c r="AW1714" s="90">
        <v>404.725695588154</v>
      </c>
      <c r="AX1714" s="90">
        <v>0.52125142749999998</v>
      </c>
    </row>
    <row r="1715" spans="1:50" x14ac:dyDescent="0.25">
      <c r="A1715" s="102">
        <v>830000</v>
      </c>
      <c r="B1715" s="102">
        <v>2400000</v>
      </c>
      <c r="C1715" s="102">
        <v>2400000</v>
      </c>
      <c r="D1715" s="90" t="s">
        <v>374</v>
      </c>
      <c r="E1715" s="90" t="s">
        <v>68</v>
      </c>
      <c r="F1715" s="90" t="s">
        <v>375</v>
      </c>
      <c r="G1715" s="90" t="s">
        <v>376</v>
      </c>
      <c r="H1715" s="90">
        <v>0.59</v>
      </c>
      <c r="I1715" s="90">
        <v>0.64</v>
      </c>
      <c r="J1715" s="90" t="s">
        <v>244</v>
      </c>
      <c r="K1715" s="90">
        <v>0.10399673182935</v>
      </c>
      <c r="L1715" s="90">
        <v>3664.1173325240802</v>
      </c>
      <c r="M1715" s="90">
        <v>9.1385963512820094</v>
      </c>
      <c r="N1715" s="90">
        <v>1.3442133882686</v>
      </c>
      <c r="O1715" s="90">
        <v>0.95038415404099996</v>
      </c>
      <c r="P1715" s="90">
        <v>0.1397937992612</v>
      </c>
      <c r="Q1715" s="90">
        <v>381.05622762180201</v>
      </c>
      <c r="R1715" s="90">
        <v>1210</v>
      </c>
      <c r="S1715" s="90" t="s">
        <v>385</v>
      </c>
      <c r="T1715" s="90">
        <v>1210</v>
      </c>
      <c r="U1715" s="90" t="s">
        <v>378</v>
      </c>
      <c r="V1715" s="90" t="s">
        <v>244</v>
      </c>
      <c r="Z1715" s="90">
        <v>0</v>
      </c>
      <c r="AA1715" s="90">
        <v>1</v>
      </c>
      <c r="AB1715" s="90">
        <v>0.95038415404099996</v>
      </c>
      <c r="AC1715" s="90">
        <v>0.1397937992612</v>
      </c>
      <c r="AD1715" s="90">
        <v>807.26936508725203</v>
      </c>
      <c r="AF1715" s="90">
        <v>-1</v>
      </c>
      <c r="AG1715" s="90">
        <v>-1</v>
      </c>
      <c r="AH1715" s="90">
        <v>-1</v>
      </c>
      <c r="AI1715" s="90">
        <v>-1</v>
      </c>
      <c r="AJ1715" s="90">
        <v>0</v>
      </c>
      <c r="AM1715" s="90" t="s">
        <v>379</v>
      </c>
      <c r="AN1715" s="90">
        <v>-1</v>
      </c>
      <c r="AQ1715" s="90">
        <v>357</v>
      </c>
      <c r="AR1715" s="90" t="s">
        <v>405</v>
      </c>
      <c r="AS1715" s="90" t="s">
        <v>406</v>
      </c>
      <c r="AT1715" s="90" t="s">
        <v>244</v>
      </c>
      <c r="AU1715" s="90">
        <v>122.34610000000001</v>
      </c>
      <c r="AV1715" s="90">
        <v>82.153302655516299</v>
      </c>
      <c r="AW1715" s="90">
        <v>420.85984211223803</v>
      </c>
      <c r="AX1715" s="90">
        <v>0.6547196797</v>
      </c>
    </row>
    <row r="1716" spans="1:50" x14ac:dyDescent="0.25">
      <c r="A1716" s="102">
        <v>830000</v>
      </c>
      <c r="B1716" s="102">
        <v>2400000</v>
      </c>
      <c r="C1716" s="102">
        <v>2400000</v>
      </c>
      <c r="D1716" s="90" t="s">
        <v>374</v>
      </c>
      <c r="E1716" s="90" t="s">
        <v>68</v>
      </c>
      <c r="F1716" s="90" t="s">
        <v>375</v>
      </c>
      <c r="G1716" s="90" t="s">
        <v>376</v>
      </c>
      <c r="H1716" s="90">
        <v>0.59</v>
      </c>
      <c r="I1716" s="90">
        <v>0.64</v>
      </c>
      <c r="J1716" s="90" t="s">
        <v>244</v>
      </c>
      <c r="K1716" s="90">
        <v>1.93329249697E-3</v>
      </c>
      <c r="L1716" s="90">
        <v>3664.1173325240802</v>
      </c>
      <c r="M1716" s="90">
        <v>9.1385963512820094</v>
      </c>
      <c r="N1716" s="90">
        <v>1.3442133882686</v>
      </c>
      <c r="O1716" s="90">
        <v>1.7667579758770001E-2</v>
      </c>
      <c r="P1716" s="90">
        <v>2.5987576578600001E-3</v>
      </c>
      <c r="Q1716" s="90">
        <v>7.0838105469865402</v>
      </c>
      <c r="R1716" s="90">
        <v>1210</v>
      </c>
      <c r="S1716" s="90" t="s">
        <v>385</v>
      </c>
      <c r="T1716" s="90">
        <v>1210</v>
      </c>
      <c r="U1716" s="90" t="s">
        <v>378</v>
      </c>
      <c r="V1716" s="90" t="s">
        <v>244</v>
      </c>
      <c r="Z1716" s="90">
        <v>0</v>
      </c>
      <c r="AA1716" s="90">
        <v>1</v>
      </c>
      <c r="AB1716" s="90">
        <v>1.7667579758770001E-2</v>
      </c>
      <c r="AC1716" s="90">
        <v>2.5987576578600001E-3</v>
      </c>
      <c r="AD1716" s="90">
        <v>7.0838105469864603</v>
      </c>
      <c r="AF1716" s="90">
        <v>-1</v>
      </c>
      <c r="AG1716" s="90">
        <v>-1</v>
      </c>
      <c r="AH1716" s="90">
        <v>-1</v>
      </c>
      <c r="AI1716" s="90">
        <v>-1</v>
      </c>
      <c r="AJ1716" s="90">
        <v>0</v>
      </c>
      <c r="AM1716" s="90" t="s">
        <v>379</v>
      </c>
      <c r="AN1716" s="90">
        <v>-1</v>
      </c>
      <c r="AQ1716" s="90">
        <v>357</v>
      </c>
      <c r="AR1716" s="90" t="s">
        <v>405</v>
      </c>
      <c r="AS1716" s="90" t="s">
        <v>406</v>
      </c>
      <c r="AT1716" s="90" t="s">
        <v>244</v>
      </c>
      <c r="AU1716" s="90">
        <v>122.34610000000001</v>
      </c>
      <c r="AV1716" s="90">
        <v>24.580389963875799</v>
      </c>
      <c r="AW1716" s="90">
        <v>7.8237571577406797</v>
      </c>
      <c r="AX1716" s="90">
        <v>5.7451828999999996E-3</v>
      </c>
    </row>
    <row r="1717" spans="1:50" x14ac:dyDescent="0.25">
      <c r="A1717" s="102">
        <v>830000</v>
      </c>
      <c r="B1717" s="102">
        <v>2400000</v>
      </c>
      <c r="C1717" s="102">
        <v>2400000</v>
      </c>
      <c r="D1717" s="90" t="s">
        <v>374</v>
      </c>
      <c r="E1717" s="90" t="s">
        <v>68</v>
      </c>
      <c r="F1717" s="90" t="s">
        <v>375</v>
      </c>
      <c r="G1717" s="90" t="s">
        <v>376</v>
      </c>
      <c r="H1717" s="90">
        <v>0.59</v>
      </c>
      <c r="I1717" s="90">
        <v>0.64</v>
      </c>
      <c r="J1717" s="90" t="s">
        <v>244</v>
      </c>
      <c r="K1717" s="90">
        <v>1.1749242942840001E-2</v>
      </c>
      <c r="L1717" s="90">
        <v>3667.3977546454898</v>
      </c>
      <c r="M1717" s="90">
        <v>9.1617955501752792</v>
      </c>
      <c r="N1717" s="90">
        <v>1.3528633670083201</v>
      </c>
      <c r="O1717" s="90">
        <v>0.10764416171164</v>
      </c>
      <c r="P1717" s="90">
        <v>1.5895120367440001E-2</v>
      </c>
      <c r="Q1717" s="90">
        <v>43.089147187355699</v>
      </c>
      <c r="R1717" s="90">
        <v>1200</v>
      </c>
      <c r="S1717" s="90" t="s">
        <v>384</v>
      </c>
      <c r="T1717" s="90">
        <v>1200</v>
      </c>
      <c r="U1717" s="90" t="s">
        <v>378</v>
      </c>
      <c r="V1717" s="90" t="s">
        <v>244</v>
      </c>
      <c r="Z1717" s="90">
        <v>0</v>
      </c>
      <c r="AA1717" s="90">
        <v>1</v>
      </c>
      <c r="AB1717" s="90">
        <v>0.10764416171164</v>
      </c>
      <c r="AC1717" s="90">
        <v>1.5895120367440001E-2</v>
      </c>
      <c r="AD1717" s="90">
        <v>43.089147187355401</v>
      </c>
      <c r="AF1717" s="90">
        <v>-1</v>
      </c>
      <c r="AG1717" s="90">
        <v>-1</v>
      </c>
      <c r="AH1717" s="90">
        <v>-1</v>
      </c>
      <c r="AI1717" s="90">
        <v>-1</v>
      </c>
      <c r="AJ1717" s="90">
        <v>0</v>
      </c>
      <c r="AM1717" s="90" t="s">
        <v>379</v>
      </c>
      <c r="AN1717" s="90">
        <v>-1</v>
      </c>
      <c r="AQ1717" s="90">
        <v>357</v>
      </c>
      <c r="AR1717" s="90" t="s">
        <v>405</v>
      </c>
      <c r="AS1717" s="90" t="s">
        <v>406</v>
      </c>
      <c r="AT1717" s="90" t="s">
        <v>244</v>
      </c>
      <c r="AU1717" s="90">
        <v>122.34610000000001</v>
      </c>
      <c r="AV1717" s="90">
        <v>60.626080343209303</v>
      </c>
      <c r="AW1717" s="90">
        <v>47.547499261569598</v>
      </c>
      <c r="AX1717" s="90">
        <v>3.4946591399999997E-2</v>
      </c>
    </row>
    <row r="1718" spans="1:50" x14ac:dyDescent="0.25">
      <c r="A1718" s="102">
        <v>830000</v>
      </c>
      <c r="B1718" s="102">
        <v>2400000</v>
      </c>
      <c r="C1718" s="102">
        <v>2400000</v>
      </c>
      <c r="D1718" s="90" t="s">
        <v>374</v>
      </c>
      <c r="E1718" s="90" t="s">
        <v>68</v>
      </c>
      <c r="F1718" s="90" t="s">
        <v>375</v>
      </c>
      <c r="G1718" s="90" t="s">
        <v>376</v>
      </c>
      <c r="H1718" s="90">
        <v>0.59</v>
      </c>
      <c r="I1718" s="90">
        <v>0.64</v>
      </c>
      <c r="J1718" s="90" t="s">
        <v>244</v>
      </c>
      <c r="K1718" s="90">
        <v>9.6956513052499999E-2</v>
      </c>
      <c r="L1718" s="90">
        <v>3667.3977546454898</v>
      </c>
      <c r="M1718" s="90">
        <v>9.1617955501752792</v>
      </c>
      <c r="N1718" s="90">
        <v>1.3528633670083201</v>
      </c>
      <c r="O1718" s="90">
        <v>0.88829574984495996</v>
      </c>
      <c r="P1718" s="90">
        <v>0.1311689147016</v>
      </c>
      <c r="Q1718" s="90">
        <v>355.578098267016</v>
      </c>
      <c r="R1718" s="90">
        <v>1300</v>
      </c>
      <c r="S1718" s="90" t="s">
        <v>387</v>
      </c>
      <c r="T1718" s="90">
        <v>1300</v>
      </c>
      <c r="U1718" s="90" t="s">
        <v>378</v>
      </c>
      <c r="V1718" s="90" t="s">
        <v>244</v>
      </c>
      <c r="Z1718" s="90">
        <v>0</v>
      </c>
      <c r="AA1718" s="90">
        <v>1</v>
      </c>
      <c r="AB1718" s="90">
        <v>0.88829574984495996</v>
      </c>
      <c r="AC1718" s="90">
        <v>0.1311689147016</v>
      </c>
      <c r="AD1718" s="90">
        <v>355.57809826701498</v>
      </c>
      <c r="AF1718" s="90">
        <v>-1</v>
      </c>
      <c r="AG1718" s="90">
        <v>-1</v>
      </c>
      <c r="AH1718" s="90">
        <v>-1</v>
      </c>
      <c r="AI1718" s="90">
        <v>-1</v>
      </c>
      <c r="AJ1718" s="90">
        <v>0</v>
      </c>
      <c r="AM1718" s="90" t="s">
        <v>379</v>
      </c>
      <c r="AN1718" s="90">
        <v>-1</v>
      </c>
      <c r="AQ1718" s="90">
        <v>357</v>
      </c>
      <c r="AR1718" s="90" t="s">
        <v>405</v>
      </c>
      <c r="AS1718" s="90" t="s">
        <v>406</v>
      </c>
      <c r="AT1718" s="90" t="s">
        <v>244</v>
      </c>
      <c r="AU1718" s="90">
        <v>122.34610000000001</v>
      </c>
      <c r="AV1718" s="90">
        <v>114.809130194708</v>
      </c>
      <c r="AW1718" s="90">
        <v>392.36908754004099</v>
      </c>
      <c r="AX1718" s="90">
        <v>0.28838450789999998</v>
      </c>
    </row>
    <row r="1719" spans="1:50" x14ac:dyDescent="0.25">
      <c r="A1719" s="102">
        <v>830000</v>
      </c>
      <c r="B1719" s="102">
        <v>2400000</v>
      </c>
      <c r="C1719" s="102">
        <v>2400000</v>
      </c>
      <c r="D1719" s="90" t="s">
        <v>374</v>
      </c>
      <c r="E1719" s="90" t="s">
        <v>68</v>
      </c>
      <c r="F1719" s="90" t="s">
        <v>375</v>
      </c>
      <c r="G1719" s="90" t="s">
        <v>376</v>
      </c>
      <c r="H1719" s="90">
        <v>0.59</v>
      </c>
      <c r="I1719" s="90">
        <v>0.64</v>
      </c>
      <c r="J1719" s="90" t="s">
        <v>244</v>
      </c>
      <c r="K1719" s="90">
        <v>0.31449301129592999</v>
      </c>
      <c r="L1719" s="90">
        <v>3778.6616021837799</v>
      </c>
      <c r="M1719" s="90">
        <v>10.063886287937899</v>
      </c>
      <c r="N1719" s="90">
        <v>1.78204798462655</v>
      </c>
      <c r="O1719" s="90">
        <v>3.1650219040335101</v>
      </c>
      <c r="P1719" s="90">
        <v>0.56044163695906002</v>
      </c>
      <c r="Q1719" s="90">
        <v>1188.36266593911</v>
      </c>
      <c r="R1719" s="90">
        <v>1300</v>
      </c>
      <c r="S1719" s="90" t="s">
        <v>387</v>
      </c>
      <c r="T1719" s="90">
        <v>1300</v>
      </c>
      <c r="U1719" s="90" t="s">
        <v>378</v>
      </c>
      <c r="V1719" s="90" t="s">
        <v>244</v>
      </c>
      <c r="Z1719" s="90">
        <v>0</v>
      </c>
      <c r="AA1719" s="90">
        <v>1</v>
      </c>
      <c r="AB1719" s="90">
        <v>3.1650219040335101</v>
      </c>
      <c r="AC1719" s="90">
        <v>0.56044163695906002</v>
      </c>
      <c r="AD1719" s="90">
        <v>1188.36266593911</v>
      </c>
      <c r="AF1719" s="90">
        <v>-1</v>
      </c>
      <c r="AG1719" s="90">
        <v>-1</v>
      </c>
      <c r="AH1719" s="90">
        <v>-1</v>
      </c>
      <c r="AI1719" s="90">
        <v>-1</v>
      </c>
      <c r="AJ1719" s="90">
        <v>0</v>
      </c>
      <c r="AM1719" s="90" t="s">
        <v>379</v>
      </c>
      <c r="AN1719" s="90">
        <v>-1</v>
      </c>
      <c r="AQ1719" s="90">
        <v>357</v>
      </c>
      <c r="AR1719" s="90" t="s">
        <v>405</v>
      </c>
      <c r="AS1719" s="90" t="s">
        <v>406</v>
      </c>
      <c r="AT1719" s="90" t="s">
        <v>244</v>
      </c>
      <c r="AU1719" s="90">
        <v>122.34610000000001</v>
      </c>
      <c r="AV1719" s="90">
        <v>201.29397708513901</v>
      </c>
      <c r="AW1719" s="90">
        <v>1272.7080625628801</v>
      </c>
      <c r="AX1719" s="90">
        <v>0.96379778260000004</v>
      </c>
    </row>
    <row r="1720" spans="1:50" x14ac:dyDescent="0.25">
      <c r="A1720" s="102">
        <v>830000</v>
      </c>
      <c r="B1720" s="102">
        <v>2400000</v>
      </c>
      <c r="C1720" s="102">
        <v>2400000</v>
      </c>
      <c r="D1720" s="90" t="s">
        <v>374</v>
      </c>
      <c r="E1720" s="90" t="s">
        <v>68</v>
      </c>
      <c r="F1720" s="90" t="s">
        <v>375</v>
      </c>
      <c r="G1720" s="90" t="s">
        <v>376</v>
      </c>
      <c r="H1720" s="90">
        <v>0.59</v>
      </c>
      <c r="I1720" s="90">
        <v>0.64</v>
      </c>
      <c r="J1720" s="90" t="s">
        <v>244</v>
      </c>
      <c r="K1720" s="90">
        <v>0.10514102735196</v>
      </c>
      <c r="L1720" s="90">
        <v>3778.6616021837799</v>
      </c>
      <c r="M1720" s="90">
        <v>10.063886287937899</v>
      </c>
      <c r="N1720" s="90">
        <v>1.78204798462655</v>
      </c>
      <c r="O1720" s="90">
        <v>1.0581273434671199</v>
      </c>
      <c r="P1720" s="90">
        <v>0.18736635589413</v>
      </c>
      <c r="Q1720" s="90">
        <v>397.29236286901403</v>
      </c>
      <c r="R1720" s="90">
        <v>1300</v>
      </c>
      <c r="S1720" s="90" t="s">
        <v>387</v>
      </c>
      <c r="T1720" s="90">
        <v>1300</v>
      </c>
      <c r="U1720" s="90" t="s">
        <v>378</v>
      </c>
      <c r="V1720" s="90" t="s">
        <v>244</v>
      </c>
      <c r="Z1720" s="90">
        <v>0</v>
      </c>
      <c r="AA1720" s="90">
        <v>1</v>
      </c>
      <c r="AB1720" s="90">
        <v>1.0581273434671199</v>
      </c>
      <c r="AC1720" s="90">
        <v>0.18736635589413</v>
      </c>
      <c r="AD1720" s="90">
        <v>397.29236286901403</v>
      </c>
      <c r="AF1720" s="90">
        <v>-1</v>
      </c>
      <c r="AG1720" s="90">
        <v>-1</v>
      </c>
      <c r="AH1720" s="90">
        <v>-1</v>
      </c>
      <c r="AI1720" s="90">
        <v>-1</v>
      </c>
      <c r="AJ1720" s="90">
        <v>0</v>
      </c>
      <c r="AM1720" s="90" t="s">
        <v>379</v>
      </c>
      <c r="AN1720" s="90">
        <v>-1</v>
      </c>
      <c r="AQ1720" s="90">
        <v>357</v>
      </c>
      <c r="AR1720" s="90" t="s">
        <v>405</v>
      </c>
      <c r="AS1720" s="90" t="s">
        <v>406</v>
      </c>
      <c r="AT1720" s="90" t="s">
        <v>244</v>
      </c>
      <c r="AU1720" s="90">
        <v>122.34610000000001</v>
      </c>
      <c r="AV1720" s="90">
        <v>98.468786002672005</v>
      </c>
      <c r="AW1720" s="90">
        <v>425.49064179702299</v>
      </c>
      <c r="AX1720" s="90">
        <v>0.32221602830000001</v>
      </c>
    </row>
    <row r="1721" spans="1:50" x14ac:dyDescent="0.25">
      <c r="A1721" s="102">
        <v>830000</v>
      </c>
      <c r="B1721" s="102">
        <v>2400000</v>
      </c>
      <c r="C1721" s="102">
        <v>2400000</v>
      </c>
      <c r="D1721" s="90" t="s">
        <v>374</v>
      </c>
      <c r="E1721" s="90" t="s">
        <v>68</v>
      </c>
      <c r="F1721" s="90" t="s">
        <v>375</v>
      </c>
      <c r="G1721" s="90" t="s">
        <v>376</v>
      </c>
      <c r="H1721" s="90">
        <v>0.59</v>
      </c>
      <c r="I1721" s="90">
        <v>0.64</v>
      </c>
      <c r="J1721" s="90" t="s">
        <v>244</v>
      </c>
      <c r="K1721" s="90">
        <v>0.19812941495097</v>
      </c>
      <c r="L1721" s="90">
        <v>3778.6616021837799</v>
      </c>
      <c r="M1721" s="90">
        <v>10.063886287937899</v>
      </c>
      <c r="N1721" s="90">
        <v>1.78204798462655</v>
      </c>
      <c r="O1721" s="90">
        <v>1.9939519023622401</v>
      </c>
      <c r="P1721" s="90">
        <v>0.35307612460860999</v>
      </c>
      <c r="Q1721" s="90">
        <v>748.66401253837205</v>
      </c>
      <c r="R1721" s="90">
        <v>1450</v>
      </c>
      <c r="S1721" s="90" t="s">
        <v>391</v>
      </c>
      <c r="T1721" s="90">
        <v>1450</v>
      </c>
      <c r="U1721" s="90" t="s">
        <v>378</v>
      </c>
      <c r="V1721" s="90" t="s">
        <v>244</v>
      </c>
      <c r="Z1721" s="90">
        <v>0</v>
      </c>
      <c r="AA1721" s="90">
        <v>1</v>
      </c>
      <c r="AB1721" s="90">
        <v>1.9939519023622401</v>
      </c>
      <c r="AC1721" s="90">
        <v>0.35307612460860999</v>
      </c>
      <c r="AD1721" s="90">
        <v>748.66401253837603</v>
      </c>
      <c r="AF1721" s="90">
        <v>-1</v>
      </c>
      <c r="AG1721" s="90">
        <v>-1</v>
      </c>
      <c r="AH1721" s="90">
        <v>-1</v>
      </c>
      <c r="AI1721" s="90">
        <v>-1</v>
      </c>
      <c r="AJ1721" s="90">
        <v>0</v>
      </c>
      <c r="AM1721" s="90" t="s">
        <v>379</v>
      </c>
      <c r="AN1721" s="90">
        <v>-1</v>
      </c>
      <c r="AQ1721" s="90">
        <v>357</v>
      </c>
      <c r="AR1721" s="90" t="s">
        <v>405</v>
      </c>
      <c r="AS1721" s="90" t="s">
        <v>406</v>
      </c>
      <c r="AT1721" s="90" t="s">
        <v>244</v>
      </c>
      <c r="AU1721" s="90">
        <v>122.34610000000001</v>
      </c>
      <c r="AV1721" s="90">
        <v>115.328971436282</v>
      </c>
      <c r="AW1721" s="90">
        <v>801.80129536069296</v>
      </c>
      <c r="AX1721" s="90">
        <v>0.60718898020000001</v>
      </c>
    </row>
    <row r="1722" spans="1:50" x14ac:dyDescent="0.25">
      <c r="A1722" s="102">
        <v>830000</v>
      </c>
      <c r="B1722" s="102">
        <v>2400000</v>
      </c>
      <c r="C1722" s="102">
        <v>2400000</v>
      </c>
      <c r="D1722" s="90" t="s">
        <v>374</v>
      </c>
      <c r="E1722" s="90" t="s">
        <v>68</v>
      </c>
      <c r="F1722" s="90" t="s">
        <v>375</v>
      </c>
      <c r="G1722" s="90" t="s">
        <v>376</v>
      </c>
      <c r="H1722" s="90">
        <v>0.59</v>
      </c>
      <c r="I1722" s="90">
        <v>0.64</v>
      </c>
      <c r="J1722" s="90" t="s">
        <v>244</v>
      </c>
      <c r="K1722" s="90">
        <v>7.5196569672000002E-2</v>
      </c>
      <c r="L1722" s="90">
        <v>3738.3108026688601</v>
      </c>
      <c r="M1722" s="90">
        <v>11.492031981327701</v>
      </c>
      <c r="N1722" s="90">
        <v>1.51717807310137</v>
      </c>
      <c r="O1722" s="90">
        <v>0.86416138355682004</v>
      </c>
      <c r="P1722" s="90">
        <v>0.11408658667880001</v>
      </c>
      <c r="Q1722" s="90">
        <v>281.10814872849801</v>
      </c>
      <c r="R1722" s="90">
        <v>1400</v>
      </c>
      <c r="S1722" s="90" t="s">
        <v>324</v>
      </c>
      <c r="T1722" s="90">
        <v>1400</v>
      </c>
      <c r="U1722" s="90" t="s">
        <v>378</v>
      </c>
      <c r="V1722" s="90" t="s">
        <v>244</v>
      </c>
      <c r="Z1722" s="90">
        <v>0</v>
      </c>
      <c r="AA1722" s="90">
        <v>1</v>
      </c>
      <c r="AB1722" s="90">
        <v>0.86416138355682004</v>
      </c>
      <c r="AC1722" s="90">
        <v>0.11408658667880001</v>
      </c>
      <c r="AD1722" s="90">
        <v>281.10814872849897</v>
      </c>
      <c r="AF1722" s="90">
        <v>-1</v>
      </c>
      <c r="AG1722" s="90">
        <v>-1</v>
      </c>
      <c r="AH1722" s="90">
        <v>-1</v>
      </c>
      <c r="AI1722" s="90">
        <v>-1</v>
      </c>
      <c r="AJ1722" s="90">
        <v>0</v>
      </c>
      <c r="AM1722" s="90" t="s">
        <v>379</v>
      </c>
      <c r="AN1722" s="90">
        <v>-1</v>
      </c>
      <c r="AQ1722" s="90">
        <v>357</v>
      </c>
      <c r="AR1722" s="90" t="s">
        <v>405</v>
      </c>
      <c r="AS1722" s="90" t="s">
        <v>406</v>
      </c>
      <c r="AT1722" s="90" t="s">
        <v>244</v>
      </c>
      <c r="AU1722" s="90">
        <v>122.34610000000001</v>
      </c>
      <c r="AV1722" s="90">
        <v>200.028251833659</v>
      </c>
      <c r="AW1722" s="90">
        <v>304.30972091960302</v>
      </c>
      <c r="AX1722" s="90">
        <v>0.22798714410000001</v>
      </c>
    </row>
    <row r="1723" spans="1:50" x14ac:dyDescent="0.25">
      <c r="A1723" s="102">
        <v>830000</v>
      </c>
      <c r="B1723" s="102">
        <v>2400000</v>
      </c>
      <c r="C1723" s="102">
        <v>2400000</v>
      </c>
      <c r="D1723" s="90" t="s">
        <v>374</v>
      </c>
      <c r="E1723" s="90" t="s">
        <v>68</v>
      </c>
      <c r="F1723" s="90" t="s">
        <v>375</v>
      </c>
      <c r="G1723" s="90" t="s">
        <v>376</v>
      </c>
      <c r="H1723" s="90">
        <v>0.59</v>
      </c>
      <c r="I1723" s="90">
        <v>0.64</v>
      </c>
      <c r="J1723" s="90" t="s">
        <v>244</v>
      </c>
      <c r="K1723" s="90">
        <v>0.54256688385782004</v>
      </c>
      <c r="L1723" s="90">
        <v>3738.3108026688601</v>
      </c>
      <c r="M1723" s="90">
        <v>11.492031981327701</v>
      </c>
      <c r="N1723" s="90">
        <v>1.51717807310137</v>
      </c>
      <c r="O1723" s="90">
        <v>6.2351959813034998</v>
      </c>
      <c r="P1723" s="90">
        <v>0.82317057938003002</v>
      </c>
      <c r="Q1723" s="90">
        <v>2028.2836430960899</v>
      </c>
      <c r="R1723" s="90">
        <v>1450</v>
      </c>
      <c r="S1723" s="90" t="s">
        <v>391</v>
      </c>
      <c r="T1723" s="90">
        <v>1450</v>
      </c>
      <c r="U1723" s="90" t="s">
        <v>378</v>
      </c>
      <c r="V1723" s="90" t="s">
        <v>244</v>
      </c>
      <c r="Z1723" s="90">
        <v>0</v>
      </c>
      <c r="AA1723" s="90">
        <v>1</v>
      </c>
      <c r="AB1723" s="90">
        <v>6.2351959813034998</v>
      </c>
      <c r="AC1723" s="90">
        <v>0.82317057938003002</v>
      </c>
      <c r="AD1723" s="90">
        <v>2028.2836430960899</v>
      </c>
      <c r="AF1723" s="90">
        <v>-1</v>
      </c>
      <c r="AG1723" s="90">
        <v>-1</v>
      </c>
      <c r="AH1723" s="90">
        <v>-1</v>
      </c>
      <c r="AI1723" s="90">
        <v>-1</v>
      </c>
      <c r="AJ1723" s="90">
        <v>0</v>
      </c>
      <c r="AM1723" s="90" t="s">
        <v>379</v>
      </c>
      <c r="AN1723" s="90">
        <v>-1</v>
      </c>
      <c r="AQ1723" s="90">
        <v>357</v>
      </c>
      <c r="AR1723" s="90" t="s">
        <v>405</v>
      </c>
      <c r="AS1723" s="90" t="s">
        <v>406</v>
      </c>
      <c r="AT1723" s="90" t="s">
        <v>244</v>
      </c>
      <c r="AU1723" s="90">
        <v>122.34610000000001</v>
      </c>
      <c r="AV1723" s="90">
        <v>187.627269535702</v>
      </c>
      <c r="AW1723" s="90">
        <v>2195.6902785215998</v>
      </c>
      <c r="AX1723" s="90">
        <v>1.6449988995</v>
      </c>
    </row>
    <row r="1724" spans="1:50" x14ac:dyDescent="0.25">
      <c r="A1724" s="102">
        <v>830000</v>
      </c>
      <c r="B1724" s="102">
        <v>2400000</v>
      </c>
      <c r="C1724" s="102">
        <v>2400000</v>
      </c>
      <c r="D1724" s="90" t="s">
        <v>374</v>
      </c>
      <c r="E1724" s="90" t="s">
        <v>68</v>
      </c>
      <c r="F1724" s="90" t="s">
        <v>375</v>
      </c>
      <c r="G1724" s="90" t="s">
        <v>376</v>
      </c>
      <c r="H1724" s="90">
        <v>0.59</v>
      </c>
      <c r="I1724" s="90">
        <v>0.64</v>
      </c>
      <c r="J1724" s="90" t="s">
        <v>244</v>
      </c>
      <c r="K1724" s="90">
        <v>0.18618754157935999</v>
      </c>
      <c r="L1724" s="90">
        <v>3710.9081355005501</v>
      </c>
      <c r="M1724" s="90">
        <v>10.631163420919499</v>
      </c>
      <c r="N1724" s="90">
        <v>2.0336225411797102</v>
      </c>
      <c r="O1724" s="90">
        <v>1.9793901814694399</v>
      </c>
      <c r="P1724" s="90">
        <v>0.37863518144261998</v>
      </c>
      <c r="Q1724" s="90">
        <v>690.92486277570197</v>
      </c>
      <c r="R1724" s="90">
        <v>1300</v>
      </c>
      <c r="S1724" s="90" t="s">
        <v>387</v>
      </c>
      <c r="T1724" s="90">
        <v>1300</v>
      </c>
      <c r="U1724" s="90" t="s">
        <v>378</v>
      </c>
      <c r="V1724" s="90" t="s">
        <v>244</v>
      </c>
      <c r="Z1724" s="90">
        <v>0</v>
      </c>
      <c r="AA1724" s="90">
        <v>1</v>
      </c>
      <c r="AB1724" s="90">
        <v>1.9793901814694399</v>
      </c>
      <c r="AC1724" s="90">
        <v>0.37863518144261998</v>
      </c>
      <c r="AD1724" s="90">
        <v>690.92486277570197</v>
      </c>
      <c r="AF1724" s="90">
        <v>-1</v>
      </c>
      <c r="AG1724" s="90">
        <v>-1</v>
      </c>
      <c r="AH1724" s="90">
        <v>-1</v>
      </c>
      <c r="AI1724" s="90">
        <v>-1</v>
      </c>
      <c r="AJ1724" s="90">
        <v>0</v>
      </c>
      <c r="AM1724" s="90" t="s">
        <v>379</v>
      </c>
      <c r="AN1724" s="90">
        <v>-1</v>
      </c>
      <c r="AQ1724" s="90">
        <v>357</v>
      </c>
      <c r="AR1724" s="90" t="s">
        <v>405</v>
      </c>
      <c r="AS1724" s="90" t="s">
        <v>406</v>
      </c>
      <c r="AT1724" s="90" t="s">
        <v>244</v>
      </c>
      <c r="AU1724" s="90">
        <v>122.34610000000001</v>
      </c>
      <c r="AV1724" s="90">
        <v>130.79024330952501</v>
      </c>
      <c r="AW1724" s="90">
        <v>753.47424841130601</v>
      </c>
      <c r="AX1724" s="90">
        <v>0.56036079709999997</v>
      </c>
    </row>
    <row r="1725" spans="1:50" x14ac:dyDescent="0.25">
      <c r="A1725" s="102">
        <v>830000</v>
      </c>
      <c r="B1725" s="102">
        <v>2400000</v>
      </c>
      <c r="C1725" s="102">
        <v>2400000</v>
      </c>
      <c r="D1725" s="90" t="s">
        <v>374</v>
      </c>
      <c r="E1725" s="90" t="s">
        <v>68</v>
      </c>
      <c r="F1725" s="90" t="s">
        <v>375</v>
      </c>
      <c r="G1725" s="90" t="s">
        <v>376</v>
      </c>
      <c r="H1725" s="90">
        <v>0.59</v>
      </c>
      <c r="I1725" s="90">
        <v>0.64</v>
      </c>
      <c r="J1725" s="90" t="s">
        <v>244</v>
      </c>
      <c r="K1725" s="90">
        <v>2.3188487379719999E-2</v>
      </c>
      <c r="L1725" s="90">
        <v>3710.9081355005501</v>
      </c>
      <c r="M1725" s="90">
        <v>10.631163420919499</v>
      </c>
      <c r="N1725" s="90">
        <v>2.0336225411797102</v>
      </c>
      <c r="O1725" s="90">
        <v>0.2465205988178</v>
      </c>
      <c r="P1725" s="90">
        <v>4.715663063127E-2</v>
      </c>
      <c r="Q1725" s="90">
        <v>86.050346467380905</v>
      </c>
      <c r="R1725" s="90">
        <v>1210</v>
      </c>
      <c r="S1725" s="90" t="s">
        <v>385</v>
      </c>
      <c r="T1725" s="90">
        <v>1210</v>
      </c>
      <c r="U1725" s="90" t="s">
        <v>378</v>
      </c>
      <c r="V1725" s="90" t="s">
        <v>244</v>
      </c>
      <c r="Z1725" s="90">
        <v>0</v>
      </c>
      <c r="AA1725" s="90">
        <v>1</v>
      </c>
      <c r="AB1725" s="90">
        <v>0.2465205988178</v>
      </c>
      <c r="AC1725" s="90">
        <v>4.715663063127E-2</v>
      </c>
      <c r="AD1725" s="90">
        <v>86.050346467382298</v>
      </c>
      <c r="AF1725" s="90">
        <v>-1</v>
      </c>
      <c r="AG1725" s="90">
        <v>-1</v>
      </c>
      <c r="AH1725" s="90">
        <v>-1</v>
      </c>
      <c r="AI1725" s="90">
        <v>-1</v>
      </c>
      <c r="AJ1725" s="90">
        <v>0</v>
      </c>
      <c r="AM1725" s="90" t="s">
        <v>379</v>
      </c>
      <c r="AN1725" s="90">
        <v>-1</v>
      </c>
      <c r="AQ1725" s="90">
        <v>357</v>
      </c>
      <c r="AR1725" s="90" t="s">
        <v>405</v>
      </c>
      <c r="AS1725" s="90" t="s">
        <v>406</v>
      </c>
      <c r="AT1725" s="90" t="s">
        <v>244</v>
      </c>
      <c r="AU1725" s="90">
        <v>122.34610000000001</v>
      </c>
      <c r="AV1725" s="90">
        <v>40.983727785551203</v>
      </c>
      <c r="AW1725" s="90">
        <v>93.840479078390899</v>
      </c>
      <c r="AX1725" s="90">
        <v>6.9789413199999997E-2</v>
      </c>
    </row>
    <row r="1726" spans="1:50" x14ac:dyDescent="0.25">
      <c r="A1726" s="102">
        <v>830000</v>
      </c>
      <c r="B1726" s="102">
        <v>2400000</v>
      </c>
      <c r="C1726" s="102">
        <v>2400000</v>
      </c>
      <c r="D1726" s="90" t="s">
        <v>374</v>
      </c>
      <c r="E1726" s="90" t="s">
        <v>68</v>
      </c>
      <c r="F1726" s="90" t="s">
        <v>375</v>
      </c>
      <c r="G1726" s="90" t="s">
        <v>376</v>
      </c>
      <c r="H1726" s="90">
        <v>0.59</v>
      </c>
      <c r="I1726" s="90">
        <v>0.64</v>
      </c>
      <c r="J1726" s="90" t="s">
        <v>244</v>
      </c>
      <c r="K1726" s="90">
        <v>0.13273167415473</v>
      </c>
      <c r="L1726" s="90">
        <v>3710.9081355005501</v>
      </c>
      <c r="M1726" s="90">
        <v>10.631163420919499</v>
      </c>
      <c r="N1726" s="90">
        <v>2.0336225411797102</v>
      </c>
      <c r="O1726" s="90">
        <v>1.41109211907123</v>
      </c>
      <c r="P1726" s="90">
        <v>0.26992612448959002</v>
      </c>
      <c r="Q1726" s="90">
        <v>492.555049459418</v>
      </c>
      <c r="R1726" s="90">
        <v>1300</v>
      </c>
      <c r="S1726" s="90" t="s">
        <v>387</v>
      </c>
      <c r="T1726" s="90">
        <v>1300</v>
      </c>
      <c r="U1726" s="90" t="s">
        <v>378</v>
      </c>
      <c r="V1726" s="90" t="s">
        <v>244</v>
      </c>
      <c r="Z1726" s="90">
        <v>0</v>
      </c>
      <c r="AA1726" s="90">
        <v>1</v>
      </c>
      <c r="AB1726" s="90">
        <v>1.41109211907123</v>
      </c>
      <c r="AC1726" s="90">
        <v>0.26992612448959002</v>
      </c>
      <c r="AD1726" s="90">
        <v>492.555049459418</v>
      </c>
      <c r="AF1726" s="90">
        <v>-1</v>
      </c>
      <c r="AG1726" s="90">
        <v>-1</v>
      </c>
      <c r="AH1726" s="90">
        <v>-1</v>
      </c>
      <c r="AI1726" s="90">
        <v>-1</v>
      </c>
      <c r="AJ1726" s="90">
        <v>0</v>
      </c>
      <c r="AM1726" s="90" t="s">
        <v>379</v>
      </c>
      <c r="AN1726" s="90">
        <v>-1</v>
      </c>
      <c r="AQ1726" s="90">
        <v>357</v>
      </c>
      <c r="AR1726" s="90" t="s">
        <v>405</v>
      </c>
      <c r="AS1726" s="90" t="s">
        <v>406</v>
      </c>
      <c r="AT1726" s="90" t="s">
        <v>244</v>
      </c>
      <c r="AU1726" s="90">
        <v>122.34610000000001</v>
      </c>
      <c r="AV1726" s="90">
        <v>92.896123194299406</v>
      </c>
      <c r="AW1726" s="90">
        <v>537.14602800899604</v>
      </c>
      <c r="AX1726" s="90">
        <v>0.39947692579999999</v>
      </c>
    </row>
    <row r="1727" spans="1:50" x14ac:dyDescent="0.25">
      <c r="A1727" s="102">
        <v>830000</v>
      </c>
      <c r="B1727" s="102">
        <v>2400000</v>
      </c>
      <c r="C1727" s="102">
        <v>2400000</v>
      </c>
      <c r="D1727" s="90" t="s">
        <v>374</v>
      </c>
      <c r="E1727" s="90" t="s">
        <v>68</v>
      </c>
      <c r="F1727" s="90" t="s">
        <v>375</v>
      </c>
      <c r="G1727" s="90" t="s">
        <v>376</v>
      </c>
      <c r="H1727" s="90">
        <v>0.59</v>
      </c>
      <c r="I1727" s="90">
        <v>0.64</v>
      </c>
      <c r="J1727" s="90" t="s">
        <v>244</v>
      </c>
      <c r="K1727" s="90">
        <v>0.16267538008407001</v>
      </c>
      <c r="L1727" s="90">
        <v>3710.9081355005501</v>
      </c>
      <c r="M1727" s="90">
        <v>10.631163420919499</v>
      </c>
      <c r="N1727" s="90">
        <v>2.0336225411797102</v>
      </c>
      <c r="O1727" s="90">
        <v>1.7294285502340001</v>
      </c>
      <c r="P1727" s="90">
        <v>0.33082031983394999</v>
      </c>
      <c r="Q1727" s="90">
        <v>603.67339139964201</v>
      </c>
      <c r="R1727" s="90">
        <v>1340</v>
      </c>
      <c r="S1727" s="90" t="s">
        <v>407</v>
      </c>
      <c r="T1727" s="90">
        <v>1340</v>
      </c>
      <c r="U1727" s="90" t="s">
        <v>378</v>
      </c>
      <c r="V1727" s="90" t="s">
        <v>244</v>
      </c>
      <c r="Z1727" s="90">
        <v>0</v>
      </c>
      <c r="AA1727" s="90">
        <v>1</v>
      </c>
      <c r="AB1727" s="90">
        <v>1.7294285502340001</v>
      </c>
      <c r="AC1727" s="90">
        <v>0.33082031983394999</v>
      </c>
      <c r="AD1727" s="90">
        <v>603.67339139964201</v>
      </c>
      <c r="AF1727" s="90">
        <v>-1</v>
      </c>
      <c r="AG1727" s="90">
        <v>-1</v>
      </c>
      <c r="AH1727" s="90">
        <v>-1</v>
      </c>
      <c r="AI1727" s="90">
        <v>-1</v>
      </c>
      <c r="AJ1727" s="90">
        <v>0</v>
      </c>
      <c r="AM1727" s="90" t="s">
        <v>379</v>
      </c>
      <c r="AN1727" s="90">
        <v>-1</v>
      </c>
      <c r="AQ1727" s="90">
        <v>357</v>
      </c>
      <c r="AR1727" s="90" t="s">
        <v>405</v>
      </c>
      <c r="AS1727" s="90" t="s">
        <v>406</v>
      </c>
      <c r="AT1727" s="90" t="s">
        <v>244</v>
      </c>
      <c r="AU1727" s="90">
        <v>122.34610000000001</v>
      </c>
      <c r="AV1727" s="90">
        <v>102.80347284810399</v>
      </c>
      <c r="AW1727" s="90">
        <v>658.32390665960395</v>
      </c>
      <c r="AX1727" s="90">
        <v>0.48959723550000001</v>
      </c>
    </row>
    <row r="1728" spans="1:50" x14ac:dyDescent="0.25">
      <c r="A1728" s="102">
        <v>830000</v>
      </c>
      <c r="B1728" s="102">
        <v>2400000</v>
      </c>
      <c r="C1728" s="102">
        <v>2400000</v>
      </c>
      <c r="D1728" s="90" t="s">
        <v>374</v>
      </c>
      <c r="E1728" s="90" t="s">
        <v>68</v>
      </c>
      <c r="F1728" s="90" t="s">
        <v>375</v>
      </c>
      <c r="G1728" s="90" t="s">
        <v>376</v>
      </c>
      <c r="H1728" s="90">
        <v>0.59</v>
      </c>
      <c r="I1728" s="90">
        <v>0.64</v>
      </c>
      <c r="J1728" s="90" t="s">
        <v>244</v>
      </c>
      <c r="K1728" s="90">
        <v>0.11298037042398</v>
      </c>
      <c r="L1728" s="90">
        <v>3710.9081355005501</v>
      </c>
      <c r="M1728" s="90">
        <v>10.631163420919499</v>
      </c>
      <c r="N1728" s="90">
        <v>2.0336225411797102</v>
      </c>
      <c r="O1728" s="90">
        <v>1.2011127813333999</v>
      </c>
      <c r="P1728" s="90">
        <v>0.22975942800505</v>
      </c>
      <c r="Q1728" s="90">
        <v>419.25977575823202</v>
      </c>
      <c r="R1728" s="90">
        <v>1300</v>
      </c>
      <c r="S1728" s="90" t="s">
        <v>387</v>
      </c>
      <c r="T1728" s="90">
        <v>1300</v>
      </c>
      <c r="U1728" s="90" t="s">
        <v>378</v>
      </c>
      <c r="V1728" s="90" t="s">
        <v>244</v>
      </c>
      <c r="Z1728" s="90">
        <v>0</v>
      </c>
      <c r="AA1728" s="90">
        <v>1</v>
      </c>
      <c r="AB1728" s="90">
        <v>1.2011127813333999</v>
      </c>
      <c r="AC1728" s="90">
        <v>0.22975942800505</v>
      </c>
      <c r="AD1728" s="90">
        <v>419.25977575823202</v>
      </c>
      <c r="AF1728" s="90">
        <v>-1</v>
      </c>
      <c r="AG1728" s="90">
        <v>-1</v>
      </c>
      <c r="AH1728" s="90">
        <v>-1</v>
      </c>
      <c r="AI1728" s="90">
        <v>-1</v>
      </c>
      <c r="AJ1728" s="90">
        <v>0</v>
      </c>
      <c r="AM1728" s="90" t="s">
        <v>379</v>
      </c>
      <c r="AN1728" s="90">
        <v>-1</v>
      </c>
      <c r="AQ1728" s="90">
        <v>357</v>
      </c>
      <c r="AR1728" s="90" t="s">
        <v>405</v>
      </c>
      <c r="AS1728" s="90" t="s">
        <v>406</v>
      </c>
      <c r="AT1728" s="90" t="s">
        <v>244</v>
      </c>
      <c r="AU1728" s="90">
        <v>122.34610000000001</v>
      </c>
      <c r="AV1728" s="90">
        <v>107.65916115349999</v>
      </c>
      <c r="AW1728" s="90">
        <v>457.21533765543597</v>
      </c>
      <c r="AX1728" s="90">
        <v>0.34003225929999997</v>
      </c>
    </row>
    <row r="1729" spans="1:50" x14ac:dyDescent="0.25">
      <c r="A1729" s="102">
        <v>830000</v>
      </c>
      <c r="B1729" s="102">
        <v>2400000</v>
      </c>
      <c r="C1729" s="102">
        <v>2400000</v>
      </c>
      <c r="D1729" s="90" t="s">
        <v>374</v>
      </c>
      <c r="E1729" s="90" t="s">
        <v>68</v>
      </c>
      <c r="F1729" s="90" t="s">
        <v>375</v>
      </c>
      <c r="G1729" s="90" t="s">
        <v>376</v>
      </c>
      <c r="H1729" s="90">
        <v>0.59</v>
      </c>
      <c r="I1729" s="90">
        <v>0.64</v>
      </c>
      <c r="J1729" s="90" t="s">
        <v>244</v>
      </c>
      <c r="K1729" s="90">
        <v>0.18995891319256999</v>
      </c>
      <c r="L1729" s="90">
        <v>3669.8590948484202</v>
      </c>
      <c r="M1729" s="90">
        <v>9.1522207904347006</v>
      </c>
      <c r="N1729" s="90">
        <v>1.3461937983579999</v>
      </c>
      <c r="O1729" s="90">
        <v>1.7385459146494799</v>
      </c>
      <c r="P1729" s="90">
        <v>0.25572151088266998</v>
      </c>
      <c r="Q1729" s="90">
        <v>697.12244522729998</v>
      </c>
      <c r="R1729" s="90">
        <v>1200</v>
      </c>
      <c r="S1729" s="90" t="s">
        <v>384</v>
      </c>
      <c r="T1729" s="90">
        <v>1200</v>
      </c>
      <c r="U1729" s="90" t="s">
        <v>378</v>
      </c>
      <c r="V1729" s="90" t="s">
        <v>244</v>
      </c>
      <c r="Z1729" s="90">
        <v>0</v>
      </c>
      <c r="AA1729" s="90">
        <v>1</v>
      </c>
      <c r="AB1729" s="90">
        <v>1.7385459146494799</v>
      </c>
      <c r="AC1729" s="90">
        <v>0.25572151088266998</v>
      </c>
      <c r="AD1729" s="90">
        <v>697.12244522729998</v>
      </c>
      <c r="AF1729" s="90">
        <v>-1</v>
      </c>
      <c r="AG1729" s="90">
        <v>-1</v>
      </c>
      <c r="AH1729" s="90">
        <v>-1</v>
      </c>
      <c r="AI1729" s="90">
        <v>-1</v>
      </c>
      <c r="AJ1729" s="90">
        <v>0</v>
      </c>
      <c r="AM1729" s="90" t="s">
        <v>379</v>
      </c>
      <c r="AN1729" s="90">
        <v>-1</v>
      </c>
      <c r="AQ1729" s="90">
        <v>357</v>
      </c>
      <c r="AR1729" s="90" t="s">
        <v>405</v>
      </c>
      <c r="AS1729" s="90" t="s">
        <v>406</v>
      </c>
      <c r="AT1729" s="90" t="s">
        <v>244</v>
      </c>
      <c r="AU1729" s="90">
        <v>122.34610000000001</v>
      </c>
      <c r="AV1729" s="90">
        <v>131.427540486656</v>
      </c>
      <c r="AW1729" s="90">
        <v>768.73644784550402</v>
      </c>
      <c r="AX1729" s="90">
        <v>0.56538722239999994</v>
      </c>
    </row>
    <row r="1730" spans="1:50" x14ac:dyDescent="0.25">
      <c r="A1730" s="102">
        <v>830000</v>
      </c>
      <c r="B1730" s="102">
        <v>2400000</v>
      </c>
      <c r="C1730" s="102">
        <v>2400000</v>
      </c>
      <c r="D1730" s="90" t="s">
        <v>374</v>
      </c>
      <c r="E1730" s="90" t="s">
        <v>68</v>
      </c>
      <c r="F1730" s="90" t="s">
        <v>375</v>
      </c>
      <c r="G1730" s="90" t="s">
        <v>376</v>
      </c>
      <c r="H1730" s="90">
        <v>0.59</v>
      </c>
      <c r="I1730" s="90">
        <v>0.64</v>
      </c>
      <c r="J1730" s="90" t="s">
        <v>244</v>
      </c>
      <c r="K1730" s="90">
        <v>6.5592200666400001E-3</v>
      </c>
      <c r="L1730" s="90">
        <v>3669.8590948484202</v>
      </c>
      <c r="M1730" s="90">
        <v>9.1522207904347006</v>
      </c>
      <c r="N1730" s="90">
        <v>1.3461937983579999</v>
      </c>
      <c r="O1730" s="90">
        <v>6.0031430263019998E-2</v>
      </c>
      <c r="P1730" s="90">
        <v>8.8299813757799998E-3</v>
      </c>
      <c r="Q1730" s="90">
        <v>24.0714134167041</v>
      </c>
      <c r="R1730" s="90">
        <v>1210</v>
      </c>
      <c r="S1730" s="90" t="s">
        <v>385</v>
      </c>
      <c r="T1730" s="90">
        <v>1210</v>
      </c>
      <c r="U1730" s="90" t="s">
        <v>378</v>
      </c>
      <c r="V1730" s="90" t="s">
        <v>244</v>
      </c>
      <c r="Z1730" s="90">
        <v>0</v>
      </c>
      <c r="AA1730" s="90">
        <v>1</v>
      </c>
      <c r="AB1730" s="90">
        <v>6.0031430263019998E-2</v>
      </c>
      <c r="AC1730" s="90">
        <v>8.8299813757799998E-3</v>
      </c>
      <c r="AD1730" s="90">
        <v>24.0714134167041</v>
      </c>
      <c r="AF1730" s="90">
        <v>-1</v>
      </c>
      <c r="AG1730" s="90">
        <v>-1</v>
      </c>
      <c r="AH1730" s="90">
        <v>-1</v>
      </c>
      <c r="AI1730" s="90">
        <v>-1</v>
      </c>
      <c r="AJ1730" s="90">
        <v>0</v>
      </c>
      <c r="AM1730" s="90" t="s">
        <v>379</v>
      </c>
      <c r="AN1730" s="90">
        <v>-1</v>
      </c>
      <c r="AQ1730" s="90">
        <v>357</v>
      </c>
      <c r="AR1730" s="90" t="s">
        <v>405</v>
      </c>
      <c r="AS1730" s="90" t="s">
        <v>406</v>
      </c>
      <c r="AT1730" s="90" t="s">
        <v>244</v>
      </c>
      <c r="AU1730" s="90">
        <v>122.34610000000001</v>
      </c>
      <c r="AV1730" s="90">
        <v>20.732064584955999</v>
      </c>
      <c r="AW1730" s="90">
        <v>26.5442218526535</v>
      </c>
      <c r="AX1730" s="90">
        <v>1.9522638599999999E-2</v>
      </c>
    </row>
    <row r="1731" spans="1:50" x14ac:dyDescent="0.25">
      <c r="A1731" s="102">
        <v>830000</v>
      </c>
      <c r="B1731" s="102">
        <v>2400000</v>
      </c>
      <c r="C1731" s="102">
        <v>2400000</v>
      </c>
      <c r="D1731" s="90" t="s">
        <v>374</v>
      </c>
      <c r="E1731" s="90" t="s">
        <v>68</v>
      </c>
      <c r="F1731" s="90" t="s">
        <v>375</v>
      </c>
      <c r="G1731" s="90" t="s">
        <v>376</v>
      </c>
      <c r="H1731" s="90">
        <v>0.59</v>
      </c>
      <c r="I1731" s="90">
        <v>0.64</v>
      </c>
      <c r="J1731" s="90" t="s">
        <v>244</v>
      </c>
      <c r="K1731" s="90">
        <v>4.1788209658730001E-2</v>
      </c>
      <c r="L1731" s="90">
        <v>3669.8590948484202</v>
      </c>
      <c r="M1731" s="90">
        <v>9.1522207904347006</v>
      </c>
      <c r="N1731" s="90">
        <v>1.3461937983579999</v>
      </c>
      <c r="O1731" s="90">
        <v>0.38245492123375002</v>
      </c>
      <c r="P1731" s="90">
        <v>5.6255028687069997E-2</v>
      </c>
      <c r="Q1731" s="90">
        <v>153.35684127355501</v>
      </c>
      <c r="R1731" s="90">
        <v>1210</v>
      </c>
      <c r="S1731" s="90" t="s">
        <v>385</v>
      </c>
      <c r="T1731" s="90">
        <v>1210</v>
      </c>
      <c r="U1731" s="90" t="s">
        <v>378</v>
      </c>
      <c r="V1731" s="90" t="s">
        <v>244</v>
      </c>
      <c r="Z1731" s="90">
        <v>0</v>
      </c>
      <c r="AA1731" s="90">
        <v>1</v>
      </c>
      <c r="AB1731" s="90">
        <v>0.38245492123375002</v>
      </c>
      <c r="AC1731" s="90">
        <v>5.6255028687069997E-2</v>
      </c>
      <c r="AD1731" s="90">
        <v>153.35684127355401</v>
      </c>
      <c r="AF1731" s="90">
        <v>-1</v>
      </c>
      <c r="AG1731" s="90">
        <v>-1</v>
      </c>
      <c r="AH1731" s="90">
        <v>-1</v>
      </c>
      <c r="AI1731" s="90">
        <v>-1</v>
      </c>
      <c r="AJ1731" s="90">
        <v>0</v>
      </c>
      <c r="AM1731" s="90" t="s">
        <v>379</v>
      </c>
      <c r="AN1731" s="90">
        <v>-1</v>
      </c>
      <c r="AQ1731" s="90">
        <v>357</v>
      </c>
      <c r="AR1731" s="90" t="s">
        <v>405</v>
      </c>
      <c r="AS1731" s="90" t="s">
        <v>406</v>
      </c>
      <c r="AT1731" s="90" t="s">
        <v>244</v>
      </c>
      <c r="AU1731" s="90">
        <v>122.34610000000001</v>
      </c>
      <c r="AV1731" s="90">
        <v>64.967322387093901</v>
      </c>
      <c r="AW1731" s="90">
        <v>169.11088463806399</v>
      </c>
      <c r="AX1731" s="90">
        <v>0.1243770002</v>
      </c>
    </row>
    <row r="1732" spans="1:50" x14ac:dyDescent="0.25">
      <c r="A1732" s="102">
        <v>830000</v>
      </c>
      <c r="B1732" s="102">
        <v>2400000</v>
      </c>
      <c r="C1732" s="102">
        <v>2400000</v>
      </c>
      <c r="D1732" s="90" t="s">
        <v>374</v>
      </c>
      <c r="E1732" s="90" t="s">
        <v>68</v>
      </c>
      <c r="F1732" s="90" t="s">
        <v>375</v>
      </c>
      <c r="G1732" s="90" t="s">
        <v>376</v>
      </c>
      <c r="H1732" s="90">
        <v>0.59</v>
      </c>
      <c r="I1732" s="90">
        <v>0.64</v>
      </c>
      <c r="J1732" s="90" t="s">
        <v>244</v>
      </c>
      <c r="K1732" s="90">
        <v>4.1727470947260002E-2</v>
      </c>
      <c r="L1732" s="90">
        <v>3669.8590948484202</v>
      </c>
      <c r="M1732" s="90">
        <v>9.1522207904347006</v>
      </c>
      <c r="N1732" s="90">
        <v>1.3461937983579999</v>
      </c>
      <c r="O1732" s="90">
        <v>0.38189902713584001</v>
      </c>
      <c r="P1732" s="90">
        <v>5.6173262610369999E-2</v>
      </c>
      <c r="Q1732" s="90">
        <v>153.13393876085399</v>
      </c>
      <c r="R1732" s="90">
        <v>1210</v>
      </c>
      <c r="S1732" s="90" t="s">
        <v>385</v>
      </c>
      <c r="T1732" s="90">
        <v>1210</v>
      </c>
      <c r="U1732" s="90" t="s">
        <v>378</v>
      </c>
      <c r="V1732" s="90" t="s">
        <v>244</v>
      </c>
      <c r="Z1732" s="90">
        <v>0</v>
      </c>
      <c r="AA1732" s="90">
        <v>1</v>
      </c>
      <c r="AB1732" s="90">
        <v>0.38189902713584001</v>
      </c>
      <c r="AC1732" s="90">
        <v>5.6173262610369999E-2</v>
      </c>
      <c r="AD1732" s="90">
        <v>153.13393876085499</v>
      </c>
      <c r="AF1732" s="90">
        <v>-1</v>
      </c>
      <c r="AG1732" s="90">
        <v>-1</v>
      </c>
      <c r="AH1732" s="90">
        <v>-1</v>
      </c>
      <c r="AI1732" s="90">
        <v>-1</v>
      </c>
      <c r="AJ1732" s="90">
        <v>0</v>
      </c>
      <c r="AM1732" s="90" t="s">
        <v>379</v>
      </c>
      <c r="AN1732" s="90">
        <v>-1</v>
      </c>
      <c r="AQ1732" s="90">
        <v>357</v>
      </c>
      <c r="AR1732" s="90" t="s">
        <v>405</v>
      </c>
      <c r="AS1732" s="90" t="s">
        <v>406</v>
      </c>
      <c r="AT1732" s="90" t="s">
        <v>244</v>
      </c>
      <c r="AU1732" s="90">
        <v>122.34610000000001</v>
      </c>
      <c r="AV1732" s="90">
        <v>55.381084085740298</v>
      </c>
      <c r="AW1732" s="90">
        <v>168.865083793461</v>
      </c>
      <c r="AX1732" s="90">
        <v>0.1241962196</v>
      </c>
    </row>
    <row r="1733" spans="1:50" x14ac:dyDescent="0.25">
      <c r="A1733" s="102">
        <v>830000</v>
      </c>
      <c r="B1733" s="102">
        <v>2400000</v>
      </c>
      <c r="C1733" s="102">
        <v>2400000</v>
      </c>
      <c r="D1733" s="90" t="s">
        <v>374</v>
      </c>
      <c r="E1733" s="90" t="s">
        <v>68</v>
      </c>
      <c r="F1733" s="90" t="s">
        <v>375</v>
      </c>
      <c r="G1733" s="90" t="s">
        <v>376</v>
      </c>
      <c r="H1733" s="90">
        <v>0.59</v>
      </c>
      <c r="I1733" s="90">
        <v>0.64</v>
      </c>
      <c r="J1733" s="90" t="s">
        <v>244</v>
      </c>
      <c r="K1733" s="90">
        <v>1.401722245637E-2</v>
      </c>
      <c r="L1733" s="90">
        <v>3669.8590948484202</v>
      </c>
      <c r="M1733" s="90">
        <v>9.1522207904347006</v>
      </c>
      <c r="N1733" s="90">
        <v>1.3461937983579999</v>
      </c>
      <c r="O1733" s="90">
        <v>0.12828871478939999</v>
      </c>
      <c r="P1733" s="90">
        <v>1.886989794097E-2</v>
      </c>
      <c r="Q1733" s="90">
        <v>51.441231316048601</v>
      </c>
      <c r="R1733" s="90">
        <v>1210</v>
      </c>
      <c r="S1733" s="90" t="s">
        <v>385</v>
      </c>
      <c r="T1733" s="90">
        <v>1210</v>
      </c>
      <c r="U1733" s="90" t="s">
        <v>378</v>
      </c>
      <c r="V1733" s="90" t="s">
        <v>244</v>
      </c>
      <c r="Z1733" s="90">
        <v>0</v>
      </c>
      <c r="AA1733" s="90">
        <v>1</v>
      </c>
      <c r="AB1733" s="90">
        <v>0.12828871478939999</v>
      </c>
      <c r="AC1733" s="90">
        <v>1.886989794097E-2</v>
      </c>
      <c r="AD1733" s="90">
        <v>51.441231316048203</v>
      </c>
      <c r="AF1733" s="90">
        <v>-1</v>
      </c>
      <c r="AG1733" s="90">
        <v>-1</v>
      </c>
      <c r="AH1733" s="90">
        <v>-1</v>
      </c>
      <c r="AI1733" s="90">
        <v>-1</v>
      </c>
      <c r="AJ1733" s="90">
        <v>0</v>
      </c>
      <c r="AM1733" s="90" t="s">
        <v>379</v>
      </c>
      <c r="AN1733" s="90">
        <v>-1</v>
      </c>
      <c r="AQ1733" s="90">
        <v>357</v>
      </c>
      <c r="AR1733" s="90" t="s">
        <v>405</v>
      </c>
      <c r="AS1733" s="90" t="s">
        <v>406</v>
      </c>
      <c r="AT1733" s="90" t="s">
        <v>244</v>
      </c>
      <c r="AU1733" s="90">
        <v>122.34610000000001</v>
      </c>
      <c r="AV1733" s="90">
        <v>64.058042113886501</v>
      </c>
      <c r="AW1733" s="90">
        <v>56.725686721798297</v>
      </c>
      <c r="AX1733" s="90">
        <v>4.1720382299999997E-2</v>
      </c>
    </row>
    <row r="1734" spans="1:50" x14ac:dyDescent="0.25">
      <c r="A1734" s="102">
        <v>830000</v>
      </c>
      <c r="B1734" s="102">
        <v>2400000</v>
      </c>
      <c r="C1734" s="102">
        <v>2400000</v>
      </c>
      <c r="D1734" s="90" t="s">
        <v>374</v>
      </c>
      <c r="E1734" s="90" t="s">
        <v>68</v>
      </c>
      <c r="F1734" s="90" t="s">
        <v>375</v>
      </c>
      <c r="G1734" s="90" t="s">
        <v>376</v>
      </c>
      <c r="H1734" s="90">
        <v>0.59</v>
      </c>
      <c r="I1734" s="90">
        <v>0.64</v>
      </c>
      <c r="J1734" s="90" t="s">
        <v>244</v>
      </c>
      <c r="K1734" s="90">
        <v>0.18224036082587999</v>
      </c>
      <c r="L1734" s="90">
        <v>3669.8590948484202</v>
      </c>
      <c r="M1734" s="90">
        <v>9.1522207904347006</v>
      </c>
      <c r="N1734" s="90">
        <v>1.3461937983579999</v>
      </c>
      <c r="O1734" s="90">
        <v>1.667904019207</v>
      </c>
      <c r="P1734" s="90">
        <v>0.24533084355432999</v>
      </c>
      <c r="Q1734" s="90">
        <v>668.79644562533895</v>
      </c>
      <c r="R1734" s="90">
        <v>1210</v>
      </c>
      <c r="S1734" s="90" t="s">
        <v>385</v>
      </c>
      <c r="T1734" s="90">
        <v>1210</v>
      </c>
      <c r="U1734" s="90" t="s">
        <v>378</v>
      </c>
      <c r="V1734" s="90" t="s">
        <v>244</v>
      </c>
      <c r="Z1734" s="90">
        <v>0</v>
      </c>
      <c r="AA1734" s="90">
        <v>1</v>
      </c>
      <c r="AB1734" s="90">
        <v>1.667904019207</v>
      </c>
      <c r="AC1734" s="90">
        <v>0.24533084355432999</v>
      </c>
      <c r="AD1734" s="90">
        <v>668.79644562533895</v>
      </c>
      <c r="AF1734" s="90">
        <v>-1</v>
      </c>
      <c r="AG1734" s="90">
        <v>-1</v>
      </c>
      <c r="AH1734" s="90">
        <v>-1</v>
      </c>
      <c r="AI1734" s="90">
        <v>-1</v>
      </c>
      <c r="AJ1734" s="90">
        <v>0</v>
      </c>
      <c r="AM1734" s="90" t="s">
        <v>379</v>
      </c>
      <c r="AN1734" s="90">
        <v>-1</v>
      </c>
      <c r="AQ1734" s="90">
        <v>357</v>
      </c>
      <c r="AR1734" s="90" t="s">
        <v>405</v>
      </c>
      <c r="AS1734" s="90" t="s">
        <v>406</v>
      </c>
      <c r="AT1734" s="90" t="s">
        <v>244</v>
      </c>
      <c r="AU1734" s="90">
        <v>122.34610000000001</v>
      </c>
      <c r="AV1734" s="90">
        <v>108.93086945789901</v>
      </c>
      <c r="AW1734" s="90">
        <v>737.50057462873394</v>
      </c>
      <c r="AX1734" s="90">
        <v>0.54241398669999996</v>
      </c>
    </row>
    <row r="1735" spans="1:50" x14ac:dyDescent="0.25">
      <c r="A1735" s="102">
        <v>830000</v>
      </c>
      <c r="B1735" s="102">
        <v>2400000</v>
      </c>
      <c r="C1735" s="102">
        <v>2400000</v>
      </c>
      <c r="D1735" s="90" t="s">
        <v>374</v>
      </c>
      <c r="E1735" s="90" t="s">
        <v>68</v>
      </c>
      <c r="F1735" s="90" t="s">
        <v>375</v>
      </c>
      <c r="G1735" s="90" t="s">
        <v>376</v>
      </c>
      <c r="H1735" s="90">
        <v>0.59</v>
      </c>
      <c r="I1735" s="90">
        <v>0.64</v>
      </c>
      <c r="J1735" s="90" t="s">
        <v>244</v>
      </c>
      <c r="K1735" s="90">
        <v>0.14147205661247</v>
      </c>
      <c r="L1735" s="90">
        <v>3669.8590948484202</v>
      </c>
      <c r="M1735" s="90">
        <v>9.1522207904347006</v>
      </c>
      <c r="N1735" s="90">
        <v>1.3461937983579999</v>
      </c>
      <c r="O1735" s="90">
        <v>1.2947834977942001</v>
      </c>
      <c r="P1735" s="90">
        <v>0.19044880525265001</v>
      </c>
      <c r="Q1735" s="90">
        <v>519.18251362618298</v>
      </c>
      <c r="R1735" s="90">
        <v>1210</v>
      </c>
      <c r="S1735" s="90" t="s">
        <v>385</v>
      </c>
      <c r="T1735" s="90">
        <v>1210</v>
      </c>
      <c r="U1735" s="90" t="s">
        <v>378</v>
      </c>
      <c r="V1735" s="90" t="s">
        <v>244</v>
      </c>
      <c r="Z1735" s="90">
        <v>0</v>
      </c>
      <c r="AA1735" s="90">
        <v>1</v>
      </c>
      <c r="AB1735" s="90">
        <v>1.2947834977942001</v>
      </c>
      <c r="AC1735" s="90">
        <v>0.19044880525265001</v>
      </c>
      <c r="AD1735" s="90">
        <v>519.18251362618298</v>
      </c>
      <c r="AF1735" s="90">
        <v>-1</v>
      </c>
      <c r="AG1735" s="90">
        <v>-1</v>
      </c>
      <c r="AH1735" s="90">
        <v>-1</v>
      </c>
      <c r="AI1735" s="90">
        <v>-1</v>
      </c>
      <c r="AJ1735" s="90">
        <v>0</v>
      </c>
      <c r="AM1735" s="90" t="s">
        <v>379</v>
      </c>
      <c r="AN1735" s="90">
        <v>-1</v>
      </c>
      <c r="AQ1735" s="90">
        <v>357</v>
      </c>
      <c r="AR1735" s="90" t="s">
        <v>405</v>
      </c>
      <c r="AS1735" s="90" t="s">
        <v>406</v>
      </c>
      <c r="AT1735" s="90" t="s">
        <v>244</v>
      </c>
      <c r="AU1735" s="90">
        <v>122.34610000000001</v>
      </c>
      <c r="AV1735" s="90">
        <v>96.107734002519805</v>
      </c>
      <c r="AW1735" s="90">
        <v>572.51710089231199</v>
      </c>
      <c r="AX1735" s="90">
        <v>0.42107259819999998</v>
      </c>
    </row>
    <row r="1736" spans="1:50" x14ac:dyDescent="0.25">
      <c r="A1736" s="102">
        <v>830000</v>
      </c>
      <c r="B1736" s="102">
        <v>2400000</v>
      </c>
      <c r="C1736" s="102">
        <v>2400000</v>
      </c>
      <c r="D1736" s="90" t="s">
        <v>374</v>
      </c>
      <c r="E1736" s="90" t="s">
        <v>68</v>
      </c>
      <c r="F1736" s="90" t="s">
        <v>375</v>
      </c>
      <c r="G1736" s="90" t="s">
        <v>376</v>
      </c>
      <c r="H1736" s="90">
        <v>0.59</v>
      </c>
      <c r="I1736" s="90">
        <v>0.64</v>
      </c>
      <c r="J1736" s="90" t="s">
        <v>244</v>
      </c>
      <c r="K1736" s="90">
        <v>6.1226862069180002E-2</v>
      </c>
      <c r="L1736" s="90">
        <v>3771.92855647738</v>
      </c>
      <c r="M1736" s="90">
        <v>10.655683445123801</v>
      </c>
      <c r="N1736" s="90">
        <v>1.5077989625736601</v>
      </c>
      <c r="O1736" s="90">
        <v>0.65241406054748996</v>
      </c>
      <c r="P1736" s="90">
        <v>9.231779910955E-2</v>
      </c>
      <c r="Q1736" s="90">
        <v>230.94334946225999</v>
      </c>
      <c r="R1736" s="90">
        <v>1300</v>
      </c>
      <c r="S1736" s="90" t="s">
        <v>387</v>
      </c>
      <c r="T1736" s="90">
        <v>1300</v>
      </c>
      <c r="U1736" s="90" t="s">
        <v>378</v>
      </c>
      <c r="V1736" s="90" t="s">
        <v>244</v>
      </c>
      <c r="Z1736" s="90">
        <v>0</v>
      </c>
      <c r="AA1736" s="90">
        <v>1</v>
      </c>
      <c r="AB1736" s="90">
        <v>0.65241406054748996</v>
      </c>
      <c r="AC1736" s="90">
        <v>9.231779910955E-2</v>
      </c>
      <c r="AD1736" s="90">
        <v>328.55937015040399</v>
      </c>
      <c r="AF1736" s="90">
        <v>-1</v>
      </c>
      <c r="AG1736" s="90">
        <v>-1</v>
      </c>
      <c r="AH1736" s="90">
        <v>-1</v>
      </c>
      <c r="AI1736" s="90">
        <v>-1</v>
      </c>
      <c r="AJ1736" s="90">
        <v>0</v>
      </c>
      <c r="AM1736" s="90" t="s">
        <v>379</v>
      </c>
      <c r="AN1736" s="90">
        <v>-1</v>
      </c>
      <c r="AQ1736" s="90">
        <v>357</v>
      </c>
      <c r="AR1736" s="90" t="s">
        <v>405</v>
      </c>
      <c r="AS1736" s="90" t="s">
        <v>406</v>
      </c>
      <c r="AT1736" s="90" t="s">
        <v>244</v>
      </c>
      <c r="AU1736" s="90">
        <v>122.34610000000001</v>
      </c>
      <c r="AV1736" s="90">
        <v>66.950514420900205</v>
      </c>
      <c r="AW1736" s="90">
        <v>247.776319988079</v>
      </c>
      <c r="AX1736" s="90">
        <v>0.26647150860000002</v>
      </c>
    </row>
    <row r="1737" spans="1:50" x14ac:dyDescent="0.25">
      <c r="A1737" s="102">
        <v>830000</v>
      </c>
      <c r="B1737" s="102">
        <v>2400000</v>
      </c>
      <c r="C1737" s="102">
        <v>2400000</v>
      </c>
      <c r="D1737" s="90" t="s">
        <v>374</v>
      </c>
      <c r="E1737" s="90" t="s">
        <v>68</v>
      </c>
      <c r="F1737" s="90" t="s">
        <v>375</v>
      </c>
      <c r="G1737" s="90" t="s">
        <v>376</v>
      </c>
      <c r="H1737" s="90">
        <v>0.59</v>
      </c>
      <c r="I1737" s="90">
        <v>0.64</v>
      </c>
      <c r="J1737" s="90" t="s">
        <v>244</v>
      </c>
      <c r="K1737" s="90">
        <v>5.2692234618579997E-2</v>
      </c>
      <c r="L1737" s="90">
        <v>3771.92855647738</v>
      </c>
      <c r="M1737" s="90">
        <v>10.655683445123801</v>
      </c>
      <c r="N1737" s="90">
        <v>1.5077989625736601</v>
      </c>
      <c r="O1737" s="90">
        <v>0.56147177211178001</v>
      </c>
      <c r="P1737" s="90">
        <v>7.9449296693580002E-2</v>
      </c>
      <c r="Q1737" s="90">
        <v>198.75134446242799</v>
      </c>
      <c r="R1737" s="90">
        <v>1400</v>
      </c>
      <c r="S1737" s="90" t="s">
        <v>324</v>
      </c>
      <c r="T1737" s="90">
        <v>1400</v>
      </c>
      <c r="U1737" s="90" t="s">
        <v>378</v>
      </c>
      <c r="V1737" s="90" t="s">
        <v>244</v>
      </c>
      <c r="Z1737" s="90">
        <v>0</v>
      </c>
      <c r="AA1737" s="90">
        <v>1</v>
      </c>
      <c r="AB1737" s="90">
        <v>0.56147177211178001</v>
      </c>
      <c r="AC1737" s="90">
        <v>7.9449296693580002E-2</v>
      </c>
      <c r="AD1737" s="90">
        <v>1408.73713667381</v>
      </c>
      <c r="AF1737" s="90">
        <v>-1</v>
      </c>
      <c r="AG1737" s="90">
        <v>-1</v>
      </c>
      <c r="AH1737" s="90">
        <v>-1</v>
      </c>
      <c r="AI1737" s="90">
        <v>-1</v>
      </c>
      <c r="AJ1737" s="90">
        <v>0</v>
      </c>
      <c r="AM1737" s="90" t="s">
        <v>379</v>
      </c>
      <c r="AN1737" s="90">
        <v>-1</v>
      </c>
      <c r="AQ1737" s="90">
        <v>357</v>
      </c>
      <c r="AR1737" s="90" t="s">
        <v>405</v>
      </c>
      <c r="AS1737" s="90" t="s">
        <v>406</v>
      </c>
      <c r="AT1737" s="90" t="s">
        <v>244</v>
      </c>
      <c r="AU1737" s="90">
        <v>122.34610000000001</v>
      </c>
      <c r="AV1737" s="90">
        <v>116.805787428454</v>
      </c>
      <c r="AW1737" s="90">
        <v>213.23790807680601</v>
      </c>
      <c r="AX1737" s="90">
        <v>1.1425280914</v>
      </c>
    </row>
    <row r="1738" spans="1:50" x14ac:dyDescent="0.25">
      <c r="A1738" s="102">
        <v>830000</v>
      </c>
      <c r="B1738" s="102">
        <v>2400000</v>
      </c>
      <c r="C1738" s="102">
        <v>2400000</v>
      </c>
      <c r="D1738" s="90" t="s">
        <v>374</v>
      </c>
      <c r="E1738" s="90" t="s">
        <v>68</v>
      </c>
      <c r="F1738" s="90" t="s">
        <v>375</v>
      </c>
      <c r="G1738" s="90" t="s">
        <v>376</v>
      </c>
      <c r="H1738" s="90">
        <v>0.59</v>
      </c>
      <c r="I1738" s="90">
        <v>0.64</v>
      </c>
      <c r="J1738" s="90" t="s">
        <v>244</v>
      </c>
      <c r="K1738" s="90">
        <v>7.2599355177E-4</v>
      </c>
      <c r="L1738" s="90">
        <v>3771.92855647738</v>
      </c>
      <c r="M1738" s="90">
        <v>10.655683445123801</v>
      </c>
      <c r="N1738" s="90">
        <v>1.5077989625736601</v>
      </c>
      <c r="O1738" s="90">
        <v>7.73595747087E-3</v>
      </c>
      <c r="P1738" s="90">
        <v>1.0946523241899999E-3</v>
      </c>
      <c r="Q1738" s="90">
        <v>2.7383958097434702</v>
      </c>
      <c r="R1738" s="90">
        <v>1300</v>
      </c>
      <c r="S1738" s="90" t="s">
        <v>387</v>
      </c>
      <c r="T1738" s="90">
        <v>1300</v>
      </c>
      <c r="U1738" s="90" t="s">
        <v>378</v>
      </c>
      <c r="V1738" s="90" t="s">
        <v>244</v>
      </c>
      <c r="Z1738" s="90">
        <v>0</v>
      </c>
      <c r="AA1738" s="90">
        <v>1</v>
      </c>
      <c r="AB1738" s="90">
        <v>7.73595747087E-3</v>
      </c>
      <c r="AC1738" s="90">
        <v>1.0946523241899999E-3</v>
      </c>
      <c r="AD1738" s="90">
        <v>2.7383958097446</v>
      </c>
      <c r="AF1738" s="90">
        <v>-1</v>
      </c>
      <c r="AG1738" s="90">
        <v>-1</v>
      </c>
      <c r="AH1738" s="90">
        <v>-1</v>
      </c>
      <c r="AI1738" s="90">
        <v>-1</v>
      </c>
      <c r="AJ1738" s="90">
        <v>0</v>
      </c>
      <c r="AM1738" s="90" t="s">
        <v>379</v>
      </c>
      <c r="AN1738" s="90">
        <v>-1</v>
      </c>
      <c r="AQ1738" s="90">
        <v>357</v>
      </c>
      <c r="AR1738" s="90" t="s">
        <v>405</v>
      </c>
      <c r="AS1738" s="90" t="s">
        <v>406</v>
      </c>
      <c r="AT1738" s="90" t="s">
        <v>244</v>
      </c>
      <c r="AU1738" s="90">
        <v>122.34610000000001</v>
      </c>
      <c r="AV1738" s="90">
        <v>15.5016478266301</v>
      </c>
      <c r="AW1738" s="90">
        <v>2.9379916676066702</v>
      </c>
      <c r="AX1738" s="90">
        <v>2.2209211999999999E-3</v>
      </c>
    </row>
    <row r="1739" spans="1:50" x14ac:dyDescent="0.25">
      <c r="A1739" s="102">
        <v>830000</v>
      </c>
      <c r="B1739" s="102">
        <v>2400000</v>
      </c>
      <c r="C1739" s="102">
        <v>2400000</v>
      </c>
      <c r="D1739" s="90" t="s">
        <v>374</v>
      </c>
      <c r="E1739" s="90" t="s">
        <v>68</v>
      </c>
      <c r="F1739" s="90" t="s">
        <v>375</v>
      </c>
      <c r="G1739" s="90" t="s">
        <v>376</v>
      </c>
      <c r="H1739" s="90">
        <v>0.59</v>
      </c>
      <c r="I1739" s="90">
        <v>0.64</v>
      </c>
      <c r="J1739" s="90" t="s">
        <v>244</v>
      </c>
      <c r="K1739" s="90">
        <v>3.925664376133E-2</v>
      </c>
      <c r="L1739" s="90">
        <v>3764.4729522903599</v>
      </c>
      <c r="M1739" s="90">
        <v>10.8097988027918</v>
      </c>
      <c r="N1739" s="90">
        <v>1.50576525601291</v>
      </c>
      <c r="O1739" s="90">
        <v>0.42435642073289997</v>
      </c>
      <c r="P1739" s="90">
        <v>5.9111290243490003E-2</v>
      </c>
      <c r="Q1739" s="90">
        <v>147.78057363724301</v>
      </c>
      <c r="R1739" s="90">
        <v>1300</v>
      </c>
      <c r="S1739" s="90" t="s">
        <v>387</v>
      </c>
      <c r="T1739" s="90">
        <v>1300</v>
      </c>
      <c r="U1739" s="90" t="s">
        <v>378</v>
      </c>
      <c r="V1739" s="90" t="s">
        <v>244</v>
      </c>
      <c r="Z1739" s="90">
        <v>0</v>
      </c>
      <c r="AA1739" s="90">
        <v>1</v>
      </c>
      <c r="AB1739" s="90">
        <v>0.42435642073289997</v>
      </c>
      <c r="AC1739" s="90">
        <v>5.9111290243490003E-2</v>
      </c>
      <c r="AD1739" s="90">
        <v>238.63381948829101</v>
      </c>
      <c r="AF1739" s="90">
        <v>-1</v>
      </c>
      <c r="AG1739" s="90">
        <v>-1</v>
      </c>
      <c r="AH1739" s="90">
        <v>-1</v>
      </c>
      <c r="AI1739" s="90">
        <v>-1</v>
      </c>
      <c r="AJ1739" s="90">
        <v>0</v>
      </c>
      <c r="AM1739" s="90" t="s">
        <v>379</v>
      </c>
      <c r="AN1739" s="90">
        <v>-1</v>
      </c>
      <c r="AQ1739" s="90">
        <v>357</v>
      </c>
      <c r="AR1739" s="90" t="s">
        <v>405</v>
      </c>
      <c r="AS1739" s="90" t="s">
        <v>406</v>
      </c>
      <c r="AT1739" s="90" t="s">
        <v>244</v>
      </c>
      <c r="AU1739" s="90">
        <v>122.34610000000001</v>
      </c>
      <c r="AV1739" s="90">
        <v>82.931380738298103</v>
      </c>
      <c r="AW1739" s="90">
        <v>158.86600092742799</v>
      </c>
      <c r="AX1739" s="90">
        <v>0.1935391886</v>
      </c>
    </row>
    <row r="1740" spans="1:50" x14ac:dyDescent="0.25">
      <c r="A1740" s="102">
        <v>830000</v>
      </c>
      <c r="B1740" s="102">
        <v>2400000</v>
      </c>
      <c r="C1740" s="102">
        <v>2400000</v>
      </c>
      <c r="D1740" s="90" t="s">
        <v>374</v>
      </c>
      <c r="E1740" s="90" t="s">
        <v>68</v>
      </c>
      <c r="F1740" s="90" t="s">
        <v>375</v>
      </c>
      <c r="G1740" s="90" t="s">
        <v>376</v>
      </c>
      <c r="H1740" s="90">
        <v>0.59</v>
      </c>
      <c r="I1740" s="90">
        <v>0.64</v>
      </c>
      <c r="J1740" s="90" t="s">
        <v>244</v>
      </c>
      <c r="K1740" s="90">
        <v>3.08391570448E-3</v>
      </c>
      <c r="L1740" s="90">
        <v>3764.4729522903599</v>
      </c>
      <c r="M1740" s="90">
        <v>10.8097988027918</v>
      </c>
      <c r="N1740" s="90">
        <v>1.50576525601291</v>
      </c>
      <c r="O1740" s="90">
        <v>3.3336508290280002E-2</v>
      </c>
      <c r="P1740" s="90">
        <v>4.6436531202900004E-3</v>
      </c>
      <c r="Q1740" s="90">
        <v>11.609317256688501</v>
      </c>
      <c r="R1740" s="90">
        <v>1400</v>
      </c>
      <c r="S1740" s="90" t="s">
        <v>324</v>
      </c>
      <c r="T1740" s="90">
        <v>1400</v>
      </c>
      <c r="U1740" s="90" t="s">
        <v>378</v>
      </c>
      <c r="V1740" s="90" t="s">
        <v>244</v>
      </c>
      <c r="Z1740" s="90">
        <v>0</v>
      </c>
      <c r="AA1740" s="90">
        <v>1</v>
      </c>
      <c r="AB1740" s="90">
        <v>3.3336508290280002E-2</v>
      </c>
      <c r="AC1740" s="90">
        <v>4.6436531202900004E-3</v>
      </c>
      <c r="AD1740" s="90">
        <v>684.80318894117795</v>
      </c>
      <c r="AF1740" s="90">
        <v>-1</v>
      </c>
      <c r="AG1740" s="90">
        <v>-1</v>
      </c>
      <c r="AH1740" s="90">
        <v>-1</v>
      </c>
      <c r="AI1740" s="90">
        <v>-1</v>
      </c>
      <c r="AJ1740" s="90">
        <v>0</v>
      </c>
      <c r="AM1740" s="90" t="s">
        <v>379</v>
      </c>
      <c r="AN1740" s="90">
        <v>-1</v>
      </c>
      <c r="AQ1740" s="90">
        <v>357</v>
      </c>
      <c r="AR1740" s="90" t="s">
        <v>405</v>
      </c>
      <c r="AS1740" s="90" t="s">
        <v>406</v>
      </c>
      <c r="AT1740" s="90" t="s">
        <v>244</v>
      </c>
      <c r="AU1740" s="90">
        <v>122.34610000000001</v>
      </c>
      <c r="AV1740" s="90">
        <v>32.620020664133598</v>
      </c>
      <c r="AW1740" s="90">
        <v>12.4801640748474</v>
      </c>
      <c r="AX1740" s="90">
        <v>0.55539593590000003</v>
      </c>
    </row>
    <row r="1741" spans="1:50" x14ac:dyDescent="0.25">
      <c r="A1741" s="102">
        <v>830000</v>
      </c>
      <c r="B1741" s="102">
        <v>2400000</v>
      </c>
      <c r="C1741" s="102">
        <v>2400000</v>
      </c>
      <c r="D1741" s="90" t="s">
        <v>374</v>
      </c>
      <c r="E1741" s="90" t="s">
        <v>68</v>
      </c>
      <c r="F1741" s="90" t="s">
        <v>375</v>
      </c>
      <c r="G1741" s="90" t="s">
        <v>376</v>
      </c>
      <c r="H1741" s="90">
        <v>0.59</v>
      </c>
      <c r="I1741" s="90">
        <v>0.64</v>
      </c>
      <c r="J1741" s="90" t="s">
        <v>244</v>
      </c>
      <c r="K1741" s="90">
        <v>1.696887168603E-2</v>
      </c>
      <c r="L1741" s="90">
        <v>3764.4729522903599</v>
      </c>
      <c r="M1741" s="90">
        <v>10.8097988027918</v>
      </c>
      <c r="N1741" s="90">
        <v>1.50576525601291</v>
      </c>
      <c r="O1741" s="90">
        <v>0.18343008883646</v>
      </c>
      <c r="P1741" s="90">
        <v>2.555113741857E-2</v>
      </c>
      <c r="Q1741" s="90">
        <v>63.878858492975702</v>
      </c>
      <c r="R1741" s="90">
        <v>1300</v>
      </c>
      <c r="S1741" s="90" t="s">
        <v>387</v>
      </c>
      <c r="T1741" s="90">
        <v>1300</v>
      </c>
      <c r="U1741" s="90" t="s">
        <v>378</v>
      </c>
      <c r="V1741" s="90" t="s">
        <v>244</v>
      </c>
      <c r="Z1741" s="90">
        <v>0</v>
      </c>
      <c r="AA1741" s="90">
        <v>1</v>
      </c>
      <c r="AB1741" s="90">
        <v>0.18343008883646</v>
      </c>
      <c r="AC1741" s="90">
        <v>2.555113741857E-2</v>
      </c>
      <c r="AD1741" s="90">
        <v>63.8788584929761</v>
      </c>
      <c r="AF1741" s="90">
        <v>-1</v>
      </c>
      <c r="AG1741" s="90">
        <v>-1</v>
      </c>
      <c r="AH1741" s="90">
        <v>-1</v>
      </c>
      <c r="AI1741" s="90">
        <v>-1</v>
      </c>
      <c r="AJ1741" s="90">
        <v>0</v>
      </c>
      <c r="AM1741" s="90" t="s">
        <v>379</v>
      </c>
      <c r="AN1741" s="90">
        <v>-1</v>
      </c>
      <c r="AQ1741" s="90">
        <v>357</v>
      </c>
      <c r="AR1741" s="90" t="s">
        <v>405</v>
      </c>
      <c r="AS1741" s="90" t="s">
        <v>406</v>
      </c>
      <c r="AT1741" s="90" t="s">
        <v>244</v>
      </c>
      <c r="AU1741" s="90">
        <v>122.34610000000001</v>
      </c>
      <c r="AV1741" s="90">
        <v>62.892412267752</v>
      </c>
      <c r="AW1741" s="90">
        <v>68.670587363524803</v>
      </c>
      <c r="AX1741" s="90">
        <v>5.1807671100000001E-2</v>
      </c>
    </row>
    <row r="1742" spans="1:50" x14ac:dyDescent="0.25">
      <c r="A1742" s="102">
        <v>830000</v>
      </c>
      <c r="B1742" s="102">
        <v>2400000</v>
      </c>
      <c r="C1742" s="102">
        <v>2400000</v>
      </c>
      <c r="D1742" s="90" t="s">
        <v>374</v>
      </c>
      <c r="E1742" s="90" t="s">
        <v>68</v>
      </c>
      <c r="F1742" s="90" t="s">
        <v>375</v>
      </c>
      <c r="G1742" s="90" t="s">
        <v>376</v>
      </c>
      <c r="H1742" s="90">
        <v>0.59</v>
      </c>
      <c r="I1742" s="90">
        <v>0.64</v>
      </c>
      <c r="J1742" s="90" t="s">
        <v>244</v>
      </c>
      <c r="K1742" s="90">
        <v>4.2575673125649999E-2</v>
      </c>
      <c r="L1742" s="90">
        <v>3828.0127978622099</v>
      </c>
      <c r="M1742" s="90">
        <v>9.4709127569534495</v>
      </c>
      <c r="N1742" s="90">
        <v>1.2930329568299901</v>
      </c>
      <c r="O1742" s="90">
        <v>0.40323048574166998</v>
      </c>
      <c r="P1742" s="90">
        <v>5.5051748510690002E-2</v>
      </c>
      <c r="Q1742" s="90">
        <v>162.98022160261701</v>
      </c>
      <c r="R1742" s="90">
        <v>1200</v>
      </c>
      <c r="S1742" s="90" t="s">
        <v>384</v>
      </c>
      <c r="T1742" s="90">
        <v>1200</v>
      </c>
      <c r="U1742" s="90" t="s">
        <v>378</v>
      </c>
      <c r="V1742" s="90" t="s">
        <v>244</v>
      </c>
      <c r="Z1742" s="90">
        <v>0</v>
      </c>
      <c r="AA1742" s="90">
        <v>1</v>
      </c>
      <c r="AB1742" s="90">
        <v>0.40323048574166998</v>
      </c>
      <c r="AC1742" s="90">
        <v>5.5051748510690002E-2</v>
      </c>
      <c r="AD1742" s="90">
        <v>280.16564932861201</v>
      </c>
      <c r="AF1742" s="90">
        <v>-1</v>
      </c>
      <c r="AG1742" s="90">
        <v>-1</v>
      </c>
      <c r="AH1742" s="90">
        <v>-1</v>
      </c>
      <c r="AI1742" s="90">
        <v>-1</v>
      </c>
      <c r="AJ1742" s="90">
        <v>0</v>
      </c>
      <c r="AM1742" s="90" t="s">
        <v>379</v>
      </c>
      <c r="AN1742" s="90">
        <v>-1</v>
      </c>
      <c r="AQ1742" s="90">
        <v>357</v>
      </c>
      <c r="AR1742" s="90" t="s">
        <v>405</v>
      </c>
      <c r="AS1742" s="90" t="s">
        <v>406</v>
      </c>
      <c r="AT1742" s="90" t="s">
        <v>244</v>
      </c>
      <c r="AU1742" s="90">
        <v>122.34610000000001</v>
      </c>
      <c r="AV1742" s="90">
        <v>69.535564196245204</v>
      </c>
      <c r="AW1742" s="90">
        <v>172.297636226572</v>
      </c>
      <c r="AX1742" s="90">
        <v>0.22722274880000001</v>
      </c>
    </row>
    <row r="1743" spans="1:50" x14ac:dyDescent="0.25">
      <c r="A1743" s="102">
        <v>830000</v>
      </c>
      <c r="B1743" s="102">
        <v>2400000</v>
      </c>
      <c r="C1743" s="102">
        <v>2400000</v>
      </c>
      <c r="D1743" s="90" t="s">
        <v>374</v>
      </c>
      <c r="E1743" s="90" t="s">
        <v>68</v>
      </c>
      <c r="F1743" s="90" t="s">
        <v>375</v>
      </c>
      <c r="G1743" s="90" t="s">
        <v>376</v>
      </c>
      <c r="H1743" s="90">
        <v>0.59</v>
      </c>
      <c r="I1743" s="90">
        <v>0.64</v>
      </c>
      <c r="J1743" s="90" t="s">
        <v>244</v>
      </c>
      <c r="K1743" s="90">
        <v>6.7464647391390006E-2</v>
      </c>
      <c r="L1743" s="90">
        <v>3828.0127978622099</v>
      </c>
      <c r="M1743" s="90">
        <v>9.4709127569534495</v>
      </c>
      <c r="N1743" s="90">
        <v>1.2930329568299901</v>
      </c>
      <c r="O1743" s="90">
        <v>0.63895178962253996</v>
      </c>
      <c r="P1743" s="90">
        <v>8.7234012497989996E-2</v>
      </c>
      <c r="Q1743" s="90">
        <v>258.25553361752901</v>
      </c>
      <c r="R1743" s="90">
        <v>1400</v>
      </c>
      <c r="S1743" s="90" t="s">
        <v>324</v>
      </c>
      <c r="T1743" s="90">
        <v>1400</v>
      </c>
      <c r="U1743" s="90" t="s">
        <v>378</v>
      </c>
      <c r="V1743" s="90" t="s">
        <v>244</v>
      </c>
      <c r="Z1743" s="90">
        <v>0</v>
      </c>
      <c r="AA1743" s="90">
        <v>1</v>
      </c>
      <c r="AB1743" s="90">
        <v>0.63895178962253996</v>
      </c>
      <c r="AC1743" s="90">
        <v>8.7234012497989996E-2</v>
      </c>
      <c r="AD1743" s="90">
        <v>437.96470147380199</v>
      </c>
      <c r="AF1743" s="90">
        <v>-1</v>
      </c>
      <c r="AG1743" s="90">
        <v>-1</v>
      </c>
      <c r="AH1743" s="90">
        <v>-1</v>
      </c>
      <c r="AI1743" s="90">
        <v>-1</v>
      </c>
      <c r="AJ1743" s="90">
        <v>0</v>
      </c>
      <c r="AM1743" s="90" t="s">
        <v>379</v>
      </c>
      <c r="AN1743" s="90">
        <v>-1</v>
      </c>
      <c r="AQ1743" s="90">
        <v>357</v>
      </c>
      <c r="AR1743" s="90" t="s">
        <v>405</v>
      </c>
      <c r="AS1743" s="90" t="s">
        <v>406</v>
      </c>
      <c r="AT1743" s="90" t="s">
        <v>244</v>
      </c>
      <c r="AU1743" s="90">
        <v>122.34610000000001</v>
      </c>
      <c r="AV1743" s="90">
        <v>77.408567023476394</v>
      </c>
      <c r="AW1743" s="90">
        <v>273.01974158082601</v>
      </c>
      <c r="AX1743" s="90">
        <v>0.35520251539999997</v>
      </c>
    </row>
    <row r="1744" spans="1:50" x14ac:dyDescent="0.25">
      <c r="A1744" s="102">
        <v>830000</v>
      </c>
      <c r="B1744" s="102">
        <v>2400000</v>
      </c>
      <c r="C1744" s="102">
        <v>2400000</v>
      </c>
      <c r="D1744" s="90" t="s">
        <v>374</v>
      </c>
      <c r="E1744" s="90" t="s">
        <v>68</v>
      </c>
      <c r="F1744" s="90" t="s">
        <v>375</v>
      </c>
      <c r="G1744" s="90" t="s">
        <v>376</v>
      </c>
      <c r="H1744" s="90">
        <v>0.59</v>
      </c>
      <c r="I1744" s="90">
        <v>0.64</v>
      </c>
      <c r="J1744" s="90" t="s">
        <v>244</v>
      </c>
      <c r="K1744" s="90">
        <v>0.18307649296494</v>
      </c>
      <c r="L1744" s="90">
        <v>3828.0127978622099</v>
      </c>
      <c r="M1744" s="90">
        <v>9.4709127569534495</v>
      </c>
      <c r="N1744" s="90">
        <v>1.2930329568299901</v>
      </c>
      <c r="O1744" s="90">
        <v>1.73390149272002</v>
      </c>
      <c r="P1744" s="90">
        <v>0.23672393902453001</v>
      </c>
      <c r="Q1744" s="90">
        <v>700.81915805755204</v>
      </c>
      <c r="R1744" s="90">
        <v>1410</v>
      </c>
      <c r="S1744" s="90" t="s">
        <v>325</v>
      </c>
      <c r="T1744" s="90">
        <v>1410</v>
      </c>
      <c r="U1744" s="90" t="s">
        <v>378</v>
      </c>
      <c r="V1744" s="90" t="s">
        <v>244</v>
      </c>
      <c r="Z1744" s="90">
        <v>0</v>
      </c>
      <c r="AA1744" s="90">
        <v>1</v>
      </c>
      <c r="AB1744" s="90">
        <v>1.73390149272002</v>
      </c>
      <c r="AC1744" s="90">
        <v>0.23672393902453001</v>
      </c>
      <c r="AD1744" s="90">
        <v>700.81915805755204</v>
      </c>
      <c r="AF1744" s="90">
        <v>-1</v>
      </c>
      <c r="AG1744" s="90">
        <v>-1</v>
      </c>
      <c r="AH1744" s="90">
        <v>-1</v>
      </c>
      <c r="AI1744" s="90">
        <v>-1</v>
      </c>
      <c r="AJ1744" s="90">
        <v>0</v>
      </c>
      <c r="AM1744" s="90" t="s">
        <v>379</v>
      </c>
      <c r="AN1744" s="90">
        <v>-1</v>
      </c>
      <c r="AQ1744" s="90">
        <v>357</v>
      </c>
      <c r="AR1744" s="90" t="s">
        <v>405</v>
      </c>
      <c r="AS1744" s="90" t="s">
        <v>406</v>
      </c>
      <c r="AT1744" s="90" t="s">
        <v>244</v>
      </c>
      <c r="AU1744" s="90">
        <v>122.34610000000001</v>
      </c>
      <c r="AV1744" s="90">
        <v>109.90212554874</v>
      </c>
      <c r="AW1744" s="90">
        <v>740.88428134566595</v>
      </c>
      <c r="AX1744" s="90">
        <v>0.56838536740000001</v>
      </c>
    </row>
    <row r="1745" spans="1:50" x14ac:dyDescent="0.25">
      <c r="A1745" s="102">
        <v>830000</v>
      </c>
      <c r="B1745" s="102">
        <v>2400000</v>
      </c>
      <c r="C1745" s="102">
        <v>2400000</v>
      </c>
      <c r="D1745" s="90" t="s">
        <v>374</v>
      </c>
      <c r="E1745" s="90" t="s">
        <v>68</v>
      </c>
      <c r="F1745" s="90" t="s">
        <v>375</v>
      </c>
      <c r="G1745" s="90" t="s">
        <v>376</v>
      </c>
      <c r="H1745" s="90">
        <v>0.59</v>
      </c>
      <c r="I1745" s="90">
        <v>0.64</v>
      </c>
      <c r="J1745" s="90" t="s">
        <v>244</v>
      </c>
      <c r="K1745" s="90">
        <v>2.4741202476120001E-2</v>
      </c>
      <c r="L1745" s="90">
        <v>3828.0127978622099</v>
      </c>
      <c r="M1745" s="90">
        <v>9.4709127569534495</v>
      </c>
      <c r="N1745" s="90">
        <v>1.2930329568299901</v>
      </c>
      <c r="O1745" s="90">
        <v>0.23432177015349001</v>
      </c>
      <c r="P1745" s="90">
        <v>3.1991190193229997E-2</v>
      </c>
      <c r="Q1745" s="90">
        <v>94.709639713102902</v>
      </c>
      <c r="R1745" s="90">
        <v>1410</v>
      </c>
      <c r="S1745" s="90" t="s">
        <v>325</v>
      </c>
      <c r="T1745" s="90">
        <v>1410</v>
      </c>
      <c r="U1745" s="90" t="s">
        <v>378</v>
      </c>
      <c r="V1745" s="90" t="s">
        <v>244</v>
      </c>
      <c r="Z1745" s="90">
        <v>0</v>
      </c>
      <c r="AA1745" s="90">
        <v>1</v>
      </c>
      <c r="AB1745" s="90">
        <v>0.23432177015349001</v>
      </c>
      <c r="AC1745" s="90">
        <v>3.1991190193229997E-2</v>
      </c>
      <c r="AD1745" s="90">
        <v>707.42742504729597</v>
      </c>
      <c r="AF1745" s="90">
        <v>-1</v>
      </c>
      <c r="AG1745" s="90">
        <v>-1</v>
      </c>
      <c r="AH1745" s="90">
        <v>-1</v>
      </c>
      <c r="AI1745" s="90">
        <v>-1</v>
      </c>
      <c r="AJ1745" s="90">
        <v>0</v>
      </c>
      <c r="AM1745" s="90" t="s">
        <v>379</v>
      </c>
      <c r="AN1745" s="90">
        <v>-1</v>
      </c>
      <c r="AQ1745" s="90">
        <v>357</v>
      </c>
      <c r="AR1745" s="90" t="s">
        <v>405</v>
      </c>
      <c r="AS1745" s="90" t="s">
        <v>406</v>
      </c>
      <c r="AT1745" s="90" t="s">
        <v>244</v>
      </c>
      <c r="AU1745" s="90">
        <v>122.34610000000001</v>
      </c>
      <c r="AV1745" s="90">
        <v>66.671965121269807</v>
      </c>
      <c r="AW1745" s="90">
        <v>100.12409413840101</v>
      </c>
      <c r="AX1745" s="90">
        <v>0.57374487029999999</v>
      </c>
    </row>
    <row r="1746" spans="1:50" x14ac:dyDescent="0.25">
      <c r="A1746" s="102">
        <v>830000</v>
      </c>
      <c r="B1746" s="102">
        <v>2400000</v>
      </c>
      <c r="C1746" s="102">
        <v>2400000</v>
      </c>
      <c r="D1746" s="90" t="s">
        <v>374</v>
      </c>
      <c r="E1746" s="90" t="s">
        <v>68</v>
      </c>
      <c r="F1746" s="90" t="s">
        <v>375</v>
      </c>
      <c r="G1746" s="90" t="s">
        <v>376</v>
      </c>
      <c r="H1746" s="90">
        <v>0.59</v>
      </c>
      <c r="I1746" s="90">
        <v>0.64</v>
      </c>
      <c r="J1746" s="90" t="s">
        <v>244</v>
      </c>
      <c r="K1746" s="90">
        <v>2.8585968774689999E-2</v>
      </c>
      <c r="L1746" s="90">
        <v>3828.0127978622099</v>
      </c>
      <c r="M1746" s="90">
        <v>9.4709127569534495</v>
      </c>
      <c r="N1746" s="90">
        <v>1.2930329568299901</v>
      </c>
      <c r="O1746" s="90">
        <v>0.27073521633809</v>
      </c>
      <c r="P1746" s="90">
        <v>3.6962599728580001E-2</v>
      </c>
      <c r="Q1746" s="90">
        <v>109.42745430880601</v>
      </c>
      <c r="R1746" s="90">
        <v>1450</v>
      </c>
      <c r="S1746" s="90" t="s">
        <v>391</v>
      </c>
      <c r="T1746" s="90">
        <v>1450</v>
      </c>
      <c r="U1746" s="90" t="s">
        <v>378</v>
      </c>
      <c r="V1746" s="90" t="s">
        <v>244</v>
      </c>
      <c r="Z1746" s="90">
        <v>0</v>
      </c>
      <c r="AA1746" s="90">
        <v>1</v>
      </c>
      <c r="AB1746" s="90">
        <v>0.27073521633809</v>
      </c>
      <c r="AC1746" s="90">
        <v>3.6962599728580001E-2</v>
      </c>
      <c r="AD1746" s="90">
        <v>220.136193912533</v>
      </c>
      <c r="AF1746" s="90">
        <v>-1</v>
      </c>
      <c r="AG1746" s="90">
        <v>-1</v>
      </c>
      <c r="AH1746" s="90">
        <v>-1</v>
      </c>
      <c r="AI1746" s="90">
        <v>-1</v>
      </c>
      <c r="AJ1746" s="90">
        <v>0</v>
      </c>
      <c r="AM1746" s="90" t="s">
        <v>379</v>
      </c>
      <c r="AN1746" s="90">
        <v>-1</v>
      </c>
      <c r="AQ1746" s="90">
        <v>357</v>
      </c>
      <c r="AR1746" s="90" t="s">
        <v>405</v>
      </c>
      <c r="AS1746" s="90" t="s">
        <v>406</v>
      </c>
      <c r="AT1746" s="90" t="s">
        <v>244</v>
      </c>
      <c r="AU1746" s="90">
        <v>122.34610000000001</v>
      </c>
      <c r="AV1746" s="90">
        <v>67.653345057040198</v>
      </c>
      <c r="AW1746" s="90">
        <v>115.683311326385</v>
      </c>
      <c r="AX1746" s="90">
        <v>0.17853705910000001</v>
      </c>
    </row>
    <row r="1747" spans="1:50" x14ac:dyDescent="0.25">
      <c r="A1747" s="102">
        <v>830000</v>
      </c>
      <c r="B1747" s="102">
        <v>2400000</v>
      </c>
      <c r="C1747" s="102">
        <v>2400000</v>
      </c>
      <c r="D1747" s="90" t="s">
        <v>374</v>
      </c>
      <c r="E1747" s="90" t="s">
        <v>68</v>
      </c>
      <c r="F1747" s="90" t="s">
        <v>375</v>
      </c>
      <c r="G1747" s="90" t="s">
        <v>376</v>
      </c>
      <c r="H1747" s="90">
        <v>0.59</v>
      </c>
      <c r="I1747" s="90">
        <v>0.64</v>
      </c>
      <c r="J1747" s="90" t="s">
        <v>244</v>
      </c>
      <c r="K1747" s="90">
        <v>0.12203037256623001</v>
      </c>
      <c r="L1747" s="90">
        <v>3827.9335238459198</v>
      </c>
      <c r="M1747" s="90">
        <v>8.9757007610436705</v>
      </c>
      <c r="N1747" s="90">
        <v>1.3718901839335</v>
      </c>
      <c r="O1747" s="90">
        <v>1.0953081079131799</v>
      </c>
      <c r="P1747" s="90">
        <v>0.16741227026536001</v>
      </c>
      <c r="Q1747" s="90">
        <v>467.12415407369002</v>
      </c>
      <c r="R1747" s="90">
        <v>1450</v>
      </c>
      <c r="S1747" s="90" t="s">
        <v>391</v>
      </c>
      <c r="T1747" s="90">
        <v>1450</v>
      </c>
      <c r="U1747" s="90" t="s">
        <v>378</v>
      </c>
      <c r="V1747" s="90" t="s">
        <v>244</v>
      </c>
      <c r="Z1747" s="90">
        <v>0</v>
      </c>
      <c r="AA1747" s="90">
        <v>1</v>
      </c>
      <c r="AB1747" s="90">
        <v>1.0953081079131799</v>
      </c>
      <c r="AC1747" s="90">
        <v>0.16741227026536001</v>
      </c>
      <c r="AD1747" s="90">
        <v>1446.27200147031</v>
      </c>
      <c r="AF1747" s="90">
        <v>-1</v>
      </c>
      <c r="AG1747" s="90">
        <v>-1</v>
      </c>
      <c r="AH1747" s="90">
        <v>-1</v>
      </c>
      <c r="AI1747" s="90">
        <v>-1</v>
      </c>
      <c r="AJ1747" s="90">
        <v>0</v>
      </c>
      <c r="AM1747" s="90" t="s">
        <v>379</v>
      </c>
      <c r="AN1747" s="90">
        <v>-1</v>
      </c>
      <c r="AQ1747" s="90">
        <v>357</v>
      </c>
      <c r="AR1747" s="90" t="s">
        <v>405</v>
      </c>
      <c r="AS1747" s="90" t="s">
        <v>406</v>
      </c>
      <c r="AT1747" s="90" t="s">
        <v>244</v>
      </c>
      <c r="AU1747" s="90">
        <v>122.34610000000001</v>
      </c>
      <c r="AV1747" s="90">
        <v>115.344395985302</v>
      </c>
      <c r="AW1747" s="90">
        <v>493.83939694752399</v>
      </c>
      <c r="AX1747" s="90">
        <v>1.1729699930999999</v>
      </c>
    </row>
    <row r="1748" spans="1:50" x14ac:dyDescent="0.25">
      <c r="A1748" s="102">
        <v>830000</v>
      </c>
      <c r="B1748" s="102">
        <v>2400000</v>
      </c>
      <c r="C1748" s="102">
        <v>2400000</v>
      </c>
      <c r="D1748" s="90" t="s">
        <v>374</v>
      </c>
      <c r="E1748" s="90" t="s">
        <v>68</v>
      </c>
      <c r="F1748" s="90" t="s">
        <v>375</v>
      </c>
      <c r="G1748" s="90" t="s">
        <v>376</v>
      </c>
      <c r="H1748" s="90">
        <v>0.59</v>
      </c>
      <c r="I1748" s="90">
        <v>0.64</v>
      </c>
      <c r="J1748" s="90" t="s">
        <v>244</v>
      </c>
      <c r="K1748" s="90">
        <v>2.3827154745999999E-4</v>
      </c>
      <c r="L1748" s="90">
        <v>3720.1448432840002</v>
      </c>
      <c r="M1748" s="90">
        <v>9.8542963554243705</v>
      </c>
      <c r="N1748" s="90">
        <v>1.3000097112692901</v>
      </c>
      <c r="O1748" s="90">
        <v>2.34799844179E-3</v>
      </c>
      <c r="P1748" s="90">
        <v>3.0975532561999998E-4</v>
      </c>
      <c r="Q1748" s="90">
        <v>0.88640466860694</v>
      </c>
      <c r="R1748" s="90">
        <v>1300</v>
      </c>
      <c r="S1748" s="90" t="s">
        <v>387</v>
      </c>
      <c r="T1748" s="90">
        <v>1300</v>
      </c>
      <c r="U1748" s="90" t="s">
        <v>378</v>
      </c>
      <c r="V1748" s="90" t="s">
        <v>244</v>
      </c>
      <c r="Z1748" s="90">
        <v>0</v>
      </c>
      <c r="AA1748" s="90">
        <v>1</v>
      </c>
      <c r="AB1748" s="90">
        <v>2.34799844179E-3</v>
      </c>
      <c r="AC1748" s="90">
        <v>3.0975532561999998E-4</v>
      </c>
      <c r="AD1748" s="90">
        <v>6.33665001235841</v>
      </c>
      <c r="AF1748" s="90">
        <v>-1</v>
      </c>
      <c r="AG1748" s="90">
        <v>-1</v>
      </c>
      <c r="AH1748" s="90">
        <v>-1</v>
      </c>
      <c r="AI1748" s="90">
        <v>-1</v>
      </c>
      <c r="AJ1748" s="90">
        <v>0</v>
      </c>
      <c r="AM1748" s="90" t="s">
        <v>379</v>
      </c>
      <c r="AN1748" s="90">
        <v>-1</v>
      </c>
      <c r="AQ1748" s="90">
        <v>357</v>
      </c>
      <c r="AR1748" s="90" t="s">
        <v>405</v>
      </c>
      <c r="AS1748" s="90" t="s">
        <v>406</v>
      </c>
      <c r="AT1748" s="90" t="s">
        <v>244</v>
      </c>
      <c r="AU1748" s="90">
        <v>122.34610000000001</v>
      </c>
      <c r="AV1748" s="90">
        <v>3.9337698463006099</v>
      </c>
      <c r="AW1748" s="90">
        <v>0.96425074213933004</v>
      </c>
      <c r="AX1748" s="90">
        <v>5.1392132999999998E-3</v>
      </c>
    </row>
    <row r="1749" spans="1:50" x14ac:dyDescent="0.25">
      <c r="A1749" s="102">
        <v>830000</v>
      </c>
      <c r="B1749" s="102">
        <v>2400000</v>
      </c>
      <c r="C1749" s="102">
        <v>2400000</v>
      </c>
      <c r="D1749" s="90" t="s">
        <v>374</v>
      </c>
      <c r="E1749" s="90" t="s">
        <v>68</v>
      </c>
      <c r="F1749" s="90" t="s">
        <v>375</v>
      </c>
      <c r="G1749" s="90" t="s">
        <v>376</v>
      </c>
      <c r="H1749" s="90">
        <v>0.59</v>
      </c>
      <c r="I1749" s="90">
        <v>0.64</v>
      </c>
      <c r="J1749" s="90" t="s">
        <v>244</v>
      </c>
      <c r="K1749" s="90">
        <v>1.30159072774E-3</v>
      </c>
      <c r="L1749" s="90">
        <v>3720.1448432840002</v>
      </c>
      <c r="M1749" s="90">
        <v>9.8542963554243705</v>
      </c>
      <c r="N1749" s="90">
        <v>1.3000097112692901</v>
      </c>
      <c r="O1749" s="90">
        <v>1.2826260764680001E-2</v>
      </c>
      <c r="P1749" s="90">
        <v>1.69208058616E-3</v>
      </c>
      <c r="Q1749" s="90">
        <v>4.8421060338905599</v>
      </c>
      <c r="R1749" s="90">
        <v>1400</v>
      </c>
      <c r="S1749" s="90" t="s">
        <v>324</v>
      </c>
      <c r="T1749" s="90">
        <v>1400</v>
      </c>
      <c r="U1749" s="90" t="s">
        <v>378</v>
      </c>
      <c r="V1749" s="90" t="s">
        <v>244</v>
      </c>
      <c r="Z1749" s="90">
        <v>0</v>
      </c>
      <c r="AA1749" s="90">
        <v>1</v>
      </c>
      <c r="AB1749" s="90">
        <v>1.2826260764680001E-2</v>
      </c>
      <c r="AC1749" s="90">
        <v>1.69208058616E-3</v>
      </c>
      <c r="AD1749" s="90">
        <v>892.50664443949802</v>
      </c>
      <c r="AF1749" s="90">
        <v>-1</v>
      </c>
      <c r="AG1749" s="90">
        <v>-1</v>
      </c>
      <c r="AH1749" s="90">
        <v>-1</v>
      </c>
      <c r="AI1749" s="90">
        <v>-1</v>
      </c>
      <c r="AJ1749" s="90">
        <v>0</v>
      </c>
      <c r="AM1749" s="90" t="s">
        <v>379</v>
      </c>
      <c r="AN1749" s="90">
        <v>-1</v>
      </c>
      <c r="AQ1749" s="90">
        <v>357</v>
      </c>
      <c r="AR1749" s="90" t="s">
        <v>405</v>
      </c>
      <c r="AS1749" s="90" t="s">
        <v>406</v>
      </c>
      <c r="AT1749" s="90" t="s">
        <v>244</v>
      </c>
      <c r="AU1749" s="90">
        <v>122.34610000000001</v>
      </c>
      <c r="AV1749" s="90">
        <v>22.424867501318602</v>
      </c>
      <c r="AW1749" s="90">
        <v>5.2673507959134698</v>
      </c>
      <c r="AX1749" s="90">
        <v>0.72384967109999998</v>
      </c>
    </row>
    <row r="1750" spans="1:50" x14ac:dyDescent="0.25">
      <c r="A1750" s="102">
        <v>830000</v>
      </c>
      <c r="B1750" s="102">
        <v>2400000</v>
      </c>
      <c r="C1750" s="102">
        <v>2400000</v>
      </c>
      <c r="D1750" s="90" t="s">
        <v>374</v>
      </c>
      <c r="E1750" s="90" t="s">
        <v>68</v>
      </c>
      <c r="F1750" s="90" t="s">
        <v>375</v>
      </c>
      <c r="G1750" s="90" t="s">
        <v>376</v>
      </c>
      <c r="H1750" s="90">
        <v>0.59</v>
      </c>
      <c r="I1750" s="90">
        <v>0.64</v>
      </c>
      <c r="J1750" s="90" t="s">
        <v>244</v>
      </c>
      <c r="K1750" s="102">
        <v>3.226864462E-6</v>
      </c>
      <c r="L1750" s="90">
        <v>3720.1448432840002</v>
      </c>
      <c r="M1750" s="90">
        <v>9.8542963554243705</v>
      </c>
      <c r="N1750" s="90">
        <v>1.3000097112692901</v>
      </c>
      <c r="O1750" s="90">
        <v>3.1798478699999998E-5</v>
      </c>
      <c r="P1750" s="102">
        <v>4.1949551375500004E-6</v>
      </c>
      <c r="Q1750" s="90">
        <v>1.200440318828E-2</v>
      </c>
      <c r="R1750" s="90">
        <v>1410</v>
      </c>
      <c r="S1750" s="90" t="s">
        <v>325</v>
      </c>
      <c r="T1750" s="90">
        <v>1410</v>
      </c>
      <c r="U1750" s="90" t="s">
        <v>378</v>
      </c>
      <c r="V1750" s="90" t="s">
        <v>244</v>
      </c>
      <c r="Z1750" s="90">
        <v>0</v>
      </c>
      <c r="AA1750" s="90">
        <v>1</v>
      </c>
      <c r="AB1750" s="90">
        <v>3.1798478699999998E-5</v>
      </c>
      <c r="AC1750" s="102">
        <v>4.1949551375500004E-6</v>
      </c>
      <c r="AD1750" s="90">
        <v>173.10974086035301</v>
      </c>
      <c r="AF1750" s="90">
        <v>-1</v>
      </c>
      <c r="AG1750" s="90">
        <v>-1</v>
      </c>
      <c r="AH1750" s="90">
        <v>-1</v>
      </c>
      <c r="AI1750" s="90">
        <v>-1</v>
      </c>
      <c r="AJ1750" s="90">
        <v>0</v>
      </c>
      <c r="AM1750" s="90" t="s">
        <v>379</v>
      </c>
      <c r="AN1750" s="90">
        <v>-1</v>
      </c>
      <c r="AQ1750" s="90">
        <v>357</v>
      </c>
      <c r="AR1750" s="90" t="s">
        <v>405</v>
      </c>
      <c r="AS1750" s="90" t="s">
        <v>406</v>
      </c>
      <c r="AT1750" s="90" t="s">
        <v>244</v>
      </c>
      <c r="AU1750" s="90">
        <v>122.34610000000001</v>
      </c>
      <c r="AV1750" s="90">
        <v>1.1685774983822701</v>
      </c>
      <c r="AW1750" s="90">
        <v>1.3058657172610001E-2</v>
      </c>
      <c r="AX1750" s="90">
        <v>0.14039719449999999</v>
      </c>
    </row>
    <row r="1751" spans="1:50" x14ac:dyDescent="0.25">
      <c r="A1751" s="102">
        <v>830000</v>
      </c>
      <c r="B1751" s="102">
        <v>2400000</v>
      </c>
      <c r="C1751" s="102">
        <v>2500000</v>
      </c>
      <c r="D1751" s="90" t="s">
        <v>374</v>
      </c>
      <c r="E1751" s="90" t="s">
        <v>68</v>
      </c>
      <c r="F1751" s="90" t="s">
        <v>375</v>
      </c>
      <c r="G1751" s="90" t="s">
        <v>376</v>
      </c>
      <c r="H1751" s="90">
        <v>0.59</v>
      </c>
      <c r="I1751" s="90">
        <v>0.64</v>
      </c>
      <c r="J1751" s="90" t="s">
        <v>244</v>
      </c>
      <c r="K1751" s="90">
        <v>0.39789871805797</v>
      </c>
      <c r="L1751" s="90">
        <v>3872.8244133232402</v>
      </c>
      <c r="M1751" s="90">
        <v>8.6924585388354796</v>
      </c>
      <c r="N1751" s="90">
        <v>1.17938469210158</v>
      </c>
      <c r="O1751" s="90">
        <v>3.4587181093747001</v>
      </c>
      <c r="P1751" s="90">
        <v>0.46927565708440999</v>
      </c>
      <c r="Q1751" s="90">
        <v>1540.9918693249299</v>
      </c>
      <c r="R1751" s="90">
        <v>1450</v>
      </c>
      <c r="S1751" s="90" t="s">
        <v>391</v>
      </c>
      <c r="T1751" s="90">
        <v>1450</v>
      </c>
      <c r="U1751" s="90" t="s">
        <v>378</v>
      </c>
      <c r="V1751" s="90" t="s">
        <v>244</v>
      </c>
      <c r="Z1751" s="90">
        <v>0</v>
      </c>
      <c r="AA1751" s="90">
        <v>1</v>
      </c>
      <c r="AB1751" s="90">
        <v>3.4587181093747001</v>
      </c>
      <c r="AC1751" s="90">
        <v>0.46927565708440999</v>
      </c>
      <c r="AD1751" s="90">
        <v>2392.4893842218298</v>
      </c>
      <c r="AF1751" s="90">
        <v>-1</v>
      </c>
      <c r="AG1751" s="90">
        <v>-1</v>
      </c>
      <c r="AH1751" s="90">
        <v>-1</v>
      </c>
      <c r="AI1751" s="90">
        <v>-1</v>
      </c>
      <c r="AJ1751" s="90">
        <v>0</v>
      </c>
      <c r="AM1751" s="90" t="s">
        <v>379</v>
      </c>
      <c r="AN1751" s="90">
        <v>-1</v>
      </c>
      <c r="AQ1751" s="90">
        <v>357</v>
      </c>
      <c r="AR1751" s="90" t="s">
        <v>405</v>
      </c>
      <c r="AS1751" s="90" t="s">
        <v>406</v>
      </c>
      <c r="AT1751" s="90" t="s">
        <v>244</v>
      </c>
      <c r="AU1751" s="90">
        <v>122.34610000000001</v>
      </c>
      <c r="AV1751" s="90">
        <v>164.582698332994</v>
      </c>
      <c r="AW1751" s="90">
        <v>1610.23898263762</v>
      </c>
      <c r="AX1751" s="90">
        <v>1.9403806847</v>
      </c>
    </row>
    <row r="1752" spans="1:50" x14ac:dyDescent="0.25">
      <c r="A1752" s="102">
        <v>830000</v>
      </c>
      <c r="B1752" s="102">
        <v>2400000</v>
      </c>
      <c r="C1752" s="102">
        <v>2500000</v>
      </c>
      <c r="D1752" s="90" t="s">
        <v>374</v>
      </c>
      <c r="E1752" s="90" t="s">
        <v>68</v>
      </c>
      <c r="F1752" s="90" t="s">
        <v>375</v>
      </c>
      <c r="G1752" s="90" t="s">
        <v>376</v>
      </c>
      <c r="H1752" s="90">
        <v>0.59</v>
      </c>
      <c r="I1752" s="90">
        <v>0.64</v>
      </c>
      <c r="J1752" s="90" t="s">
        <v>244</v>
      </c>
      <c r="K1752" s="90">
        <v>0.10650585779368001</v>
      </c>
      <c r="L1752" s="90">
        <v>3803.7520443416802</v>
      </c>
      <c r="M1752" s="90">
        <v>10.0774815754214</v>
      </c>
      <c r="N1752" s="90">
        <v>1.6135838525569699</v>
      </c>
      <c r="O1752" s="90">
        <v>1.0733108195902801</v>
      </c>
      <c r="P1752" s="90">
        <v>0.17185613233861</v>
      </c>
      <c r="Q1752" s="90">
        <v>405.12187431708298</v>
      </c>
      <c r="R1752" s="90">
        <v>1300</v>
      </c>
      <c r="S1752" s="90" t="s">
        <v>387</v>
      </c>
      <c r="T1752" s="90">
        <v>1300</v>
      </c>
      <c r="U1752" s="90" t="s">
        <v>378</v>
      </c>
      <c r="V1752" s="90" t="s">
        <v>244</v>
      </c>
      <c r="Z1752" s="90">
        <v>0</v>
      </c>
      <c r="AA1752" s="90">
        <v>1</v>
      </c>
      <c r="AB1752" s="90">
        <v>1.0733108195902801</v>
      </c>
      <c r="AC1752" s="90">
        <v>0.17185613233861</v>
      </c>
      <c r="AD1752" s="90">
        <v>405.12187431708298</v>
      </c>
      <c r="AF1752" s="90">
        <v>-1</v>
      </c>
      <c r="AG1752" s="90">
        <v>-1</v>
      </c>
      <c r="AH1752" s="90">
        <v>-1</v>
      </c>
      <c r="AI1752" s="90">
        <v>-1</v>
      </c>
      <c r="AJ1752" s="90">
        <v>0</v>
      </c>
      <c r="AM1752" s="90" t="s">
        <v>379</v>
      </c>
      <c r="AN1752" s="90">
        <v>-1</v>
      </c>
      <c r="AQ1752" s="90">
        <v>357</v>
      </c>
      <c r="AR1752" s="90" t="s">
        <v>405</v>
      </c>
      <c r="AS1752" s="90" t="s">
        <v>406</v>
      </c>
      <c r="AT1752" s="90" t="s">
        <v>244</v>
      </c>
      <c r="AU1752" s="90">
        <v>122.34610000000001</v>
      </c>
      <c r="AV1752" s="90">
        <v>135.882547199437</v>
      </c>
      <c r="AW1752" s="90">
        <v>431.01391463558298</v>
      </c>
      <c r="AX1752" s="90">
        <v>0.328565997</v>
      </c>
    </row>
    <row r="1753" spans="1:50" x14ac:dyDescent="0.25">
      <c r="A1753" s="102">
        <v>830000</v>
      </c>
      <c r="B1753" s="102">
        <v>2400000</v>
      </c>
      <c r="C1753" s="102">
        <v>2500000</v>
      </c>
      <c r="D1753" s="90" t="s">
        <v>374</v>
      </c>
      <c r="E1753" s="90" t="s">
        <v>68</v>
      </c>
      <c r="F1753" s="90" t="s">
        <v>375</v>
      </c>
      <c r="G1753" s="90" t="s">
        <v>376</v>
      </c>
      <c r="H1753" s="90">
        <v>0.59</v>
      </c>
      <c r="I1753" s="90">
        <v>0.64</v>
      </c>
      <c r="J1753" s="90" t="s">
        <v>244</v>
      </c>
      <c r="K1753" s="90">
        <v>0.10052339512352999</v>
      </c>
      <c r="L1753" s="90">
        <v>3803.7520443416802</v>
      </c>
      <c r="M1753" s="90">
        <v>10.0774815754214</v>
      </c>
      <c r="N1753" s="90">
        <v>1.6135838525569699</v>
      </c>
      <c r="O1753" s="90">
        <v>1.0130226622562599</v>
      </c>
      <c r="P1753" s="90">
        <v>0.16220292717554</v>
      </c>
      <c r="Q1753" s="90">
        <v>382.366069705325</v>
      </c>
      <c r="R1753" s="90">
        <v>1400</v>
      </c>
      <c r="S1753" s="90" t="s">
        <v>324</v>
      </c>
      <c r="T1753" s="90">
        <v>1400</v>
      </c>
      <c r="U1753" s="90" t="s">
        <v>378</v>
      </c>
      <c r="V1753" s="90" t="s">
        <v>244</v>
      </c>
      <c r="Z1753" s="90">
        <v>0</v>
      </c>
      <c r="AA1753" s="90">
        <v>1</v>
      </c>
      <c r="AB1753" s="90">
        <v>1.0130226622562599</v>
      </c>
      <c r="AC1753" s="90">
        <v>0.16220292717554</v>
      </c>
      <c r="AD1753" s="90">
        <v>382.366069705325</v>
      </c>
      <c r="AF1753" s="90">
        <v>-1</v>
      </c>
      <c r="AG1753" s="90">
        <v>-1</v>
      </c>
      <c r="AH1753" s="90">
        <v>-1</v>
      </c>
      <c r="AI1753" s="90">
        <v>-1</v>
      </c>
      <c r="AJ1753" s="90">
        <v>0</v>
      </c>
      <c r="AM1753" s="90" t="s">
        <v>379</v>
      </c>
      <c r="AN1753" s="90">
        <v>-1</v>
      </c>
      <c r="AQ1753" s="90">
        <v>357</v>
      </c>
      <c r="AR1753" s="90" t="s">
        <v>405</v>
      </c>
      <c r="AS1753" s="90" t="s">
        <v>406</v>
      </c>
      <c r="AT1753" s="90" t="s">
        <v>244</v>
      </c>
      <c r="AU1753" s="90">
        <v>122.34610000000001</v>
      </c>
      <c r="AV1753" s="90">
        <v>116.537160536619</v>
      </c>
      <c r="AW1753" s="90">
        <v>406.803747157141</v>
      </c>
      <c r="AX1753" s="90">
        <v>0.31011035660000003</v>
      </c>
    </row>
    <row r="1754" spans="1:50" x14ac:dyDescent="0.25">
      <c r="A1754" s="102">
        <v>830000</v>
      </c>
      <c r="B1754" s="102">
        <v>2400000</v>
      </c>
      <c r="C1754" s="102">
        <v>2500000</v>
      </c>
      <c r="D1754" s="90" t="s">
        <v>374</v>
      </c>
      <c r="E1754" s="90" t="s">
        <v>68</v>
      </c>
      <c r="F1754" s="90" t="s">
        <v>375</v>
      </c>
      <c r="G1754" s="90" t="s">
        <v>376</v>
      </c>
      <c r="H1754" s="90">
        <v>0.59</v>
      </c>
      <c r="I1754" s="90">
        <v>0.64</v>
      </c>
      <c r="J1754" s="90" t="s">
        <v>244</v>
      </c>
      <c r="K1754" s="90">
        <v>0.12913424140636001</v>
      </c>
      <c r="L1754" s="90">
        <v>3803.7520443416802</v>
      </c>
      <c r="M1754" s="90">
        <v>10.0774815754214</v>
      </c>
      <c r="N1754" s="90">
        <v>1.6135838525569699</v>
      </c>
      <c r="O1754" s="90">
        <v>1.3013479385286899</v>
      </c>
      <c r="P1754" s="90">
        <v>0.20836892674551</v>
      </c>
      <c r="Q1754" s="90">
        <v>491.19463474398498</v>
      </c>
      <c r="R1754" s="90">
        <v>1300</v>
      </c>
      <c r="S1754" s="90" t="s">
        <v>387</v>
      </c>
      <c r="T1754" s="90">
        <v>1300</v>
      </c>
      <c r="U1754" s="90" t="s">
        <v>378</v>
      </c>
      <c r="V1754" s="90" t="s">
        <v>244</v>
      </c>
      <c r="Z1754" s="90">
        <v>0</v>
      </c>
      <c r="AA1754" s="90">
        <v>1</v>
      </c>
      <c r="AB1754" s="90">
        <v>1.3013479385286899</v>
      </c>
      <c r="AC1754" s="90">
        <v>0.20836892674551</v>
      </c>
      <c r="AD1754" s="90">
        <v>491.19463474398498</v>
      </c>
      <c r="AF1754" s="90">
        <v>-1</v>
      </c>
      <c r="AG1754" s="90">
        <v>-1</v>
      </c>
      <c r="AH1754" s="90">
        <v>-1</v>
      </c>
      <c r="AI1754" s="90">
        <v>-1</v>
      </c>
      <c r="AJ1754" s="90">
        <v>0</v>
      </c>
      <c r="AM1754" s="90" t="s">
        <v>379</v>
      </c>
      <c r="AN1754" s="90">
        <v>-1</v>
      </c>
      <c r="AQ1754" s="90">
        <v>357</v>
      </c>
      <c r="AR1754" s="90" t="s">
        <v>405</v>
      </c>
      <c r="AS1754" s="90" t="s">
        <v>406</v>
      </c>
      <c r="AT1754" s="90" t="s">
        <v>244</v>
      </c>
      <c r="AU1754" s="90">
        <v>122.34610000000001</v>
      </c>
      <c r="AV1754" s="90">
        <v>110.611754042021</v>
      </c>
      <c r="AW1754" s="90">
        <v>522.58773418711098</v>
      </c>
      <c r="AX1754" s="90">
        <v>0.39837358859999999</v>
      </c>
    </row>
    <row r="1755" spans="1:50" x14ac:dyDescent="0.25">
      <c r="A1755" s="102">
        <v>830000</v>
      </c>
      <c r="B1755" s="102">
        <v>2400000</v>
      </c>
      <c r="C1755" s="102">
        <v>2500000</v>
      </c>
      <c r="D1755" s="90" t="s">
        <v>374</v>
      </c>
      <c r="E1755" s="90" t="s">
        <v>68</v>
      </c>
      <c r="F1755" s="90" t="s">
        <v>375</v>
      </c>
      <c r="G1755" s="90" t="s">
        <v>376</v>
      </c>
      <c r="H1755" s="90">
        <v>0.59</v>
      </c>
      <c r="I1755" s="90">
        <v>0.64</v>
      </c>
      <c r="J1755" s="90" t="s">
        <v>244</v>
      </c>
      <c r="K1755" s="90">
        <v>0.28159995945938998</v>
      </c>
      <c r="L1755" s="90">
        <v>3803.7520443416802</v>
      </c>
      <c r="M1755" s="90">
        <v>10.0774815754214</v>
      </c>
      <c r="N1755" s="90">
        <v>1.6135838525569699</v>
      </c>
      <c r="O1755" s="90">
        <v>2.8378184030914499</v>
      </c>
      <c r="P1755" s="90">
        <v>0.45438514746436998</v>
      </c>
      <c r="Q1755" s="90">
        <v>1071.1364214801999</v>
      </c>
      <c r="R1755" s="90">
        <v>1450</v>
      </c>
      <c r="S1755" s="90" t="s">
        <v>391</v>
      </c>
      <c r="T1755" s="90">
        <v>1450</v>
      </c>
      <c r="U1755" s="90" t="s">
        <v>378</v>
      </c>
      <c r="V1755" s="90" t="s">
        <v>244</v>
      </c>
      <c r="Z1755" s="90">
        <v>0</v>
      </c>
      <c r="AA1755" s="90">
        <v>1</v>
      </c>
      <c r="AB1755" s="90">
        <v>2.8378184030914499</v>
      </c>
      <c r="AC1755" s="90">
        <v>0.45438514746436998</v>
      </c>
      <c r="AD1755" s="90">
        <v>1071.1364214801999</v>
      </c>
      <c r="AF1755" s="90">
        <v>-1</v>
      </c>
      <c r="AG1755" s="90">
        <v>-1</v>
      </c>
      <c r="AH1755" s="90">
        <v>-1</v>
      </c>
      <c r="AI1755" s="90">
        <v>-1</v>
      </c>
      <c r="AJ1755" s="90">
        <v>0</v>
      </c>
      <c r="AM1755" s="90" t="s">
        <v>379</v>
      </c>
      <c r="AN1755" s="90">
        <v>-1</v>
      </c>
      <c r="AQ1755" s="90">
        <v>357</v>
      </c>
      <c r="AR1755" s="90" t="s">
        <v>405</v>
      </c>
      <c r="AS1755" s="90" t="s">
        <v>406</v>
      </c>
      <c r="AT1755" s="90" t="s">
        <v>244</v>
      </c>
      <c r="AU1755" s="90">
        <v>122.34610000000001</v>
      </c>
      <c r="AV1755" s="90">
        <v>145.73709010668199</v>
      </c>
      <c r="AW1755" s="90">
        <v>1139.5946044858199</v>
      </c>
      <c r="AX1755" s="90">
        <v>0.8687237806</v>
      </c>
    </row>
    <row r="1756" spans="1:50" x14ac:dyDescent="0.25">
      <c r="A1756" s="102">
        <v>840000</v>
      </c>
      <c r="B1756" s="102">
        <v>2400000</v>
      </c>
      <c r="C1756" s="102">
        <v>2400000</v>
      </c>
      <c r="D1756" s="90" t="s">
        <v>374</v>
      </c>
      <c r="E1756" s="90" t="s">
        <v>68</v>
      </c>
      <c r="F1756" s="90" t="s">
        <v>375</v>
      </c>
      <c r="G1756" s="90" t="s">
        <v>376</v>
      </c>
      <c r="H1756" s="90">
        <v>0.59</v>
      </c>
      <c r="I1756" s="90">
        <v>0.64</v>
      </c>
      <c r="J1756" s="90" t="s">
        <v>244</v>
      </c>
      <c r="K1756" s="90">
        <v>4.8284835071709997E-2</v>
      </c>
      <c r="L1756" s="90">
        <v>3811.3396671840001</v>
      </c>
      <c r="M1756" s="90">
        <v>9.6314439814663295</v>
      </c>
      <c r="N1756" s="90">
        <v>1.34660469972349</v>
      </c>
      <c r="O1756" s="90">
        <v>0.46505268414757001</v>
      </c>
      <c r="P1756" s="90">
        <v>6.502058583294E-2</v>
      </c>
      <c r="Q1756" s="90">
        <v>184.02990723226799</v>
      </c>
      <c r="R1756" s="90">
        <v>1300</v>
      </c>
      <c r="S1756" s="90" t="s">
        <v>387</v>
      </c>
      <c r="T1756" s="90">
        <v>1300</v>
      </c>
      <c r="U1756" s="90" t="s">
        <v>378</v>
      </c>
      <c r="V1756" s="90" t="s">
        <v>244</v>
      </c>
      <c r="Z1756" s="90">
        <v>0</v>
      </c>
      <c r="AA1756" s="90">
        <v>1</v>
      </c>
      <c r="AB1756" s="90">
        <v>0.46505268414757001</v>
      </c>
      <c r="AC1756" s="90">
        <v>6.502058583294E-2</v>
      </c>
      <c r="AD1756" s="90">
        <v>184.02990723226799</v>
      </c>
      <c r="AF1756" s="90">
        <v>-1</v>
      </c>
      <c r="AG1756" s="90">
        <v>-1</v>
      </c>
      <c r="AH1756" s="90">
        <v>-1</v>
      </c>
      <c r="AI1756" s="90">
        <v>-1</v>
      </c>
      <c r="AJ1756" s="90">
        <v>0</v>
      </c>
      <c r="AM1756" s="90" t="s">
        <v>379</v>
      </c>
      <c r="AN1756" s="90">
        <v>-1</v>
      </c>
      <c r="AQ1756" s="90">
        <v>357</v>
      </c>
      <c r="AR1756" s="90" t="s">
        <v>405</v>
      </c>
      <c r="AS1756" s="90" t="s">
        <v>406</v>
      </c>
      <c r="AT1756" s="90" t="s">
        <v>244</v>
      </c>
      <c r="AU1756" s="90">
        <v>122.34610000000001</v>
      </c>
      <c r="AV1756" s="90">
        <v>107.863184764756</v>
      </c>
      <c r="AW1756" s="90">
        <v>195.401794914498</v>
      </c>
      <c r="AX1756" s="90">
        <v>0.14925377719999999</v>
      </c>
    </row>
    <row r="1757" spans="1:50" x14ac:dyDescent="0.25">
      <c r="A1757" s="102">
        <v>840000</v>
      </c>
      <c r="B1757" s="102">
        <v>2400000</v>
      </c>
      <c r="C1757" s="102">
        <v>2400000</v>
      </c>
      <c r="D1757" s="90" t="s">
        <v>374</v>
      </c>
      <c r="E1757" s="90" t="s">
        <v>68</v>
      </c>
      <c r="F1757" s="90" t="s">
        <v>375</v>
      </c>
      <c r="G1757" s="90" t="s">
        <v>376</v>
      </c>
      <c r="H1757" s="90">
        <v>0.59</v>
      </c>
      <c r="I1757" s="90">
        <v>0.64</v>
      </c>
      <c r="J1757" s="90" t="s">
        <v>244</v>
      </c>
      <c r="K1757" s="90">
        <v>7.5796626507680001E-2</v>
      </c>
      <c r="L1757" s="90">
        <v>3811.3396671840001</v>
      </c>
      <c r="M1757" s="90">
        <v>9.6314439814663295</v>
      </c>
      <c r="N1757" s="90">
        <v>1.34660469972349</v>
      </c>
      <c r="O1757" s="90">
        <v>0.73003096219288999</v>
      </c>
      <c r="P1757" s="90">
        <v>0.10206809347843</v>
      </c>
      <c r="Q1757" s="90">
        <v>288.88668924746997</v>
      </c>
      <c r="R1757" s="90">
        <v>1400</v>
      </c>
      <c r="S1757" s="90" t="s">
        <v>324</v>
      </c>
      <c r="T1757" s="90">
        <v>1400</v>
      </c>
      <c r="U1757" s="90" t="s">
        <v>378</v>
      </c>
      <c r="V1757" s="90" t="s">
        <v>244</v>
      </c>
      <c r="Z1757" s="90">
        <v>0</v>
      </c>
      <c r="AA1757" s="90">
        <v>1</v>
      </c>
      <c r="AB1757" s="90">
        <v>0.73003096219288999</v>
      </c>
      <c r="AC1757" s="90">
        <v>0.10206809347843</v>
      </c>
      <c r="AD1757" s="90">
        <v>716.31790617111596</v>
      </c>
      <c r="AF1757" s="90">
        <v>-1</v>
      </c>
      <c r="AG1757" s="90">
        <v>-1</v>
      </c>
      <c r="AH1757" s="90">
        <v>-1</v>
      </c>
      <c r="AI1757" s="90">
        <v>-1</v>
      </c>
      <c r="AJ1757" s="90">
        <v>0</v>
      </c>
      <c r="AM1757" s="90" t="s">
        <v>379</v>
      </c>
      <c r="AN1757" s="90">
        <v>-1</v>
      </c>
      <c r="AQ1757" s="90">
        <v>357</v>
      </c>
      <c r="AR1757" s="90" t="s">
        <v>405</v>
      </c>
      <c r="AS1757" s="90" t="s">
        <v>406</v>
      </c>
      <c r="AT1757" s="90" t="s">
        <v>244</v>
      </c>
      <c r="AU1757" s="90">
        <v>122.34610000000001</v>
      </c>
      <c r="AV1757" s="90">
        <v>111.58420799756399</v>
      </c>
      <c r="AW1757" s="90">
        <v>306.73806477887803</v>
      </c>
      <c r="AX1757" s="90">
        <v>0.58095531730000005</v>
      </c>
    </row>
    <row r="1758" spans="1:50" x14ac:dyDescent="0.25">
      <c r="A1758" s="102">
        <v>840000</v>
      </c>
      <c r="B1758" s="102">
        <v>2400000</v>
      </c>
      <c r="C1758" s="102">
        <v>2400000</v>
      </c>
      <c r="D1758" s="90" t="s">
        <v>374</v>
      </c>
      <c r="E1758" s="90" t="s">
        <v>68</v>
      </c>
      <c r="F1758" s="90" t="s">
        <v>375</v>
      </c>
      <c r="G1758" s="90" t="s">
        <v>376</v>
      </c>
      <c r="H1758" s="90">
        <v>0.59</v>
      </c>
      <c r="I1758" s="90">
        <v>0.64</v>
      </c>
      <c r="J1758" s="90" t="s">
        <v>244</v>
      </c>
      <c r="K1758" s="90">
        <v>1.6394360742499999E-2</v>
      </c>
      <c r="L1758" s="90">
        <v>3811.3396671840001</v>
      </c>
      <c r="M1758" s="90">
        <v>9.6314439814663295</v>
      </c>
      <c r="N1758" s="90">
        <v>1.34660469972349</v>
      </c>
      <c r="O1758" s="90">
        <v>0.15790136710336999</v>
      </c>
      <c r="P1758" s="90">
        <v>2.207672322481E-2</v>
      </c>
      <c r="Q1758" s="90">
        <v>62.484477416029698</v>
      </c>
      <c r="R1758" s="90">
        <v>1300</v>
      </c>
      <c r="S1758" s="90" t="s">
        <v>387</v>
      </c>
      <c r="T1758" s="90">
        <v>1300</v>
      </c>
      <c r="U1758" s="90" t="s">
        <v>378</v>
      </c>
      <c r="V1758" s="90" t="s">
        <v>244</v>
      </c>
      <c r="Z1758" s="90">
        <v>0</v>
      </c>
      <c r="AA1758" s="90">
        <v>1</v>
      </c>
      <c r="AB1758" s="90">
        <v>0.15790136710336999</v>
      </c>
      <c r="AC1758" s="90">
        <v>2.207672322481E-2</v>
      </c>
      <c r="AD1758" s="90">
        <v>62.484477416030799</v>
      </c>
      <c r="AF1758" s="90">
        <v>-1</v>
      </c>
      <c r="AG1758" s="90">
        <v>-1</v>
      </c>
      <c r="AH1758" s="90">
        <v>-1</v>
      </c>
      <c r="AI1758" s="90">
        <v>-1</v>
      </c>
      <c r="AJ1758" s="90">
        <v>0</v>
      </c>
      <c r="AM1758" s="90" t="s">
        <v>379</v>
      </c>
      <c r="AN1758" s="90">
        <v>-1</v>
      </c>
      <c r="AQ1758" s="90">
        <v>357</v>
      </c>
      <c r="AR1758" s="90" t="s">
        <v>405</v>
      </c>
      <c r="AS1758" s="90" t="s">
        <v>406</v>
      </c>
      <c r="AT1758" s="90" t="s">
        <v>244</v>
      </c>
      <c r="AU1758" s="90">
        <v>122.34610000000001</v>
      </c>
      <c r="AV1758" s="90">
        <v>102.67256190853</v>
      </c>
      <c r="AW1758" s="90">
        <v>66.345624061946097</v>
      </c>
      <c r="AX1758" s="90">
        <v>5.0676786199999997E-2</v>
      </c>
    </row>
    <row r="1759" spans="1:50" x14ac:dyDescent="0.25">
      <c r="A1759" s="102">
        <v>840000</v>
      </c>
      <c r="B1759" s="102">
        <v>2400000</v>
      </c>
      <c r="C1759" s="102">
        <v>2400000</v>
      </c>
      <c r="D1759" s="90" t="s">
        <v>374</v>
      </c>
      <c r="E1759" s="90" t="s">
        <v>68</v>
      </c>
      <c r="F1759" s="90" t="s">
        <v>375</v>
      </c>
      <c r="G1759" s="90" t="s">
        <v>376</v>
      </c>
      <c r="H1759" s="90">
        <v>0.59</v>
      </c>
      <c r="I1759" s="90">
        <v>0.64</v>
      </c>
      <c r="J1759" s="90" t="s">
        <v>244</v>
      </c>
      <c r="K1759" s="90">
        <v>3.4539459187599999E-3</v>
      </c>
      <c r="L1759" s="90">
        <v>3666.8022040303799</v>
      </c>
      <c r="M1759" s="90">
        <v>9.1449516373431603</v>
      </c>
      <c r="N1759" s="90">
        <v>1.3451366194457399</v>
      </c>
      <c r="O1759" s="90">
        <v>3.1586168385120003E-2</v>
      </c>
      <c r="P1759" s="90">
        <v>4.6460291369100001E-3</v>
      </c>
      <c r="Q1759" s="90">
        <v>12.664936507536501</v>
      </c>
      <c r="R1759" s="90">
        <v>1200</v>
      </c>
      <c r="S1759" s="90" t="s">
        <v>384</v>
      </c>
      <c r="T1759" s="90">
        <v>1200</v>
      </c>
      <c r="U1759" s="90" t="s">
        <v>378</v>
      </c>
      <c r="V1759" s="90" t="s">
        <v>244</v>
      </c>
      <c r="Z1759" s="90">
        <v>0</v>
      </c>
      <c r="AA1759" s="90">
        <v>1</v>
      </c>
      <c r="AB1759" s="90">
        <v>3.1586168385120003E-2</v>
      </c>
      <c r="AC1759" s="90">
        <v>4.6460291369100001E-3</v>
      </c>
      <c r="AD1759" s="90">
        <v>295.01343158544898</v>
      </c>
      <c r="AF1759" s="90">
        <v>-1</v>
      </c>
      <c r="AG1759" s="90">
        <v>-1</v>
      </c>
      <c r="AH1759" s="90">
        <v>-1</v>
      </c>
      <c r="AI1759" s="90">
        <v>-1</v>
      </c>
      <c r="AJ1759" s="90">
        <v>0</v>
      </c>
      <c r="AM1759" s="90" t="s">
        <v>379</v>
      </c>
      <c r="AN1759" s="90">
        <v>-1</v>
      </c>
      <c r="AQ1759" s="90">
        <v>357</v>
      </c>
      <c r="AR1759" s="90" t="s">
        <v>405</v>
      </c>
      <c r="AS1759" s="90" t="s">
        <v>406</v>
      </c>
      <c r="AT1759" s="90" t="s">
        <v>244</v>
      </c>
      <c r="AU1759" s="90">
        <v>122.34610000000001</v>
      </c>
      <c r="AV1759" s="90">
        <v>33.462285940222998</v>
      </c>
      <c r="AW1759" s="90">
        <v>13.9776232239852</v>
      </c>
      <c r="AX1759" s="90">
        <v>0.23926474580000001</v>
      </c>
    </row>
    <row r="1760" spans="1:50" x14ac:dyDescent="0.25">
      <c r="A1760" s="102">
        <v>840000</v>
      </c>
      <c r="B1760" s="102">
        <v>2400000</v>
      </c>
      <c r="C1760" s="102">
        <v>2400000</v>
      </c>
      <c r="D1760" s="90" t="s">
        <v>374</v>
      </c>
      <c r="E1760" s="90" t="s">
        <v>68</v>
      </c>
      <c r="F1760" s="90" t="s">
        <v>375</v>
      </c>
      <c r="G1760" s="90" t="s">
        <v>376</v>
      </c>
      <c r="H1760" s="90">
        <v>0.59</v>
      </c>
      <c r="I1760" s="90">
        <v>0.64</v>
      </c>
      <c r="J1760" s="90" t="s">
        <v>244</v>
      </c>
      <c r="K1760" s="90">
        <v>1.7019980260579999E-2</v>
      </c>
      <c r="L1760" s="90">
        <v>3731.9231298561599</v>
      </c>
      <c r="M1760" s="90">
        <v>9.4700604874153598</v>
      </c>
      <c r="N1760" s="90">
        <v>1.6773109885088899</v>
      </c>
      <c r="O1760" s="90">
        <v>0.16118024256238001</v>
      </c>
      <c r="P1760" s="90">
        <v>2.854779991528E-2</v>
      </c>
      <c r="Q1760" s="90">
        <v>63.517258004183702</v>
      </c>
      <c r="R1760" s="90">
        <v>1300</v>
      </c>
      <c r="S1760" s="90" t="s">
        <v>387</v>
      </c>
      <c r="T1760" s="90">
        <v>1300</v>
      </c>
      <c r="U1760" s="90" t="s">
        <v>378</v>
      </c>
      <c r="V1760" s="90" t="s">
        <v>244</v>
      </c>
      <c r="Z1760" s="90">
        <v>0</v>
      </c>
      <c r="AA1760" s="90">
        <v>1</v>
      </c>
      <c r="AB1760" s="90">
        <v>0.16118024256238001</v>
      </c>
      <c r="AC1760" s="90">
        <v>2.854779991528E-2</v>
      </c>
      <c r="AD1760" s="90">
        <v>343.33639414929701</v>
      </c>
      <c r="AF1760" s="90">
        <v>-1</v>
      </c>
      <c r="AG1760" s="90">
        <v>-1</v>
      </c>
      <c r="AH1760" s="90">
        <v>-1</v>
      </c>
      <c r="AI1760" s="90">
        <v>-1</v>
      </c>
      <c r="AJ1760" s="90">
        <v>0</v>
      </c>
      <c r="AM1760" s="90" t="s">
        <v>379</v>
      </c>
      <c r="AN1760" s="90">
        <v>-1</v>
      </c>
      <c r="AQ1760" s="90">
        <v>357</v>
      </c>
      <c r="AR1760" s="90" t="s">
        <v>405</v>
      </c>
      <c r="AS1760" s="90" t="s">
        <v>406</v>
      </c>
      <c r="AT1760" s="90" t="s">
        <v>244</v>
      </c>
      <c r="AU1760" s="90">
        <v>122.34610000000001</v>
      </c>
      <c r="AV1760" s="90">
        <v>50.9034400315157</v>
      </c>
      <c r="AW1760" s="90">
        <v>68.877416426680497</v>
      </c>
      <c r="AX1760" s="90">
        <v>0.27845611850000002</v>
      </c>
    </row>
    <row r="1761" spans="1:50" x14ac:dyDescent="0.25">
      <c r="A1761" s="102">
        <v>840000</v>
      </c>
      <c r="B1761" s="102">
        <v>2400000</v>
      </c>
      <c r="C1761" s="102">
        <v>2400000</v>
      </c>
      <c r="D1761" s="90" t="s">
        <v>374</v>
      </c>
      <c r="E1761" s="90" t="s">
        <v>68</v>
      </c>
      <c r="F1761" s="90" t="s">
        <v>375</v>
      </c>
      <c r="G1761" s="90" t="s">
        <v>376</v>
      </c>
      <c r="H1761" s="90">
        <v>0.59</v>
      </c>
      <c r="I1761" s="90">
        <v>0.64</v>
      </c>
      <c r="J1761" s="90" t="s">
        <v>244</v>
      </c>
      <c r="K1761" s="90">
        <v>0.20326367069576001</v>
      </c>
      <c r="L1761" s="90">
        <v>3731.9231298561599</v>
      </c>
      <c r="M1761" s="90">
        <v>9.4700604874153598</v>
      </c>
      <c r="N1761" s="90">
        <v>1.6773109885088899</v>
      </c>
      <c r="O1761" s="90">
        <v>1.92491925638295</v>
      </c>
      <c r="P1761" s="90">
        <v>0.34093638842265001</v>
      </c>
      <c r="Q1761" s="90">
        <v>758.56439412898499</v>
      </c>
      <c r="R1761" s="90">
        <v>1300</v>
      </c>
      <c r="S1761" s="90" t="s">
        <v>387</v>
      </c>
      <c r="T1761" s="90">
        <v>1300</v>
      </c>
      <c r="U1761" s="90" t="s">
        <v>378</v>
      </c>
      <c r="V1761" s="90" t="s">
        <v>244</v>
      </c>
      <c r="Z1761" s="90">
        <v>0</v>
      </c>
      <c r="AA1761" s="90">
        <v>1</v>
      </c>
      <c r="AB1761" s="90">
        <v>1.92491925638295</v>
      </c>
      <c r="AC1761" s="90">
        <v>0.34093638842265001</v>
      </c>
      <c r="AD1761" s="90">
        <v>1123.3686635310701</v>
      </c>
      <c r="AF1761" s="90">
        <v>-1</v>
      </c>
      <c r="AG1761" s="90">
        <v>-1</v>
      </c>
      <c r="AH1761" s="90">
        <v>-1</v>
      </c>
      <c r="AI1761" s="90">
        <v>-1</v>
      </c>
      <c r="AJ1761" s="90">
        <v>0</v>
      </c>
      <c r="AM1761" s="90" t="s">
        <v>379</v>
      </c>
      <c r="AN1761" s="90">
        <v>-1</v>
      </c>
      <c r="AQ1761" s="90">
        <v>357</v>
      </c>
      <c r="AR1761" s="90" t="s">
        <v>405</v>
      </c>
      <c r="AS1761" s="90" t="s">
        <v>406</v>
      </c>
      <c r="AT1761" s="90" t="s">
        <v>244</v>
      </c>
      <c r="AU1761" s="90">
        <v>122.34610000000001</v>
      </c>
      <c r="AV1761" s="90">
        <v>117.29388473674901</v>
      </c>
      <c r="AW1761" s="90">
        <v>822.578891195746</v>
      </c>
      <c r="AX1761" s="90">
        <v>0.91108569630000003</v>
      </c>
    </row>
    <row r="1762" spans="1:50" x14ac:dyDescent="0.25">
      <c r="A1762" s="102">
        <v>840000</v>
      </c>
      <c r="B1762" s="102">
        <v>2400000</v>
      </c>
      <c r="C1762" s="102">
        <v>2400000</v>
      </c>
      <c r="D1762" s="90" t="s">
        <v>374</v>
      </c>
      <c r="E1762" s="90" t="s">
        <v>68</v>
      </c>
      <c r="F1762" s="90" t="s">
        <v>375</v>
      </c>
      <c r="G1762" s="90" t="s">
        <v>376</v>
      </c>
      <c r="H1762" s="90">
        <v>0.59</v>
      </c>
      <c r="I1762" s="90">
        <v>0.64</v>
      </c>
      <c r="J1762" s="90" t="s">
        <v>244</v>
      </c>
      <c r="K1762" s="90">
        <v>9.5947657563649993E-2</v>
      </c>
      <c r="L1762" s="90">
        <v>3688.82269287901</v>
      </c>
      <c r="M1762" s="90">
        <v>10.525515615222901</v>
      </c>
      <c r="N1762" s="90">
        <v>1.9529015761409201</v>
      </c>
      <c r="O1762" s="90">
        <v>1.0098985679302901</v>
      </c>
      <c r="P1762" s="90">
        <v>0.18737633168307999</v>
      </c>
      <c r="Q1762" s="90">
        <v>353.93389654938801</v>
      </c>
      <c r="R1762" s="90">
        <v>1300</v>
      </c>
      <c r="S1762" s="90" t="s">
        <v>387</v>
      </c>
      <c r="T1762" s="90">
        <v>1300</v>
      </c>
      <c r="U1762" s="90" t="s">
        <v>378</v>
      </c>
      <c r="V1762" s="90" t="s">
        <v>244</v>
      </c>
      <c r="Z1762" s="90">
        <v>0</v>
      </c>
      <c r="AA1762" s="90">
        <v>1</v>
      </c>
      <c r="AB1762" s="90">
        <v>1.0098985679302901</v>
      </c>
      <c r="AC1762" s="90">
        <v>0.18737633168307999</v>
      </c>
      <c r="AD1762" s="90">
        <v>782.205770644626</v>
      </c>
      <c r="AF1762" s="90">
        <v>-1</v>
      </c>
      <c r="AG1762" s="90">
        <v>-1</v>
      </c>
      <c r="AH1762" s="90">
        <v>-1</v>
      </c>
      <c r="AI1762" s="90">
        <v>-1</v>
      </c>
      <c r="AJ1762" s="90">
        <v>0</v>
      </c>
      <c r="AM1762" s="90" t="s">
        <v>379</v>
      </c>
      <c r="AN1762" s="90">
        <v>-1</v>
      </c>
      <c r="AQ1762" s="90">
        <v>357</v>
      </c>
      <c r="AR1762" s="90" t="s">
        <v>405</v>
      </c>
      <c r="AS1762" s="90" t="s">
        <v>406</v>
      </c>
      <c r="AT1762" s="90" t="s">
        <v>244</v>
      </c>
      <c r="AU1762" s="90">
        <v>122.34610000000001</v>
      </c>
      <c r="AV1762" s="90">
        <v>88.495204632274195</v>
      </c>
      <c r="AW1762" s="90">
        <v>388.28639422570501</v>
      </c>
      <c r="AX1762" s="90">
        <v>0.63439235250000003</v>
      </c>
    </row>
    <row r="1763" spans="1:50" x14ac:dyDescent="0.25">
      <c r="A1763" s="102">
        <v>840000</v>
      </c>
      <c r="B1763" s="102">
        <v>2400000</v>
      </c>
      <c r="C1763" s="102">
        <v>2400000</v>
      </c>
      <c r="D1763" s="90" t="s">
        <v>374</v>
      </c>
      <c r="E1763" s="90" t="s">
        <v>68</v>
      </c>
      <c r="F1763" s="90" t="s">
        <v>375</v>
      </c>
      <c r="G1763" s="90" t="s">
        <v>376</v>
      </c>
      <c r="H1763" s="90">
        <v>0.59</v>
      </c>
      <c r="I1763" s="90">
        <v>0.64</v>
      </c>
      <c r="J1763" s="90" t="s">
        <v>244</v>
      </c>
      <c r="K1763" s="90">
        <v>4.2216600718450001E-2</v>
      </c>
      <c r="L1763" s="90">
        <v>3688.82269287901</v>
      </c>
      <c r="M1763" s="90">
        <v>10.525515615222901</v>
      </c>
      <c r="N1763" s="90">
        <v>1.9529015761409201</v>
      </c>
      <c r="O1763" s="90">
        <v>0.44435149008376001</v>
      </c>
      <c r="P1763" s="90">
        <v>8.2444866082379997E-2</v>
      </c>
      <c r="Q1763" s="90">
        <v>155.72955474646</v>
      </c>
      <c r="R1763" s="90">
        <v>1890</v>
      </c>
      <c r="S1763" s="90" t="s">
        <v>408</v>
      </c>
      <c r="T1763" s="90">
        <v>1890</v>
      </c>
      <c r="U1763" s="90" t="s">
        <v>378</v>
      </c>
      <c r="V1763" s="90" t="s">
        <v>244</v>
      </c>
      <c r="Z1763" s="90">
        <v>0</v>
      </c>
      <c r="AA1763" s="90">
        <v>1</v>
      </c>
      <c r="AB1763" s="90">
        <v>0.44435149008376001</v>
      </c>
      <c r="AC1763" s="90">
        <v>8.2444866082379997E-2</v>
      </c>
      <c r="AD1763" s="90">
        <v>504.22716827446601</v>
      </c>
      <c r="AF1763" s="90">
        <v>-1</v>
      </c>
      <c r="AG1763" s="90">
        <v>-1</v>
      </c>
      <c r="AH1763" s="90">
        <v>-1</v>
      </c>
      <c r="AI1763" s="90">
        <v>-1</v>
      </c>
      <c r="AJ1763" s="90">
        <v>0</v>
      </c>
      <c r="AM1763" s="90" t="s">
        <v>379</v>
      </c>
      <c r="AN1763" s="90">
        <v>-1</v>
      </c>
      <c r="AQ1763" s="90">
        <v>357</v>
      </c>
      <c r="AR1763" s="90" t="s">
        <v>405</v>
      </c>
      <c r="AS1763" s="90" t="s">
        <v>406</v>
      </c>
      <c r="AT1763" s="90" t="s">
        <v>244</v>
      </c>
      <c r="AU1763" s="90">
        <v>122.34610000000001</v>
      </c>
      <c r="AV1763" s="90">
        <v>55.024526060299003</v>
      </c>
      <c r="AW1763" s="90">
        <v>170.844521749389</v>
      </c>
      <c r="AX1763" s="90">
        <v>0.40894336440000001</v>
      </c>
    </row>
    <row r="1764" spans="1:50" x14ac:dyDescent="0.25">
      <c r="A1764" s="102">
        <v>840000</v>
      </c>
      <c r="B1764" s="102">
        <v>2400000</v>
      </c>
      <c r="C1764" s="102">
        <v>2400000</v>
      </c>
      <c r="D1764" s="90" t="s">
        <v>374</v>
      </c>
      <c r="E1764" s="90" t="s">
        <v>68</v>
      </c>
      <c r="F1764" s="90" t="s">
        <v>375</v>
      </c>
      <c r="G1764" s="90" t="s">
        <v>376</v>
      </c>
      <c r="H1764" s="90">
        <v>0.59</v>
      </c>
      <c r="I1764" s="90">
        <v>0.64</v>
      </c>
      <c r="J1764" s="90" t="s">
        <v>244</v>
      </c>
      <c r="K1764" s="90">
        <v>9.2888995204869998E-2</v>
      </c>
      <c r="L1764" s="90">
        <v>3664.1173325240802</v>
      </c>
      <c r="M1764" s="90">
        <v>9.1385963512820201</v>
      </c>
      <c r="N1764" s="90">
        <v>1.3442133882686</v>
      </c>
      <c r="O1764" s="90">
        <v>0.84887503265356001</v>
      </c>
      <c r="P1764" s="90">
        <v>0.12486263097721</v>
      </c>
      <c r="Q1764" s="90">
        <v>340.35617733094301</v>
      </c>
      <c r="R1764" s="90">
        <v>1200</v>
      </c>
      <c r="S1764" s="90" t="s">
        <v>384</v>
      </c>
      <c r="T1764" s="90">
        <v>1200</v>
      </c>
      <c r="U1764" s="90" t="s">
        <v>378</v>
      </c>
      <c r="V1764" s="90" t="s">
        <v>244</v>
      </c>
      <c r="Z1764" s="90">
        <v>0</v>
      </c>
      <c r="AA1764" s="90">
        <v>1</v>
      </c>
      <c r="AB1764" s="90">
        <v>0.84887503265356001</v>
      </c>
      <c r="AC1764" s="90">
        <v>0.12486263097721</v>
      </c>
      <c r="AD1764" s="90">
        <v>399.68584847866401</v>
      </c>
      <c r="AF1764" s="90">
        <v>-1</v>
      </c>
      <c r="AG1764" s="90">
        <v>-1</v>
      </c>
      <c r="AH1764" s="90">
        <v>-1</v>
      </c>
      <c r="AI1764" s="90">
        <v>-1</v>
      </c>
      <c r="AJ1764" s="90">
        <v>0</v>
      </c>
      <c r="AM1764" s="90" t="s">
        <v>379</v>
      </c>
      <c r="AN1764" s="90">
        <v>-1</v>
      </c>
      <c r="AQ1764" s="90">
        <v>357</v>
      </c>
      <c r="AR1764" s="90" t="s">
        <v>405</v>
      </c>
      <c r="AS1764" s="90" t="s">
        <v>406</v>
      </c>
      <c r="AT1764" s="90" t="s">
        <v>244</v>
      </c>
      <c r="AU1764" s="90">
        <v>122.34610000000001</v>
      </c>
      <c r="AV1764" s="90">
        <v>114.37960549552299</v>
      </c>
      <c r="AW1764" s="90">
        <v>375.908426815148</v>
      </c>
      <c r="AX1764" s="90">
        <v>0.32415721689999999</v>
      </c>
    </row>
    <row r="1765" spans="1:50" x14ac:dyDescent="0.25">
      <c r="A1765" s="102">
        <v>840000</v>
      </c>
      <c r="B1765" s="102">
        <v>2400000</v>
      </c>
      <c r="C1765" s="102">
        <v>2400000</v>
      </c>
      <c r="D1765" s="90" t="s">
        <v>374</v>
      </c>
      <c r="E1765" s="90" t="s">
        <v>68</v>
      </c>
      <c r="F1765" s="90" t="s">
        <v>375</v>
      </c>
      <c r="G1765" s="90" t="s">
        <v>376</v>
      </c>
      <c r="H1765" s="90">
        <v>0.59</v>
      </c>
      <c r="I1765" s="90">
        <v>0.64</v>
      </c>
      <c r="J1765" s="90" t="s">
        <v>244</v>
      </c>
      <c r="K1765" s="90">
        <v>6.0490922584600003E-2</v>
      </c>
      <c r="L1765" s="90">
        <v>3664.1173325240802</v>
      </c>
      <c r="M1765" s="90">
        <v>9.1385963512820201</v>
      </c>
      <c r="N1765" s="90">
        <v>1.3442133882686</v>
      </c>
      <c r="O1765" s="90">
        <v>0.55280212441734</v>
      </c>
      <c r="P1765" s="90">
        <v>8.1312708006940002E-2</v>
      </c>
      <c r="Q1765" s="90">
        <v>221.64583790262</v>
      </c>
      <c r="R1765" s="90">
        <v>1210</v>
      </c>
      <c r="S1765" s="90" t="s">
        <v>385</v>
      </c>
      <c r="T1765" s="90">
        <v>1210</v>
      </c>
      <c r="U1765" s="90" t="s">
        <v>378</v>
      </c>
      <c r="V1765" s="90" t="s">
        <v>244</v>
      </c>
      <c r="Z1765" s="90">
        <v>0</v>
      </c>
      <c r="AA1765" s="90">
        <v>1</v>
      </c>
      <c r="AB1765" s="90">
        <v>0.55280212441734</v>
      </c>
      <c r="AC1765" s="90">
        <v>8.1312708006940002E-2</v>
      </c>
      <c r="AD1765" s="90">
        <v>598.77546409358399</v>
      </c>
      <c r="AF1765" s="90">
        <v>-1</v>
      </c>
      <c r="AG1765" s="90">
        <v>-1</v>
      </c>
      <c r="AH1765" s="90">
        <v>-1</v>
      </c>
      <c r="AI1765" s="90">
        <v>-1</v>
      </c>
      <c r="AJ1765" s="90">
        <v>0</v>
      </c>
      <c r="AM1765" s="90" t="s">
        <v>379</v>
      </c>
      <c r="AN1765" s="90">
        <v>-1</v>
      </c>
      <c r="AQ1765" s="90">
        <v>357</v>
      </c>
      <c r="AR1765" s="90" t="s">
        <v>405</v>
      </c>
      <c r="AS1765" s="90" t="s">
        <v>406</v>
      </c>
      <c r="AT1765" s="90" t="s">
        <v>244</v>
      </c>
      <c r="AU1765" s="90">
        <v>122.34610000000001</v>
      </c>
      <c r="AV1765" s="90">
        <v>63.315458347108901</v>
      </c>
      <c r="AW1765" s="90">
        <v>244.79807855840599</v>
      </c>
      <c r="AX1765" s="90">
        <v>0.4856248695</v>
      </c>
    </row>
    <row r="1766" spans="1:50" x14ac:dyDescent="0.25">
      <c r="A1766" s="102">
        <v>840000</v>
      </c>
      <c r="B1766" s="102">
        <v>2400000</v>
      </c>
      <c r="C1766" s="102">
        <v>2400000</v>
      </c>
      <c r="D1766" s="90" t="s">
        <v>374</v>
      </c>
      <c r="E1766" s="90" t="s">
        <v>68</v>
      </c>
      <c r="F1766" s="90" t="s">
        <v>375</v>
      </c>
      <c r="G1766" s="90" t="s">
        <v>376</v>
      </c>
      <c r="H1766" s="90">
        <v>0.59</v>
      </c>
      <c r="I1766" s="90">
        <v>0.64</v>
      </c>
      <c r="J1766" s="90" t="s">
        <v>244</v>
      </c>
      <c r="K1766" s="90">
        <v>9.2691749198390003E-2</v>
      </c>
      <c r="L1766" s="90">
        <v>3664.1173325240802</v>
      </c>
      <c r="M1766" s="90">
        <v>9.1385963512820201</v>
      </c>
      <c r="N1766" s="90">
        <v>1.3442133882686</v>
      </c>
      <c r="O1766" s="90">
        <v>0.84707248101840005</v>
      </c>
      <c r="P1766" s="90">
        <v>0.12459749025451</v>
      </c>
      <c r="Q1766" s="90">
        <v>339.63344481981397</v>
      </c>
      <c r="R1766" s="90">
        <v>1210</v>
      </c>
      <c r="S1766" s="90" t="s">
        <v>385</v>
      </c>
      <c r="T1766" s="90">
        <v>1210</v>
      </c>
      <c r="U1766" s="90" t="s">
        <v>378</v>
      </c>
      <c r="V1766" s="90" t="s">
        <v>244</v>
      </c>
      <c r="Z1766" s="90">
        <v>0</v>
      </c>
      <c r="AA1766" s="90">
        <v>1</v>
      </c>
      <c r="AB1766" s="90">
        <v>0.84707248101840005</v>
      </c>
      <c r="AC1766" s="90">
        <v>0.12459749025451</v>
      </c>
      <c r="AD1766" s="90">
        <v>858.05478562260305</v>
      </c>
      <c r="AF1766" s="90">
        <v>-1</v>
      </c>
      <c r="AG1766" s="90">
        <v>-1</v>
      </c>
      <c r="AH1766" s="90">
        <v>-1</v>
      </c>
      <c r="AI1766" s="90">
        <v>-1</v>
      </c>
      <c r="AJ1766" s="90">
        <v>0</v>
      </c>
      <c r="AM1766" s="90" t="s">
        <v>379</v>
      </c>
      <c r="AN1766" s="90">
        <v>-1</v>
      </c>
      <c r="AQ1766" s="90">
        <v>357</v>
      </c>
      <c r="AR1766" s="90" t="s">
        <v>405</v>
      </c>
      <c r="AS1766" s="90" t="s">
        <v>406</v>
      </c>
      <c r="AT1766" s="90" t="s">
        <v>244</v>
      </c>
      <c r="AU1766" s="90">
        <v>122.34610000000001</v>
      </c>
      <c r="AV1766" s="90">
        <v>80.7331828076682</v>
      </c>
      <c r="AW1766" s="90">
        <v>375.11020054701299</v>
      </c>
      <c r="AX1766" s="90">
        <v>0.69590817969999996</v>
      </c>
    </row>
    <row r="1767" spans="1:50" x14ac:dyDescent="0.25">
      <c r="A1767" s="102">
        <v>840000</v>
      </c>
      <c r="B1767" s="102">
        <v>2400000</v>
      </c>
      <c r="C1767" s="102">
        <v>2400000</v>
      </c>
      <c r="D1767" s="90" t="s">
        <v>374</v>
      </c>
      <c r="E1767" s="90" t="s">
        <v>68</v>
      </c>
      <c r="F1767" s="90" t="s">
        <v>375</v>
      </c>
      <c r="G1767" s="90" t="s">
        <v>376</v>
      </c>
      <c r="H1767" s="90">
        <v>0.59</v>
      </c>
      <c r="I1767" s="90">
        <v>0.64</v>
      </c>
      <c r="J1767" s="90" t="s">
        <v>244</v>
      </c>
      <c r="K1767" s="90">
        <v>1.8886991878719998E-2</v>
      </c>
      <c r="L1767" s="90">
        <v>3664.1173325240802</v>
      </c>
      <c r="M1767" s="90">
        <v>9.1385963512820201</v>
      </c>
      <c r="N1767" s="90">
        <v>1.3442133882686</v>
      </c>
      <c r="O1767" s="90">
        <v>0.17260059506962999</v>
      </c>
      <c r="P1767" s="90">
        <v>2.5388147347500001E-2</v>
      </c>
      <c r="Q1767" s="90">
        <v>69.204154302088796</v>
      </c>
      <c r="R1767" s="90">
        <v>1210</v>
      </c>
      <c r="S1767" s="90" t="s">
        <v>385</v>
      </c>
      <c r="T1767" s="90">
        <v>1210</v>
      </c>
      <c r="U1767" s="90" t="s">
        <v>378</v>
      </c>
      <c r="V1767" s="90" t="s">
        <v>244</v>
      </c>
      <c r="Z1767" s="90">
        <v>0</v>
      </c>
      <c r="AA1767" s="90">
        <v>1</v>
      </c>
      <c r="AB1767" s="90">
        <v>0.17260059506962999</v>
      </c>
      <c r="AC1767" s="90">
        <v>2.5388147347500001E-2</v>
      </c>
      <c r="AD1767" s="90">
        <v>213.66307521665499</v>
      </c>
      <c r="AF1767" s="90">
        <v>-1</v>
      </c>
      <c r="AG1767" s="90">
        <v>-1</v>
      </c>
      <c r="AH1767" s="90">
        <v>-1</v>
      </c>
      <c r="AI1767" s="90">
        <v>-1</v>
      </c>
      <c r="AJ1767" s="90">
        <v>0</v>
      </c>
      <c r="AM1767" s="90" t="s">
        <v>379</v>
      </c>
      <c r="AN1767" s="90">
        <v>-1</v>
      </c>
      <c r="AQ1767" s="90">
        <v>357</v>
      </c>
      <c r="AR1767" s="90" t="s">
        <v>405</v>
      </c>
      <c r="AS1767" s="90" t="s">
        <v>406</v>
      </c>
      <c r="AT1767" s="90" t="s">
        <v>244</v>
      </c>
      <c r="AU1767" s="90">
        <v>122.34610000000001</v>
      </c>
      <c r="AV1767" s="90">
        <v>39.965570937179599</v>
      </c>
      <c r="AW1767" s="90">
        <v>76.432944384245701</v>
      </c>
      <c r="AX1767" s="90">
        <v>0.17328716559999999</v>
      </c>
    </row>
    <row r="1768" spans="1:50" x14ac:dyDescent="0.25">
      <c r="A1768" s="102">
        <v>840000</v>
      </c>
      <c r="B1768" s="102">
        <v>2400000</v>
      </c>
      <c r="C1768" s="102">
        <v>2400000</v>
      </c>
      <c r="D1768" s="90" t="s">
        <v>374</v>
      </c>
      <c r="E1768" s="90" t="s">
        <v>68</v>
      </c>
      <c r="F1768" s="90" t="s">
        <v>375</v>
      </c>
      <c r="G1768" s="90" t="s">
        <v>376</v>
      </c>
      <c r="H1768" s="90">
        <v>0.59</v>
      </c>
      <c r="I1768" s="90">
        <v>0.64</v>
      </c>
      <c r="J1768" s="90" t="s">
        <v>244</v>
      </c>
      <c r="K1768" s="90">
        <v>0.20135543570573999</v>
      </c>
      <c r="L1768" s="90">
        <v>3710.45435828987</v>
      </c>
      <c r="M1768" s="90">
        <v>11.727572462558999</v>
      </c>
      <c r="N1768" s="90">
        <v>2.3820605535641599</v>
      </c>
      <c r="O1768" s="90">
        <v>2.3614104629693098</v>
      </c>
      <c r="P1768" s="90">
        <v>0.47964084064037998</v>
      </c>
      <c r="Q1768" s="90">
        <v>747.12015397974903</v>
      </c>
      <c r="R1768" s="90">
        <v>1300</v>
      </c>
      <c r="S1768" s="90" t="s">
        <v>387</v>
      </c>
      <c r="T1768" s="90">
        <v>1300</v>
      </c>
      <c r="U1768" s="90" t="s">
        <v>378</v>
      </c>
      <c r="V1768" s="90" t="s">
        <v>244</v>
      </c>
      <c r="Z1768" s="90">
        <v>0</v>
      </c>
      <c r="AA1768" s="90">
        <v>1</v>
      </c>
      <c r="AB1768" s="90">
        <v>2.3614104629693098</v>
      </c>
      <c r="AC1768" s="90">
        <v>0.47964084064037998</v>
      </c>
      <c r="AD1768" s="90">
        <v>1112.4874751571001</v>
      </c>
      <c r="AF1768" s="90">
        <v>-1</v>
      </c>
      <c r="AG1768" s="90">
        <v>-1</v>
      </c>
      <c r="AH1768" s="90">
        <v>-1</v>
      </c>
      <c r="AI1768" s="90">
        <v>-1</v>
      </c>
      <c r="AJ1768" s="90">
        <v>0</v>
      </c>
      <c r="AM1768" s="90" t="s">
        <v>379</v>
      </c>
      <c r="AN1768" s="90">
        <v>-1</v>
      </c>
      <c r="AQ1768" s="90">
        <v>357</v>
      </c>
      <c r="AR1768" s="90" t="s">
        <v>405</v>
      </c>
      <c r="AS1768" s="90" t="s">
        <v>406</v>
      </c>
      <c r="AT1768" s="90" t="s">
        <v>244</v>
      </c>
      <c r="AU1768" s="90">
        <v>122.34610000000001</v>
      </c>
      <c r="AV1768" s="90">
        <v>132.24415311384101</v>
      </c>
      <c r="AW1768" s="90">
        <v>814.85653817095795</v>
      </c>
      <c r="AX1768" s="90">
        <v>0.90226072599999996</v>
      </c>
    </row>
    <row r="1769" spans="1:50" x14ac:dyDescent="0.25">
      <c r="A1769" s="102">
        <v>840000</v>
      </c>
      <c r="B1769" s="102">
        <v>2400000</v>
      </c>
      <c r="C1769" s="102">
        <v>2400000</v>
      </c>
      <c r="D1769" s="90" t="s">
        <v>374</v>
      </c>
      <c r="E1769" s="90" t="s">
        <v>68</v>
      </c>
      <c r="F1769" s="90" t="s">
        <v>375</v>
      </c>
      <c r="G1769" s="90" t="s">
        <v>376</v>
      </c>
      <c r="H1769" s="90">
        <v>0.59</v>
      </c>
      <c r="I1769" s="90">
        <v>0.64</v>
      </c>
      <c r="J1769" s="90" t="s">
        <v>244</v>
      </c>
      <c r="K1769" s="90">
        <v>1.638757258154E-2</v>
      </c>
      <c r="L1769" s="90">
        <v>3710.45435828987</v>
      </c>
      <c r="M1769" s="90">
        <v>11.727572462558999</v>
      </c>
      <c r="N1769" s="90">
        <v>2.3820605535641599</v>
      </c>
      <c r="O1769" s="90">
        <v>0.19218644493546</v>
      </c>
      <c r="P1769" s="90">
        <v>3.903619021515E-2</v>
      </c>
      <c r="Q1769" s="90">
        <v>60.805340106970398</v>
      </c>
      <c r="R1769" s="90">
        <v>1300</v>
      </c>
      <c r="S1769" s="90" t="s">
        <v>387</v>
      </c>
      <c r="T1769" s="90">
        <v>1300</v>
      </c>
      <c r="U1769" s="90" t="s">
        <v>378</v>
      </c>
      <c r="V1769" s="90" t="s">
        <v>244</v>
      </c>
      <c r="Z1769" s="90">
        <v>0</v>
      </c>
      <c r="AA1769" s="90">
        <v>1</v>
      </c>
      <c r="AB1769" s="90">
        <v>0.19218644493546</v>
      </c>
      <c r="AC1769" s="90">
        <v>3.903619021515E-2</v>
      </c>
      <c r="AD1769" s="90">
        <v>60.8053401069686</v>
      </c>
      <c r="AF1769" s="90">
        <v>-1</v>
      </c>
      <c r="AG1769" s="90">
        <v>-1</v>
      </c>
      <c r="AH1769" s="90">
        <v>-1</v>
      </c>
      <c r="AI1769" s="90">
        <v>-1</v>
      </c>
      <c r="AJ1769" s="90">
        <v>0</v>
      </c>
      <c r="AM1769" s="90" t="s">
        <v>379</v>
      </c>
      <c r="AN1769" s="90">
        <v>-1</v>
      </c>
      <c r="AQ1769" s="90">
        <v>357</v>
      </c>
      <c r="AR1769" s="90" t="s">
        <v>405</v>
      </c>
      <c r="AS1769" s="90" t="s">
        <v>406</v>
      </c>
      <c r="AT1769" s="90" t="s">
        <v>244</v>
      </c>
      <c r="AU1769" s="90">
        <v>122.34610000000001</v>
      </c>
      <c r="AV1769" s="90">
        <v>83.694627553410498</v>
      </c>
      <c r="AW1769" s="90">
        <v>66.318153349153405</v>
      </c>
      <c r="AX1769" s="90">
        <v>4.93149555E-2</v>
      </c>
    </row>
    <row r="1770" spans="1:50" x14ac:dyDescent="0.25">
      <c r="A1770" s="102">
        <v>840000</v>
      </c>
      <c r="B1770" s="102">
        <v>2400000</v>
      </c>
      <c r="C1770" s="102">
        <v>2400000</v>
      </c>
      <c r="D1770" s="90" t="s">
        <v>374</v>
      </c>
      <c r="E1770" s="90" t="s">
        <v>68</v>
      </c>
      <c r="F1770" s="90" t="s">
        <v>375</v>
      </c>
      <c r="G1770" s="90" t="s">
        <v>376</v>
      </c>
      <c r="H1770" s="90">
        <v>0.59</v>
      </c>
      <c r="I1770" s="90">
        <v>0.64</v>
      </c>
      <c r="J1770" s="90" t="s">
        <v>244</v>
      </c>
      <c r="K1770" s="90">
        <v>9.0627262857310001E-2</v>
      </c>
      <c r="L1770" s="90">
        <v>3739.8375652242098</v>
      </c>
      <c r="M1770" s="90">
        <v>8.9203298963218405</v>
      </c>
      <c r="N1770" s="90">
        <v>1.5047971532959199</v>
      </c>
      <c r="O1770" s="90">
        <v>0.80842508228792997</v>
      </c>
      <c r="P1770" s="90">
        <v>0.13637564715868999</v>
      </c>
      <c r="Q1770" s="90">
        <v>338.931242067239</v>
      </c>
      <c r="R1770" s="90">
        <v>1300</v>
      </c>
      <c r="S1770" s="90" t="s">
        <v>387</v>
      </c>
      <c r="T1770" s="90">
        <v>1300</v>
      </c>
      <c r="U1770" s="90" t="s">
        <v>378</v>
      </c>
      <c r="V1770" s="90" t="s">
        <v>244</v>
      </c>
      <c r="Z1770" s="90">
        <v>0</v>
      </c>
      <c r="AA1770" s="90">
        <v>1</v>
      </c>
      <c r="AB1770" s="90">
        <v>0.80842508228792997</v>
      </c>
      <c r="AC1770" s="90">
        <v>0.13637564715868999</v>
      </c>
      <c r="AD1770" s="90">
        <v>677.63142632875895</v>
      </c>
      <c r="AF1770" s="90">
        <v>-1</v>
      </c>
      <c r="AG1770" s="90">
        <v>-1</v>
      </c>
      <c r="AH1770" s="90">
        <v>-1</v>
      </c>
      <c r="AI1770" s="90">
        <v>-1</v>
      </c>
      <c r="AJ1770" s="90">
        <v>0</v>
      </c>
      <c r="AM1770" s="90" t="s">
        <v>379</v>
      </c>
      <c r="AN1770" s="90">
        <v>-1</v>
      </c>
      <c r="AQ1770" s="90">
        <v>357</v>
      </c>
      <c r="AR1770" s="90" t="s">
        <v>405</v>
      </c>
      <c r="AS1770" s="90" t="s">
        <v>406</v>
      </c>
      <c r="AT1770" s="90" t="s">
        <v>244</v>
      </c>
      <c r="AU1770" s="90">
        <v>122.34610000000001</v>
      </c>
      <c r="AV1770" s="90">
        <v>114.690095766456</v>
      </c>
      <c r="AW1770" s="90">
        <v>366.755520738661</v>
      </c>
      <c r="AX1770" s="90">
        <v>0.54957942120000003</v>
      </c>
    </row>
    <row r="1771" spans="1:50" x14ac:dyDescent="0.25">
      <c r="A1771" s="102">
        <v>840000</v>
      </c>
      <c r="B1771" s="102">
        <v>2400000</v>
      </c>
      <c r="C1771" s="102">
        <v>2400000</v>
      </c>
      <c r="D1771" s="90" t="s">
        <v>374</v>
      </c>
      <c r="E1771" s="90" t="s">
        <v>68</v>
      </c>
      <c r="F1771" s="90" t="s">
        <v>375</v>
      </c>
      <c r="G1771" s="90" t="s">
        <v>376</v>
      </c>
      <c r="H1771" s="90">
        <v>0.59</v>
      </c>
      <c r="I1771" s="90">
        <v>0.64</v>
      </c>
      <c r="J1771" s="90" t="s">
        <v>244</v>
      </c>
      <c r="K1771" s="90">
        <v>8.6000160646750007E-2</v>
      </c>
      <c r="L1771" s="90">
        <v>3739.8375652242098</v>
      </c>
      <c r="M1771" s="90">
        <v>8.9203298963218405</v>
      </c>
      <c r="N1771" s="90">
        <v>1.5047971532959199</v>
      </c>
      <c r="O1771" s="90">
        <v>0.76714980410571998</v>
      </c>
      <c r="P1771" s="90">
        <v>0.12941279692422</v>
      </c>
      <c r="Q1771" s="90">
        <v>321.62663140204802</v>
      </c>
      <c r="R1771" s="90">
        <v>1300</v>
      </c>
      <c r="S1771" s="90" t="s">
        <v>387</v>
      </c>
      <c r="T1771" s="90">
        <v>1300</v>
      </c>
      <c r="U1771" s="90" t="s">
        <v>378</v>
      </c>
      <c r="V1771" s="90" t="s">
        <v>244</v>
      </c>
      <c r="Z1771" s="90">
        <v>0</v>
      </c>
      <c r="AA1771" s="90">
        <v>1</v>
      </c>
      <c r="AB1771" s="90">
        <v>0.76714980410571998</v>
      </c>
      <c r="AC1771" s="90">
        <v>0.12941279692422</v>
      </c>
      <c r="AD1771" s="90">
        <v>321.626631402047</v>
      </c>
      <c r="AF1771" s="90">
        <v>-1</v>
      </c>
      <c r="AG1771" s="90">
        <v>-1</v>
      </c>
      <c r="AH1771" s="90">
        <v>-1</v>
      </c>
      <c r="AI1771" s="90">
        <v>-1</v>
      </c>
      <c r="AJ1771" s="90">
        <v>0</v>
      </c>
      <c r="AM1771" s="90" t="s">
        <v>379</v>
      </c>
      <c r="AN1771" s="90">
        <v>-1</v>
      </c>
      <c r="AQ1771" s="90">
        <v>357</v>
      </c>
      <c r="AR1771" s="90" t="s">
        <v>405</v>
      </c>
      <c r="AS1771" s="90" t="s">
        <v>406</v>
      </c>
      <c r="AT1771" s="90" t="s">
        <v>244</v>
      </c>
      <c r="AU1771" s="90">
        <v>122.34610000000001</v>
      </c>
      <c r="AV1771" s="90">
        <v>113.93962538133199</v>
      </c>
      <c r="AW1771" s="90">
        <v>348.03030244074699</v>
      </c>
      <c r="AX1771" s="90">
        <v>0.26084884949999998</v>
      </c>
    </row>
    <row r="1772" spans="1:50" x14ac:dyDescent="0.25">
      <c r="A1772" s="102">
        <v>840000</v>
      </c>
      <c r="B1772" s="102">
        <v>2400000</v>
      </c>
      <c r="C1772" s="102">
        <v>2400000</v>
      </c>
      <c r="D1772" s="90" t="s">
        <v>374</v>
      </c>
      <c r="E1772" s="90" t="s">
        <v>68</v>
      </c>
      <c r="F1772" s="90" t="s">
        <v>375</v>
      </c>
      <c r="G1772" s="90" t="s">
        <v>376</v>
      </c>
      <c r="H1772" s="90">
        <v>0.59</v>
      </c>
      <c r="I1772" s="90">
        <v>0.64</v>
      </c>
      <c r="J1772" s="90" t="s">
        <v>244</v>
      </c>
      <c r="K1772" s="90">
        <v>1.2941057864050001E-2</v>
      </c>
      <c r="L1772" s="90">
        <v>3689.62023253801</v>
      </c>
      <c r="M1772" s="90">
        <v>9.7954920720454393</v>
      </c>
      <c r="N1772" s="90">
        <v>1.6436795223587599</v>
      </c>
      <c r="O1772" s="90">
        <v>0.12676402971121001</v>
      </c>
      <c r="P1772" s="90">
        <v>2.1270951808799999E-2</v>
      </c>
      <c r="Q1772" s="90">
        <v>47.747588925655101</v>
      </c>
      <c r="R1772" s="90">
        <v>1200</v>
      </c>
      <c r="S1772" s="90" t="s">
        <v>384</v>
      </c>
      <c r="T1772" s="90">
        <v>1200</v>
      </c>
      <c r="U1772" s="90" t="s">
        <v>378</v>
      </c>
      <c r="V1772" s="90" t="s">
        <v>244</v>
      </c>
      <c r="Z1772" s="90">
        <v>0</v>
      </c>
      <c r="AA1772" s="90">
        <v>1</v>
      </c>
      <c r="AB1772" s="90">
        <v>0.12676402971121001</v>
      </c>
      <c r="AC1772" s="90">
        <v>2.1270951808799999E-2</v>
      </c>
      <c r="AD1772" s="90">
        <v>496.02607179839498</v>
      </c>
      <c r="AF1772" s="90">
        <v>-1</v>
      </c>
      <c r="AG1772" s="90">
        <v>-1</v>
      </c>
      <c r="AH1772" s="90">
        <v>-1</v>
      </c>
      <c r="AI1772" s="90">
        <v>-1</v>
      </c>
      <c r="AJ1772" s="90">
        <v>0</v>
      </c>
      <c r="AM1772" s="90" t="s">
        <v>379</v>
      </c>
      <c r="AN1772" s="90">
        <v>-1</v>
      </c>
      <c r="AQ1772" s="90">
        <v>357</v>
      </c>
      <c r="AR1772" s="90" t="s">
        <v>405</v>
      </c>
      <c r="AS1772" s="90" t="s">
        <v>406</v>
      </c>
      <c r="AT1772" s="90" t="s">
        <v>244</v>
      </c>
      <c r="AU1772" s="90">
        <v>122.34610000000001</v>
      </c>
      <c r="AV1772" s="90">
        <v>42.157056977649702</v>
      </c>
      <c r="AW1772" s="90">
        <v>52.370603129794297</v>
      </c>
      <c r="AX1772" s="90">
        <v>0.402292029</v>
      </c>
    </row>
    <row r="1773" spans="1:50" x14ac:dyDescent="0.25">
      <c r="A1773" s="102">
        <v>840000</v>
      </c>
      <c r="B1773" s="102">
        <v>2400000</v>
      </c>
      <c r="C1773" s="102">
        <v>2400000</v>
      </c>
      <c r="D1773" s="90" t="s">
        <v>374</v>
      </c>
      <c r="E1773" s="90" t="s">
        <v>68</v>
      </c>
      <c r="F1773" s="90" t="s">
        <v>375</v>
      </c>
      <c r="G1773" s="90" t="s">
        <v>376</v>
      </c>
      <c r="H1773" s="90">
        <v>0.59</v>
      </c>
      <c r="I1773" s="90">
        <v>0.64</v>
      </c>
      <c r="J1773" s="90" t="s">
        <v>244</v>
      </c>
      <c r="K1773" s="90">
        <v>2.125098814247E-2</v>
      </c>
      <c r="L1773" s="90">
        <v>3689.62023253801</v>
      </c>
      <c r="M1773" s="90">
        <v>9.7954920720454393</v>
      </c>
      <c r="N1773" s="90">
        <v>1.6436795223587599</v>
      </c>
      <c r="O1773" s="90">
        <v>0.20816388587272999</v>
      </c>
      <c r="P1773" s="90">
        <v>3.492981403967E-2</v>
      </c>
      <c r="Q1773" s="90">
        <v>78.408075811897405</v>
      </c>
      <c r="R1773" s="90">
        <v>1300</v>
      </c>
      <c r="S1773" s="90" t="s">
        <v>387</v>
      </c>
      <c r="T1773" s="90">
        <v>1300</v>
      </c>
      <c r="U1773" s="90" t="s">
        <v>378</v>
      </c>
      <c r="V1773" s="90" t="s">
        <v>244</v>
      </c>
      <c r="Z1773" s="90">
        <v>0</v>
      </c>
      <c r="AA1773" s="90">
        <v>1</v>
      </c>
      <c r="AB1773" s="90">
        <v>0.20816388587272999</v>
      </c>
      <c r="AC1773" s="90">
        <v>3.492981403967E-2</v>
      </c>
      <c r="AD1773" s="90">
        <v>390.38516934199401</v>
      </c>
      <c r="AF1773" s="90">
        <v>-1</v>
      </c>
      <c r="AG1773" s="90">
        <v>-1</v>
      </c>
      <c r="AH1773" s="90">
        <v>-1</v>
      </c>
      <c r="AI1773" s="90">
        <v>-1</v>
      </c>
      <c r="AJ1773" s="90">
        <v>0</v>
      </c>
      <c r="AM1773" s="90" t="s">
        <v>379</v>
      </c>
      <c r="AN1773" s="90">
        <v>-1</v>
      </c>
      <c r="AQ1773" s="90">
        <v>357</v>
      </c>
      <c r="AR1773" s="90" t="s">
        <v>405</v>
      </c>
      <c r="AS1773" s="90" t="s">
        <v>406</v>
      </c>
      <c r="AT1773" s="90" t="s">
        <v>244</v>
      </c>
      <c r="AU1773" s="90">
        <v>122.34610000000001</v>
      </c>
      <c r="AV1773" s="90">
        <v>37.293472733276303</v>
      </c>
      <c r="AW1773" s="90">
        <v>85.999697846715307</v>
      </c>
      <c r="AX1773" s="90">
        <v>0.3166140871</v>
      </c>
    </row>
    <row r="1774" spans="1:50" x14ac:dyDescent="0.25">
      <c r="A1774" s="102">
        <v>840000</v>
      </c>
      <c r="B1774" s="102">
        <v>2400000</v>
      </c>
      <c r="C1774" s="102">
        <v>2400000</v>
      </c>
      <c r="D1774" s="90" t="s">
        <v>374</v>
      </c>
      <c r="E1774" s="90" t="s">
        <v>68</v>
      </c>
      <c r="F1774" s="90" t="s">
        <v>375</v>
      </c>
      <c r="G1774" s="90" t="s">
        <v>376</v>
      </c>
      <c r="H1774" s="90">
        <v>0.59</v>
      </c>
      <c r="I1774" s="90">
        <v>0.64</v>
      </c>
      <c r="J1774" s="90" t="s">
        <v>244</v>
      </c>
      <c r="K1774" s="90">
        <v>0.15624715359003</v>
      </c>
      <c r="L1774" s="90">
        <v>3753.8553054603399</v>
      </c>
      <c r="M1774" s="90">
        <v>11.5377905628033</v>
      </c>
      <c r="N1774" s="90">
        <v>1.5232391878345699</v>
      </c>
      <c r="O1774" s="90">
        <v>1.8027469341559601</v>
      </c>
      <c r="P1774" s="90">
        <v>0.23800178733593999</v>
      </c>
      <c r="Q1774" s="90">
        <v>586.52920646702296</v>
      </c>
      <c r="R1774" s="90">
        <v>1400</v>
      </c>
      <c r="S1774" s="90" t="s">
        <v>324</v>
      </c>
      <c r="T1774" s="90">
        <v>1400</v>
      </c>
      <c r="U1774" s="90" t="s">
        <v>378</v>
      </c>
      <c r="V1774" s="90" t="s">
        <v>244</v>
      </c>
      <c r="Z1774" s="90">
        <v>0</v>
      </c>
      <c r="AA1774" s="90">
        <v>1</v>
      </c>
      <c r="AB1774" s="90">
        <v>1.8027469341559601</v>
      </c>
      <c r="AC1774" s="90">
        <v>0.23800178733593999</v>
      </c>
      <c r="AD1774" s="90">
        <v>1002.30641344688</v>
      </c>
      <c r="AF1774" s="90">
        <v>-1</v>
      </c>
      <c r="AG1774" s="90">
        <v>-1</v>
      </c>
      <c r="AH1774" s="90">
        <v>-1</v>
      </c>
      <c r="AI1774" s="90">
        <v>-1</v>
      </c>
      <c r="AJ1774" s="90">
        <v>0</v>
      </c>
      <c r="AM1774" s="90" t="s">
        <v>379</v>
      </c>
      <c r="AN1774" s="90">
        <v>-1</v>
      </c>
      <c r="AQ1774" s="90">
        <v>357</v>
      </c>
      <c r="AR1774" s="90" t="s">
        <v>405</v>
      </c>
      <c r="AS1774" s="90" t="s">
        <v>406</v>
      </c>
      <c r="AT1774" s="90" t="s">
        <v>244</v>
      </c>
      <c r="AU1774" s="90">
        <v>122.34610000000001</v>
      </c>
      <c r="AV1774" s="90">
        <v>125.823684236551</v>
      </c>
      <c r="AW1774" s="90">
        <v>632.30979698754197</v>
      </c>
      <c r="AX1774" s="90">
        <v>0.81290057859999998</v>
      </c>
    </row>
    <row r="1775" spans="1:50" x14ac:dyDescent="0.25">
      <c r="A1775" s="102">
        <v>840000</v>
      </c>
      <c r="B1775" s="102">
        <v>2400000</v>
      </c>
      <c r="C1775" s="102">
        <v>2400000</v>
      </c>
      <c r="D1775" s="90" t="s">
        <v>374</v>
      </c>
      <c r="E1775" s="90" t="s">
        <v>68</v>
      </c>
      <c r="F1775" s="90" t="s">
        <v>375</v>
      </c>
      <c r="G1775" s="90" t="s">
        <v>376</v>
      </c>
      <c r="H1775" s="90">
        <v>0.59</v>
      </c>
      <c r="I1775" s="90">
        <v>0.64</v>
      </c>
      <c r="J1775" s="90" t="s">
        <v>244</v>
      </c>
      <c r="K1775" s="90">
        <v>3.5591676085579997E-2</v>
      </c>
      <c r="L1775" s="90">
        <v>3688.82269287901</v>
      </c>
      <c r="M1775" s="90">
        <v>10.525515615222901</v>
      </c>
      <c r="N1775" s="90">
        <v>1.9529015761409201</v>
      </c>
      <c r="O1775" s="90">
        <v>0.37462074241078003</v>
      </c>
      <c r="P1775" s="90">
        <v>6.9507040325029995E-2</v>
      </c>
      <c r="Q1775" s="90">
        <v>131.29138242210499</v>
      </c>
      <c r="R1775" s="90">
        <v>1300</v>
      </c>
      <c r="S1775" s="90" t="s">
        <v>387</v>
      </c>
      <c r="T1775" s="90">
        <v>1300</v>
      </c>
      <c r="U1775" s="90" t="s">
        <v>378</v>
      </c>
      <c r="V1775" s="90" t="s">
        <v>244</v>
      </c>
      <c r="Z1775" s="90">
        <v>0</v>
      </c>
      <c r="AA1775" s="90">
        <v>1</v>
      </c>
      <c r="AB1775" s="90">
        <v>0.37462074241078003</v>
      </c>
      <c r="AC1775" s="90">
        <v>6.9507040325029995E-2</v>
      </c>
      <c r="AD1775" s="90">
        <v>131.29138242210601</v>
      </c>
      <c r="AF1775" s="90">
        <v>-1</v>
      </c>
      <c r="AG1775" s="90">
        <v>-1</v>
      </c>
      <c r="AH1775" s="90">
        <v>-1</v>
      </c>
      <c r="AI1775" s="90">
        <v>-1</v>
      </c>
      <c r="AJ1775" s="90">
        <v>0</v>
      </c>
      <c r="AM1775" s="90" t="s">
        <v>379</v>
      </c>
      <c r="AN1775" s="90">
        <v>-1</v>
      </c>
      <c r="AQ1775" s="90">
        <v>357</v>
      </c>
      <c r="AR1775" s="90" t="s">
        <v>405</v>
      </c>
      <c r="AS1775" s="90" t="s">
        <v>406</v>
      </c>
      <c r="AT1775" s="90" t="s">
        <v>244</v>
      </c>
      <c r="AU1775" s="90">
        <v>122.34610000000001</v>
      </c>
      <c r="AV1775" s="90">
        <v>71.975546266892195</v>
      </c>
      <c r="AW1775" s="90">
        <v>144.034402950931</v>
      </c>
      <c r="AX1775" s="90">
        <v>0.106481251</v>
      </c>
    </row>
    <row r="1776" spans="1:50" x14ac:dyDescent="0.25">
      <c r="A1776" s="102">
        <v>840000</v>
      </c>
      <c r="B1776" s="102">
        <v>2400000</v>
      </c>
      <c r="C1776" s="102">
        <v>2400000</v>
      </c>
      <c r="D1776" s="90" t="s">
        <v>374</v>
      </c>
      <c r="E1776" s="90" t="s">
        <v>68</v>
      </c>
      <c r="F1776" s="90" t="s">
        <v>375</v>
      </c>
      <c r="G1776" s="90" t="s">
        <v>376</v>
      </c>
      <c r="H1776" s="90">
        <v>0.59</v>
      </c>
      <c r="I1776" s="90">
        <v>0.64</v>
      </c>
      <c r="J1776" s="90" t="s">
        <v>244</v>
      </c>
      <c r="K1776" s="90">
        <v>3.0692264585060001E-2</v>
      </c>
      <c r="L1776" s="90">
        <v>3688.82269287901</v>
      </c>
      <c r="M1776" s="90">
        <v>10.525515615222901</v>
      </c>
      <c r="N1776" s="90">
        <v>1.9529015761409201</v>
      </c>
      <c r="O1776" s="90">
        <v>0.32305191015666002</v>
      </c>
      <c r="P1776" s="90">
        <v>5.9938971883510002E-2</v>
      </c>
      <c r="Q1776" s="90">
        <v>113.218322097238</v>
      </c>
      <c r="R1776" s="90">
        <v>1890</v>
      </c>
      <c r="S1776" s="90" t="s">
        <v>408</v>
      </c>
      <c r="T1776" s="90">
        <v>1890</v>
      </c>
      <c r="U1776" s="90" t="s">
        <v>378</v>
      </c>
      <c r="V1776" s="90" t="s">
        <v>244</v>
      </c>
      <c r="Z1776" s="90">
        <v>0</v>
      </c>
      <c r="AA1776" s="90">
        <v>1</v>
      </c>
      <c r="AB1776" s="90">
        <v>0.32305191015666002</v>
      </c>
      <c r="AC1776" s="90">
        <v>5.9938971883510002E-2</v>
      </c>
      <c r="AD1776" s="90">
        <v>113.218322097239</v>
      </c>
      <c r="AF1776" s="90">
        <v>-1</v>
      </c>
      <c r="AG1776" s="90">
        <v>-1</v>
      </c>
      <c r="AH1776" s="90">
        <v>-1</v>
      </c>
      <c r="AI1776" s="90">
        <v>-1</v>
      </c>
      <c r="AJ1776" s="90">
        <v>0</v>
      </c>
      <c r="AM1776" s="90" t="s">
        <v>379</v>
      </c>
      <c r="AN1776" s="90">
        <v>-1</v>
      </c>
      <c r="AQ1776" s="90">
        <v>357</v>
      </c>
      <c r="AR1776" s="90" t="s">
        <v>405</v>
      </c>
      <c r="AS1776" s="90" t="s">
        <v>406</v>
      </c>
      <c r="AT1776" s="90" t="s">
        <v>244</v>
      </c>
      <c r="AU1776" s="90">
        <v>122.34610000000001</v>
      </c>
      <c r="AV1776" s="90">
        <v>50.699842473026798</v>
      </c>
      <c r="AW1776" s="90">
        <v>124.207188054076</v>
      </c>
      <c r="AX1776" s="90">
        <v>9.18234567E-2</v>
      </c>
    </row>
    <row r="1777" spans="1:50" x14ac:dyDescent="0.25">
      <c r="A1777" s="102">
        <v>840000</v>
      </c>
      <c r="B1777" s="102">
        <v>2400000</v>
      </c>
      <c r="C1777" s="102">
        <v>2400000</v>
      </c>
      <c r="D1777" s="90" t="s">
        <v>374</v>
      </c>
      <c r="E1777" s="90" t="s">
        <v>68</v>
      </c>
      <c r="F1777" s="90" t="s">
        <v>375</v>
      </c>
      <c r="G1777" s="90" t="s">
        <v>376</v>
      </c>
      <c r="H1777" s="90">
        <v>0.59</v>
      </c>
      <c r="I1777" s="90">
        <v>0.64</v>
      </c>
      <c r="J1777" s="90" t="s">
        <v>244</v>
      </c>
      <c r="K1777" s="90">
        <v>7.59218242267E-3</v>
      </c>
      <c r="L1777" s="90">
        <v>3738.3085289572</v>
      </c>
      <c r="M1777" s="90">
        <v>11.492024991659701</v>
      </c>
      <c r="N1777" s="90">
        <v>1.51717715032534</v>
      </c>
      <c r="O1777" s="90">
        <v>8.7249550142649998E-2</v>
      </c>
      <c r="P1777" s="90">
        <v>1.1518685692780001E-2</v>
      </c>
      <c r="Q1777" s="90">
        <v>28.381920304096099</v>
      </c>
      <c r="R1777" s="90">
        <v>1400</v>
      </c>
      <c r="S1777" s="90" t="s">
        <v>324</v>
      </c>
      <c r="T1777" s="90">
        <v>1400</v>
      </c>
      <c r="U1777" s="90" t="s">
        <v>378</v>
      </c>
      <c r="V1777" s="90" t="s">
        <v>244</v>
      </c>
      <c r="Z1777" s="90">
        <v>0</v>
      </c>
      <c r="AA1777" s="90">
        <v>1</v>
      </c>
      <c r="AB1777" s="90">
        <v>8.7249550142649998E-2</v>
      </c>
      <c r="AC1777" s="90">
        <v>1.1518685692780001E-2</v>
      </c>
      <c r="AD1777" s="90">
        <v>560.75566525094098</v>
      </c>
      <c r="AF1777" s="90">
        <v>-1</v>
      </c>
      <c r="AG1777" s="90">
        <v>-1</v>
      </c>
      <c r="AH1777" s="90">
        <v>-1</v>
      </c>
      <c r="AI1777" s="90">
        <v>-1</v>
      </c>
      <c r="AJ1777" s="90">
        <v>0</v>
      </c>
      <c r="AM1777" s="90" t="s">
        <v>379</v>
      </c>
      <c r="AN1777" s="90">
        <v>-1</v>
      </c>
      <c r="AQ1777" s="90">
        <v>357</v>
      </c>
      <c r="AR1777" s="90" t="s">
        <v>405</v>
      </c>
      <c r="AS1777" s="90" t="s">
        <v>406</v>
      </c>
      <c r="AT1777" s="90" t="s">
        <v>244</v>
      </c>
      <c r="AU1777" s="90">
        <v>122.34610000000001</v>
      </c>
      <c r="AV1777" s="90">
        <v>70.685718570298306</v>
      </c>
      <c r="AW1777" s="90">
        <v>30.7244721972476</v>
      </c>
      <c r="AX1777" s="90">
        <v>0.45478967170000001</v>
      </c>
    </row>
    <row r="1778" spans="1:50" x14ac:dyDescent="0.25">
      <c r="A1778" s="102">
        <v>840000</v>
      </c>
      <c r="B1778" s="102">
        <v>2400000</v>
      </c>
      <c r="C1778" s="102">
        <v>2400000</v>
      </c>
      <c r="D1778" s="90" t="s">
        <v>374</v>
      </c>
      <c r="E1778" s="90" t="s">
        <v>68</v>
      </c>
      <c r="F1778" s="90" t="s">
        <v>375</v>
      </c>
      <c r="G1778" s="90" t="s">
        <v>376</v>
      </c>
      <c r="H1778" s="90">
        <v>0.59</v>
      </c>
      <c r="I1778" s="90">
        <v>0.64</v>
      </c>
      <c r="J1778" s="90" t="s">
        <v>244</v>
      </c>
      <c r="K1778" s="90">
        <v>1.320627093057E-2</v>
      </c>
      <c r="L1778" s="90">
        <v>3695.1423574092</v>
      </c>
      <c r="M1778" s="90">
        <v>9.8302641178760695</v>
      </c>
      <c r="N1778" s="90">
        <v>1.5843568761889899</v>
      </c>
      <c r="O1778" s="90">
        <v>0.12982113125976999</v>
      </c>
      <c r="P1778" s="90">
        <v>2.092344615767E-2</v>
      </c>
      <c r="Q1778" s="90">
        <v>48.799051098985899</v>
      </c>
      <c r="R1778" s="90">
        <v>1200</v>
      </c>
      <c r="S1778" s="90" t="s">
        <v>384</v>
      </c>
      <c r="T1778" s="90">
        <v>1200</v>
      </c>
      <c r="U1778" s="90" t="s">
        <v>378</v>
      </c>
      <c r="V1778" s="90" t="s">
        <v>244</v>
      </c>
      <c r="Z1778" s="90">
        <v>0</v>
      </c>
      <c r="AA1778" s="90">
        <v>1</v>
      </c>
      <c r="AB1778" s="90">
        <v>0.12982113125976999</v>
      </c>
      <c r="AC1778" s="90">
        <v>2.092344615767E-2</v>
      </c>
      <c r="AD1778" s="90">
        <v>659.81950133728105</v>
      </c>
      <c r="AF1778" s="90">
        <v>-1</v>
      </c>
      <c r="AG1778" s="90">
        <v>-1</v>
      </c>
      <c r="AH1778" s="90">
        <v>-1</v>
      </c>
      <c r="AI1778" s="90">
        <v>-1</v>
      </c>
      <c r="AJ1778" s="90">
        <v>0</v>
      </c>
      <c r="AM1778" s="90" t="s">
        <v>379</v>
      </c>
      <c r="AN1778" s="90">
        <v>-1</v>
      </c>
      <c r="AQ1778" s="90">
        <v>357</v>
      </c>
      <c r="AR1778" s="90" t="s">
        <v>405</v>
      </c>
      <c r="AS1778" s="90" t="s">
        <v>406</v>
      </c>
      <c r="AT1778" s="90" t="s">
        <v>244</v>
      </c>
      <c r="AU1778" s="90">
        <v>122.34610000000001</v>
      </c>
      <c r="AV1778" s="90">
        <v>87.321826020720806</v>
      </c>
      <c r="AW1778" s="90">
        <v>53.443882331346799</v>
      </c>
      <c r="AX1778" s="90">
        <v>0.53513341550000004</v>
      </c>
    </row>
    <row r="1779" spans="1:50" x14ac:dyDescent="0.25">
      <c r="A1779" s="102">
        <v>840000</v>
      </c>
      <c r="B1779" s="102">
        <v>2400000</v>
      </c>
      <c r="C1779" s="102">
        <v>2400000</v>
      </c>
      <c r="D1779" s="90" t="s">
        <v>374</v>
      </c>
      <c r="E1779" s="90" t="s">
        <v>68</v>
      </c>
      <c r="F1779" s="90" t="s">
        <v>375</v>
      </c>
      <c r="G1779" s="90" t="s">
        <v>376</v>
      </c>
      <c r="H1779" s="90">
        <v>0.59</v>
      </c>
      <c r="I1779" s="90">
        <v>0.64</v>
      </c>
      <c r="J1779" s="90" t="s">
        <v>244</v>
      </c>
      <c r="K1779" s="90">
        <v>1.3795391887499999E-2</v>
      </c>
      <c r="L1779" s="90">
        <v>3695.1423574092</v>
      </c>
      <c r="M1779" s="90">
        <v>9.8302641178760695</v>
      </c>
      <c r="N1779" s="90">
        <v>1.5843568761889899</v>
      </c>
      <c r="O1779" s="90">
        <v>0.1356123458638</v>
      </c>
      <c r="P1779" s="90">
        <v>2.1856823996689999E-2</v>
      </c>
      <c r="Q1779" s="90">
        <v>50.975936900590099</v>
      </c>
      <c r="R1779" s="90">
        <v>1400</v>
      </c>
      <c r="S1779" s="90" t="s">
        <v>324</v>
      </c>
      <c r="T1779" s="90">
        <v>1400</v>
      </c>
      <c r="U1779" s="90" t="s">
        <v>378</v>
      </c>
      <c r="V1779" s="90" t="s">
        <v>244</v>
      </c>
      <c r="Z1779" s="90">
        <v>0</v>
      </c>
      <c r="AA1779" s="90">
        <v>1</v>
      </c>
      <c r="AB1779" s="90">
        <v>0.1356123458638</v>
      </c>
      <c r="AC1779" s="90">
        <v>2.1856823996689999E-2</v>
      </c>
      <c r="AD1779" s="90">
        <v>115.86187935378</v>
      </c>
      <c r="AF1779" s="90">
        <v>-1</v>
      </c>
      <c r="AG1779" s="90">
        <v>-1</v>
      </c>
      <c r="AH1779" s="90">
        <v>-1</v>
      </c>
      <c r="AI1779" s="90">
        <v>-1</v>
      </c>
      <c r="AJ1779" s="90">
        <v>0</v>
      </c>
      <c r="AM1779" s="90" t="s">
        <v>379</v>
      </c>
      <c r="AN1779" s="90">
        <v>-1</v>
      </c>
      <c r="AQ1779" s="90">
        <v>357</v>
      </c>
      <c r="AR1779" s="90" t="s">
        <v>405</v>
      </c>
      <c r="AS1779" s="90" t="s">
        <v>406</v>
      </c>
      <c r="AT1779" s="90" t="s">
        <v>244</v>
      </c>
      <c r="AU1779" s="90">
        <v>122.34610000000001</v>
      </c>
      <c r="AV1779" s="90">
        <v>33.915805044482603</v>
      </c>
      <c r="AW1779" s="90">
        <v>55.827970259488097</v>
      </c>
      <c r="AX1779" s="90">
        <v>9.3967461000000002E-2</v>
      </c>
    </row>
    <row r="1780" spans="1:50" x14ac:dyDescent="0.25">
      <c r="A1780" s="102">
        <v>840000</v>
      </c>
      <c r="B1780" s="102">
        <v>2400000</v>
      </c>
      <c r="C1780" s="102">
        <v>2400000</v>
      </c>
      <c r="D1780" s="90" t="s">
        <v>374</v>
      </c>
      <c r="E1780" s="90" t="s">
        <v>68</v>
      </c>
      <c r="F1780" s="90" t="s">
        <v>375</v>
      </c>
      <c r="G1780" s="90" t="s">
        <v>376</v>
      </c>
      <c r="H1780" s="90">
        <v>0.59</v>
      </c>
      <c r="I1780" s="90">
        <v>0.64</v>
      </c>
      <c r="J1780" s="90" t="s">
        <v>244</v>
      </c>
      <c r="K1780" s="90">
        <v>0.11285583801825</v>
      </c>
      <c r="L1780" s="90">
        <v>3695.1423574092</v>
      </c>
      <c r="M1780" s="90">
        <v>9.8302641178760695</v>
      </c>
      <c r="N1780" s="90">
        <v>1.5843568761889899</v>
      </c>
      <c r="O1780" s="90">
        <v>1.1094026949636799</v>
      </c>
      <c r="P1780" s="90">
        <v>0.17880392298229</v>
      </c>
      <c r="Q1780" s="90">
        <v>417.01838734216602</v>
      </c>
      <c r="R1780" s="90">
        <v>1300</v>
      </c>
      <c r="S1780" s="90" t="s">
        <v>387</v>
      </c>
      <c r="T1780" s="90">
        <v>1300</v>
      </c>
      <c r="U1780" s="90" t="s">
        <v>378</v>
      </c>
      <c r="V1780" s="90" t="s">
        <v>244</v>
      </c>
      <c r="Z1780" s="90">
        <v>0</v>
      </c>
      <c r="AA1780" s="90">
        <v>1</v>
      </c>
      <c r="AB1780" s="90">
        <v>1.1094026949636799</v>
      </c>
      <c r="AC1780" s="90">
        <v>0.17880392298229</v>
      </c>
      <c r="AD1780" s="90">
        <v>458.85718536234401</v>
      </c>
      <c r="AF1780" s="90">
        <v>-1</v>
      </c>
      <c r="AG1780" s="90">
        <v>-1</v>
      </c>
      <c r="AH1780" s="90">
        <v>-1</v>
      </c>
      <c r="AI1780" s="90">
        <v>-1</v>
      </c>
      <c r="AJ1780" s="90">
        <v>0</v>
      </c>
      <c r="AM1780" s="90" t="s">
        <v>379</v>
      </c>
      <c r="AN1780" s="90">
        <v>-1</v>
      </c>
      <c r="AQ1780" s="90">
        <v>357</v>
      </c>
      <c r="AR1780" s="90" t="s">
        <v>405</v>
      </c>
      <c r="AS1780" s="90" t="s">
        <v>406</v>
      </c>
      <c r="AT1780" s="90" t="s">
        <v>244</v>
      </c>
      <c r="AU1780" s="90">
        <v>122.34610000000001</v>
      </c>
      <c r="AV1780" s="90">
        <v>105.062587827632</v>
      </c>
      <c r="AW1780" s="90">
        <v>456.71137288951002</v>
      </c>
      <c r="AX1780" s="90">
        <v>0.37214694679999999</v>
      </c>
    </row>
    <row r="1781" spans="1:50" x14ac:dyDescent="0.25">
      <c r="A1781" s="102">
        <v>840000</v>
      </c>
      <c r="B1781" s="102">
        <v>2400000</v>
      </c>
      <c r="C1781" s="102">
        <v>2400000</v>
      </c>
      <c r="D1781" s="90" t="s">
        <v>374</v>
      </c>
      <c r="E1781" s="90" t="s">
        <v>68</v>
      </c>
      <c r="F1781" s="90" t="s">
        <v>375</v>
      </c>
      <c r="G1781" s="90" t="s">
        <v>376</v>
      </c>
      <c r="H1781" s="90">
        <v>0.59</v>
      </c>
      <c r="I1781" s="90">
        <v>0.64</v>
      </c>
      <c r="J1781" s="90" t="s">
        <v>244</v>
      </c>
      <c r="K1781" s="90">
        <v>5.1396528467999997E-4</v>
      </c>
      <c r="L1781" s="90">
        <v>3748.94196293717</v>
      </c>
      <c r="M1781" s="90">
        <v>8.1826313582309407</v>
      </c>
      <c r="N1781" s="90">
        <v>1.2738035181559</v>
      </c>
      <c r="O1781" s="90">
        <v>4.2055884554899996E-3</v>
      </c>
      <c r="P1781" s="90">
        <v>6.5469078784000003E-4</v>
      </c>
      <c r="Q1781" s="90">
        <v>1.92682602324479</v>
      </c>
      <c r="R1781" s="90">
        <v>1300</v>
      </c>
      <c r="S1781" s="90" t="s">
        <v>387</v>
      </c>
      <c r="T1781" s="90">
        <v>1300</v>
      </c>
      <c r="U1781" s="90" t="s">
        <v>378</v>
      </c>
      <c r="V1781" s="90" t="s">
        <v>244</v>
      </c>
      <c r="Z1781" s="90">
        <v>0</v>
      </c>
      <c r="AA1781" s="90">
        <v>1</v>
      </c>
      <c r="AB1781" s="90">
        <v>4.2055884554899996E-3</v>
      </c>
      <c r="AC1781" s="90">
        <v>6.5469078784000003E-4</v>
      </c>
      <c r="AD1781" s="90">
        <v>2315.9593339344201</v>
      </c>
      <c r="AF1781" s="90">
        <v>-1</v>
      </c>
      <c r="AG1781" s="90">
        <v>-1</v>
      </c>
      <c r="AH1781" s="90">
        <v>-1</v>
      </c>
      <c r="AI1781" s="90">
        <v>-1</v>
      </c>
      <c r="AJ1781" s="90">
        <v>0</v>
      </c>
      <c r="AM1781" s="90" t="s">
        <v>379</v>
      </c>
      <c r="AN1781" s="90">
        <v>-1</v>
      </c>
      <c r="AQ1781" s="90">
        <v>357</v>
      </c>
      <c r="AR1781" s="90" t="s">
        <v>405</v>
      </c>
      <c r="AS1781" s="90" t="s">
        <v>406</v>
      </c>
      <c r="AT1781" s="90" t="s">
        <v>244</v>
      </c>
      <c r="AU1781" s="90">
        <v>122.34610000000001</v>
      </c>
      <c r="AV1781" s="90">
        <v>6.9776346405004501</v>
      </c>
      <c r="AW1781" s="90">
        <v>2.07994371321506</v>
      </c>
      <c r="AX1781" s="90">
        <v>1.8783125173999999</v>
      </c>
    </row>
    <row r="1782" spans="1:50" x14ac:dyDescent="0.25">
      <c r="A1782" s="102">
        <v>840000</v>
      </c>
      <c r="B1782" s="102">
        <v>2400000</v>
      </c>
      <c r="C1782" s="102">
        <v>2400000</v>
      </c>
      <c r="D1782" s="90" t="s">
        <v>374</v>
      </c>
      <c r="E1782" s="90" t="s">
        <v>68</v>
      </c>
      <c r="F1782" s="90" t="s">
        <v>375</v>
      </c>
      <c r="G1782" s="90" t="s">
        <v>376</v>
      </c>
      <c r="H1782" s="90">
        <v>0.59</v>
      </c>
      <c r="I1782" s="90">
        <v>0.64</v>
      </c>
      <c r="J1782" s="90" t="s">
        <v>244</v>
      </c>
      <c r="K1782" s="90">
        <v>0.15439543388995</v>
      </c>
      <c r="L1782" s="90">
        <v>3753.14035942999</v>
      </c>
      <c r="M1782" s="90">
        <v>11.5356646709798</v>
      </c>
      <c r="N1782" s="90">
        <v>1.5229578154493</v>
      </c>
      <c r="O1782" s="90">
        <v>1.78105395208495</v>
      </c>
      <c r="P1782" s="90">
        <v>0.23513773271239</v>
      </c>
      <c r="Q1782" s="90">
        <v>579.46773424409503</v>
      </c>
      <c r="R1782" s="90">
        <v>1400</v>
      </c>
      <c r="S1782" s="90" t="s">
        <v>324</v>
      </c>
      <c r="T1782" s="90">
        <v>1400</v>
      </c>
      <c r="U1782" s="90" t="s">
        <v>378</v>
      </c>
      <c r="V1782" s="90" t="s">
        <v>244</v>
      </c>
      <c r="Z1782" s="90">
        <v>0</v>
      </c>
      <c r="AA1782" s="90">
        <v>1</v>
      </c>
      <c r="AB1782" s="90">
        <v>1.78105395208495</v>
      </c>
      <c r="AC1782" s="90">
        <v>0.23513773271239</v>
      </c>
      <c r="AD1782" s="90">
        <v>1076.7910467326601</v>
      </c>
      <c r="AF1782" s="90">
        <v>-1</v>
      </c>
      <c r="AG1782" s="90">
        <v>-1</v>
      </c>
      <c r="AH1782" s="90">
        <v>-1</v>
      </c>
      <c r="AI1782" s="90">
        <v>-1</v>
      </c>
      <c r="AJ1782" s="90">
        <v>0</v>
      </c>
      <c r="AM1782" s="90" t="s">
        <v>379</v>
      </c>
      <c r="AN1782" s="90">
        <v>-1</v>
      </c>
      <c r="AQ1782" s="90">
        <v>357</v>
      </c>
      <c r="AR1782" s="90" t="s">
        <v>405</v>
      </c>
      <c r="AS1782" s="90" t="s">
        <v>406</v>
      </c>
      <c r="AT1782" s="90" t="s">
        <v>244</v>
      </c>
      <c r="AU1782" s="90">
        <v>122.34610000000001</v>
      </c>
      <c r="AV1782" s="90">
        <v>125.515647045986</v>
      </c>
      <c r="AW1782" s="90">
        <v>624.81615322679897</v>
      </c>
      <c r="AX1782" s="90">
        <v>0.87330985139999995</v>
      </c>
    </row>
    <row r="1783" spans="1:50" x14ac:dyDescent="0.25">
      <c r="A1783" s="102">
        <v>840000</v>
      </c>
      <c r="B1783" s="102">
        <v>2400000</v>
      </c>
      <c r="C1783" s="102">
        <v>2400000</v>
      </c>
      <c r="D1783" s="90" t="s">
        <v>374</v>
      </c>
      <c r="E1783" s="90" t="s">
        <v>68</v>
      </c>
      <c r="F1783" s="90" t="s">
        <v>375</v>
      </c>
      <c r="G1783" s="90" t="s">
        <v>376</v>
      </c>
      <c r="H1783" s="90">
        <v>0.59</v>
      </c>
      <c r="I1783" s="90">
        <v>0.64</v>
      </c>
      <c r="J1783" s="90" t="s">
        <v>244</v>
      </c>
      <c r="K1783" s="90">
        <v>0.16398396721670999</v>
      </c>
      <c r="L1783" s="90">
        <v>3736.76290362911</v>
      </c>
      <c r="M1783" s="90">
        <v>11.9252598337842</v>
      </c>
      <c r="N1783" s="90">
        <v>1.5700371911879001</v>
      </c>
      <c r="O1783" s="90">
        <v>1.9555514176341</v>
      </c>
      <c r="P1783" s="90">
        <v>0.25746092728878001</v>
      </c>
      <c r="Q1783" s="90">
        <v>612.769205485361</v>
      </c>
      <c r="R1783" s="90">
        <v>1400</v>
      </c>
      <c r="S1783" s="90" t="s">
        <v>324</v>
      </c>
      <c r="T1783" s="90">
        <v>1400</v>
      </c>
      <c r="U1783" s="90" t="s">
        <v>378</v>
      </c>
      <c r="V1783" s="90" t="s">
        <v>244</v>
      </c>
      <c r="Z1783" s="90">
        <v>0</v>
      </c>
      <c r="AA1783" s="90">
        <v>1</v>
      </c>
      <c r="AB1783" s="90">
        <v>1.9555514176341</v>
      </c>
      <c r="AC1783" s="90">
        <v>0.25746092728878001</v>
      </c>
      <c r="AD1783" s="90">
        <v>627.23691749059606</v>
      </c>
      <c r="AF1783" s="90">
        <v>-1</v>
      </c>
      <c r="AG1783" s="90">
        <v>-1</v>
      </c>
      <c r="AH1783" s="90">
        <v>-1</v>
      </c>
      <c r="AI1783" s="90">
        <v>-1</v>
      </c>
      <c r="AJ1783" s="90">
        <v>0</v>
      </c>
      <c r="AM1783" s="90" t="s">
        <v>379</v>
      </c>
      <c r="AN1783" s="90">
        <v>-1</v>
      </c>
      <c r="AQ1783" s="90">
        <v>357</v>
      </c>
      <c r="AR1783" s="90" t="s">
        <v>405</v>
      </c>
      <c r="AS1783" s="90" t="s">
        <v>406</v>
      </c>
      <c r="AT1783" s="90" t="s">
        <v>244</v>
      </c>
      <c r="AU1783" s="90">
        <v>122.34610000000001</v>
      </c>
      <c r="AV1783" s="90">
        <v>125.628056100105</v>
      </c>
      <c r="AW1783" s="90">
        <v>663.61957090160104</v>
      </c>
      <c r="AX1783" s="90">
        <v>0.50870796230000004</v>
      </c>
    </row>
    <row r="1784" spans="1:50" x14ac:dyDescent="0.25">
      <c r="A1784" s="102">
        <v>840000</v>
      </c>
      <c r="B1784" s="102">
        <v>2400000</v>
      </c>
      <c r="C1784" s="102">
        <v>2400000</v>
      </c>
      <c r="D1784" s="90" t="s">
        <v>374</v>
      </c>
      <c r="E1784" s="90" t="s">
        <v>68</v>
      </c>
      <c r="F1784" s="90" t="s">
        <v>375</v>
      </c>
      <c r="G1784" s="90" t="s">
        <v>376</v>
      </c>
      <c r="H1784" s="90">
        <v>0.59</v>
      </c>
      <c r="I1784" s="90">
        <v>0.64</v>
      </c>
      <c r="J1784" s="90" t="s">
        <v>244</v>
      </c>
      <c r="K1784" s="90">
        <v>0.16407514312071</v>
      </c>
      <c r="L1784" s="90">
        <v>3740.2262049943702</v>
      </c>
      <c r="M1784" s="90">
        <v>11.845312331822999</v>
      </c>
      <c r="N1784" s="90">
        <v>1.5603793125162699</v>
      </c>
      <c r="O1784" s="90">
        <v>1.9435213161534599</v>
      </c>
      <c r="P1784" s="90">
        <v>0.25601945902370998</v>
      </c>
      <c r="Q1784" s="90">
        <v>613.67814988830798</v>
      </c>
      <c r="R1784" s="90">
        <v>1400</v>
      </c>
      <c r="S1784" s="90" t="s">
        <v>324</v>
      </c>
      <c r="T1784" s="90">
        <v>1400</v>
      </c>
      <c r="U1784" s="90" t="s">
        <v>378</v>
      </c>
      <c r="V1784" s="90" t="s">
        <v>244</v>
      </c>
      <c r="Z1784" s="90">
        <v>0</v>
      </c>
      <c r="AA1784" s="90">
        <v>1</v>
      </c>
      <c r="AB1784" s="90">
        <v>1.9435213161534599</v>
      </c>
      <c r="AC1784" s="90">
        <v>0.25601945902370998</v>
      </c>
      <c r="AD1784" s="90">
        <v>817.09035543151094</v>
      </c>
      <c r="AF1784" s="90">
        <v>-1</v>
      </c>
      <c r="AG1784" s="90">
        <v>-1</v>
      </c>
      <c r="AH1784" s="90">
        <v>-1</v>
      </c>
      <c r="AI1784" s="90">
        <v>-1</v>
      </c>
      <c r="AJ1784" s="90">
        <v>0</v>
      </c>
      <c r="AM1784" s="90" t="s">
        <v>379</v>
      </c>
      <c r="AN1784" s="90">
        <v>-1</v>
      </c>
      <c r="AQ1784" s="90">
        <v>357</v>
      </c>
      <c r="AR1784" s="90" t="s">
        <v>405</v>
      </c>
      <c r="AS1784" s="90" t="s">
        <v>406</v>
      </c>
      <c r="AT1784" s="90" t="s">
        <v>244</v>
      </c>
      <c r="AU1784" s="90">
        <v>122.34610000000001</v>
      </c>
      <c r="AV1784" s="90">
        <v>126.99614360077</v>
      </c>
      <c r="AW1784" s="90">
        <v>663.98854669427305</v>
      </c>
      <c r="AX1784" s="90">
        <v>0.66268479759999999</v>
      </c>
    </row>
    <row r="1785" spans="1:50" x14ac:dyDescent="0.25">
      <c r="A1785" s="102">
        <v>840000</v>
      </c>
      <c r="B1785" s="102">
        <v>2400000</v>
      </c>
      <c r="C1785" s="102">
        <v>2400000</v>
      </c>
      <c r="D1785" s="90" t="s">
        <v>374</v>
      </c>
      <c r="E1785" s="90" t="s">
        <v>68</v>
      </c>
      <c r="F1785" s="90" t="s">
        <v>375</v>
      </c>
      <c r="G1785" s="90" t="s">
        <v>376</v>
      </c>
      <c r="H1785" s="90">
        <v>0.59</v>
      </c>
      <c r="I1785" s="90">
        <v>0.64</v>
      </c>
      <c r="J1785" s="90" t="s">
        <v>244</v>
      </c>
      <c r="K1785" s="90">
        <v>2.0092216060219999E-2</v>
      </c>
      <c r="L1785" s="90">
        <v>3695.6535633538101</v>
      </c>
      <c r="M1785" s="90">
        <v>9.4867124968976295</v>
      </c>
      <c r="N1785" s="90">
        <v>1.25624546124614</v>
      </c>
      <c r="O1785" s="90">
        <v>0.19060907718886999</v>
      </c>
      <c r="P1785" s="90">
        <v>2.524075523203E-2</v>
      </c>
      <c r="Q1785" s="90">
        <v>74.253869878634205</v>
      </c>
      <c r="R1785" s="90">
        <v>1400</v>
      </c>
      <c r="S1785" s="90" t="s">
        <v>324</v>
      </c>
      <c r="T1785" s="90">
        <v>1400</v>
      </c>
      <c r="U1785" s="90" t="s">
        <v>378</v>
      </c>
      <c r="V1785" s="90" t="s">
        <v>244</v>
      </c>
      <c r="Z1785" s="90">
        <v>0</v>
      </c>
      <c r="AA1785" s="90">
        <v>1</v>
      </c>
      <c r="AB1785" s="90">
        <v>0.19060907718886999</v>
      </c>
      <c r="AC1785" s="90">
        <v>2.524075523203E-2</v>
      </c>
      <c r="AD1785" s="90">
        <v>439.60338709263698</v>
      </c>
      <c r="AF1785" s="90">
        <v>-1</v>
      </c>
      <c r="AG1785" s="90">
        <v>-1</v>
      </c>
      <c r="AH1785" s="90">
        <v>-1</v>
      </c>
      <c r="AI1785" s="90">
        <v>-1</v>
      </c>
      <c r="AJ1785" s="90">
        <v>0</v>
      </c>
      <c r="AM1785" s="90" t="s">
        <v>379</v>
      </c>
      <c r="AN1785" s="90">
        <v>-1</v>
      </c>
      <c r="AQ1785" s="90">
        <v>357</v>
      </c>
      <c r="AR1785" s="90" t="s">
        <v>405</v>
      </c>
      <c r="AS1785" s="90" t="s">
        <v>406</v>
      </c>
      <c r="AT1785" s="90" t="s">
        <v>244</v>
      </c>
      <c r="AU1785" s="90">
        <v>122.34610000000001</v>
      </c>
      <c r="AV1785" s="90">
        <v>46.140547049986999</v>
      </c>
      <c r="AW1785" s="90">
        <v>81.310313603559607</v>
      </c>
      <c r="AX1785" s="90">
        <v>0.35653153859999998</v>
      </c>
    </row>
    <row r="1786" spans="1:50" x14ac:dyDescent="0.25">
      <c r="A1786" s="102">
        <v>840000</v>
      </c>
      <c r="B1786" s="102">
        <v>2400000</v>
      </c>
      <c r="C1786" s="102">
        <v>2400000</v>
      </c>
      <c r="D1786" s="90" t="s">
        <v>374</v>
      </c>
      <c r="E1786" s="90" t="s">
        <v>68</v>
      </c>
      <c r="F1786" s="90" t="s">
        <v>375</v>
      </c>
      <c r="G1786" s="90" t="s">
        <v>376</v>
      </c>
      <c r="H1786" s="90">
        <v>0.59</v>
      </c>
      <c r="I1786" s="90">
        <v>0.64</v>
      </c>
      <c r="J1786" s="90" t="s">
        <v>244</v>
      </c>
      <c r="K1786" s="90">
        <v>5.3888972712840003E-2</v>
      </c>
      <c r="L1786" s="90">
        <v>3695.6535633538101</v>
      </c>
      <c r="M1786" s="90">
        <v>9.4867124968976295</v>
      </c>
      <c r="N1786" s="90">
        <v>1.25624546124614</v>
      </c>
      <c r="O1786" s="90">
        <v>0.51122919087991003</v>
      </c>
      <c r="P1786" s="90">
        <v>6.7697777381720003E-2</v>
      </c>
      <c r="Q1786" s="90">
        <v>199.154974031698</v>
      </c>
      <c r="R1786" s="90">
        <v>1890</v>
      </c>
      <c r="S1786" s="90" t="s">
        <v>408</v>
      </c>
      <c r="T1786" s="90">
        <v>1890</v>
      </c>
      <c r="U1786" s="90" t="s">
        <v>378</v>
      </c>
      <c r="V1786" s="90" t="s">
        <v>244</v>
      </c>
      <c r="Z1786" s="90">
        <v>0</v>
      </c>
      <c r="AA1786" s="90">
        <v>1</v>
      </c>
      <c r="AB1786" s="90">
        <v>0.51122919087991003</v>
      </c>
      <c r="AC1786" s="90">
        <v>6.7697777381720003E-2</v>
      </c>
      <c r="AD1786" s="90">
        <v>690.74045335335495</v>
      </c>
      <c r="AF1786" s="90">
        <v>-1</v>
      </c>
      <c r="AG1786" s="90">
        <v>-1</v>
      </c>
      <c r="AH1786" s="90">
        <v>-1</v>
      </c>
      <c r="AI1786" s="90">
        <v>-1</v>
      </c>
      <c r="AJ1786" s="90">
        <v>0</v>
      </c>
      <c r="AM1786" s="90" t="s">
        <v>379</v>
      </c>
      <c r="AN1786" s="90">
        <v>-1</v>
      </c>
      <c r="AQ1786" s="90">
        <v>357</v>
      </c>
      <c r="AR1786" s="90" t="s">
        <v>405</v>
      </c>
      <c r="AS1786" s="90" t="s">
        <v>406</v>
      </c>
      <c r="AT1786" s="90" t="s">
        <v>244</v>
      </c>
      <c r="AU1786" s="90">
        <v>122.34610000000001</v>
      </c>
      <c r="AV1786" s="90">
        <v>76.794303383454903</v>
      </c>
      <c r="AW1786" s="90">
        <v>218.08093531951101</v>
      </c>
      <c r="AX1786" s="90">
        <v>0.56021123549999996</v>
      </c>
    </row>
    <row r="1787" spans="1:50" x14ac:dyDescent="0.25">
      <c r="A1787" s="102">
        <v>840000</v>
      </c>
      <c r="B1787" s="102">
        <v>2400000</v>
      </c>
      <c r="C1787" s="102">
        <v>2400000</v>
      </c>
      <c r="D1787" s="90" t="s">
        <v>374</v>
      </c>
      <c r="E1787" s="90" t="s">
        <v>68</v>
      </c>
      <c r="F1787" s="90" t="s">
        <v>375</v>
      </c>
      <c r="G1787" s="90" t="s">
        <v>376</v>
      </c>
      <c r="H1787" s="90">
        <v>0.59</v>
      </c>
      <c r="I1787" s="90">
        <v>0.64</v>
      </c>
      <c r="J1787" s="90" t="s">
        <v>244</v>
      </c>
      <c r="K1787" s="90">
        <v>2.312607436081E-2</v>
      </c>
      <c r="L1787" s="90">
        <v>3682.0525930429599</v>
      </c>
      <c r="M1787" s="90">
        <v>9.6478322220914201</v>
      </c>
      <c r="N1787" s="90">
        <v>1.57785830965503</v>
      </c>
      <c r="O1787" s="90">
        <v>0.22311648538876</v>
      </c>
      <c r="P1787" s="90">
        <v>3.648966859991E-2</v>
      </c>
      <c r="Q1787" s="90">
        <v>85.151422067146896</v>
      </c>
      <c r="R1787" s="90">
        <v>1200</v>
      </c>
      <c r="S1787" s="90" t="s">
        <v>384</v>
      </c>
      <c r="T1787" s="90">
        <v>1200</v>
      </c>
      <c r="U1787" s="90" t="s">
        <v>378</v>
      </c>
      <c r="V1787" s="90" t="s">
        <v>244</v>
      </c>
      <c r="Z1787" s="90">
        <v>0</v>
      </c>
      <c r="AA1787" s="90">
        <v>1</v>
      </c>
      <c r="AB1787" s="90">
        <v>0.22311648538876</v>
      </c>
      <c r="AC1787" s="90">
        <v>3.648966859991E-2</v>
      </c>
      <c r="AD1787" s="90">
        <v>480.983612954497</v>
      </c>
      <c r="AF1787" s="90">
        <v>-1</v>
      </c>
      <c r="AG1787" s="90">
        <v>-1</v>
      </c>
      <c r="AH1787" s="90">
        <v>-1</v>
      </c>
      <c r="AI1787" s="90">
        <v>-1</v>
      </c>
      <c r="AJ1787" s="90">
        <v>0</v>
      </c>
      <c r="AM1787" s="90" t="s">
        <v>379</v>
      </c>
      <c r="AN1787" s="90">
        <v>-1</v>
      </c>
      <c r="AQ1787" s="90">
        <v>357</v>
      </c>
      <c r="AR1787" s="90" t="s">
        <v>405</v>
      </c>
      <c r="AS1787" s="90" t="s">
        <v>406</v>
      </c>
      <c r="AT1787" s="90" t="s">
        <v>244</v>
      </c>
      <c r="AU1787" s="90">
        <v>122.34610000000001</v>
      </c>
      <c r="AV1787" s="90">
        <v>44.850180848407597</v>
      </c>
      <c r="AW1787" s="90">
        <v>93.587902551969094</v>
      </c>
      <c r="AX1787" s="90">
        <v>0.39009214349999999</v>
      </c>
    </row>
    <row r="1788" spans="1:50" x14ac:dyDescent="0.25">
      <c r="A1788" s="102">
        <v>840000</v>
      </c>
      <c r="B1788" s="102">
        <v>2400000</v>
      </c>
      <c r="C1788" s="102">
        <v>2400000</v>
      </c>
      <c r="D1788" s="90" t="s">
        <v>374</v>
      </c>
      <c r="E1788" s="90" t="s">
        <v>68</v>
      </c>
      <c r="F1788" s="90" t="s">
        <v>375</v>
      </c>
      <c r="G1788" s="90" t="s">
        <v>376</v>
      </c>
      <c r="H1788" s="90">
        <v>0.59</v>
      </c>
      <c r="I1788" s="90">
        <v>0.64</v>
      </c>
      <c r="J1788" s="90" t="s">
        <v>244</v>
      </c>
      <c r="K1788" s="90">
        <v>1.35218264049E-2</v>
      </c>
      <c r="L1788" s="90">
        <v>3682.0525930429599</v>
      </c>
      <c r="M1788" s="90">
        <v>9.6478322220914201</v>
      </c>
      <c r="N1788" s="90">
        <v>1.57785830965503</v>
      </c>
      <c r="O1788" s="90">
        <v>0.13045631249072001</v>
      </c>
      <c r="P1788" s="90">
        <v>2.1335526154679998E-2</v>
      </c>
      <c r="Q1788" s="90">
        <v>49.788075976838797</v>
      </c>
      <c r="R1788" s="90">
        <v>1300</v>
      </c>
      <c r="S1788" s="90" t="s">
        <v>387</v>
      </c>
      <c r="T1788" s="90">
        <v>1300</v>
      </c>
      <c r="U1788" s="90" t="s">
        <v>378</v>
      </c>
      <c r="V1788" s="90" t="s">
        <v>244</v>
      </c>
      <c r="Z1788" s="90">
        <v>0</v>
      </c>
      <c r="AA1788" s="90">
        <v>1</v>
      </c>
      <c r="AB1788" s="90">
        <v>0.13045631249072001</v>
      </c>
      <c r="AC1788" s="90">
        <v>2.1335526154679998E-2</v>
      </c>
      <c r="AD1788" s="90">
        <v>392.01453304568702</v>
      </c>
      <c r="AF1788" s="90">
        <v>-1</v>
      </c>
      <c r="AG1788" s="90">
        <v>-1</v>
      </c>
      <c r="AH1788" s="90">
        <v>-1</v>
      </c>
      <c r="AI1788" s="90">
        <v>-1</v>
      </c>
      <c r="AJ1788" s="90">
        <v>0</v>
      </c>
      <c r="AM1788" s="90" t="s">
        <v>379</v>
      </c>
      <c r="AN1788" s="90">
        <v>-1</v>
      </c>
      <c r="AQ1788" s="90">
        <v>357</v>
      </c>
      <c r="AR1788" s="90" t="s">
        <v>405</v>
      </c>
      <c r="AS1788" s="90" t="s">
        <v>406</v>
      </c>
      <c r="AT1788" s="90" t="s">
        <v>244</v>
      </c>
      <c r="AU1788" s="90">
        <v>122.34610000000001</v>
      </c>
      <c r="AV1788" s="90">
        <v>29.845498949515498</v>
      </c>
      <c r="AW1788" s="90">
        <v>54.720890029245901</v>
      </c>
      <c r="AX1788" s="90">
        <v>0.3179355499</v>
      </c>
    </row>
    <row r="1789" spans="1:50" x14ac:dyDescent="0.25">
      <c r="A1789" s="102">
        <v>840000</v>
      </c>
      <c r="B1789" s="102">
        <v>2400000</v>
      </c>
      <c r="C1789" s="102">
        <v>2400000</v>
      </c>
      <c r="D1789" s="90" t="s">
        <v>374</v>
      </c>
      <c r="E1789" s="90" t="s">
        <v>68</v>
      </c>
      <c r="F1789" s="90" t="s">
        <v>375</v>
      </c>
      <c r="G1789" s="90" t="s">
        <v>376</v>
      </c>
      <c r="H1789" s="90">
        <v>0.59</v>
      </c>
      <c r="I1789" s="90">
        <v>0.64</v>
      </c>
      <c r="J1789" s="90" t="s">
        <v>244</v>
      </c>
      <c r="K1789" s="90">
        <v>6.2589723337399998E-3</v>
      </c>
      <c r="L1789" s="90">
        <v>3682.0525930429599</v>
      </c>
      <c r="M1789" s="90">
        <v>9.6478322220914201</v>
      </c>
      <c r="N1789" s="90">
        <v>1.57785830965503</v>
      </c>
      <c r="O1789" s="90">
        <v>6.0385514958630003E-2</v>
      </c>
      <c r="P1789" s="90">
        <v>9.8757715066899992E-3</v>
      </c>
      <c r="Q1789" s="90">
        <v>23.045865311231498</v>
      </c>
      <c r="R1789" s="90">
        <v>1210</v>
      </c>
      <c r="S1789" s="90" t="s">
        <v>385</v>
      </c>
      <c r="T1789" s="90">
        <v>1210</v>
      </c>
      <c r="U1789" s="90" t="s">
        <v>378</v>
      </c>
      <c r="V1789" s="90" t="s">
        <v>244</v>
      </c>
      <c r="Z1789" s="90">
        <v>0</v>
      </c>
      <c r="AA1789" s="90">
        <v>1</v>
      </c>
      <c r="AB1789" s="90">
        <v>6.0385514958630003E-2</v>
      </c>
      <c r="AC1789" s="90">
        <v>9.8757715066899992E-3</v>
      </c>
      <c r="AD1789" s="90">
        <v>260.54676970620301</v>
      </c>
      <c r="AF1789" s="90">
        <v>-1</v>
      </c>
      <c r="AG1789" s="90">
        <v>-1</v>
      </c>
      <c r="AH1789" s="90">
        <v>-1</v>
      </c>
      <c r="AI1789" s="90">
        <v>-1</v>
      </c>
      <c r="AJ1789" s="90">
        <v>0</v>
      </c>
      <c r="AM1789" s="90" t="s">
        <v>379</v>
      </c>
      <c r="AN1789" s="90">
        <v>-1</v>
      </c>
      <c r="AQ1789" s="90">
        <v>357</v>
      </c>
      <c r="AR1789" s="90" t="s">
        <v>405</v>
      </c>
      <c r="AS1789" s="90" t="s">
        <v>406</v>
      </c>
      <c r="AT1789" s="90" t="s">
        <v>244</v>
      </c>
      <c r="AU1789" s="90">
        <v>122.34610000000001</v>
      </c>
      <c r="AV1789" s="90">
        <v>22.740521306544199</v>
      </c>
      <c r="AW1789" s="90">
        <v>25.329162386420101</v>
      </c>
      <c r="AX1789" s="90">
        <v>0.21131124870000001</v>
      </c>
    </row>
    <row r="1790" spans="1:50" x14ac:dyDescent="0.25">
      <c r="A1790" s="102">
        <v>840000</v>
      </c>
      <c r="B1790" s="102">
        <v>2400000</v>
      </c>
      <c r="C1790" s="102">
        <v>2400000</v>
      </c>
      <c r="D1790" s="90" t="s">
        <v>374</v>
      </c>
      <c r="E1790" s="90" t="s">
        <v>68</v>
      </c>
      <c r="F1790" s="90" t="s">
        <v>375</v>
      </c>
      <c r="G1790" s="90" t="s">
        <v>376</v>
      </c>
      <c r="H1790" s="90">
        <v>0.59</v>
      </c>
      <c r="I1790" s="90">
        <v>0.64</v>
      </c>
      <c r="J1790" s="90" t="s">
        <v>244</v>
      </c>
      <c r="K1790" s="90">
        <v>0.47697198181035999</v>
      </c>
      <c r="L1790" s="90">
        <v>3748.94196293717</v>
      </c>
      <c r="M1790" s="90">
        <v>8.1826313582309407</v>
      </c>
      <c r="N1790" s="90">
        <v>1.2738035181559</v>
      </c>
      <c r="O1790" s="90">
        <v>3.9028858953590602</v>
      </c>
      <c r="P1790" s="90">
        <v>0.60756858849183004</v>
      </c>
      <c r="Q1790" s="90">
        <v>1788.14027775419</v>
      </c>
      <c r="R1790" s="90">
        <v>1300</v>
      </c>
      <c r="S1790" s="90" t="s">
        <v>387</v>
      </c>
      <c r="T1790" s="90">
        <v>1300</v>
      </c>
      <c r="U1790" s="90" t="s">
        <v>378</v>
      </c>
      <c r="V1790" s="90" t="s">
        <v>244</v>
      </c>
      <c r="Z1790" s="90">
        <v>0</v>
      </c>
      <c r="AA1790" s="90">
        <v>1</v>
      </c>
      <c r="AB1790" s="90">
        <v>3.9028858953590602</v>
      </c>
      <c r="AC1790" s="90">
        <v>0.60756858849183004</v>
      </c>
      <c r="AD1790" s="90">
        <v>2315.9593344520699</v>
      </c>
      <c r="AF1790" s="90">
        <v>-1</v>
      </c>
      <c r="AG1790" s="90">
        <v>-1</v>
      </c>
      <c r="AH1790" s="90">
        <v>-1</v>
      </c>
      <c r="AI1790" s="90">
        <v>-1</v>
      </c>
      <c r="AJ1790" s="90">
        <v>0</v>
      </c>
      <c r="AM1790" s="90" t="s">
        <v>379</v>
      </c>
      <c r="AN1790" s="90">
        <v>-1</v>
      </c>
      <c r="AQ1790" s="90">
        <v>357</v>
      </c>
      <c r="AR1790" s="90" t="s">
        <v>405</v>
      </c>
      <c r="AS1790" s="90" t="s">
        <v>406</v>
      </c>
      <c r="AT1790" s="90" t="s">
        <v>244</v>
      </c>
      <c r="AU1790" s="90">
        <v>122.34610000000001</v>
      </c>
      <c r="AV1790" s="90">
        <v>192.315805630943</v>
      </c>
      <c r="AW1790" s="90">
        <v>1930.23712789414</v>
      </c>
      <c r="AX1790" s="90">
        <v>1.8783125178</v>
      </c>
    </row>
    <row r="1791" spans="1:50" x14ac:dyDescent="0.25">
      <c r="A1791" s="102">
        <v>840000</v>
      </c>
      <c r="B1791" s="102">
        <v>2400000</v>
      </c>
      <c r="C1791" s="102">
        <v>2400000</v>
      </c>
      <c r="D1791" s="90" t="s">
        <v>374</v>
      </c>
      <c r="E1791" s="90" t="s">
        <v>68</v>
      </c>
      <c r="F1791" s="90" t="s">
        <v>375</v>
      </c>
      <c r="G1791" s="90" t="s">
        <v>376</v>
      </c>
      <c r="H1791" s="90">
        <v>0.59</v>
      </c>
      <c r="I1791" s="90">
        <v>0.64</v>
      </c>
      <c r="J1791" s="90" t="s">
        <v>244</v>
      </c>
      <c r="K1791" s="90">
        <v>1.366980853824E-2</v>
      </c>
      <c r="L1791" s="90">
        <v>3744.6331390922501</v>
      </c>
      <c r="M1791" s="90">
        <v>11.747704000972</v>
      </c>
      <c r="N1791" s="90">
        <v>1.5485933910671199</v>
      </c>
      <c r="O1791" s="90">
        <v>0.16058886445720999</v>
      </c>
      <c r="P1791" s="90">
        <v>2.1168975159469999E-2</v>
      </c>
      <c r="Q1791" s="90">
        <v>51.188418057343497</v>
      </c>
      <c r="R1791" s="90">
        <v>1400</v>
      </c>
      <c r="S1791" s="90" t="s">
        <v>324</v>
      </c>
      <c r="T1791" s="90">
        <v>1400</v>
      </c>
      <c r="U1791" s="90" t="s">
        <v>378</v>
      </c>
      <c r="V1791" s="90" t="s">
        <v>244</v>
      </c>
      <c r="Z1791" s="90">
        <v>0</v>
      </c>
      <c r="AA1791" s="90">
        <v>1</v>
      </c>
      <c r="AB1791" s="90">
        <v>0.16058886445720999</v>
      </c>
      <c r="AC1791" s="90">
        <v>2.1168975159469999E-2</v>
      </c>
      <c r="AD1791" s="90">
        <v>665.06723816995202</v>
      </c>
      <c r="AF1791" s="90">
        <v>-1</v>
      </c>
      <c r="AG1791" s="90">
        <v>-1</v>
      </c>
      <c r="AH1791" s="90">
        <v>-1</v>
      </c>
      <c r="AI1791" s="90">
        <v>-1</v>
      </c>
      <c r="AJ1791" s="90">
        <v>0</v>
      </c>
      <c r="AM1791" s="90" t="s">
        <v>379</v>
      </c>
      <c r="AN1791" s="90">
        <v>-1</v>
      </c>
      <c r="AQ1791" s="90">
        <v>357</v>
      </c>
      <c r="AR1791" s="90" t="s">
        <v>405</v>
      </c>
      <c r="AS1791" s="90" t="s">
        <v>406</v>
      </c>
      <c r="AT1791" s="90" t="s">
        <v>244</v>
      </c>
      <c r="AU1791" s="90">
        <v>122.34610000000001</v>
      </c>
      <c r="AV1791" s="90">
        <v>68.831913707072502</v>
      </c>
      <c r="AW1791" s="90">
        <v>55.319752475959703</v>
      </c>
      <c r="AX1791" s="90">
        <v>0.53938948760000005</v>
      </c>
    </row>
    <row r="1792" spans="1:50" x14ac:dyDescent="0.25">
      <c r="A1792" s="102">
        <v>840000</v>
      </c>
      <c r="B1792" s="102">
        <v>2400000</v>
      </c>
      <c r="C1792" s="102">
        <v>2400000</v>
      </c>
      <c r="D1792" s="90" t="s">
        <v>374</v>
      </c>
      <c r="E1792" s="90" t="s">
        <v>68</v>
      </c>
      <c r="F1792" s="90" t="s">
        <v>375</v>
      </c>
      <c r="G1792" s="90" t="s">
        <v>376</v>
      </c>
      <c r="H1792" s="90">
        <v>0.59</v>
      </c>
      <c r="I1792" s="90">
        <v>0.64</v>
      </c>
      <c r="J1792" s="90" t="s">
        <v>244</v>
      </c>
      <c r="K1792" s="90">
        <v>3.4500035311010001E-2</v>
      </c>
      <c r="L1792" s="90">
        <v>3713.4391479556798</v>
      </c>
      <c r="M1792" s="90">
        <v>11.736175122556901</v>
      </c>
      <c r="N1792" s="90">
        <v>2.3837198730832498</v>
      </c>
      <c r="O1792" s="90">
        <v>0.40489845614443998</v>
      </c>
      <c r="P1792" s="90">
        <v>8.2238419792930006E-2</v>
      </c>
      <c r="Q1792" s="90">
        <v>128.11378172976899</v>
      </c>
      <c r="R1792" s="90">
        <v>1300</v>
      </c>
      <c r="S1792" s="90" t="s">
        <v>387</v>
      </c>
      <c r="T1792" s="90">
        <v>1300</v>
      </c>
      <c r="U1792" s="90" t="s">
        <v>378</v>
      </c>
      <c r="V1792" s="90" t="s">
        <v>244</v>
      </c>
      <c r="Z1792" s="90">
        <v>0</v>
      </c>
      <c r="AA1792" s="90">
        <v>1</v>
      </c>
      <c r="AB1792" s="90">
        <v>0.40489845614443998</v>
      </c>
      <c r="AC1792" s="90">
        <v>8.2238419792930006E-2</v>
      </c>
      <c r="AD1792" s="90">
        <v>1347.3350334660199</v>
      </c>
      <c r="AF1792" s="90">
        <v>-1</v>
      </c>
      <c r="AG1792" s="90">
        <v>-1</v>
      </c>
      <c r="AH1792" s="90">
        <v>-1</v>
      </c>
      <c r="AI1792" s="90">
        <v>-1</v>
      </c>
      <c r="AJ1792" s="90">
        <v>0</v>
      </c>
      <c r="AM1792" s="90" t="s">
        <v>379</v>
      </c>
      <c r="AN1792" s="90">
        <v>-1</v>
      </c>
      <c r="AQ1792" s="90">
        <v>357</v>
      </c>
      <c r="AR1792" s="90" t="s">
        <v>405</v>
      </c>
      <c r="AS1792" s="90" t="s">
        <v>406</v>
      </c>
      <c r="AT1792" s="90" t="s">
        <v>244</v>
      </c>
      <c r="AU1792" s="90">
        <v>122.34610000000001</v>
      </c>
      <c r="AV1792" s="90">
        <v>51.780747216135801</v>
      </c>
      <c r="AW1792" s="90">
        <v>139.616689471397</v>
      </c>
      <c r="AX1792" s="90">
        <v>1.0927291430999999</v>
      </c>
    </row>
    <row r="1793" spans="1:50" x14ac:dyDescent="0.25">
      <c r="A1793" s="102">
        <v>840000</v>
      </c>
      <c r="B1793" s="102">
        <v>2400000</v>
      </c>
      <c r="C1793" s="102">
        <v>2400000</v>
      </c>
      <c r="D1793" s="90" t="s">
        <v>374</v>
      </c>
      <c r="E1793" s="90" t="s">
        <v>68</v>
      </c>
      <c r="F1793" s="90" t="s">
        <v>375</v>
      </c>
      <c r="G1793" s="90" t="s">
        <v>376</v>
      </c>
      <c r="H1793" s="90">
        <v>0.59</v>
      </c>
      <c r="I1793" s="90">
        <v>0.64</v>
      </c>
      <c r="J1793" s="90" t="s">
        <v>244</v>
      </c>
      <c r="K1793" s="90">
        <v>4.8840090039759997E-2</v>
      </c>
      <c r="L1793" s="90">
        <v>3695.6535633538101</v>
      </c>
      <c r="M1793" s="90">
        <v>9.4867124968976295</v>
      </c>
      <c r="N1793" s="90">
        <v>1.25624546124614</v>
      </c>
      <c r="O1793" s="90">
        <v>0.46333189252987</v>
      </c>
      <c r="P1793" s="90">
        <v>6.135514143931E-2</v>
      </c>
      <c r="Q1793" s="90">
        <v>180.49605278998899</v>
      </c>
      <c r="R1793" s="90">
        <v>1400</v>
      </c>
      <c r="S1793" s="90" t="s">
        <v>324</v>
      </c>
      <c r="T1793" s="90">
        <v>1400</v>
      </c>
      <c r="U1793" s="90" t="s">
        <v>378</v>
      </c>
      <c r="V1793" s="90" t="s">
        <v>244</v>
      </c>
      <c r="Z1793" s="90">
        <v>0</v>
      </c>
      <c r="AA1793" s="90">
        <v>1</v>
      </c>
      <c r="AB1793" s="90">
        <v>0.46333189252987</v>
      </c>
      <c r="AC1793" s="90">
        <v>6.135514143931E-2</v>
      </c>
      <c r="AD1793" s="90">
        <v>180.49605278998899</v>
      </c>
      <c r="AF1793" s="90">
        <v>-1</v>
      </c>
      <c r="AG1793" s="90">
        <v>-1</v>
      </c>
      <c r="AH1793" s="90">
        <v>-1</v>
      </c>
      <c r="AI1793" s="90">
        <v>-1</v>
      </c>
      <c r="AJ1793" s="90">
        <v>0</v>
      </c>
      <c r="AM1793" s="90" t="s">
        <v>379</v>
      </c>
      <c r="AN1793" s="90">
        <v>-1</v>
      </c>
      <c r="AQ1793" s="90">
        <v>357</v>
      </c>
      <c r="AR1793" s="90" t="s">
        <v>405</v>
      </c>
      <c r="AS1793" s="90" t="s">
        <v>406</v>
      </c>
      <c r="AT1793" s="90" t="s">
        <v>244</v>
      </c>
      <c r="AU1793" s="90">
        <v>122.34610000000001</v>
      </c>
      <c r="AV1793" s="90">
        <v>58.305512118590499</v>
      </c>
      <c r="AW1793" s="90">
        <v>197.64883204802899</v>
      </c>
      <c r="AX1793" s="90">
        <v>0.14638771519999999</v>
      </c>
    </row>
    <row r="1794" spans="1:50" x14ac:dyDescent="0.25">
      <c r="A1794" s="102">
        <v>840000</v>
      </c>
      <c r="B1794" s="102">
        <v>2400000</v>
      </c>
      <c r="C1794" s="102">
        <v>2400000</v>
      </c>
      <c r="D1794" s="90" t="s">
        <v>374</v>
      </c>
      <c r="E1794" s="90" t="s">
        <v>68</v>
      </c>
      <c r="F1794" s="90" t="s">
        <v>375</v>
      </c>
      <c r="G1794" s="90" t="s">
        <v>376</v>
      </c>
      <c r="H1794" s="90">
        <v>0.59</v>
      </c>
      <c r="I1794" s="90">
        <v>0.64</v>
      </c>
      <c r="J1794" s="90" t="s">
        <v>244</v>
      </c>
      <c r="K1794" s="90">
        <v>6.8325520820559996E-2</v>
      </c>
      <c r="L1794" s="90">
        <v>3695.6535633538101</v>
      </c>
      <c r="M1794" s="90">
        <v>9.4867124968976295</v>
      </c>
      <c r="N1794" s="90">
        <v>1.25624546124614</v>
      </c>
      <c r="O1794" s="90">
        <v>0.64818457222547998</v>
      </c>
      <c r="P1794" s="90">
        <v>8.5833625418110002E-2</v>
      </c>
      <c r="Q1794" s="90">
        <v>252.507454488522</v>
      </c>
      <c r="R1794" s="90">
        <v>1890</v>
      </c>
      <c r="S1794" s="90" t="s">
        <v>408</v>
      </c>
      <c r="T1794" s="90">
        <v>1890</v>
      </c>
      <c r="U1794" s="90" t="s">
        <v>378</v>
      </c>
      <c r="V1794" s="90" t="s">
        <v>244</v>
      </c>
      <c r="Z1794" s="90">
        <v>0</v>
      </c>
      <c r="AA1794" s="90">
        <v>1</v>
      </c>
      <c r="AB1794" s="90">
        <v>0.64818457222547998</v>
      </c>
      <c r="AC1794" s="90">
        <v>8.5833625418110002E-2</v>
      </c>
      <c r="AD1794" s="90">
        <v>252.507454488523</v>
      </c>
      <c r="AF1794" s="90">
        <v>-1</v>
      </c>
      <c r="AG1794" s="90">
        <v>-1</v>
      </c>
      <c r="AH1794" s="90">
        <v>-1</v>
      </c>
      <c r="AI1794" s="90">
        <v>-1</v>
      </c>
      <c r="AJ1794" s="90">
        <v>0</v>
      </c>
      <c r="AM1794" s="90" t="s">
        <v>379</v>
      </c>
      <c r="AN1794" s="90">
        <v>-1</v>
      </c>
      <c r="AQ1794" s="90">
        <v>357</v>
      </c>
      <c r="AR1794" s="90" t="s">
        <v>405</v>
      </c>
      <c r="AS1794" s="90" t="s">
        <v>406</v>
      </c>
      <c r="AT1794" s="90" t="s">
        <v>244</v>
      </c>
      <c r="AU1794" s="90">
        <v>122.34610000000001</v>
      </c>
      <c r="AV1794" s="90">
        <v>80.946514413193697</v>
      </c>
      <c r="AW1794" s="90">
        <v>276.50357274652401</v>
      </c>
      <c r="AX1794" s="90">
        <v>0.20479112290000001</v>
      </c>
    </row>
    <row r="1795" spans="1:50" x14ac:dyDescent="0.25">
      <c r="A1795" s="102">
        <v>840000</v>
      </c>
      <c r="B1795" s="102">
        <v>2400000</v>
      </c>
      <c r="C1795" s="102">
        <v>2400000</v>
      </c>
      <c r="D1795" s="90" t="s">
        <v>374</v>
      </c>
      <c r="E1795" s="90" t="s">
        <v>68</v>
      </c>
      <c r="F1795" s="90" t="s">
        <v>375</v>
      </c>
      <c r="G1795" s="90" t="s">
        <v>376</v>
      </c>
      <c r="H1795" s="90">
        <v>0.59</v>
      </c>
      <c r="I1795" s="90">
        <v>0.64</v>
      </c>
      <c r="J1795" s="90" t="s">
        <v>244</v>
      </c>
      <c r="K1795" s="90">
        <v>6.5208599764199999E-3</v>
      </c>
      <c r="L1795" s="90">
        <v>3739.83763285445</v>
      </c>
      <c r="M1795" s="90">
        <v>8.9203248769158208</v>
      </c>
      <c r="N1795" s="90">
        <v>1.5047955796805801</v>
      </c>
      <c r="O1795" s="90">
        <v>5.8168189466599997E-2</v>
      </c>
      <c r="P1795" s="90">
        <v>9.8125612682400006E-3</v>
      </c>
      <c r="Q1795" s="90">
        <v>24.386957538415999</v>
      </c>
      <c r="R1795" s="90">
        <v>1300</v>
      </c>
      <c r="S1795" s="90" t="s">
        <v>387</v>
      </c>
      <c r="T1795" s="90">
        <v>1300</v>
      </c>
      <c r="U1795" s="90" t="s">
        <v>378</v>
      </c>
      <c r="V1795" s="90" t="s">
        <v>244</v>
      </c>
      <c r="Z1795" s="90">
        <v>0</v>
      </c>
      <c r="AA1795" s="90">
        <v>1</v>
      </c>
      <c r="AB1795" s="90">
        <v>5.8168189466599997E-2</v>
      </c>
      <c r="AC1795" s="90">
        <v>9.8125612682400006E-3</v>
      </c>
      <c r="AD1795" s="90">
        <v>677.63156387359697</v>
      </c>
      <c r="AF1795" s="90">
        <v>-1</v>
      </c>
      <c r="AG1795" s="90">
        <v>-1</v>
      </c>
      <c r="AH1795" s="90">
        <v>-1</v>
      </c>
      <c r="AI1795" s="90">
        <v>-1</v>
      </c>
      <c r="AJ1795" s="90">
        <v>0</v>
      </c>
      <c r="AM1795" s="90" t="s">
        <v>379</v>
      </c>
      <c r="AN1795" s="90">
        <v>-1</v>
      </c>
      <c r="AQ1795" s="90">
        <v>357</v>
      </c>
      <c r="AR1795" s="90" t="s">
        <v>405</v>
      </c>
      <c r="AS1795" s="90" t="s">
        <v>406</v>
      </c>
      <c r="AT1795" s="90" t="s">
        <v>244</v>
      </c>
      <c r="AU1795" s="90">
        <v>122.34610000000001</v>
      </c>
      <c r="AV1795" s="90">
        <v>21.3804426851448</v>
      </c>
      <c r="AW1795" s="90">
        <v>26.388984075173301</v>
      </c>
      <c r="AX1795" s="90">
        <v>0.54957953270000004</v>
      </c>
    </row>
    <row r="1796" spans="1:50" x14ac:dyDescent="0.25">
      <c r="A1796" s="102">
        <v>840000</v>
      </c>
      <c r="B1796" s="102">
        <v>2400000</v>
      </c>
      <c r="C1796" s="102">
        <v>2400000</v>
      </c>
      <c r="D1796" s="90" t="s">
        <v>374</v>
      </c>
      <c r="E1796" s="90" t="s">
        <v>68</v>
      </c>
      <c r="F1796" s="90" t="s">
        <v>375</v>
      </c>
      <c r="G1796" s="90" t="s">
        <v>376</v>
      </c>
      <c r="H1796" s="90">
        <v>0.59</v>
      </c>
      <c r="I1796" s="90">
        <v>0.64</v>
      </c>
      <c r="J1796" s="90" t="s">
        <v>244</v>
      </c>
      <c r="K1796" s="90">
        <v>7.4061740328199999E-3</v>
      </c>
      <c r="L1796" s="90">
        <v>3739.83763285445</v>
      </c>
      <c r="M1796" s="90">
        <v>8.9203248769158208</v>
      </c>
      <c r="N1796" s="90">
        <v>1.5047955796805801</v>
      </c>
      <c r="O1796" s="90">
        <v>6.6065478467759994E-2</v>
      </c>
      <c r="P1796" s="90">
        <v>1.1144777946929999E-2</v>
      </c>
      <c r="Q1796" s="90">
        <v>27.6978883634246</v>
      </c>
      <c r="R1796" s="90">
        <v>1300</v>
      </c>
      <c r="S1796" s="90" t="s">
        <v>387</v>
      </c>
      <c r="T1796" s="90">
        <v>1300</v>
      </c>
      <c r="U1796" s="90" t="s">
        <v>378</v>
      </c>
      <c r="V1796" s="90" t="s">
        <v>244</v>
      </c>
      <c r="Z1796" s="90">
        <v>0</v>
      </c>
      <c r="AA1796" s="90">
        <v>1</v>
      </c>
      <c r="AB1796" s="90">
        <v>6.6065478467759994E-2</v>
      </c>
      <c r="AC1796" s="90">
        <v>1.1144777946929999E-2</v>
      </c>
      <c r="AD1796" s="90">
        <v>384.33284791123299</v>
      </c>
      <c r="AF1796" s="90">
        <v>-1</v>
      </c>
      <c r="AG1796" s="90">
        <v>-1</v>
      </c>
      <c r="AH1796" s="90">
        <v>-1</v>
      </c>
      <c r="AI1796" s="90">
        <v>-1</v>
      </c>
      <c r="AJ1796" s="90">
        <v>0</v>
      </c>
      <c r="AM1796" s="90" t="s">
        <v>379</v>
      </c>
      <c r="AN1796" s="90">
        <v>-1</v>
      </c>
      <c r="AQ1796" s="90">
        <v>357</v>
      </c>
      <c r="AR1796" s="90" t="s">
        <v>405</v>
      </c>
      <c r="AS1796" s="90" t="s">
        <v>406</v>
      </c>
      <c r="AT1796" s="90" t="s">
        <v>244</v>
      </c>
      <c r="AU1796" s="90">
        <v>122.34610000000001</v>
      </c>
      <c r="AV1796" s="90">
        <v>22.4281222532159</v>
      </c>
      <c r="AW1796" s="90">
        <v>29.971722950144802</v>
      </c>
      <c r="AX1796" s="90">
        <v>0.31170547279999999</v>
      </c>
    </row>
    <row r="1797" spans="1:50" x14ac:dyDescent="0.25">
      <c r="A1797" s="102">
        <v>840000</v>
      </c>
      <c r="B1797" s="102">
        <v>2400000</v>
      </c>
      <c r="C1797" s="102">
        <v>2400000</v>
      </c>
      <c r="D1797" s="90" t="s">
        <v>374</v>
      </c>
      <c r="E1797" s="90" t="s">
        <v>68</v>
      </c>
      <c r="F1797" s="90" t="s">
        <v>375</v>
      </c>
      <c r="G1797" s="90" t="s">
        <v>376</v>
      </c>
      <c r="H1797" s="90">
        <v>0.59</v>
      </c>
      <c r="I1797" s="90">
        <v>0.64</v>
      </c>
      <c r="J1797" s="90" t="s">
        <v>244</v>
      </c>
      <c r="K1797" s="90">
        <v>8.2443682049959999E-2</v>
      </c>
      <c r="L1797" s="90">
        <v>3664.1173325240802</v>
      </c>
      <c r="M1797" s="90">
        <v>9.1385963512820094</v>
      </c>
      <c r="N1797" s="90">
        <v>1.3442133882686</v>
      </c>
      <c r="O1797" s="90">
        <v>0.75341953196806999</v>
      </c>
      <c r="P1797" s="90">
        <v>0.11082190118972</v>
      </c>
      <c r="Q1797" s="90">
        <v>302.08332435638499</v>
      </c>
      <c r="R1797" s="90">
        <v>1200</v>
      </c>
      <c r="S1797" s="90" t="s">
        <v>384</v>
      </c>
      <c r="T1797" s="90">
        <v>1200</v>
      </c>
      <c r="U1797" s="90" t="s">
        <v>378</v>
      </c>
      <c r="V1797" s="90" t="s">
        <v>244</v>
      </c>
      <c r="Z1797" s="90">
        <v>0</v>
      </c>
      <c r="AA1797" s="90">
        <v>1</v>
      </c>
      <c r="AB1797" s="90">
        <v>0.75341953196806999</v>
      </c>
      <c r="AC1797" s="90">
        <v>0.11082190118972</v>
      </c>
      <c r="AD1797" s="90">
        <v>643.08392571164495</v>
      </c>
      <c r="AF1797" s="90">
        <v>-1</v>
      </c>
      <c r="AG1797" s="90">
        <v>-1</v>
      </c>
      <c r="AH1797" s="90">
        <v>-1</v>
      </c>
      <c r="AI1797" s="90">
        <v>-1</v>
      </c>
      <c r="AJ1797" s="90">
        <v>0</v>
      </c>
      <c r="AM1797" s="90" t="s">
        <v>379</v>
      </c>
      <c r="AN1797" s="90">
        <v>-1</v>
      </c>
      <c r="AQ1797" s="90">
        <v>357</v>
      </c>
      <c r="AR1797" s="90" t="s">
        <v>405</v>
      </c>
      <c r="AS1797" s="90" t="s">
        <v>406</v>
      </c>
      <c r="AT1797" s="90" t="s">
        <v>244</v>
      </c>
      <c r="AU1797" s="90">
        <v>122.34610000000001</v>
      </c>
      <c r="AV1797" s="90">
        <v>99.767578842082997</v>
      </c>
      <c r="AW1797" s="90">
        <v>333.637744190207</v>
      </c>
      <c r="AX1797" s="90">
        <v>0.52156036149999996</v>
      </c>
    </row>
    <row r="1798" spans="1:50" x14ac:dyDescent="0.25">
      <c r="A1798" s="102">
        <v>840000</v>
      </c>
      <c r="B1798" s="102">
        <v>2400000</v>
      </c>
      <c r="C1798" s="102">
        <v>2400000</v>
      </c>
      <c r="D1798" s="90" t="s">
        <v>374</v>
      </c>
      <c r="E1798" s="90" t="s">
        <v>68</v>
      </c>
      <c r="F1798" s="90" t="s">
        <v>375</v>
      </c>
      <c r="G1798" s="90" t="s">
        <v>376</v>
      </c>
      <c r="H1798" s="90">
        <v>0.59</v>
      </c>
      <c r="I1798" s="90">
        <v>0.64</v>
      </c>
      <c r="J1798" s="90" t="s">
        <v>244</v>
      </c>
      <c r="K1798" s="90">
        <v>7.5394695790259994E-2</v>
      </c>
      <c r="L1798" s="90">
        <v>3664.1173325240802</v>
      </c>
      <c r="M1798" s="90">
        <v>9.1385963512820094</v>
      </c>
      <c r="N1798" s="90">
        <v>1.3442133882686</v>
      </c>
      <c r="O1798" s="90">
        <v>0.68900169185496996</v>
      </c>
      <c r="P1798" s="90">
        <v>0.10134655948571</v>
      </c>
      <c r="Q1798" s="90">
        <v>276.25501162550501</v>
      </c>
      <c r="R1798" s="90">
        <v>1210</v>
      </c>
      <c r="S1798" s="90" t="s">
        <v>385</v>
      </c>
      <c r="T1798" s="90">
        <v>1210</v>
      </c>
      <c r="U1798" s="90" t="s">
        <v>378</v>
      </c>
      <c r="V1798" s="90" t="s">
        <v>244</v>
      </c>
      <c r="Z1798" s="90">
        <v>0</v>
      </c>
      <c r="AA1798" s="90">
        <v>1</v>
      </c>
      <c r="AB1798" s="90">
        <v>0.68900169185496996</v>
      </c>
      <c r="AC1798" s="90">
        <v>0.10134655948571</v>
      </c>
      <c r="AD1798" s="90">
        <v>642.70301012968798</v>
      </c>
      <c r="AF1798" s="90">
        <v>-1</v>
      </c>
      <c r="AG1798" s="90">
        <v>-1</v>
      </c>
      <c r="AH1798" s="90">
        <v>-1</v>
      </c>
      <c r="AI1798" s="90">
        <v>-1</v>
      </c>
      <c r="AJ1798" s="90">
        <v>0</v>
      </c>
      <c r="AM1798" s="90" t="s">
        <v>379</v>
      </c>
      <c r="AN1798" s="90">
        <v>-1</v>
      </c>
      <c r="AQ1798" s="90">
        <v>357</v>
      </c>
      <c r="AR1798" s="90" t="s">
        <v>405</v>
      </c>
      <c r="AS1798" s="90" t="s">
        <v>406</v>
      </c>
      <c r="AT1798" s="90" t="s">
        <v>244</v>
      </c>
      <c r="AU1798" s="90">
        <v>122.34610000000001</v>
      </c>
      <c r="AV1798" s="90">
        <v>70.968079190187495</v>
      </c>
      <c r="AW1798" s="90">
        <v>305.11150887374299</v>
      </c>
      <c r="AX1798" s="90">
        <v>0.52125142749999998</v>
      </c>
    </row>
    <row r="1799" spans="1:50" x14ac:dyDescent="0.25">
      <c r="A1799" s="102">
        <v>840000</v>
      </c>
      <c r="B1799" s="102">
        <v>2400000</v>
      </c>
      <c r="C1799" s="102">
        <v>2400000</v>
      </c>
      <c r="D1799" s="90" t="s">
        <v>374</v>
      </c>
      <c r="E1799" s="90" t="s">
        <v>68</v>
      </c>
      <c r="F1799" s="90" t="s">
        <v>375</v>
      </c>
      <c r="G1799" s="90" t="s">
        <v>376</v>
      </c>
      <c r="H1799" s="90">
        <v>0.59</v>
      </c>
      <c r="I1799" s="90">
        <v>0.64</v>
      </c>
      <c r="J1799" s="90" t="s">
        <v>244</v>
      </c>
      <c r="K1799" s="90">
        <v>7.2806224279639994E-2</v>
      </c>
      <c r="L1799" s="90">
        <v>3664.1173325240802</v>
      </c>
      <c r="M1799" s="90">
        <v>9.1385963512820094</v>
      </c>
      <c r="N1799" s="90">
        <v>1.3442133882686</v>
      </c>
      <c r="O1799" s="90">
        <v>0.66534669555259995</v>
      </c>
      <c r="P1799" s="90">
        <v>9.7867101425979999E-2</v>
      </c>
      <c r="Q1799" s="90">
        <v>266.77054829869002</v>
      </c>
      <c r="R1799" s="90">
        <v>1210</v>
      </c>
      <c r="S1799" s="90" t="s">
        <v>385</v>
      </c>
      <c r="T1799" s="90">
        <v>1210</v>
      </c>
      <c r="U1799" s="90" t="s">
        <v>378</v>
      </c>
      <c r="V1799" s="90" t="s">
        <v>244</v>
      </c>
      <c r="Z1799" s="90">
        <v>0</v>
      </c>
      <c r="AA1799" s="90">
        <v>1</v>
      </c>
      <c r="AB1799" s="90">
        <v>0.66534669555259995</v>
      </c>
      <c r="AC1799" s="90">
        <v>9.7867101425979999E-2</v>
      </c>
      <c r="AD1799" s="90">
        <v>807.26936508725203</v>
      </c>
      <c r="AF1799" s="90">
        <v>-1</v>
      </c>
      <c r="AG1799" s="90">
        <v>-1</v>
      </c>
      <c r="AH1799" s="90">
        <v>-1</v>
      </c>
      <c r="AI1799" s="90">
        <v>-1</v>
      </c>
      <c r="AJ1799" s="90">
        <v>0</v>
      </c>
      <c r="AM1799" s="90" t="s">
        <v>379</v>
      </c>
      <c r="AN1799" s="90">
        <v>-1</v>
      </c>
      <c r="AQ1799" s="90">
        <v>357</v>
      </c>
      <c r="AR1799" s="90" t="s">
        <v>405</v>
      </c>
      <c r="AS1799" s="90" t="s">
        <v>406</v>
      </c>
      <c r="AT1799" s="90" t="s">
        <v>244</v>
      </c>
      <c r="AU1799" s="90">
        <v>122.34610000000001</v>
      </c>
      <c r="AV1799" s="90">
        <v>69.640715018243995</v>
      </c>
      <c r="AW1799" s="90">
        <v>294.63633631678601</v>
      </c>
      <c r="AX1799" s="90">
        <v>0.6547196797</v>
      </c>
    </row>
    <row r="1800" spans="1:50" x14ac:dyDescent="0.25">
      <c r="A1800" s="102">
        <v>840000</v>
      </c>
      <c r="B1800" s="102">
        <v>2400000</v>
      </c>
      <c r="C1800" s="102">
        <v>2400000</v>
      </c>
      <c r="D1800" s="90" t="s">
        <v>374</v>
      </c>
      <c r="E1800" s="90" t="s">
        <v>68</v>
      </c>
      <c r="F1800" s="90" t="s">
        <v>375</v>
      </c>
      <c r="G1800" s="90" t="s">
        <v>376</v>
      </c>
      <c r="H1800" s="90">
        <v>0.59</v>
      </c>
      <c r="I1800" s="90">
        <v>0.64</v>
      </c>
      <c r="J1800" s="90" t="s">
        <v>244</v>
      </c>
      <c r="K1800" s="90">
        <v>2.5879604875090001E-2</v>
      </c>
      <c r="L1800" s="90">
        <v>3771.92855647738</v>
      </c>
      <c r="M1800" s="90">
        <v>10.655683445123801</v>
      </c>
      <c r="N1800" s="90">
        <v>1.5077989625736601</v>
      </c>
      <c r="O1800" s="90">
        <v>0.27576487723392001</v>
      </c>
      <c r="P1800" s="90">
        <v>3.9021241382479997E-2</v>
      </c>
      <c r="Q1800" s="90">
        <v>97.616020658733405</v>
      </c>
      <c r="R1800" s="90">
        <v>1300</v>
      </c>
      <c r="S1800" s="90" t="s">
        <v>387</v>
      </c>
      <c r="T1800" s="90">
        <v>1300</v>
      </c>
      <c r="U1800" s="90" t="s">
        <v>378</v>
      </c>
      <c r="V1800" s="90" t="s">
        <v>244</v>
      </c>
      <c r="Z1800" s="90">
        <v>0</v>
      </c>
      <c r="AA1800" s="90">
        <v>1</v>
      </c>
      <c r="AB1800" s="90">
        <v>0.27576487723392001</v>
      </c>
      <c r="AC1800" s="90">
        <v>3.9021241382479997E-2</v>
      </c>
      <c r="AD1800" s="90">
        <v>328.55937015040399</v>
      </c>
      <c r="AF1800" s="90">
        <v>-1</v>
      </c>
      <c r="AG1800" s="90">
        <v>-1</v>
      </c>
      <c r="AH1800" s="90">
        <v>-1</v>
      </c>
      <c r="AI1800" s="90">
        <v>-1</v>
      </c>
      <c r="AJ1800" s="90">
        <v>0</v>
      </c>
      <c r="AM1800" s="90" t="s">
        <v>379</v>
      </c>
      <c r="AN1800" s="90">
        <v>-1</v>
      </c>
      <c r="AQ1800" s="90">
        <v>357</v>
      </c>
      <c r="AR1800" s="90" t="s">
        <v>405</v>
      </c>
      <c r="AS1800" s="90" t="s">
        <v>406</v>
      </c>
      <c r="AT1800" s="90" t="s">
        <v>244</v>
      </c>
      <c r="AU1800" s="90">
        <v>122.34610000000001</v>
      </c>
      <c r="AV1800" s="90">
        <v>64.650931612560001</v>
      </c>
      <c r="AW1800" s="90">
        <v>104.731045197966</v>
      </c>
      <c r="AX1800" s="90">
        <v>0.26647150860000002</v>
      </c>
    </row>
    <row r="1801" spans="1:50" x14ac:dyDescent="0.25">
      <c r="A1801" s="102">
        <v>840000</v>
      </c>
      <c r="B1801" s="102">
        <v>2400000</v>
      </c>
      <c r="C1801" s="102">
        <v>2400000</v>
      </c>
      <c r="D1801" s="90" t="s">
        <v>374</v>
      </c>
      <c r="E1801" s="90" t="s">
        <v>68</v>
      </c>
      <c r="F1801" s="90" t="s">
        <v>375</v>
      </c>
      <c r="G1801" s="90" t="s">
        <v>376</v>
      </c>
      <c r="H1801" s="90">
        <v>0.59</v>
      </c>
      <c r="I1801" s="90">
        <v>0.64</v>
      </c>
      <c r="J1801" s="90" t="s">
        <v>244</v>
      </c>
      <c r="K1801" s="90">
        <v>5.0305932643620002E-2</v>
      </c>
      <c r="L1801" s="90">
        <v>3771.92855647738</v>
      </c>
      <c r="M1801" s="90">
        <v>10.655683445123801</v>
      </c>
      <c r="N1801" s="90">
        <v>1.5077989625736601</v>
      </c>
      <c r="O1801" s="90">
        <v>0.53604409366215</v>
      </c>
      <c r="P1801" s="90">
        <v>7.5851233051349998E-2</v>
      </c>
      <c r="Q1801" s="90">
        <v>189.75038389870099</v>
      </c>
      <c r="R1801" s="90">
        <v>1400</v>
      </c>
      <c r="S1801" s="90" t="s">
        <v>324</v>
      </c>
      <c r="T1801" s="90">
        <v>1400</v>
      </c>
      <c r="U1801" s="90" t="s">
        <v>378</v>
      </c>
      <c r="V1801" s="90" t="s">
        <v>244</v>
      </c>
      <c r="Z1801" s="90">
        <v>0</v>
      </c>
      <c r="AA1801" s="90">
        <v>1</v>
      </c>
      <c r="AB1801" s="90">
        <v>0.53604409366215</v>
      </c>
      <c r="AC1801" s="90">
        <v>7.5851233051349998E-2</v>
      </c>
      <c r="AD1801" s="90">
        <v>1408.73713667381</v>
      </c>
      <c r="AF1801" s="90">
        <v>-1</v>
      </c>
      <c r="AG1801" s="90">
        <v>-1</v>
      </c>
      <c r="AH1801" s="90">
        <v>-1</v>
      </c>
      <c r="AI1801" s="90">
        <v>-1</v>
      </c>
      <c r="AJ1801" s="90">
        <v>0</v>
      </c>
      <c r="AM1801" s="90" t="s">
        <v>379</v>
      </c>
      <c r="AN1801" s="90">
        <v>-1</v>
      </c>
      <c r="AQ1801" s="90">
        <v>357</v>
      </c>
      <c r="AR1801" s="90" t="s">
        <v>405</v>
      </c>
      <c r="AS1801" s="90" t="s">
        <v>406</v>
      </c>
      <c r="AT1801" s="90" t="s">
        <v>244</v>
      </c>
      <c r="AU1801" s="90">
        <v>122.34610000000001</v>
      </c>
      <c r="AV1801" s="90">
        <v>70.696124740821105</v>
      </c>
      <c r="AW1801" s="90">
        <v>203.58088660365999</v>
      </c>
      <c r="AX1801" s="90">
        <v>1.1425280914</v>
      </c>
    </row>
    <row r="1802" spans="1:50" x14ac:dyDescent="0.25">
      <c r="A1802" s="102">
        <v>840000</v>
      </c>
      <c r="B1802" s="102">
        <v>2400000</v>
      </c>
      <c r="C1802" s="102">
        <v>2400000</v>
      </c>
      <c r="D1802" s="90" t="s">
        <v>374</v>
      </c>
      <c r="E1802" s="90" t="s">
        <v>68</v>
      </c>
      <c r="F1802" s="90" t="s">
        <v>375</v>
      </c>
      <c r="G1802" s="90" t="s">
        <v>376</v>
      </c>
      <c r="H1802" s="90">
        <v>0.59</v>
      </c>
      <c r="I1802" s="90">
        <v>0.64</v>
      </c>
      <c r="J1802" s="90" t="s">
        <v>244</v>
      </c>
      <c r="K1802" s="90">
        <v>1.8624656603399999E-3</v>
      </c>
      <c r="L1802" s="90">
        <v>3771.92855647738</v>
      </c>
      <c r="M1802" s="90">
        <v>10.655683445123801</v>
      </c>
      <c r="N1802" s="90">
        <v>1.5077989625736601</v>
      </c>
      <c r="O1802" s="90">
        <v>1.984584450406E-2</v>
      </c>
      <c r="P1802" s="90">
        <v>2.8082237904900002E-3</v>
      </c>
      <c r="Q1802" s="90">
        <v>7.0250874097175799</v>
      </c>
      <c r="R1802" s="90">
        <v>1300</v>
      </c>
      <c r="S1802" s="90" t="s">
        <v>387</v>
      </c>
      <c r="T1802" s="90">
        <v>1300</v>
      </c>
      <c r="U1802" s="90" t="s">
        <v>378</v>
      </c>
      <c r="V1802" s="90" t="s">
        <v>244</v>
      </c>
      <c r="Z1802" s="90">
        <v>0</v>
      </c>
      <c r="AA1802" s="90">
        <v>1</v>
      </c>
      <c r="AB1802" s="90">
        <v>1.984584450406E-2</v>
      </c>
      <c r="AC1802" s="90">
        <v>2.8082237904900002E-3</v>
      </c>
      <c r="AD1802" s="90">
        <v>7.0250874097180001</v>
      </c>
      <c r="AF1802" s="90">
        <v>-1</v>
      </c>
      <c r="AG1802" s="90">
        <v>-1</v>
      </c>
      <c r="AH1802" s="90">
        <v>-1</v>
      </c>
      <c r="AI1802" s="90">
        <v>-1</v>
      </c>
      <c r="AJ1802" s="90">
        <v>0</v>
      </c>
      <c r="AM1802" s="90" t="s">
        <v>379</v>
      </c>
      <c r="AN1802" s="90">
        <v>-1</v>
      </c>
      <c r="AQ1802" s="90">
        <v>357</v>
      </c>
      <c r="AR1802" s="90" t="s">
        <v>405</v>
      </c>
      <c r="AS1802" s="90" t="s">
        <v>406</v>
      </c>
      <c r="AT1802" s="90" t="s">
        <v>244</v>
      </c>
      <c r="AU1802" s="90">
        <v>122.34610000000001</v>
      </c>
      <c r="AV1802" s="90">
        <v>47.5798637872916</v>
      </c>
      <c r="AW1802" s="90">
        <v>7.5371311190710903</v>
      </c>
      <c r="AX1802" s="90">
        <v>5.6975567000000001E-3</v>
      </c>
    </row>
    <row r="1803" spans="1:50" x14ac:dyDescent="0.25">
      <c r="A1803" s="102">
        <v>840000</v>
      </c>
      <c r="B1803" s="102">
        <v>2400000</v>
      </c>
      <c r="C1803" s="102">
        <v>2400000</v>
      </c>
      <c r="D1803" s="90" t="s">
        <v>374</v>
      </c>
      <c r="E1803" s="90" t="s">
        <v>68</v>
      </c>
      <c r="F1803" s="90" t="s">
        <v>375</v>
      </c>
      <c r="G1803" s="90" t="s">
        <v>376</v>
      </c>
      <c r="H1803" s="90">
        <v>0.59</v>
      </c>
      <c r="I1803" s="90">
        <v>0.64</v>
      </c>
      <c r="J1803" s="90" t="s">
        <v>244</v>
      </c>
      <c r="K1803" s="90">
        <v>1.8729161964489999E-2</v>
      </c>
      <c r="L1803" s="90">
        <v>3764.4729522903599</v>
      </c>
      <c r="M1803" s="90">
        <v>10.8097988027918</v>
      </c>
      <c r="N1803" s="90">
        <v>1.50576525601291</v>
      </c>
      <c r="O1803" s="90">
        <v>0.20245847258103</v>
      </c>
      <c r="P1803" s="90">
        <v>2.8201721360360001E-2</v>
      </c>
      <c r="Q1803" s="90">
        <v>70.505423634387896</v>
      </c>
      <c r="R1803" s="90">
        <v>1300</v>
      </c>
      <c r="S1803" s="90" t="s">
        <v>387</v>
      </c>
      <c r="T1803" s="90">
        <v>1300</v>
      </c>
      <c r="U1803" s="90" t="s">
        <v>378</v>
      </c>
      <c r="V1803" s="90" t="s">
        <v>244</v>
      </c>
      <c r="Z1803" s="90">
        <v>0</v>
      </c>
      <c r="AA1803" s="90">
        <v>1</v>
      </c>
      <c r="AB1803" s="90">
        <v>0.20245847258103</v>
      </c>
      <c r="AC1803" s="90">
        <v>2.8201721360360001E-2</v>
      </c>
      <c r="AD1803" s="90">
        <v>238.63381948829101</v>
      </c>
      <c r="AF1803" s="90">
        <v>-1</v>
      </c>
      <c r="AG1803" s="90">
        <v>-1</v>
      </c>
      <c r="AH1803" s="90">
        <v>-1</v>
      </c>
      <c r="AI1803" s="90">
        <v>-1</v>
      </c>
      <c r="AJ1803" s="90">
        <v>0</v>
      </c>
      <c r="AM1803" s="90" t="s">
        <v>379</v>
      </c>
      <c r="AN1803" s="90">
        <v>-1</v>
      </c>
      <c r="AQ1803" s="90">
        <v>357</v>
      </c>
      <c r="AR1803" s="90" t="s">
        <v>405</v>
      </c>
      <c r="AS1803" s="90" t="s">
        <v>406</v>
      </c>
      <c r="AT1803" s="90" t="s">
        <v>244</v>
      </c>
      <c r="AU1803" s="90">
        <v>122.34610000000001</v>
      </c>
      <c r="AV1803" s="90">
        <v>40.9097080945768</v>
      </c>
      <c r="AW1803" s="90">
        <v>75.7942293821649</v>
      </c>
      <c r="AX1803" s="90">
        <v>0.1935391886</v>
      </c>
    </row>
    <row r="1804" spans="1:50" x14ac:dyDescent="0.25">
      <c r="A1804" s="102">
        <v>840000</v>
      </c>
      <c r="B1804" s="102">
        <v>2400000</v>
      </c>
      <c r="C1804" s="102">
        <v>2400000</v>
      </c>
      <c r="D1804" s="90" t="s">
        <v>374</v>
      </c>
      <c r="E1804" s="90" t="s">
        <v>68</v>
      </c>
      <c r="F1804" s="90" t="s">
        <v>375</v>
      </c>
      <c r="G1804" s="90" t="s">
        <v>376</v>
      </c>
      <c r="H1804" s="90">
        <v>0.59</v>
      </c>
      <c r="I1804" s="90">
        <v>0.64</v>
      </c>
      <c r="J1804" s="90" t="s">
        <v>244</v>
      </c>
      <c r="K1804" s="90">
        <v>8.5051614008100004E-3</v>
      </c>
      <c r="L1804" s="90">
        <v>3764.4729522903599</v>
      </c>
      <c r="M1804" s="90">
        <v>10.8097988027918</v>
      </c>
      <c r="N1804" s="90">
        <v>1.50576525601291</v>
      </c>
      <c r="O1804" s="90">
        <v>9.193908352803E-2</v>
      </c>
      <c r="P1804" s="90">
        <v>1.2806776534120001E-2</v>
      </c>
      <c r="Q1804" s="90">
        <v>32.017450048217</v>
      </c>
      <c r="R1804" s="90">
        <v>1400</v>
      </c>
      <c r="S1804" s="90" t="s">
        <v>324</v>
      </c>
      <c r="T1804" s="90">
        <v>1400</v>
      </c>
      <c r="U1804" s="90" t="s">
        <v>378</v>
      </c>
      <c r="V1804" s="90" t="s">
        <v>244</v>
      </c>
      <c r="Z1804" s="90">
        <v>0</v>
      </c>
      <c r="AA1804" s="90">
        <v>1</v>
      </c>
      <c r="AB1804" s="90">
        <v>9.193908352803E-2</v>
      </c>
      <c r="AC1804" s="90">
        <v>1.2806776534120001E-2</v>
      </c>
      <c r="AD1804" s="90">
        <v>684.80318894117795</v>
      </c>
      <c r="AF1804" s="90">
        <v>-1</v>
      </c>
      <c r="AG1804" s="90">
        <v>-1</v>
      </c>
      <c r="AH1804" s="90">
        <v>-1</v>
      </c>
      <c r="AI1804" s="90">
        <v>-1</v>
      </c>
      <c r="AJ1804" s="90">
        <v>0</v>
      </c>
      <c r="AM1804" s="90" t="s">
        <v>379</v>
      </c>
      <c r="AN1804" s="90">
        <v>-1</v>
      </c>
      <c r="AQ1804" s="90">
        <v>357</v>
      </c>
      <c r="AR1804" s="90" t="s">
        <v>405</v>
      </c>
      <c r="AS1804" s="90" t="s">
        <v>406</v>
      </c>
      <c r="AT1804" s="90" t="s">
        <v>244</v>
      </c>
      <c r="AU1804" s="90">
        <v>122.34610000000001</v>
      </c>
      <c r="AV1804" s="90">
        <v>33.053576118991998</v>
      </c>
      <c r="AW1804" s="90">
        <v>34.419167038418699</v>
      </c>
      <c r="AX1804" s="90">
        <v>0.55539593590000003</v>
      </c>
    </row>
    <row r="1805" spans="1:50" x14ac:dyDescent="0.25">
      <c r="A1805" s="102">
        <v>840000</v>
      </c>
      <c r="B1805" s="102">
        <v>2400000</v>
      </c>
      <c r="C1805" s="102">
        <v>2400000</v>
      </c>
      <c r="D1805" s="90" t="s">
        <v>374</v>
      </c>
      <c r="E1805" s="90" t="s">
        <v>68</v>
      </c>
      <c r="F1805" s="90" t="s">
        <v>375</v>
      </c>
      <c r="G1805" s="90" t="s">
        <v>376</v>
      </c>
      <c r="H1805" s="90">
        <v>0.59</v>
      </c>
      <c r="I1805" s="90">
        <v>0.64</v>
      </c>
      <c r="J1805" s="90" t="s">
        <v>244</v>
      </c>
      <c r="K1805" s="90">
        <v>3.2398723012300001E-3</v>
      </c>
      <c r="L1805" s="90">
        <v>3764.4729522903599</v>
      </c>
      <c r="M1805" s="90">
        <v>10.8097988027918</v>
      </c>
      <c r="N1805" s="90">
        <v>1.50576525601291</v>
      </c>
      <c r="O1805" s="90">
        <v>3.5022367723079997E-2</v>
      </c>
      <c r="P1805" s="90">
        <v>4.8784871451100003E-3</v>
      </c>
      <c r="Q1805" s="90">
        <v>12.1964116468738</v>
      </c>
      <c r="R1805" s="90">
        <v>1300</v>
      </c>
      <c r="S1805" s="90" t="s">
        <v>387</v>
      </c>
      <c r="T1805" s="90">
        <v>1300</v>
      </c>
      <c r="U1805" s="90" t="s">
        <v>378</v>
      </c>
      <c r="V1805" s="90" t="s">
        <v>244</v>
      </c>
      <c r="Z1805" s="90">
        <v>0</v>
      </c>
      <c r="AA1805" s="90">
        <v>1</v>
      </c>
      <c r="AB1805" s="90">
        <v>3.5022367723079997E-2</v>
      </c>
      <c r="AC1805" s="90">
        <v>4.8784871451100003E-3</v>
      </c>
      <c r="AD1805" s="90">
        <v>12.1964116468731</v>
      </c>
      <c r="AF1805" s="90">
        <v>-1</v>
      </c>
      <c r="AG1805" s="90">
        <v>-1</v>
      </c>
      <c r="AH1805" s="90">
        <v>-1</v>
      </c>
      <c r="AI1805" s="90">
        <v>-1</v>
      </c>
      <c r="AJ1805" s="90">
        <v>0</v>
      </c>
      <c r="AM1805" s="90" t="s">
        <v>379</v>
      </c>
      <c r="AN1805" s="90">
        <v>-1</v>
      </c>
      <c r="AQ1805" s="90">
        <v>357</v>
      </c>
      <c r="AR1805" s="90" t="s">
        <v>405</v>
      </c>
      <c r="AS1805" s="90" t="s">
        <v>406</v>
      </c>
      <c r="AT1805" s="90" t="s">
        <v>244</v>
      </c>
      <c r="AU1805" s="90">
        <v>122.34610000000001</v>
      </c>
      <c r="AV1805" s="90">
        <v>16.701209856438499</v>
      </c>
      <c r="AW1805" s="90">
        <v>13.1112980300079</v>
      </c>
      <c r="AX1805" s="90">
        <v>9.8916557999999995E-3</v>
      </c>
    </row>
    <row r="1806" spans="1:50" x14ac:dyDescent="0.25">
      <c r="A1806" s="102">
        <v>830000</v>
      </c>
      <c r="B1806" s="102">
        <v>2400000</v>
      </c>
      <c r="C1806" s="102">
        <v>2400000</v>
      </c>
      <c r="D1806" s="90" t="s">
        <v>374</v>
      </c>
      <c r="E1806" s="90" t="s">
        <v>68</v>
      </c>
      <c r="F1806" s="90" t="s">
        <v>375</v>
      </c>
      <c r="G1806" s="90" t="s">
        <v>376</v>
      </c>
      <c r="H1806" s="90">
        <v>0.59</v>
      </c>
      <c r="I1806" s="90">
        <v>0.64</v>
      </c>
      <c r="J1806" s="90" t="s">
        <v>244</v>
      </c>
      <c r="K1806" s="90">
        <v>0.12924262432628</v>
      </c>
      <c r="L1806" s="90">
        <v>3767.0525004188698</v>
      </c>
      <c r="M1806" s="90">
        <v>9.8673703062809892</v>
      </c>
      <c r="N1806" s="90">
        <v>1.7883223524554399</v>
      </c>
      <c r="O1806" s="90">
        <v>1.2752848335829801</v>
      </c>
      <c r="P1806" s="90">
        <v>0.23112747397269001</v>
      </c>
      <c r="Q1806" s="90">
        <v>486.86375112901698</v>
      </c>
      <c r="R1806" s="90">
        <v>1300</v>
      </c>
      <c r="S1806" s="90" t="s">
        <v>387</v>
      </c>
      <c r="T1806" s="90">
        <v>1300</v>
      </c>
      <c r="U1806" s="90" t="s">
        <v>378</v>
      </c>
      <c r="V1806" s="90" t="s">
        <v>244</v>
      </c>
      <c r="Z1806" s="90">
        <v>0</v>
      </c>
      <c r="AA1806" s="90">
        <v>1</v>
      </c>
      <c r="AB1806" s="90">
        <v>1.2752848335829801</v>
      </c>
      <c r="AC1806" s="90">
        <v>0.23112747397269001</v>
      </c>
      <c r="AD1806" s="90">
        <v>574.42713145207699</v>
      </c>
      <c r="AF1806" s="90">
        <v>-1</v>
      </c>
      <c r="AG1806" s="90">
        <v>-1</v>
      </c>
      <c r="AH1806" s="90">
        <v>-1</v>
      </c>
      <c r="AI1806" s="90">
        <v>-1</v>
      </c>
      <c r="AJ1806" s="90">
        <v>0</v>
      </c>
      <c r="AM1806" s="90" t="s">
        <v>379</v>
      </c>
      <c r="AN1806" s="90">
        <v>-1</v>
      </c>
      <c r="AQ1806" s="90">
        <v>376</v>
      </c>
      <c r="AR1806" s="90" t="s">
        <v>283</v>
      </c>
      <c r="AS1806" s="90" t="s">
        <v>410</v>
      </c>
      <c r="AT1806" s="90" t="s">
        <v>244</v>
      </c>
      <c r="AU1806" s="90">
        <v>4.7216959999999997</v>
      </c>
      <c r="AV1806" s="90">
        <v>101.063600700264</v>
      </c>
      <c r="AW1806" s="90">
        <v>523.02634430264504</v>
      </c>
      <c r="AX1806" s="90">
        <v>0.46587764110000002</v>
      </c>
    </row>
    <row r="1807" spans="1:50" x14ac:dyDescent="0.25">
      <c r="A1807" s="102">
        <v>830000</v>
      </c>
      <c r="B1807" s="102">
        <v>2400000</v>
      </c>
      <c r="C1807" s="102">
        <v>2400000</v>
      </c>
      <c r="D1807" s="90" t="s">
        <v>374</v>
      </c>
      <c r="E1807" s="90" t="s">
        <v>68</v>
      </c>
      <c r="F1807" s="90" t="s">
        <v>375</v>
      </c>
      <c r="G1807" s="90" t="s">
        <v>376</v>
      </c>
      <c r="H1807" s="90">
        <v>0.59</v>
      </c>
      <c r="I1807" s="90">
        <v>0.64</v>
      </c>
      <c r="J1807" s="90" t="s">
        <v>244</v>
      </c>
      <c r="K1807" s="90">
        <v>0.32823704436721002</v>
      </c>
      <c r="L1807" s="90">
        <v>3767.0525004188698</v>
      </c>
      <c r="M1807" s="90">
        <v>9.8673703062809892</v>
      </c>
      <c r="N1807" s="90">
        <v>1.7883223524554399</v>
      </c>
      <c r="O1807" s="90">
        <v>3.2388364650104799</v>
      </c>
      <c r="P1807" s="90">
        <v>0.58699364334578996</v>
      </c>
      <c r="Q1807" s="90">
        <v>1236.4861787136099</v>
      </c>
      <c r="R1807" s="90">
        <v>1300</v>
      </c>
      <c r="S1807" s="90" t="s">
        <v>387</v>
      </c>
      <c r="T1807" s="90">
        <v>1300</v>
      </c>
      <c r="U1807" s="90" t="s">
        <v>378</v>
      </c>
      <c r="V1807" s="90" t="s">
        <v>244</v>
      </c>
      <c r="Z1807" s="90">
        <v>0</v>
      </c>
      <c r="AA1807" s="90">
        <v>1</v>
      </c>
      <c r="AB1807" s="90">
        <v>3.2388364650104799</v>
      </c>
      <c r="AC1807" s="90">
        <v>0.58699364334578996</v>
      </c>
      <c r="AD1807" s="90">
        <v>1236.4861787136099</v>
      </c>
      <c r="AF1807" s="90">
        <v>-1</v>
      </c>
      <c r="AG1807" s="90">
        <v>-1</v>
      </c>
      <c r="AH1807" s="90">
        <v>-1</v>
      </c>
      <c r="AI1807" s="90">
        <v>-1</v>
      </c>
      <c r="AJ1807" s="90">
        <v>0</v>
      </c>
      <c r="AM1807" s="90" t="s">
        <v>379</v>
      </c>
      <c r="AN1807" s="90">
        <v>-1</v>
      </c>
      <c r="AQ1807" s="90">
        <v>376</v>
      </c>
      <c r="AR1807" s="90" t="s">
        <v>283</v>
      </c>
      <c r="AS1807" s="90" t="s">
        <v>410</v>
      </c>
      <c r="AT1807" s="90" t="s">
        <v>244</v>
      </c>
      <c r="AU1807" s="90">
        <v>4.7216959999999997</v>
      </c>
      <c r="AV1807" s="90">
        <v>147.188290923365</v>
      </c>
      <c r="AW1807" s="90">
        <v>1328.3281910670501</v>
      </c>
      <c r="AX1807" s="90">
        <v>1.0028273956</v>
      </c>
    </row>
    <row r="1808" spans="1:50" x14ac:dyDescent="0.25">
      <c r="A1808" s="102">
        <v>830000</v>
      </c>
      <c r="B1808" s="102">
        <v>2400000</v>
      </c>
      <c r="C1808" s="102">
        <v>2400000</v>
      </c>
      <c r="D1808" s="90" t="s">
        <v>374</v>
      </c>
      <c r="E1808" s="90" t="s">
        <v>68</v>
      </c>
      <c r="F1808" s="90" t="s">
        <v>375</v>
      </c>
      <c r="G1808" s="90" t="s">
        <v>376</v>
      </c>
      <c r="H1808" s="90">
        <v>0.59</v>
      </c>
      <c r="I1808" s="90">
        <v>0.64</v>
      </c>
      <c r="J1808" s="90" t="s">
        <v>244</v>
      </c>
      <c r="K1808" s="90">
        <v>6.2311061255499997E-2</v>
      </c>
      <c r="L1808" s="90">
        <v>3767.0525004188698</v>
      </c>
      <c r="M1808" s="90">
        <v>9.8673703062809892</v>
      </c>
      <c r="N1808" s="90">
        <v>1.7883223524554399</v>
      </c>
      <c r="O1808" s="90">
        <v>0.61484631558539005</v>
      </c>
      <c r="P1808" s="90">
        <v>0.11143226364842999</v>
      </c>
      <c r="Q1808" s="90">
        <v>234.72903910629199</v>
      </c>
      <c r="R1808" s="90">
        <v>1300</v>
      </c>
      <c r="S1808" s="90" t="s">
        <v>387</v>
      </c>
      <c r="T1808" s="90">
        <v>1300</v>
      </c>
      <c r="U1808" s="90" t="s">
        <v>378</v>
      </c>
      <c r="V1808" s="90" t="s">
        <v>244</v>
      </c>
      <c r="Z1808" s="90">
        <v>0</v>
      </c>
      <c r="AA1808" s="90">
        <v>1</v>
      </c>
      <c r="AB1808" s="90">
        <v>0.61484631558539005</v>
      </c>
      <c r="AC1808" s="90">
        <v>0.11143226364842999</v>
      </c>
      <c r="AD1808" s="90">
        <v>234.72903910629299</v>
      </c>
      <c r="AF1808" s="90">
        <v>-1</v>
      </c>
      <c r="AG1808" s="90">
        <v>-1</v>
      </c>
      <c r="AH1808" s="90">
        <v>-1</v>
      </c>
      <c r="AI1808" s="90">
        <v>-1</v>
      </c>
      <c r="AJ1808" s="90">
        <v>0</v>
      </c>
      <c r="AM1808" s="90" t="s">
        <v>379</v>
      </c>
      <c r="AN1808" s="90">
        <v>-1</v>
      </c>
      <c r="AQ1808" s="90">
        <v>376</v>
      </c>
      <c r="AR1808" s="90" t="s">
        <v>283</v>
      </c>
      <c r="AS1808" s="90" t="s">
        <v>410</v>
      </c>
      <c r="AT1808" s="90" t="s">
        <v>244</v>
      </c>
      <c r="AU1808" s="90">
        <v>4.7216959999999997</v>
      </c>
      <c r="AV1808" s="90">
        <v>76.7018451927689</v>
      </c>
      <c r="AW1808" s="90">
        <v>252.163918428389</v>
      </c>
      <c r="AX1808" s="90">
        <v>0.19037229450000001</v>
      </c>
    </row>
    <row r="1809" spans="1:50" x14ac:dyDescent="0.25">
      <c r="A1809" s="102">
        <v>830000</v>
      </c>
      <c r="B1809" s="102">
        <v>2400000</v>
      </c>
      <c r="C1809" s="102">
        <v>2400000</v>
      </c>
      <c r="D1809" s="90" t="s">
        <v>374</v>
      </c>
      <c r="E1809" s="90" t="s">
        <v>68</v>
      </c>
      <c r="F1809" s="90" t="s">
        <v>375</v>
      </c>
      <c r="G1809" s="90" t="s">
        <v>376</v>
      </c>
      <c r="H1809" s="90">
        <v>0.59</v>
      </c>
      <c r="I1809" s="90">
        <v>0.64</v>
      </c>
      <c r="J1809" s="90" t="s">
        <v>244</v>
      </c>
      <c r="K1809" s="90">
        <v>7.4728189682489995E-2</v>
      </c>
      <c r="L1809" s="90">
        <v>3767.0525004188698</v>
      </c>
      <c r="M1809" s="90">
        <v>9.8673703062809892</v>
      </c>
      <c r="N1809" s="90">
        <v>1.7883223524554399</v>
      </c>
      <c r="O1809" s="90">
        <v>0.73737071991515002</v>
      </c>
      <c r="P1809" s="90">
        <v>0.13363809196772999</v>
      </c>
      <c r="Q1809" s="90">
        <v>281.50501379520699</v>
      </c>
      <c r="R1809" s="90">
        <v>1300</v>
      </c>
      <c r="S1809" s="90" t="s">
        <v>387</v>
      </c>
      <c r="T1809" s="90">
        <v>1300</v>
      </c>
      <c r="U1809" s="90" t="s">
        <v>378</v>
      </c>
      <c r="V1809" s="90" t="s">
        <v>244</v>
      </c>
      <c r="Z1809" s="90">
        <v>0</v>
      </c>
      <c r="AA1809" s="90">
        <v>1</v>
      </c>
      <c r="AB1809" s="90">
        <v>0.73737071991515002</v>
      </c>
      <c r="AC1809" s="90">
        <v>0.13363809196772999</v>
      </c>
      <c r="AD1809" s="90">
        <v>281.505013795205</v>
      </c>
      <c r="AF1809" s="90">
        <v>-1</v>
      </c>
      <c r="AG1809" s="90">
        <v>-1</v>
      </c>
      <c r="AH1809" s="90">
        <v>-1</v>
      </c>
      <c r="AI1809" s="90">
        <v>-1</v>
      </c>
      <c r="AJ1809" s="90">
        <v>0</v>
      </c>
      <c r="AM1809" s="90" t="s">
        <v>379</v>
      </c>
      <c r="AN1809" s="90">
        <v>-1</v>
      </c>
      <c r="AQ1809" s="90">
        <v>376</v>
      </c>
      <c r="AR1809" s="90" t="s">
        <v>283</v>
      </c>
      <c r="AS1809" s="90" t="s">
        <v>410</v>
      </c>
      <c r="AT1809" s="90" t="s">
        <v>244</v>
      </c>
      <c r="AU1809" s="90">
        <v>4.7216959999999997</v>
      </c>
      <c r="AV1809" s="90">
        <v>70.206300580310398</v>
      </c>
      <c r="AW1809" s="90">
        <v>302.414254350916</v>
      </c>
      <c r="AX1809" s="90">
        <v>0.2283090136</v>
      </c>
    </row>
    <row r="1810" spans="1:50" x14ac:dyDescent="0.25">
      <c r="A1810" s="102">
        <v>830000</v>
      </c>
      <c r="B1810" s="102">
        <v>2400000</v>
      </c>
      <c r="C1810" s="102">
        <v>2400000</v>
      </c>
      <c r="D1810" s="90" t="s">
        <v>374</v>
      </c>
      <c r="E1810" s="90" t="s">
        <v>68</v>
      </c>
      <c r="F1810" s="90" t="s">
        <v>375</v>
      </c>
      <c r="G1810" s="90" t="s">
        <v>376</v>
      </c>
      <c r="H1810" s="90">
        <v>0.59</v>
      </c>
      <c r="I1810" s="90">
        <v>0.64</v>
      </c>
      <c r="J1810" s="90" t="s">
        <v>244</v>
      </c>
      <c r="K1810" s="90">
        <v>7.76385708667E-3</v>
      </c>
      <c r="L1810" s="90">
        <v>3750.3315969544001</v>
      </c>
      <c r="M1810" s="90">
        <v>10.7900620166228</v>
      </c>
      <c r="N1810" s="90">
        <v>2.0790272731675401</v>
      </c>
      <c r="O1810" s="90">
        <v>8.3772499453419996E-2</v>
      </c>
      <c r="P1810" s="90">
        <v>1.6141270628170001E-2</v>
      </c>
      <c r="Q1810" s="90">
        <v>29.117038546395602</v>
      </c>
      <c r="R1810" s="90">
        <v>1300</v>
      </c>
      <c r="S1810" s="90" t="s">
        <v>387</v>
      </c>
      <c r="T1810" s="90">
        <v>1300</v>
      </c>
      <c r="U1810" s="90" t="s">
        <v>378</v>
      </c>
      <c r="V1810" s="90" t="s">
        <v>244</v>
      </c>
      <c r="Z1810" s="90">
        <v>0</v>
      </c>
      <c r="AA1810" s="90">
        <v>1</v>
      </c>
      <c r="AB1810" s="90">
        <v>8.3772499453419996E-2</v>
      </c>
      <c r="AC1810" s="90">
        <v>1.6141270628170001E-2</v>
      </c>
      <c r="AD1810" s="90">
        <v>1328.2878247721701</v>
      </c>
      <c r="AF1810" s="90">
        <v>-1</v>
      </c>
      <c r="AG1810" s="90">
        <v>-1</v>
      </c>
      <c r="AH1810" s="90">
        <v>-1</v>
      </c>
      <c r="AI1810" s="90">
        <v>-1</v>
      </c>
      <c r="AJ1810" s="90">
        <v>0</v>
      </c>
      <c r="AM1810" s="90" t="s">
        <v>379</v>
      </c>
      <c r="AN1810" s="90">
        <v>-1</v>
      </c>
      <c r="AQ1810" s="90">
        <v>376</v>
      </c>
      <c r="AR1810" s="90" t="s">
        <v>283</v>
      </c>
      <c r="AS1810" s="90" t="s">
        <v>410</v>
      </c>
      <c r="AT1810" s="90" t="s">
        <v>244</v>
      </c>
      <c r="AU1810" s="90">
        <v>4.7216959999999997</v>
      </c>
      <c r="AV1810" s="90">
        <v>101.654106275199</v>
      </c>
      <c r="AW1810" s="90">
        <v>31.419214913806201</v>
      </c>
      <c r="AX1810" s="90">
        <v>1.0772812853</v>
      </c>
    </row>
    <row r="1811" spans="1:50" x14ac:dyDescent="0.25">
      <c r="A1811" s="102">
        <v>830000</v>
      </c>
      <c r="B1811" s="102">
        <v>2400000</v>
      </c>
      <c r="C1811" s="102">
        <v>2400000</v>
      </c>
      <c r="D1811" s="90" t="s">
        <v>374</v>
      </c>
      <c r="E1811" s="90" t="s">
        <v>68</v>
      </c>
      <c r="F1811" s="90" t="s">
        <v>375</v>
      </c>
      <c r="G1811" s="90" t="s">
        <v>376</v>
      </c>
      <c r="H1811" s="90">
        <v>0.59</v>
      </c>
      <c r="I1811" s="90">
        <v>0.64</v>
      </c>
      <c r="J1811" s="90" t="s">
        <v>244</v>
      </c>
      <c r="K1811" s="90">
        <v>0.199468266635</v>
      </c>
      <c r="L1811" s="90">
        <v>3750.3315969544001</v>
      </c>
      <c r="M1811" s="90">
        <v>10.7900620166228</v>
      </c>
      <c r="N1811" s="90">
        <v>2.0790272731675401</v>
      </c>
      <c r="O1811" s="90">
        <v>2.1522749673399901</v>
      </c>
      <c r="P1811" s="90">
        <v>0.41469996646563001</v>
      </c>
      <c r="Q1811" s="90">
        <v>748.07214295099197</v>
      </c>
      <c r="R1811" s="90">
        <v>1300</v>
      </c>
      <c r="S1811" s="90" t="s">
        <v>387</v>
      </c>
      <c r="T1811" s="90">
        <v>1300</v>
      </c>
      <c r="U1811" s="90" t="s">
        <v>378</v>
      </c>
      <c r="V1811" s="90" t="s">
        <v>244</v>
      </c>
      <c r="Z1811" s="90">
        <v>0</v>
      </c>
      <c r="AA1811" s="90">
        <v>1</v>
      </c>
      <c r="AB1811" s="90">
        <v>2.1522749673399901</v>
      </c>
      <c r="AC1811" s="90">
        <v>0.41469996646563001</v>
      </c>
      <c r="AD1811" s="90">
        <v>748.07214295099197</v>
      </c>
      <c r="AF1811" s="90">
        <v>-1</v>
      </c>
      <c r="AG1811" s="90">
        <v>-1</v>
      </c>
      <c r="AH1811" s="90">
        <v>-1</v>
      </c>
      <c r="AI1811" s="90">
        <v>-1</v>
      </c>
      <c r="AJ1811" s="90">
        <v>0</v>
      </c>
      <c r="AM1811" s="90" t="s">
        <v>379</v>
      </c>
      <c r="AN1811" s="90">
        <v>-1</v>
      </c>
      <c r="AQ1811" s="90">
        <v>376</v>
      </c>
      <c r="AR1811" s="90" t="s">
        <v>283</v>
      </c>
      <c r="AS1811" s="90" t="s">
        <v>410</v>
      </c>
      <c r="AT1811" s="90" t="s">
        <v>244</v>
      </c>
      <c r="AU1811" s="90">
        <v>4.7216959999999997</v>
      </c>
      <c r="AV1811" s="90">
        <v>117.676391924584</v>
      </c>
      <c r="AW1811" s="90">
        <v>807.21943589687203</v>
      </c>
      <c r="AX1811" s="90">
        <v>0.60670895619999998</v>
      </c>
    </row>
    <row r="1812" spans="1:50" x14ac:dyDescent="0.25">
      <c r="A1812" s="102">
        <v>830000</v>
      </c>
      <c r="B1812" s="102">
        <v>2400000</v>
      </c>
      <c r="C1812" s="102">
        <v>2400000</v>
      </c>
      <c r="D1812" s="90" t="s">
        <v>374</v>
      </c>
      <c r="E1812" s="90" t="s">
        <v>68</v>
      </c>
      <c r="F1812" s="90" t="s">
        <v>375</v>
      </c>
      <c r="G1812" s="90" t="s">
        <v>376</v>
      </c>
      <c r="H1812" s="90">
        <v>0.59</v>
      </c>
      <c r="I1812" s="90">
        <v>0.64</v>
      </c>
      <c r="J1812" s="90" t="s">
        <v>244</v>
      </c>
      <c r="K1812" s="90">
        <v>6.4097500998769999E-2</v>
      </c>
      <c r="L1812" s="90">
        <v>3750.3315969544001</v>
      </c>
      <c r="M1812" s="90">
        <v>10.7900620166228</v>
      </c>
      <c r="N1812" s="90">
        <v>2.0790272731675401</v>
      </c>
      <c r="O1812" s="90">
        <v>0.69161601088736002</v>
      </c>
      <c r="P1812" s="90">
        <v>0.13326045271834</v>
      </c>
      <c r="Q1812" s="90">
        <v>240.38688328153299</v>
      </c>
      <c r="R1812" s="90">
        <v>1300</v>
      </c>
      <c r="S1812" s="90" t="s">
        <v>387</v>
      </c>
      <c r="T1812" s="90">
        <v>1300</v>
      </c>
      <c r="U1812" s="90" t="s">
        <v>378</v>
      </c>
      <c r="V1812" s="90" t="s">
        <v>244</v>
      </c>
      <c r="Z1812" s="90">
        <v>0</v>
      </c>
      <c r="AA1812" s="90">
        <v>1</v>
      </c>
      <c r="AB1812" s="90">
        <v>0.69161601088736002</v>
      </c>
      <c r="AC1812" s="90">
        <v>0.13326045271834</v>
      </c>
      <c r="AD1812" s="90">
        <v>240.386883281531</v>
      </c>
      <c r="AF1812" s="90">
        <v>-1</v>
      </c>
      <c r="AG1812" s="90">
        <v>-1</v>
      </c>
      <c r="AH1812" s="90">
        <v>-1</v>
      </c>
      <c r="AI1812" s="90">
        <v>-1</v>
      </c>
      <c r="AJ1812" s="90">
        <v>0</v>
      </c>
      <c r="AM1812" s="90" t="s">
        <v>379</v>
      </c>
      <c r="AN1812" s="90">
        <v>-1</v>
      </c>
      <c r="AQ1812" s="90">
        <v>376</v>
      </c>
      <c r="AR1812" s="90" t="s">
        <v>283</v>
      </c>
      <c r="AS1812" s="90" t="s">
        <v>410</v>
      </c>
      <c r="AT1812" s="90" t="s">
        <v>244</v>
      </c>
      <c r="AU1812" s="90">
        <v>4.7216959999999997</v>
      </c>
      <c r="AV1812" s="90">
        <v>65.843933014293995</v>
      </c>
      <c r="AW1812" s="90">
        <v>259.393383576693</v>
      </c>
      <c r="AX1812" s="90">
        <v>0.1949609759</v>
      </c>
    </row>
    <row r="1813" spans="1:50" x14ac:dyDescent="0.25">
      <c r="A1813" s="102">
        <v>830000</v>
      </c>
      <c r="B1813" s="102">
        <v>2400000</v>
      </c>
      <c r="C1813" s="102">
        <v>2400000</v>
      </c>
      <c r="D1813" s="90" t="s">
        <v>374</v>
      </c>
      <c r="E1813" s="90" t="s">
        <v>68</v>
      </c>
      <c r="F1813" s="90" t="s">
        <v>375</v>
      </c>
      <c r="G1813" s="90" t="s">
        <v>376</v>
      </c>
      <c r="H1813" s="90">
        <v>0.59</v>
      </c>
      <c r="I1813" s="90">
        <v>0.64</v>
      </c>
      <c r="J1813" s="90" t="s">
        <v>244</v>
      </c>
      <c r="K1813" s="90">
        <v>2.8356448803480001E-2</v>
      </c>
      <c r="L1813" s="90">
        <v>3814.1521255305001</v>
      </c>
      <c r="M1813" s="90">
        <v>10.3914561760274</v>
      </c>
      <c r="N1813" s="90">
        <v>1.49866399725473</v>
      </c>
      <c r="O1813" s="90">
        <v>0.29466479504914</v>
      </c>
      <c r="P1813" s="90">
        <v>4.249678891177E-2</v>
      </c>
      <c r="Q1813" s="90">
        <v>108.15580947629699</v>
      </c>
      <c r="R1813" s="90">
        <v>1300</v>
      </c>
      <c r="S1813" s="90" t="s">
        <v>387</v>
      </c>
      <c r="T1813" s="90">
        <v>1300</v>
      </c>
      <c r="U1813" s="90" t="s">
        <v>378</v>
      </c>
      <c r="V1813" s="90" t="s">
        <v>244</v>
      </c>
      <c r="Z1813" s="90">
        <v>0</v>
      </c>
      <c r="AA1813" s="90">
        <v>1</v>
      </c>
      <c r="AB1813" s="90">
        <v>0.29466479504914</v>
      </c>
      <c r="AC1813" s="90">
        <v>4.249678891177E-2</v>
      </c>
      <c r="AD1813" s="90">
        <v>239.31927368427699</v>
      </c>
      <c r="AF1813" s="90">
        <v>-1</v>
      </c>
      <c r="AG1813" s="90">
        <v>-1</v>
      </c>
      <c r="AH1813" s="90">
        <v>-1</v>
      </c>
      <c r="AI1813" s="90">
        <v>-1</v>
      </c>
      <c r="AJ1813" s="90">
        <v>0</v>
      </c>
      <c r="AM1813" s="90" t="s">
        <v>379</v>
      </c>
      <c r="AN1813" s="90">
        <v>-1</v>
      </c>
      <c r="AQ1813" s="90">
        <v>376</v>
      </c>
      <c r="AR1813" s="90" t="s">
        <v>283</v>
      </c>
      <c r="AS1813" s="90" t="s">
        <v>410</v>
      </c>
      <c r="AT1813" s="90" t="s">
        <v>244</v>
      </c>
      <c r="AU1813" s="90">
        <v>4.7216959999999997</v>
      </c>
      <c r="AV1813" s="90">
        <v>69.5133904076108</v>
      </c>
      <c r="AW1813" s="90">
        <v>114.754476956826</v>
      </c>
      <c r="AX1813" s="90">
        <v>0.1940951125</v>
      </c>
    </row>
    <row r="1814" spans="1:50" x14ac:dyDescent="0.25">
      <c r="A1814" s="102">
        <v>830000</v>
      </c>
      <c r="B1814" s="102">
        <v>2400000</v>
      </c>
      <c r="C1814" s="102">
        <v>2400000</v>
      </c>
      <c r="D1814" s="90" t="s">
        <v>374</v>
      </c>
      <c r="E1814" s="90" t="s">
        <v>68</v>
      </c>
      <c r="F1814" s="90" t="s">
        <v>375</v>
      </c>
      <c r="G1814" s="90" t="s">
        <v>376</v>
      </c>
      <c r="H1814" s="90">
        <v>0.59</v>
      </c>
      <c r="I1814" s="90">
        <v>0.64</v>
      </c>
      <c r="J1814" s="90" t="s">
        <v>244</v>
      </c>
      <c r="K1814" s="90">
        <v>7.8575222788799994E-3</v>
      </c>
      <c r="L1814" s="90">
        <v>3814.1521255305001</v>
      </c>
      <c r="M1814" s="90">
        <v>10.3914561760274</v>
      </c>
      <c r="N1814" s="90">
        <v>1.49866399725473</v>
      </c>
      <c r="O1814" s="90">
        <v>8.165109841314E-2</v>
      </c>
      <c r="P1814" s="90">
        <v>1.1775785746980001E-2</v>
      </c>
      <c r="Q1814" s="90">
        <v>29.969785301393401</v>
      </c>
      <c r="R1814" s="90">
        <v>1300</v>
      </c>
      <c r="S1814" s="90" t="s">
        <v>387</v>
      </c>
      <c r="T1814" s="90">
        <v>1300</v>
      </c>
      <c r="U1814" s="90" t="s">
        <v>378</v>
      </c>
      <c r="V1814" s="90" t="s">
        <v>244</v>
      </c>
      <c r="Z1814" s="90">
        <v>0</v>
      </c>
      <c r="AA1814" s="90">
        <v>1</v>
      </c>
      <c r="AB1814" s="90">
        <v>8.165109841314E-2</v>
      </c>
      <c r="AC1814" s="90">
        <v>1.1775785746980001E-2</v>
      </c>
      <c r="AD1814" s="90">
        <v>174.88465865062901</v>
      </c>
      <c r="AF1814" s="90">
        <v>-1</v>
      </c>
      <c r="AG1814" s="90">
        <v>-1</v>
      </c>
      <c r="AH1814" s="90">
        <v>-1</v>
      </c>
      <c r="AI1814" s="90">
        <v>-1</v>
      </c>
      <c r="AJ1814" s="90">
        <v>0</v>
      </c>
      <c r="AM1814" s="90" t="s">
        <v>379</v>
      </c>
      <c r="AN1814" s="90">
        <v>-1</v>
      </c>
      <c r="AQ1814" s="90">
        <v>376</v>
      </c>
      <c r="AR1814" s="90" t="s">
        <v>283</v>
      </c>
      <c r="AS1814" s="90" t="s">
        <v>410</v>
      </c>
      <c r="AT1814" s="90" t="s">
        <v>244</v>
      </c>
      <c r="AU1814" s="90">
        <v>4.7216959999999997</v>
      </c>
      <c r="AV1814" s="90">
        <v>39.831899409292099</v>
      </c>
      <c r="AW1814" s="90">
        <v>31.798264498436399</v>
      </c>
      <c r="AX1814" s="90">
        <v>0.14183670609999999</v>
      </c>
    </row>
    <row r="1815" spans="1:50" x14ac:dyDescent="0.25">
      <c r="A1815" s="102">
        <v>830000</v>
      </c>
      <c r="B1815" s="102">
        <v>2400000</v>
      </c>
      <c r="C1815" s="102">
        <v>2400000</v>
      </c>
      <c r="D1815" s="90" t="s">
        <v>374</v>
      </c>
      <c r="E1815" s="90" t="s">
        <v>68</v>
      </c>
      <c r="F1815" s="90" t="s">
        <v>375</v>
      </c>
      <c r="G1815" s="90" t="s">
        <v>376</v>
      </c>
      <c r="H1815" s="90">
        <v>0.59</v>
      </c>
      <c r="I1815" s="90">
        <v>0.64</v>
      </c>
      <c r="J1815" s="90" t="s">
        <v>244</v>
      </c>
      <c r="K1815" s="90">
        <v>0.47235969557920998</v>
      </c>
      <c r="L1815" s="90">
        <v>3750.3315961161302</v>
      </c>
      <c r="M1815" s="90">
        <v>10.790062014211101</v>
      </c>
      <c r="N1815" s="90">
        <v>2.07902727270285</v>
      </c>
      <c r="O1815" s="90">
        <v>5.0967904083136197</v>
      </c>
      <c r="P1815" s="90">
        <v>0.98204868963479997</v>
      </c>
      <c r="Q1815" s="90">
        <v>1771.5054910625299</v>
      </c>
      <c r="R1815" s="90">
        <v>1300</v>
      </c>
      <c r="S1815" s="90" t="s">
        <v>387</v>
      </c>
      <c r="T1815" s="90">
        <v>1300</v>
      </c>
      <c r="U1815" s="90" t="s">
        <v>378</v>
      </c>
      <c r="V1815" s="90" t="s">
        <v>244</v>
      </c>
      <c r="Z1815" s="90">
        <v>0</v>
      </c>
      <c r="AA1815" s="90">
        <v>1</v>
      </c>
      <c r="AB1815" s="90">
        <v>5.0967904083136197</v>
      </c>
      <c r="AC1815" s="90">
        <v>0.98204868963479997</v>
      </c>
      <c r="AD1815" s="90">
        <v>1771.5054910625299</v>
      </c>
      <c r="AF1815" s="90">
        <v>-1</v>
      </c>
      <c r="AG1815" s="90">
        <v>-1</v>
      </c>
      <c r="AH1815" s="90">
        <v>-1</v>
      </c>
      <c r="AI1815" s="90">
        <v>-1</v>
      </c>
      <c r="AJ1815" s="90">
        <v>0</v>
      </c>
      <c r="AM1815" s="90" t="s">
        <v>379</v>
      </c>
      <c r="AN1815" s="90">
        <v>-1</v>
      </c>
      <c r="AQ1815" s="90">
        <v>376</v>
      </c>
      <c r="AR1815" s="90" t="s">
        <v>283</v>
      </c>
      <c r="AS1815" s="90" t="s">
        <v>410</v>
      </c>
      <c r="AT1815" s="90" t="s">
        <v>244</v>
      </c>
      <c r="AU1815" s="90">
        <v>4.7216959999999997</v>
      </c>
      <c r="AV1815" s="90">
        <v>176.635615705585</v>
      </c>
      <c r="AW1815" s="90">
        <v>1911.5718677376501</v>
      </c>
      <c r="AX1815" s="90">
        <v>1.4367441128</v>
      </c>
    </row>
    <row r="1816" spans="1:50" x14ac:dyDescent="0.25">
      <c r="A1816" s="102">
        <v>830000</v>
      </c>
      <c r="B1816" s="102">
        <v>2400000</v>
      </c>
      <c r="C1816" s="102">
        <v>2400000</v>
      </c>
      <c r="D1816" s="90" t="s">
        <v>374</v>
      </c>
      <c r="E1816" s="90" t="s">
        <v>68</v>
      </c>
      <c r="F1816" s="90" t="s">
        <v>375</v>
      </c>
      <c r="G1816" s="90" t="s">
        <v>376</v>
      </c>
      <c r="H1816" s="90">
        <v>0.59</v>
      </c>
      <c r="I1816" s="90">
        <v>0.64</v>
      </c>
      <c r="J1816" s="90" t="s">
        <v>244</v>
      </c>
      <c r="K1816" s="90">
        <v>9.8089263234499999E-2</v>
      </c>
      <c r="L1816" s="90">
        <v>3750.3315961161302</v>
      </c>
      <c r="M1816" s="90">
        <v>10.790062014211101</v>
      </c>
      <c r="N1816" s="90">
        <v>2.07902727270285</v>
      </c>
      <c r="O1816" s="90">
        <v>1.05838923322859</v>
      </c>
      <c r="P1816" s="90">
        <v>0.20393025342386001</v>
      </c>
      <c r="Q1816" s="90">
        <v>367.86726314812</v>
      </c>
      <c r="R1816" s="90">
        <v>1300</v>
      </c>
      <c r="S1816" s="90" t="s">
        <v>387</v>
      </c>
      <c r="T1816" s="90">
        <v>1300</v>
      </c>
      <c r="U1816" s="90" t="s">
        <v>378</v>
      </c>
      <c r="V1816" s="90" t="s">
        <v>244</v>
      </c>
      <c r="Z1816" s="90">
        <v>0</v>
      </c>
      <c r="AA1816" s="90">
        <v>1</v>
      </c>
      <c r="AB1816" s="90">
        <v>1.05838923322859</v>
      </c>
      <c r="AC1816" s="90">
        <v>0.20393025342386001</v>
      </c>
      <c r="AD1816" s="90">
        <v>367.86726314812103</v>
      </c>
      <c r="AF1816" s="90">
        <v>-1</v>
      </c>
      <c r="AG1816" s="90">
        <v>-1</v>
      </c>
      <c r="AH1816" s="90">
        <v>-1</v>
      </c>
      <c r="AI1816" s="90">
        <v>-1</v>
      </c>
      <c r="AJ1816" s="90">
        <v>0</v>
      </c>
      <c r="AM1816" s="90" t="s">
        <v>379</v>
      </c>
      <c r="AN1816" s="90">
        <v>-1</v>
      </c>
      <c r="AQ1816" s="90">
        <v>376</v>
      </c>
      <c r="AR1816" s="90" t="s">
        <v>283</v>
      </c>
      <c r="AS1816" s="90" t="s">
        <v>410</v>
      </c>
      <c r="AT1816" s="90" t="s">
        <v>244</v>
      </c>
      <c r="AU1816" s="90">
        <v>4.7216959999999997</v>
      </c>
      <c r="AV1816" s="90">
        <v>93.548734602069601</v>
      </c>
      <c r="AW1816" s="90">
        <v>396.95316488904598</v>
      </c>
      <c r="AX1816" s="90">
        <v>0.2983513894</v>
      </c>
    </row>
    <row r="1817" spans="1:50" x14ac:dyDescent="0.25">
      <c r="A1817" s="102">
        <v>830000</v>
      </c>
      <c r="B1817" s="102">
        <v>2400000</v>
      </c>
      <c r="C1817" s="102">
        <v>2400000</v>
      </c>
      <c r="D1817" s="90" t="s">
        <v>374</v>
      </c>
      <c r="E1817" s="90" t="s">
        <v>68</v>
      </c>
      <c r="F1817" s="90" t="s">
        <v>375</v>
      </c>
      <c r="G1817" s="90" t="s">
        <v>376</v>
      </c>
      <c r="H1817" s="90">
        <v>0.59</v>
      </c>
      <c r="I1817" s="90">
        <v>0.64</v>
      </c>
      <c r="J1817" s="90" t="s">
        <v>244</v>
      </c>
      <c r="K1817" s="90">
        <v>4.7314495061309997E-2</v>
      </c>
      <c r="L1817" s="90">
        <v>3750.3315961161302</v>
      </c>
      <c r="M1817" s="90">
        <v>10.790062014211101</v>
      </c>
      <c r="N1817" s="90">
        <v>2.07902727270285</v>
      </c>
      <c r="O1817" s="90">
        <v>0.51052633588264995</v>
      </c>
      <c r="P1817" s="90">
        <v>9.8368125626629999E-2</v>
      </c>
      <c r="Q1817" s="90">
        <v>177.44504578272301</v>
      </c>
      <c r="R1817" s="90">
        <v>1300</v>
      </c>
      <c r="S1817" s="90" t="s">
        <v>387</v>
      </c>
      <c r="T1817" s="90">
        <v>1300</v>
      </c>
      <c r="U1817" s="90" t="s">
        <v>378</v>
      </c>
      <c r="V1817" s="90" t="s">
        <v>244</v>
      </c>
      <c r="Z1817" s="90">
        <v>0</v>
      </c>
      <c r="AA1817" s="90">
        <v>1</v>
      </c>
      <c r="AB1817" s="90">
        <v>0.51052633588264995</v>
      </c>
      <c r="AC1817" s="90">
        <v>9.8368125626629999E-2</v>
      </c>
      <c r="AD1817" s="90">
        <v>177.44504578272199</v>
      </c>
      <c r="AF1817" s="90">
        <v>-1</v>
      </c>
      <c r="AG1817" s="90">
        <v>-1</v>
      </c>
      <c r="AH1817" s="90">
        <v>-1</v>
      </c>
      <c r="AI1817" s="90">
        <v>-1</v>
      </c>
      <c r="AJ1817" s="90">
        <v>0</v>
      </c>
      <c r="AM1817" s="90" t="s">
        <v>379</v>
      </c>
      <c r="AN1817" s="90">
        <v>-1</v>
      </c>
      <c r="AQ1817" s="90">
        <v>376</v>
      </c>
      <c r="AR1817" s="90" t="s">
        <v>283</v>
      </c>
      <c r="AS1817" s="90" t="s">
        <v>410</v>
      </c>
      <c r="AT1817" s="90" t="s">
        <v>244</v>
      </c>
      <c r="AU1817" s="90">
        <v>4.7216959999999997</v>
      </c>
      <c r="AV1817" s="90">
        <v>55.451788313681298</v>
      </c>
      <c r="AW1817" s="90">
        <v>191.47496821148599</v>
      </c>
      <c r="AX1817" s="90">
        <v>0.14391325690000001</v>
      </c>
    </row>
    <row r="1818" spans="1:50" x14ac:dyDescent="0.25">
      <c r="A1818" s="102">
        <v>830000</v>
      </c>
      <c r="B1818" s="102">
        <v>2400000</v>
      </c>
      <c r="C1818" s="102">
        <v>2400000</v>
      </c>
      <c r="D1818" s="90" t="s">
        <v>374</v>
      </c>
      <c r="E1818" s="90" t="s">
        <v>68</v>
      </c>
      <c r="F1818" s="90" t="s">
        <v>375</v>
      </c>
      <c r="G1818" s="90" t="s">
        <v>376</v>
      </c>
      <c r="H1818" s="90">
        <v>0.59</v>
      </c>
      <c r="I1818" s="90">
        <v>0.64</v>
      </c>
      <c r="J1818" s="90" t="s">
        <v>244</v>
      </c>
      <c r="K1818" s="90">
        <v>4.2974154229999999E-5</v>
      </c>
      <c r="L1818" s="90">
        <v>3751.2225470038202</v>
      </c>
      <c r="M1818" s="90">
        <v>10.5776857975856</v>
      </c>
      <c r="N1818" s="90">
        <v>2.0252602625263201</v>
      </c>
      <c r="O1818" s="90">
        <v>4.5456710090000001E-4</v>
      </c>
      <c r="P1818" s="90">
        <v>8.7033846879999997E-5</v>
      </c>
      <c r="Q1818" s="90">
        <v>0.161205616301</v>
      </c>
      <c r="R1818" s="90">
        <v>1300</v>
      </c>
      <c r="S1818" s="90" t="s">
        <v>387</v>
      </c>
      <c r="T1818" s="90">
        <v>1300</v>
      </c>
      <c r="U1818" s="90" t="s">
        <v>378</v>
      </c>
      <c r="V1818" s="90" t="s">
        <v>244</v>
      </c>
      <c r="Z1818" s="90">
        <v>0</v>
      </c>
      <c r="AA1818" s="90">
        <v>1</v>
      </c>
      <c r="AB1818" s="90">
        <v>4.5456710090000001E-4</v>
      </c>
      <c r="AC1818" s="90">
        <v>8.7033846879999997E-5</v>
      </c>
      <c r="AD1818" s="90">
        <v>154.50066730724501</v>
      </c>
      <c r="AF1818" s="90">
        <v>-1</v>
      </c>
      <c r="AG1818" s="90">
        <v>-1</v>
      </c>
      <c r="AH1818" s="90">
        <v>-1</v>
      </c>
      <c r="AI1818" s="90">
        <v>-1</v>
      </c>
      <c r="AJ1818" s="90">
        <v>0</v>
      </c>
      <c r="AM1818" s="90" t="s">
        <v>379</v>
      </c>
      <c r="AN1818" s="90">
        <v>-1</v>
      </c>
      <c r="AQ1818" s="90">
        <v>376</v>
      </c>
      <c r="AR1818" s="90" t="s">
        <v>283</v>
      </c>
      <c r="AS1818" s="90" t="s">
        <v>410</v>
      </c>
      <c r="AT1818" s="90" t="s">
        <v>244</v>
      </c>
      <c r="AU1818" s="90">
        <v>4.7216959999999997</v>
      </c>
      <c r="AV1818" s="90">
        <v>3.98988477642198</v>
      </c>
      <c r="AW1818" s="90">
        <v>0.17391023205728001</v>
      </c>
      <c r="AX1818" s="90">
        <v>0.12530467749999999</v>
      </c>
    </row>
    <row r="1819" spans="1:50" x14ac:dyDescent="0.25">
      <c r="A1819" s="102">
        <v>830000</v>
      </c>
      <c r="B1819" s="102">
        <v>2400000</v>
      </c>
      <c r="C1819" s="102">
        <v>2400000</v>
      </c>
      <c r="D1819" s="90" t="s">
        <v>374</v>
      </c>
      <c r="E1819" s="90" t="s">
        <v>68</v>
      </c>
      <c r="F1819" s="90" t="s">
        <v>375</v>
      </c>
      <c r="G1819" s="90" t="s">
        <v>376</v>
      </c>
      <c r="H1819" s="90">
        <v>0.59</v>
      </c>
      <c r="I1819" s="90">
        <v>0.64</v>
      </c>
      <c r="J1819" s="90" t="s">
        <v>244</v>
      </c>
      <c r="K1819" s="90">
        <v>0.27234836635107001</v>
      </c>
      <c r="L1819" s="90">
        <v>3751.2225470038202</v>
      </c>
      <c r="M1819" s="90">
        <v>10.5776857975856</v>
      </c>
      <c r="N1819" s="90">
        <v>2.0252602625263201</v>
      </c>
      <c r="O1819" s="90">
        <v>2.8808154467473499</v>
      </c>
      <c r="P1819" s="90">
        <v>0.55157632393477996</v>
      </c>
      <c r="Q1819" s="90">
        <v>1021.63933249579</v>
      </c>
      <c r="R1819" s="90">
        <v>1300</v>
      </c>
      <c r="S1819" s="90" t="s">
        <v>387</v>
      </c>
      <c r="T1819" s="90">
        <v>1300</v>
      </c>
      <c r="U1819" s="90" t="s">
        <v>378</v>
      </c>
      <c r="V1819" s="90" t="s">
        <v>244</v>
      </c>
      <c r="Z1819" s="90">
        <v>0</v>
      </c>
      <c r="AA1819" s="90">
        <v>1</v>
      </c>
      <c r="AB1819" s="90">
        <v>2.8808154467473499</v>
      </c>
      <c r="AC1819" s="90">
        <v>0.55157632393477996</v>
      </c>
      <c r="AD1819" s="90">
        <v>1064.2038657974001</v>
      </c>
      <c r="AF1819" s="90">
        <v>-1</v>
      </c>
      <c r="AG1819" s="90">
        <v>-1</v>
      </c>
      <c r="AH1819" s="90">
        <v>-1</v>
      </c>
      <c r="AI1819" s="90">
        <v>-1</v>
      </c>
      <c r="AJ1819" s="90">
        <v>0</v>
      </c>
      <c r="AM1819" s="90" t="s">
        <v>379</v>
      </c>
      <c r="AN1819" s="90">
        <v>-1</v>
      </c>
      <c r="AQ1819" s="90">
        <v>376</v>
      </c>
      <c r="AR1819" s="90" t="s">
        <v>283</v>
      </c>
      <c r="AS1819" s="90" t="s">
        <v>410</v>
      </c>
      <c r="AT1819" s="90" t="s">
        <v>244</v>
      </c>
      <c r="AU1819" s="90">
        <v>4.7216959999999997</v>
      </c>
      <c r="AV1819" s="90">
        <v>132.817086565555</v>
      </c>
      <c r="AW1819" s="90">
        <v>1102.15473549797</v>
      </c>
      <c r="AX1819" s="90">
        <v>0.86310126990000002</v>
      </c>
    </row>
    <row r="1820" spans="1:50" x14ac:dyDescent="0.25">
      <c r="A1820" s="102">
        <v>830000</v>
      </c>
      <c r="B1820" s="102">
        <v>2400000</v>
      </c>
      <c r="C1820" s="102">
        <v>2400000</v>
      </c>
      <c r="D1820" s="90" t="s">
        <v>374</v>
      </c>
      <c r="E1820" s="90" t="s">
        <v>68</v>
      </c>
      <c r="F1820" s="90" t="s">
        <v>375</v>
      </c>
      <c r="G1820" s="90" t="s">
        <v>376</v>
      </c>
      <c r="H1820" s="90">
        <v>0.59</v>
      </c>
      <c r="I1820" s="90">
        <v>0.64</v>
      </c>
      <c r="J1820" s="90" t="s">
        <v>244</v>
      </c>
      <c r="K1820" s="90">
        <v>0.11696016221959001</v>
      </c>
      <c r="L1820" s="90">
        <v>3751.2225470038202</v>
      </c>
      <c r="M1820" s="90">
        <v>10.5776857975856</v>
      </c>
      <c r="N1820" s="90">
        <v>2.0252602625263201</v>
      </c>
      <c r="O1820" s="90">
        <v>1.2371678467935601</v>
      </c>
      <c r="P1820" s="90">
        <v>0.23687476884198</v>
      </c>
      <c r="Q1820" s="90">
        <v>438.74359761938399</v>
      </c>
      <c r="R1820" s="90">
        <v>1300</v>
      </c>
      <c r="S1820" s="90" t="s">
        <v>387</v>
      </c>
      <c r="T1820" s="90">
        <v>1300</v>
      </c>
      <c r="U1820" s="90" t="s">
        <v>378</v>
      </c>
      <c r="V1820" s="90" t="s">
        <v>244</v>
      </c>
      <c r="Z1820" s="90">
        <v>0</v>
      </c>
      <c r="AA1820" s="90">
        <v>1</v>
      </c>
      <c r="AB1820" s="90">
        <v>1.2371678467935601</v>
      </c>
      <c r="AC1820" s="90">
        <v>0.23687476884198</v>
      </c>
      <c r="AD1820" s="90">
        <v>499.48816801202003</v>
      </c>
      <c r="AF1820" s="90">
        <v>-1</v>
      </c>
      <c r="AG1820" s="90">
        <v>-1</v>
      </c>
      <c r="AH1820" s="90">
        <v>-1</v>
      </c>
      <c r="AI1820" s="90">
        <v>-1</v>
      </c>
      <c r="AJ1820" s="90">
        <v>0</v>
      </c>
      <c r="AM1820" s="90" t="s">
        <v>379</v>
      </c>
      <c r="AN1820" s="90">
        <v>-1</v>
      </c>
      <c r="AQ1820" s="90">
        <v>376</v>
      </c>
      <c r="AR1820" s="90" t="s">
        <v>283</v>
      </c>
      <c r="AS1820" s="90" t="s">
        <v>410</v>
      </c>
      <c r="AT1820" s="90" t="s">
        <v>244</v>
      </c>
      <c r="AU1820" s="90">
        <v>4.7216959999999997</v>
      </c>
      <c r="AV1820" s="90">
        <v>91.502065036060699</v>
      </c>
      <c r="AW1820" s="90">
        <v>473.32098364333098</v>
      </c>
      <c r="AX1820" s="90">
        <v>0.40509989299999999</v>
      </c>
    </row>
    <row r="1821" spans="1:50" x14ac:dyDescent="0.25">
      <c r="A1821" s="102">
        <v>830000</v>
      </c>
      <c r="B1821" s="102">
        <v>2400000</v>
      </c>
      <c r="C1821" s="102">
        <v>2400000</v>
      </c>
      <c r="D1821" s="90" t="s">
        <v>374</v>
      </c>
      <c r="E1821" s="90" t="s">
        <v>68</v>
      </c>
      <c r="F1821" s="90" t="s">
        <v>375</v>
      </c>
      <c r="G1821" s="90" t="s">
        <v>376</v>
      </c>
      <c r="H1821" s="90">
        <v>0.59</v>
      </c>
      <c r="I1821" s="90">
        <v>0.64</v>
      </c>
      <c r="J1821" s="90" t="s">
        <v>244</v>
      </c>
      <c r="K1821" s="90">
        <v>0.15972805885720001</v>
      </c>
      <c r="L1821" s="90">
        <v>3751.2225470038202</v>
      </c>
      <c r="M1821" s="90">
        <v>10.5776857975856</v>
      </c>
      <c r="N1821" s="90">
        <v>2.0252602625263201</v>
      </c>
      <c r="O1821" s="90">
        <v>1.68955321964981</v>
      </c>
      <c r="P1821" s="90">
        <v>0.32349089041397</v>
      </c>
      <c r="Q1821" s="90">
        <v>599.17549577431498</v>
      </c>
      <c r="R1821" s="90">
        <v>1300</v>
      </c>
      <c r="S1821" s="90" t="s">
        <v>387</v>
      </c>
      <c r="T1821" s="90">
        <v>1300</v>
      </c>
      <c r="U1821" s="90" t="s">
        <v>378</v>
      </c>
      <c r="V1821" s="90" t="s">
        <v>244</v>
      </c>
      <c r="Z1821" s="90">
        <v>0</v>
      </c>
      <c r="AA1821" s="90">
        <v>1</v>
      </c>
      <c r="AB1821" s="90">
        <v>1.68955321964981</v>
      </c>
      <c r="AC1821" s="90">
        <v>0.32349089041397</v>
      </c>
      <c r="AD1821" s="90">
        <v>599.17549577431498</v>
      </c>
      <c r="AF1821" s="90">
        <v>-1</v>
      </c>
      <c r="AG1821" s="90">
        <v>-1</v>
      </c>
      <c r="AH1821" s="90">
        <v>-1</v>
      </c>
      <c r="AI1821" s="90">
        <v>-1</v>
      </c>
      <c r="AJ1821" s="90">
        <v>0</v>
      </c>
      <c r="AM1821" s="90" t="s">
        <v>379</v>
      </c>
      <c r="AN1821" s="90">
        <v>-1</v>
      </c>
      <c r="AQ1821" s="90">
        <v>376</v>
      </c>
      <c r="AR1821" s="90" t="s">
        <v>283</v>
      </c>
      <c r="AS1821" s="90" t="s">
        <v>410</v>
      </c>
      <c r="AT1821" s="90" t="s">
        <v>244</v>
      </c>
      <c r="AU1821" s="90">
        <v>4.7216959999999997</v>
      </c>
      <c r="AV1821" s="90">
        <v>126.028627089254</v>
      </c>
      <c r="AW1821" s="90">
        <v>646.396520823782</v>
      </c>
      <c r="AX1821" s="90">
        <v>0.48594930720000001</v>
      </c>
    </row>
    <row r="1822" spans="1:50" x14ac:dyDescent="0.25">
      <c r="A1822" s="102">
        <v>830000</v>
      </c>
      <c r="B1822" s="102">
        <v>2400000</v>
      </c>
      <c r="C1822" s="102">
        <v>2400000</v>
      </c>
      <c r="D1822" s="90" t="s">
        <v>374</v>
      </c>
      <c r="E1822" s="90" t="s">
        <v>68</v>
      </c>
      <c r="F1822" s="90" t="s">
        <v>375</v>
      </c>
      <c r="G1822" s="90" t="s">
        <v>376</v>
      </c>
      <c r="H1822" s="90">
        <v>0.59</v>
      </c>
      <c r="I1822" s="90">
        <v>0.64</v>
      </c>
      <c r="J1822" s="90" t="s">
        <v>244</v>
      </c>
      <c r="K1822" s="90">
        <v>4.3131423062779999E-2</v>
      </c>
      <c r="L1822" s="90">
        <v>3775.6522445601099</v>
      </c>
      <c r="M1822" s="90">
        <v>9.3002907279737901</v>
      </c>
      <c r="N1822" s="90">
        <v>1.61021838571117</v>
      </c>
      <c r="O1822" s="90">
        <v>0.40113477399511999</v>
      </c>
      <c r="P1822" s="90">
        <v>6.9451010417580006E-2</v>
      </c>
      <c r="Q1822" s="90">
        <v>162.849254298072</v>
      </c>
      <c r="R1822" s="90">
        <v>1300</v>
      </c>
      <c r="S1822" s="90" t="s">
        <v>387</v>
      </c>
      <c r="T1822" s="90">
        <v>1300</v>
      </c>
      <c r="U1822" s="90" t="s">
        <v>378</v>
      </c>
      <c r="V1822" s="90" t="s">
        <v>244</v>
      </c>
      <c r="Z1822" s="90">
        <v>0</v>
      </c>
      <c r="AA1822" s="90">
        <v>1</v>
      </c>
      <c r="AB1822" s="90">
        <v>0.40113477399511999</v>
      </c>
      <c r="AC1822" s="90">
        <v>6.9451010417580006E-2</v>
      </c>
      <c r="AD1822" s="90">
        <v>950.27138272072796</v>
      </c>
      <c r="AF1822" s="90">
        <v>-1</v>
      </c>
      <c r="AG1822" s="90">
        <v>-1</v>
      </c>
      <c r="AH1822" s="90">
        <v>-1</v>
      </c>
      <c r="AI1822" s="90">
        <v>-1</v>
      </c>
      <c r="AJ1822" s="90">
        <v>0</v>
      </c>
      <c r="AM1822" s="90" t="s">
        <v>379</v>
      </c>
      <c r="AN1822" s="90">
        <v>-1</v>
      </c>
      <c r="AQ1822" s="90">
        <v>376</v>
      </c>
      <c r="AR1822" s="90" t="s">
        <v>283</v>
      </c>
      <c r="AS1822" s="90" t="s">
        <v>410</v>
      </c>
      <c r="AT1822" s="90" t="s">
        <v>244</v>
      </c>
      <c r="AU1822" s="90">
        <v>4.7216959999999997</v>
      </c>
      <c r="AV1822" s="90">
        <v>59.496966792583798</v>
      </c>
      <c r="AW1822" s="90">
        <v>174.54667642887699</v>
      </c>
      <c r="AX1822" s="90">
        <v>0.77069860720000005</v>
      </c>
    </row>
    <row r="1823" spans="1:50" x14ac:dyDescent="0.25">
      <c r="A1823" s="102">
        <v>830000</v>
      </c>
      <c r="B1823" s="102">
        <v>2400000</v>
      </c>
      <c r="C1823" s="102">
        <v>2400000</v>
      </c>
      <c r="D1823" s="90" t="s">
        <v>374</v>
      </c>
      <c r="E1823" s="90" t="s">
        <v>68</v>
      </c>
      <c r="F1823" s="90" t="s">
        <v>375</v>
      </c>
      <c r="G1823" s="90" t="s">
        <v>376</v>
      </c>
      <c r="H1823" s="90">
        <v>0.59</v>
      </c>
      <c r="I1823" s="90">
        <v>0.64</v>
      </c>
      <c r="J1823" s="90" t="s">
        <v>244</v>
      </c>
      <c r="K1823" s="90">
        <v>0.19330442508456999</v>
      </c>
      <c r="L1823" s="90">
        <v>3775.6522445601099</v>
      </c>
      <c r="M1823" s="90">
        <v>9.3002907279737901</v>
      </c>
      <c r="N1823" s="90">
        <v>1.61021838571117</v>
      </c>
      <c r="O1823" s="90">
        <v>1.79778735229033</v>
      </c>
      <c r="P1823" s="90">
        <v>0.31126233931050001</v>
      </c>
      <c r="Q1823" s="90">
        <v>729.85028645395801</v>
      </c>
      <c r="R1823" s="90">
        <v>1300</v>
      </c>
      <c r="S1823" s="90" t="s">
        <v>387</v>
      </c>
      <c r="T1823" s="90">
        <v>1300</v>
      </c>
      <c r="U1823" s="90" t="s">
        <v>378</v>
      </c>
      <c r="V1823" s="90" t="s">
        <v>244</v>
      </c>
      <c r="Z1823" s="90">
        <v>0</v>
      </c>
      <c r="AA1823" s="90">
        <v>1</v>
      </c>
      <c r="AB1823" s="90">
        <v>1.79778735229033</v>
      </c>
      <c r="AC1823" s="90">
        <v>0.31126233931050001</v>
      </c>
      <c r="AD1823" s="90">
        <v>1382.18858746706</v>
      </c>
      <c r="AF1823" s="90">
        <v>-1</v>
      </c>
      <c r="AG1823" s="90">
        <v>-1</v>
      </c>
      <c r="AH1823" s="90">
        <v>-1</v>
      </c>
      <c r="AI1823" s="90">
        <v>-1</v>
      </c>
      <c r="AJ1823" s="90">
        <v>0</v>
      </c>
      <c r="AM1823" s="90" t="s">
        <v>379</v>
      </c>
      <c r="AN1823" s="90">
        <v>-1</v>
      </c>
      <c r="AQ1823" s="90">
        <v>376</v>
      </c>
      <c r="AR1823" s="90" t="s">
        <v>283</v>
      </c>
      <c r="AS1823" s="90" t="s">
        <v>410</v>
      </c>
      <c r="AT1823" s="90" t="s">
        <v>244</v>
      </c>
      <c r="AU1823" s="90">
        <v>4.7216959999999997</v>
      </c>
      <c r="AV1823" s="90">
        <v>111.619431515952</v>
      </c>
      <c r="AW1823" s="90">
        <v>782.27525413183196</v>
      </c>
      <c r="AX1823" s="90">
        <v>1.1209964213000001</v>
      </c>
    </row>
    <row r="1824" spans="1:50" x14ac:dyDescent="0.25">
      <c r="A1824" s="102">
        <v>830000</v>
      </c>
      <c r="B1824" s="102">
        <v>2400000</v>
      </c>
      <c r="C1824" s="102">
        <v>2400000</v>
      </c>
      <c r="D1824" s="90" t="s">
        <v>374</v>
      </c>
      <c r="E1824" s="90" t="s">
        <v>68</v>
      </c>
      <c r="F1824" s="90" t="s">
        <v>375</v>
      </c>
      <c r="G1824" s="90" t="s">
        <v>376</v>
      </c>
      <c r="H1824" s="90">
        <v>0.59</v>
      </c>
      <c r="I1824" s="90">
        <v>0.64</v>
      </c>
      <c r="J1824" s="90" t="s">
        <v>244</v>
      </c>
      <c r="K1824" s="102">
        <v>1.7428522299999999E-7</v>
      </c>
      <c r="L1824" s="90">
        <v>3865.1032930056899</v>
      </c>
      <c r="M1824" s="90">
        <v>8.8310740795523799</v>
      </c>
      <c r="N1824" s="90">
        <v>1.25660400402273</v>
      </c>
      <c r="O1824" s="102">
        <v>1.539125715284E-6</v>
      </c>
      <c r="P1824" s="102">
        <v>2.1900750906379999E-7</v>
      </c>
      <c r="Q1824" s="90">
        <v>6.7363038933000003E-4</v>
      </c>
      <c r="R1824" s="90">
        <v>1300</v>
      </c>
      <c r="S1824" s="90" t="s">
        <v>387</v>
      </c>
      <c r="T1824" s="90">
        <v>1300</v>
      </c>
      <c r="U1824" s="90" t="s">
        <v>378</v>
      </c>
      <c r="V1824" s="90" t="s">
        <v>244</v>
      </c>
      <c r="Z1824" s="90">
        <v>0</v>
      </c>
      <c r="AA1824" s="90">
        <v>1</v>
      </c>
      <c r="AB1824" s="102">
        <v>1.539125715284E-6</v>
      </c>
      <c r="AC1824" s="102">
        <v>2.1900750906379999E-7</v>
      </c>
      <c r="AD1824" s="90">
        <v>113.70502977932</v>
      </c>
      <c r="AF1824" s="90">
        <v>-1</v>
      </c>
      <c r="AG1824" s="90">
        <v>-1</v>
      </c>
      <c r="AH1824" s="90">
        <v>-1</v>
      </c>
      <c r="AI1824" s="90">
        <v>-1</v>
      </c>
      <c r="AJ1824" s="90">
        <v>0</v>
      </c>
      <c r="AM1824" s="90" t="s">
        <v>379</v>
      </c>
      <c r="AN1824" s="90">
        <v>-1</v>
      </c>
      <c r="AQ1824" s="90">
        <v>376</v>
      </c>
      <c r="AR1824" s="90" t="s">
        <v>283</v>
      </c>
      <c r="AS1824" s="90" t="s">
        <v>410</v>
      </c>
      <c r="AT1824" s="90" t="s">
        <v>244</v>
      </c>
      <c r="AU1824" s="90">
        <v>4.7216959999999997</v>
      </c>
      <c r="AV1824" s="90">
        <v>0.20756412208080999</v>
      </c>
      <c r="AW1824" s="90">
        <v>7.0530727446000004E-4</v>
      </c>
      <c r="AX1824" s="90">
        <v>9.2218191199999994E-2</v>
      </c>
    </row>
    <row r="1825" spans="1:50" x14ac:dyDescent="0.25">
      <c r="A1825" s="102">
        <v>830000</v>
      </c>
      <c r="B1825" s="102">
        <v>2400000</v>
      </c>
      <c r="C1825" s="102">
        <v>2400000</v>
      </c>
      <c r="D1825" s="90" t="s">
        <v>374</v>
      </c>
      <c r="E1825" s="90" t="s">
        <v>68</v>
      </c>
      <c r="F1825" s="90" t="s">
        <v>375</v>
      </c>
      <c r="G1825" s="90" t="s">
        <v>376</v>
      </c>
      <c r="H1825" s="90">
        <v>0.59</v>
      </c>
      <c r="I1825" s="90">
        <v>0.64</v>
      </c>
      <c r="J1825" s="90" t="s">
        <v>244</v>
      </c>
      <c r="K1825" s="90">
        <v>7.0340920297800001E-3</v>
      </c>
      <c r="L1825" s="90">
        <v>3865.1032930056899</v>
      </c>
      <c r="M1825" s="90">
        <v>8.8310740795523799</v>
      </c>
      <c r="N1825" s="90">
        <v>1.25660400402273</v>
      </c>
      <c r="O1825" s="90">
        <v>6.2118587797369999E-2</v>
      </c>
      <c r="P1825" s="90">
        <v>8.8390682092799999E-3</v>
      </c>
      <c r="Q1825" s="90">
        <v>27.187492267607698</v>
      </c>
      <c r="R1825" s="90">
        <v>1300</v>
      </c>
      <c r="S1825" s="90" t="s">
        <v>387</v>
      </c>
      <c r="T1825" s="90">
        <v>1300</v>
      </c>
      <c r="U1825" s="90" t="s">
        <v>378</v>
      </c>
      <c r="V1825" s="90" t="s">
        <v>244</v>
      </c>
      <c r="Z1825" s="90">
        <v>0</v>
      </c>
      <c r="AA1825" s="90">
        <v>1</v>
      </c>
      <c r="AB1825" s="90">
        <v>6.2118587797369999E-2</v>
      </c>
      <c r="AC1825" s="90">
        <v>8.8390682092799999E-3</v>
      </c>
      <c r="AD1825" s="90">
        <v>109.96975499006</v>
      </c>
      <c r="AF1825" s="90">
        <v>-1</v>
      </c>
      <c r="AG1825" s="90">
        <v>-1</v>
      </c>
      <c r="AH1825" s="90">
        <v>-1</v>
      </c>
      <c r="AI1825" s="90">
        <v>-1</v>
      </c>
      <c r="AJ1825" s="90">
        <v>0</v>
      </c>
      <c r="AM1825" s="90" t="s">
        <v>379</v>
      </c>
      <c r="AN1825" s="90">
        <v>-1</v>
      </c>
      <c r="AQ1825" s="90">
        <v>376</v>
      </c>
      <c r="AR1825" s="90" t="s">
        <v>283</v>
      </c>
      <c r="AS1825" s="90" t="s">
        <v>410</v>
      </c>
      <c r="AT1825" s="90" t="s">
        <v>244</v>
      </c>
      <c r="AU1825" s="90">
        <v>4.7216959999999997</v>
      </c>
      <c r="AV1825" s="90">
        <v>41.530512343489001</v>
      </c>
      <c r="AW1825" s="90">
        <v>28.465960506469699</v>
      </c>
      <c r="AX1825" s="90">
        <v>8.9188771299999997E-2</v>
      </c>
    </row>
    <row r="1826" spans="1:50" x14ac:dyDescent="0.25">
      <c r="A1826" s="102">
        <v>830000</v>
      </c>
      <c r="B1826" s="102">
        <v>2400000</v>
      </c>
      <c r="C1826" s="102">
        <v>2400000</v>
      </c>
      <c r="D1826" s="90" t="s">
        <v>374</v>
      </c>
      <c r="E1826" s="90" t="s">
        <v>68</v>
      </c>
      <c r="F1826" s="90" t="s">
        <v>375</v>
      </c>
      <c r="G1826" s="90" t="s">
        <v>376</v>
      </c>
      <c r="H1826" s="90">
        <v>0.59</v>
      </c>
      <c r="I1826" s="90">
        <v>0.64</v>
      </c>
      <c r="J1826" s="90" t="s">
        <v>244</v>
      </c>
      <c r="K1826" s="90">
        <v>1.19161903901E-3</v>
      </c>
      <c r="L1826" s="90">
        <v>3751.4182924594102</v>
      </c>
      <c r="M1826" s="90">
        <v>10.813279445486501</v>
      </c>
      <c r="N1826" s="90">
        <v>2.03350153149914</v>
      </c>
      <c r="O1826" s="90">
        <v>1.2885309661460001E-2</v>
      </c>
      <c r="P1826" s="90">
        <v>2.4231591407999999E-3</v>
      </c>
      <c r="Q1826" s="90">
        <v>4.4702614606150304</v>
      </c>
      <c r="R1826" s="90">
        <v>1300</v>
      </c>
      <c r="S1826" s="90" t="s">
        <v>387</v>
      </c>
      <c r="T1826" s="90">
        <v>1300</v>
      </c>
      <c r="U1826" s="90" t="s">
        <v>378</v>
      </c>
      <c r="V1826" s="90" t="s">
        <v>244</v>
      </c>
      <c r="Z1826" s="90">
        <v>0</v>
      </c>
      <c r="AA1826" s="90">
        <v>1</v>
      </c>
      <c r="AB1826" s="90">
        <v>1.2885309661460001E-2</v>
      </c>
      <c r="AC1826" s="90">
        <v>2.4231591407999999E-3</v>
      </c>
      <c r="AD1826" s="90">
        <v>1272.48682623831</v>
      </c>
      <c r="AF1826" s="90">
        <v>-1</v>
      </c>
      <c r="AG1826" s="90">
        <v>-1</v>
      </c>
      <c r="AH1826" s="90">
        <v>-1</v>
      </c>
      <c r="AI1826" s="90">
        <v>-1</v>
      </c>
      <c r="AJ1826" s="90">
        <v>0</v>
      </c>
      <c r="AM1826" s="90" t="s">
        <v>379</v>
      </c>
      <c r="AN1826" s="90">
        <v>-1</v>
      </c>
      <c r="AQ1826" s="90">
        <v>376</v>
      </c>
      <c r="AR1826" s="90" t="s">
        <v>283</v>
      </c>
      <c r="AS1826" s="90" t="s">
        <v>410</v>
      </c>
      <c r="AT1826" s="90" t="s">
        <v>244</v>
      </c>
      <c r="AU1826" s="90">
        <v>4.7216959999999997</v>
      </c>
      <c r="AV1826" s="90">
        <v>57.988555657749103</v>
      </c>
      <c r="AW1826" s="90">
        <v>4.82231116110363</v>
      </c>
      <c r="AX1826" s="90">
        <v>1.0320250010000001</v>
      </c>
    </row>
    <row r="1827" spans="1:50" x14ac:dyDescent="0.25">
      <c r="A1827" s="102">
        <v>830000</v>
      </c>
      <c r="B1827" s="102">
        <v>2400000</v>
      </c>
      <c r="C1827" s="102">
        <v>2400000</v>
      </c>
      <c r="D1827" s="90" t="s">
        <v>374</v>
      </c>
      <c r="E1827" s="90" t="s">
        <v>68</v>
      </c>
      <c r="F1827" s="90" t="s">
        <v>375</v>
      </c>
      <c r="G1827" s="90" t="s">
        <v>376</v>
      </c>
      <c r="H1827" s="90">
        <v>0.59</v>
      </c>
      <c r="I1827" s="90">
        <v>0.64</v>
      </c>
      <c r="J1827" s="90" t="s">
        <v>244</v>
      </c>
      <c r="K1827" s="90">
        <v>0.21131523115284001</v>
      </c>
      <c r="L1827" s="90">
        <v>3751.4182924594102</v>
      </c>
      <c r="M1827" s="90">
        <v>10.813279445486501</v>
      </c>
      <c r="N1827" s="90">
        <v>2.03350153149914</v>
      </c>
      <c r="O1827" s="90">
        <v>2.2850106455433101</v>
      </c>
      <c r="P1827" s="90">
        <v>0.42970984617841002</v>
      </c>
      <c r="Q1827" s="90">
        <v>792.73182362208001</v>
      </c>
      <c r="R1827" s="90">
        <v>1300</v>
      </c>
      <c r="S1827" s="90" t="s">
        <v>387</v>
      </c>
      <c r="T1827" s="90">
        <v>1300</v>
      </c>
      <c r="U1827" s="90" t="s">
        <v>378</v>
      </c>
      <c r="V1827" s="90" t="s">
        <v>244</v>
      </c>
      <c r="Z1827" s="90">
        <v>0</v>
      </c>
      <c r="AA1827" s="90">
        <v>1</v>
      </c>
      <c r="AB1827" s="90">
        <v>2.2850106455433101</v>
      </c>
      <c r="AC1827" s="90">
        <v>0.42970984617841002</v>
      </c>
      <c r="AD1827" s="90">
        <v>795.94653013432503</v>
      </c>
      <c r="AF1827" s="90">
        <v>-1</v>
      </c>
      <c r="AG1827" s="90">
        <v>-1</v>
      </c>
      <c r="AH1827" s="90">
        <v>-1</v>
      </c>
      <c r="AI1827" s="90">
        <v>-1</v>
      </c>
      <c r="AJ1827" s="90">
        <v>0</v>
      </c>
      <c r="AM1827" s="90" t="s">
        <v>379</v>
      </c>
      <c r="AN1827" s="90">
        <v>-1</v>
      </c>
      <c r="AQ1827" s="90">
        <v>376</v>
      </c>
      <c r="AR1827" s="90" t="s">
        <v>283</v>
      </c>
      <c r="AS1827" s="90" t="s">
        <v>410</v>
      </c>
      <c r="AT1827" s="90" t="s">
        <v>244</v>
      </c>
      <c r="AU1827" s="90">
        <v>4.7216959999999997</v>
      </c>
      <c r="AV1827" s="90">
        <v>133.95901890503299</v>
      </c>
      <c r="AW1827" s="90">
        <v>855.16240034184</v>
      </c>
      <c r="AX1827" s="90">
        <v>0.64553652080000001</v>
      </c>
    </row>
    <row r="1828" spans="1:50" x14ac:dyDescent="0.25">
      <c r="A1828" s="102">
        <v>830000</v>
      </c>
      <c r="B1828" s="102">
        <v>2400000</v>
      </c>
      <c r="C1828" s="102">
        <v>2400000</v>
      </c>
      <c r="D1828" s="90" t="s">
        <v>374</v>
      </c>
      <c r="E1828" s="90" t="s">
        <v>68</v>
      </c>
      <c r="F1828" s="90" t="s">
        <v>375</v>
      </c>
      <c r="G1828" s="90" t="s">
        <v>376</v>
      </c>
      <c r="H1828" s="90">
        <v>0.59</v>
      </c>
      <c r="I1828" s="90">
        <v>0.64</v>
      </c>
      <c r="J1828" s="90" t="s">
        <v>244</v>
      </c>
      <c r="K1828" s="90">
        <v>3.3188073327E-4</v>
      </c>
      <c r="L1828" s="90">
        <v>3783.55660249833</v>
      </c>
      <c r="M1828" s="90">
        <v>8.1145758939543295</v>
      </c>
      <c r="N1828" s="90">
        <v>1.2836234552414101</v>
      </c>
      <c r="O1828" s="90">
        <v>2.69307139787E-3</v>
      </c>
      <c r="P1828" s="90">
        <v>4.2600989356999998E-4</v>
      </c>
      <c r="Q1828" s="90">
        <v>1.2556895396132599</v>
      </c>
      <c r="R1828" s="90">
        <v>1300</v>
      </c>
      <c r="S1828" s="90" t="s">
        <v>387</v>
      </c>
      <c r="T1828" s="90">
        <v>1300</v>
      </c>
      <c r="U1828" s="90" t="s">
        <v>378</v>
      </c>
      <c r="V1828" s="90" t="s">
        <v>244</v>
      </c>
      <c r="Z1828" s="90">
        <v>0</v>
      </c>
      <c r="AA1828" s="90">
        <v>1</v>
      </c>
      <c r="AB1828" s="90">
        <v>2.69307139787E-3</v>
      </c>
      <c r="AC1828" s="90">
        <v>4.2600989356999998E-4</v>
      </c>
      <c r="AD1828" s="90">
        <v>544.02406191462399</v>
      </c>
      <c r="AF1828" s="90">
        <v>-1</v>
      </c>
      <c r="AG1828" s="90">
        <v>-1</v>
      </c>
      <c r="AH1828" s="90">
        <v>-1</v>
      </c>
      <c r="AI1828" s="90">
        <v>-1</v>
      </c>
      <c r="AJ1828" s="90">
        <v>0</v>
      </c>
      <c r="AM1828" s="90" t="s">
        <v>379</v>
      </c>
      <c r="AN1828" s="90">
        <v>-1</v>
      </c>
      <c r="AQ1828" s="90">
        <v>376</v>
      </c>
      <c r="AR1828" s="90" t="s">
        <v>283</v>
      </c>
      <c r="AS1828" s="90" t="s">
        <v>410</v>
      </c>
      <c r="AT1828" s="90" t="s">
        <v>244</v>
      </c>
      <c r="AU1828" s="90">
        <v>4.7216959999999997</v>
      </c>
      <c r="AV1828" s="90">
        <v>5.0558222737461698</v>
      </c>
      <c r="AW1828" s="90">
        <v>1.34307367691312</v>
      </c>
      <c r="AX1828" s="90">
        <v>0.44121983930000003</v>
      </c>
    </row>
    <row r="1829" spans="1:50" x14ac:dyDescent="0.25">
      <c r="A1829" s="102">
        <v>830000</v>
      </c>
      <c r="B1829" s="102">
        <v>2400000</v>
      </c>
      <c r="C1829" s="102">
        <v>2400000</v>
      </c>
      <c r="D1829" s="90" t="s">
        <v>374</v>
      </c>
      <c r="E1829" s="90" t="s">
        <v>68</v>
      </c>
      <c r="F1829" s="90" t="s">
        <v>375</v>
      </c>
      <c r="G1829" s="90" t="s">
        <v>376</v>
      </c>
      <c r="H1829" s="90">
        <v>0.59</v>
      </c>
      <c r="I1829" s="90">
        <v>0.64</v>
      </c>
      <c r="J1829" s="90" t="s">
        <v>244</v>
      </c>
      <c r="K1829" s="90">
        <v>1.24191353618E-3</v>
      </c>
      <c r="L1829" s="90">
        <v>3783.55660249833</v>
      </c>
      <c r="M1829" s="90">
        <v>8.1145758939543295</v>
      </c>
      <c r="N1829" s="90">
        <v>1.2836234552414101</v>
      </c>
      <c r="O1829" s="90">
        <v>1.007760164311E-2</v>
      </c>
      <c r="P1829" s="90">
        <v>1.5941493444299999E-3</v>
      </c>
      <c r="Q1829" s="90">
        <v>4.6988501595685896</v>
      </c>
      <c r="R1829" s="90">
        <v>1300</v>
      </c>
      <c r="S1829" s="90" t="s">
        <v>387</v>
      </c>
      <c r="T1829" s="90">
        <v>1300</v>
      </c>
      <c r="U1829" s="90" t="s">
        <v>378</v>
      </c>
      <c r="V1829" s="90" t="s">
        <v>244</v>
      </c>
      <c r="Z1829" s="90">
        <v>0</v>
      </c>
      <c r="AA1829" s="90">
        <v>1</v>
      </c>
      <c r="AB1829" s="90">
        <v>1.007760164311E-2</v>
      </c>
      <c r="AC1829" s="90">
        <v>1.5941493444299999E-3</v>
      </c>
      <c r="AD1829" s="90">
        <v>1793.31893242814</v>
      </c>
      <c r="AF1829" s="90">
        <v>-1</v>
      </c>
      <c r="AG1829" s="90">
        <v>-1</v>
      </c>
      <c r="AH1829" s="90">
        <v>-1</v>
      </c>
      <c r="AI1829" s="90">
        <v>-1</v>
      </c>
      <c r="AJ1829" s="90">
        <v>0</v>
      </c>
      <c r="AM1829" s="90" t="s">
        <v>379</v>
      </c>
      <c r="AN1829" s="90">
        <v>-1</v>
      </c>
      <c r="AQ1829" s="90">
        <v>376</v>
      </c>
      <c r="AR1829" s="90" t="s">
        <v>283</v>
      </c>
      <c r="AS1829" s="90" t="s">
        <v>410</v>
      </c>
      <c r="AT1829" s="90" t="s">
        <v>244</v>
      </c>
      <c r="AU1829" s="90">
        <v>4.7216959999999997</v>
      </c>
      <c r="AV1829" s="90">
        <v>14.6752090439486</v>
      </c>
      <c r="AW1829" s="90">
        <v>5.0258457699802399</v>
      </c>
      <c r="AX1829" s="90">
        <v>1.4544354683</v>
      </c>
    </row>
    <row r="1830" spans="1:50" x14ac:dyDescent="0.25">
      <c r="A1830" s="102">
        <v>830000</v>
      </c>
      <c r="B1830" s="102">
        <v>2400000</v>
      </c>
      <c r="C1830" s="102">
        <v>2400000</v>
      </c>
      <c r="D1830" s="90" t="s">
        <v>374</v>
      </c>
      <c r="E1830" s="90" t="s">
        <v>68</v>
      </c>
      <c r="F1830" s="90" t="s">
        <v>375</v>
      </c>
      <c r="G1830" s="90" t="s">
        <v>376</v>
      </c>
      <c r="H1830" s="90">
        <v>0.59</v>
      </c>
      <c r="I1830" s="90">
        <v>0.64</v>
      </c>
      <c r="J1830" s="90" t="s">
        <v>244</v>
      </c>
      <c r="K1830" s="90">
        <v>5.2386453942409997E-2</v>
      </c>
      <c r="L1830" s="90">
        <v>3788.60306865139</v>
      </c>
      <c r="M1830" s="90">
        <v>8.2673540374675891</v>
      </c>
      <c r="N1830" s="90">
        <v>1.28670975398589</v>
      </c>
      <c r="O1830" s="90">
        <v>0.43309736150939998</v>
      </c>
      <c r="P1830" s="90">
        <v>6.7406161264429998E-2</v>
      </c>
      <c r="Q1830" s="90">
        <v>198.47148016198301</v>
      </c>
      <c r="R1830" s="90">
        <v>1300</v>
      </c>
      <c r="S1830" s="90" t="s">
        <v>387</v>
      </c>
      <c r="T1830" s="90">
        <v>1300</v>
      </c>
      <c r="U1830" s="90" t="s">
        <v>378</v>
      </c>
      <c r="V1830" s="90" t="s">
        <v>244</v>
      </c>
      <c r="Z1830" s="90">
        <v>0</v>
      </c>
      <c r="AA1830" s="90">
        <v>1</v>
      </c>
      <c r="AB1830" s="90">
        <v>0.43309736150939998</v>
      </c>
      <c r="AC1830" s="90">
        <v>6.7406161264429998E-2</v>
      </c>
      <c r="AD1830" s="90">
        <v>1760.1256296371801</v>
      </c>
      <c r="AF1830" s="90">
        <v>-1</v>
      </c>
      <c r="AG1830" s="90">
        <v>-1</v>
      </c>
      <c r="AH1830" s="90">
        <v>-1</v>
      </c>
      <c r="AI1830" s="90">
        <v>-1</v>
      </c>
      <c r="AJ1830" s="90">
        <v>0</v>
      </c>
      <c r="AM1830" s="90" t="s">
        <v>379</v>
      </c>
      <c r="AN1830" s="90">
        <v>-1</v>
      </c>
      <c r="AQ1830" s="90">
        <v>376</v>
      </c>
      <c r="AR1830" s="90" t="s">
        <v>283</v>
      </c>
      <c r="AS1830" s="90" t="s">
        <v>410</v>
      </c>
      <c r="AT1830" s="90" t="s">
        <v>244</v>
      </c>
      <c r="AU1830" s="90">
        <v>4.7216959999999997</v>
      </c>
      <c r="AV1830" s="90">
        <v>69.7741738973032</v>
      </c>
      <c r="AW1830" s="90">
        <v>212.00045758360901</v>
      </c>
      <c r="AX1830" s="90">
        <v>1.4275147037</v>
      </c>
    </row>
    <row r="1831" spans="1:50" x14ac:dyDescent="0.25">
      <c r="A1831" s="102">
        <v>830000</v>
      </c>
      <c r="B1831" s="102">
        <v>2400000</v>
      </c>
      <c r="C1831" s="102">
        <v>2400000</v>
      </c>
      <c r="D1831" s="90" t="s">
        <v>374</v>
      </c>
      <c r="E1831" s="90" t="s">
        <v>68</v>
      </c>
      <c r="F1831" s="90" t="s">
        <v>375</v>
      </c>
      <c r="G1831" s="90" t="s">
        <v>376</v>
      </c>
      <c r="H1831" s="90">
        <v>0.59</v>
      </c>
      <c r="I1831" s="90">
        <v>0.64</v>
      </c>
      <c r="J1831" s="90" t="s">
        <v>244</v>
      </c>
      <c r="K1831" s="90">
        <v>9.6923316069189996E-2</v>
      </c>
      <c r="L1831" s="90">
        <v>3788.60306865139</v>
      </c>
      <c r="M1831" s="90">
        <v>8.2673540374675891</v>
      </c>
      <c r="N1831" s="90">
        <v>1.28670975398589</v>
      </c>
      <c r="O1831" s="90">
        <v>0.80129936842938998</v>
      </c>
      <c r="P1831" s="90">
        <v>0.12471217617487999</v>
      </c>
      <c r="Q1831" s="90">
        <v>367.20397268361302</v>
      </c>
      <c r="R1831" s="90">
        <v>1300</v>
      </c>
      <c r="S1831" s="90" t="s">
        <v>387</v>
      </c>
      <c r="T1831" s="90">
        <v>1300</v>
      </c>
      <c r="U1831" s="90" t="s">
        <v>378</v>
      </c>
      <c r="V1831" s="90" t="s">
        <v>244</v>
      </c>
      <c r="Z1831" s="90">
        <v>0</v>
      </c>
      <c r="AA1831" s="90">
        <v>1</v>
      </c>
      <c r="AB1831" s="90">
        <v>0.80129936842938998</v>
      </c>
      <c r="AC1831" s="90">
        <v>0.12471217617487999</v>
      </c>
      <c r="AD1831" s="90">
        <v>580.33488706569995</v>
      </c>
      <c r="AF1831" s="90">
        <v>-1</v>
      </c>
      <c r="AG1831" s="90">
        <v>-1</v>
      </c>
      <c r="AH1831" s="90">
        <v>-1</v>
      </c>
      <c r="AI1831" s="90">
        <v>-1</v>
      </c>
      <c r="AJ1831" s="90">
        <v>0</v>
      </c>
      <c r="AM1831" s="90" t="s">
        <v>379</v>
      </c>
      <c r="AN1831" s="90">
        <v>-1</v>
      </c>
      <c r="AQ1831" s="90">
        <v>376</v>
      </c>
      <c r="AR1831" s="90" t="s">
        <v>283</v>
      </c>
      <c r="AS1831" s="90" t="s">
        <v>410</v>
      </c>
      <c r="AT1831" s="90" t="s">
        <v>244</v>
      </c>
      <c r="AU1831" s="90">
        <v>4.7216959999999997</v>
      </c>
      <c r="AV1831" s="90">
        <v>85.371275202747896</v>
      </c>
      <c r="AW1831" s="90">
        <v>392.23474411491799</v>
      </c>
      <c r="AX1831" s="90">
        <v>0.47066900820000002</v>
      </c>
    </row>
    <row r="1832" spans="1:50" x14ac:dyDescent="0.25">
      <c r="A1832" s="102">
        <v>830000</v>
      </c>
      <c r="B1832" s="102">
        <v>2400000</v>
      </c>
      <c r="C1832" s="102">
        <v>2400000</v>
      </c>
      <c r="D1832" s="90" t="s">
        <v>374</v>
      </c>
      <c r="E1832" s="90" t="s">
        <v>68</v>
      </c>
      <c r="F1832" s="90" t="s">
        <v>375</v>
      </c>
      <c r="G1832" s="90" t="s">
        <v>376</v>
      </c>
      <c r="H1832" s="90">
        <v>0.59</v>
      </c>
      <c r="I1832" s="90">
        <v>0.64</v>
      </c>
      <c r="J1832" s="90" t="s">
        <v>244</v>
      </c>
      <c r="K1832" s="90">
        <v>0.30291229682018</v>
      </c>
      <c r="L1832" s="90">
        <v>3747.2343118684098</v>
      </c>
      <c r="M1832" s="90">
        <v>10.769561941427201</v>
      </c>
      <c r="N1832" s="90">
        <v>2.0744178070286701</v>
      </c>
      <c r="O1832" s="90">
        <v>3.2622327434249301</v>
      </c>
      <c r="P1832" s="90">
        <v>0.62836666249173001</v>
      </c>
      <c r="Q1832" s="90">
        <v>1135.0833521314501</v>
      </c>
      <c r="R1832" s="90">
        <v>1300</v>
      </c>
      <c r="S1832" s="90" t="s">
        <v>387</v>
      </c>
      <c r="T1832" s="90">
        <v>1300</v>
      </c>
      <c r="U1832" s="90" t="s">
        <v>378</v>
      </c>
      <c r="V1832" s="90" t="s">
        <v>244</v>
      </c>
      <c r="Z1832" s="90">
        <v>0</v>
      </c>
      <c r="AA1832" s="90">
        <v>1</v>
      </c>
      <c r="AB1832" s="90">
        <v>3.2622327434249301</v>
      </c>
      <c r="AC1832" s="90">
        <v>0.62836666249173001</v>
      </c>
      <c r="AD1832" s="90">
        <v>1515.03396964898</v>
      </c>
      <c r="AF1832" s="90">
        <v>-1</v>
      </c>
      <c r="AG1832" s="90">
        <v>-1</v>
      </c>
      <c r="AH1832" s="90">
        <v>-1</v>
      </c>
      <c r="AI1832" s="90">
        <v>-1</v>
      </c>
      <c r="AJ1832" s="90">
        <v>0</v>
      </c>
      <c r="AM1832" s="90" t="s">
        <v>379</v>
      </c>
      <c r="AN1832" s="90">
        <v>-1</v>
      </c>
      <c r="AQ1832" s="90">
        <v>376</v>
      </c>
      <c r="AR1832" s="90" t="s">
        <v>283</v>
      </c>
      <c r="AS1832" s="90" t="s">
        <v>410</v>
      </c>
      <c r="AT1832" s="90" t="s">
        <v>244</v>
      </c>
      <c r="AU1832" s="90">
        <v>4.7216959999999997</v>
      </c>
      <c r="AV1832" s="90">
        <v>148.047176732987</v>
      </c>
      <c r="AW1832" s="90">
        <v>1225.8425738106801</v>
      </c>
      <c r="AX1832" s="90">
        <v>1.2287380127</v>
      </c>
    </row>
    <row r="1833" spans="1:50" x14ac:dyDescent="0.25">
      <c r="A1833" s="102">
        <v>830000</v>
      </c>
      <c r="B1833" s="102">
        <v>2400000</v>
      </c>
      <c r="C1833" s="102">
        <v>2400000</v>
      </c>
      <c r="D1833" s="90" t="s">
        <v>374</v>
      </c>
      <c r="E1833" s="90" t="s">
        <v>68</v>
      </c>
      <c r="F1833" s="90" t="s">
        <v>375</v>
      </c>
      <c r="G1833" s="90" t="s">
        <v>376</v>
      </c>
      <c r="H1833" s="90">
        <v>0.59</v>
      </c>
      <c r="I1833" s="90">
        <v>0.64</v>
      </c>
      <c r="J1833" s="90" t="s">
        <v>244</v>
      </c>
      <c r="K1833" s="90">
        <v>5.7404486865209998E-2</v>
      </c>
      <c r="L1833" s="90">
        <v>3747.2343118684098</v>
      </c>
      <c r="M1833" s="90">
        <v>10.769561941427201</v>
      </c>
      <c r="N1833" s="90">
        <v>2.0744178070286701</v>
      </c>
      <c r="O1833" s="90">
        <v>0.61822117701072998</v>
      </c>
      <c r="P1833" s="90">
        <v>0.11908088975653</v>
      </c>
      <c r="Q1833" s="90">
        <v>215.108062836518</v>
      </c>
      <c r="R1833" s="90">
        <v>1300</v>
      </c>
      <c r="S1833" s="90" t="s">
        <v>387</v>
      </c>
      <c r="T1833" s="90">
        <v>1300</v>
      </c>
      <c r="U1833" s="90" t="s">
        <v>378</v>
      </c>
      <c r="V1833" s="90" t="s">
        <v>244</v>
      </c>
      <c r="Z1833" s="90">
        <v>0</v>
      </c>
      <c r="AA1833" s="90">
        <v>1</v>
      </c>
      <c r="AB1833" s="90">
        <v>0.61822117701072998</v>
      </c>
      <c r="AC1833" s="90">
        <v>0.11908088975653</v>
      </c>
      <c r="AD1833" s="90">
        <v>215.108062836519</v>
      </c>
      <c r="AF1833" s="90">
        <v>-1</v>
      </c>
      <c r="AG1833" s="90">
        <v>-1</v>
      </c>
      <c r="AH1833" s="90">
        <v>-1</v>
      </c>
      <c r="AI1833" s="90">
        <v>-1</v>
      </c>
      <c r="AJ1833" s="90">
        <v>0</v>
      </c>
      <c r="AM1833" s="90" t="s">
        <v>379</v>
      </c>
      <c r="AN1833" s="90">
        <v>-1</v>
      </c>
      <c r="AQ1833" s="90">
        <v>376</v>
      </c>
      <c r="AR1833" s="90" t="s">
        <v>283</v>
      </c>
      <c r="AS1833" s="90" t="s">
        <v>410</v>
      </c>
      <c r="AT1833" s="90" t="s">
        <v>244</v>
      </c>
      <c r="AU1833" s="90">
        <v>4.7216959999999997</v>
      </c>
      <c r="AV1833" s="90">
        <v>61.036114407322998</v>
      </c>
      <c r="AW1833" s="90">
        <v>232.307716345057</v>
      </c>
      <c r="AX1833" s="90">
        <v>0.1744590939</v>
      </c>
    </row>
    <row r="1834" spans="1:50" x14ac:dyDescent="0.25">
      <c r="A1834" s="102">
        <v>830000</v>
      </c>
      <c r="B1834" s="102">
        <v>2400000</v>
      </c>
      <c r="C1834" s="102">
        <v>2400000</v>
      </c>
      <c r="D1834" s="90" t="s">
        <v>374</v>
      </c>
      <c r="E1834" s="90" t="s">
        <v>68</v>
      </c>
      <c r="F1834" s="90" t="s">
        <v>375</v>
      </c>
      <c r="G1834" s="90" t="s">
        <v>376</v>
      </c>
      <c r="H1834" s="90">
        <v>0.59</v>
      </c>
      <c r="I1834" s="90">
        <v>0.64</v>
      </c>
      <c r="J1834" s="90" t="s">
        <v>244</v>
      </c>
      <c r="K1834" s="90">
        <v>0.15371739461716</v>
      </c>
      <c r="L1834" s="90">
        <v>3747.2343118684098</v>
      </c>
      <c r="M1834" s="90">
        <v>10.769561941427201</v>
      </c>
      <c r="N1834" s="90">
        <v>2.0744178070286701</v>
      </c>
      <c r="O1834" s="90">
        <v>1.6554690028043599</v>
      </c>
      <c r="P1834" s="90">
        <v>0.31887410064388999</v>
      </c>
      <c r="Q1834" s="90">
        <v>576.01509544045405</v>
      </c>
      <c r="R1834" s="90">
        <v>1300</v>
      </c>
      <c r="S1834" s="90" t="s">
        <v>387</v>
      </c>
      <c r="T1834" s="90">
        <v>1300</v>
      </c>
      <c r="U1834" s="90" t="s">
        <v>378</v>
      </c>
      <c r="V1834" s="90" t="s">
        <v>244</v>
      </c>
      <c r="Z1834" s="90">
        <v>0</v>
      </c>
      <c r="AA1834" s="90">
        <v>1</v>
      </c>
      <c r="AB1834" s="90">
        <v>1.6554690028043599</v>
      </c>
      <c r="AC1834" s="90">
        <v>0.31887410064388999</v>
      </c>
      <c r="AD1834" s="90">
        <v>576.01509544045405</v>
      </c>
      <c r="AF1834" s="90">
        <v>-1</v>
      </c>
      <c r="AG1834" s="90">
        <v>-1</v>
      </c>
      <c r="AH1834" s="90">
        <v>-1</v>
      </c>
      <c r="AI1834" s="90">
        <v>-1</v>
      </c>
      <c r="AJ1834" s="90">
        <v>0</v>
      </c>
      <c r="AM1834" s="90" t="s">
        <v>379</v>
      </c>
      <c r="AN1834" s="90">
        <v>-1</v>
      </c>
      <c r="AQ1834" s="90">
        <v>376</v>
      </c>
      <c r="AR1834" s="90" t="s">
        <v>283</v>
      </c>
      <c r="AS1834" s="90" t="s">
        <v>410</v>
      </c>
      <c r="AT1834" s="90" t="s">
        <v>244</v>
      </c>
      <c r="AU1834" s="90">
        <v>4.7216959999999997</v>
      </c>
      <c r="AV1834" s="90">
        <v>105.799501648065</v>
      </c>
      <c r="AW1834" s="90">
        <v>622.07222564106405</v>
      </c>
      <c r="AX1834" s="90">
        <v>0.46716552750000001</v>
      </c>
    </row>
    <row r="1835" spans="1:50" x14ac:dyDescent="0.25">
      <c r="A1835" s="102">
        <v>830000</v>
      </c>
      <c r="B1835" s="102">
        <v>2400000</v>
      </c>
      <c r="C1835" s="102">
        <v>2400000</v>
      </c>
      <c r="D1835" s="90" t="s">
        <v>374</v>
      </c>
      <c r="E1835" s="90" t="s">
        <v>68</v>
      </c>
      <c r="F1835" s="90" t="s">
        <v>375</v>
      </c>
      <c r="G1835" s="90" t="s">
        <v>376</v>
      </c>
      <c r="H1835" s="90">
        <v>0.59</v>
      </c>
      <c r="I1835" s="90">
        <v>0.64</v>
      </c>
      <c r="J1835" s="90" t="s">
        <v>244</v>
      </c>
      <c r="K1835" s="90">
        <v>0.14852074568317999</v>
      </c>
      <c r="L1835" s="90">
        <v>3747.1835506982202</v>
      </c>
      <c r="M1835" s="90">
        <v>10.7815908016152</v>
      </c>
      <c r="N1835" s="90">
        <v>2.0774632046180601</v>
      </c>
      <c r="O1835" s="90">
        <v>1.6012899055068199</v>
      </c>
      <c r="P1835" s="90">
        <v>0.30854638427924003</v>
      </c>
      <c r="Q1835" s="90">
        <v>556.53449516144997</v>
      </c>
      <c r="R1835" s="90">
        <v>1300</v>
      </c>
      <c r="S1835" s="90" t="s">
        <v>387</v>
      </c>
      <c r="T1835" s="90">
        <v>1300</v>
      </c>
      <c r="U1835" s="90" t="s">
        <v>378</v>
      </c>
      <c r="V1835" s="90" t="s">
        <v>244</v>
      </c>
      <c r="Z1835" s="90">
        <v>0</v>
      </c>
      <c r="AA1835" s="90">
        <v>1</v>
      </c>
      <c r="AB1835" s="90">
        <v>1.6012899055068199</v>
      </c>
      <c r="AC1835" s="90">
        <v>0.30854638427924003</v>
      </c>
      <c r="AD1835" s="90">
        <v>556.53449516144997</v>
      </c>
      <c r="AF1835" s="90">
        <v>-1</v>
      </c>
      <c r="AG1835" s="90">
        <v>-1</v>
      </c>
      <c r="AH1835" s="90">
        <v>-1</v>
      </c>
      <c r="AI1835" s="90">
        <v>-1</v>
      </c>
      <c r="AJ1835" s="90">
        <v>0</v>
      </c>
      <c r="AM1835" s="90" t="s">
        <v>379</v>
      </c>
      <c r="AN1835" s="90">
        <v>-1</v>
      </c>
      <c r="AQ1835" s="90">
        <v>376</v>
      </c>
      <c r="AR1835" s="90" t="s">
        <v>283</v>
      </c>
      <c r="AS1835" s="90" t="s">
        <v>410</v>
      </c>
      <c r="AT1835" s="90" t="s">
        <v>244</v>
      </c>
      <c r="AU1835" s="90">
        <v>4.7216959999999997</v>
      </c>
      <c r="AV1835" s="90">
        <v>104.862564929244</v>
      </c>
      <c r="AW1835" s="90">
        <v>601.04213352761701</v>
      </c>
      <c r="AX1835" s="90">
        <v>0.45136617610000002</v>
      </c>
    </row>
    <row r="1836" spans="1:50" x14ac:dyDescent="0.25">
      <c r="A1836" s="102">
        <v>830000</v>
      </c>
      <c r="B1836" s="102">
        <v>2400000</v>
      </c>
      <c r="C1836" s="102">
        <v>2400000</v>
      </c>
      <c r="D1836" s="90" t="s">
        <v>374</v>
      </c>
      <c r="E1836" s="90" t="s">
        <v>68</v>
      </c>
      <c r="F1836" s="90" t="s">
        <v>375</v>
      </c>
      <c r="G1836" s="90" t="s">
        <v>376</v>
      </c>
      <c r="H1836" s="90">
        <v>0.59</v>
      </c>
      <c r="I1836" s="90">
        <v>0.64</v>
      </c>
      <c r="J1836" s="90" t="s">
        <v>244</v>
      </c>
      <c r="K1836" s="90">
        <v>0.27244608169290002</v>
      </c>
      <c r="L1836" s="90">
        <v>3747.1835506982202</v>
      </c>
      <c r="M1836" s="90">
        <v>10.7815908016152</v>
      </c>
      <c r="N1836" s="90">
        <v>2.0774632046180601</v>
      </c>
      <c r="O1836" s="90">
        <v>2.9374021683162801</v>
      </c>
      <c r="P1836" s="90">
        <v>0.56599670995936002</v>
      </c>
      <c r="Q1836" s="90">
        <v>1020.90547577182</v>
      </c>
      <c r="R1836" s="90">
        <v>1300</v>
      </c>
      <c r="S1836" s="90" t="s">
        <v>387</v>
      </c>
      <c r="T1836" s="90">
        <v>1300</v>
      </c>
      <c r="U1836" s="90" t="s">
        <v>378</v>
      </c>
      <c r="V1836" s="90" t="s">
        <v>244</v>
      </c>
      <c r="Z1836" s="90">
        <v>0</v>
      </c>
      <c r="AA1836" s="90">
        <v>1</v>
      </c>
      <c r="AB1836" s="90">
        <v>2.9374021683162801</v>
      </c>
      <c r="AC1836" s="90">
        <v>0.56599670995936002</v>
      </c>
      <c r="AD1836" s="90">
        <v>1020.90547577182</v>
      </c>
      <c r="AF1836" s="90">
        <v>-1</v>
      </c>
      <c r="AG1836" s="90">
        <v>-1</v>
      </c>
      <c r="AH1836" s="90">
        <v>-1</v>
      </c>
      <c r="AI1836" s="90">
        <v>-1</v>
      </c>
      <c r="AJ1836" s="90">
        <v>0</v>
      </c>
      <c r="AM1836" s="90" t="s">
        <v>379</v>
      </c>
      <c r="AN1836" s="90">
        <v>-1</v>
      </c>
      <c r="AQ1836" s="90">
        <v>376</v>
      </c>
      <c r="AR1836" s="90" t="s">
        <v>283</v>
      </c>
      <c r="AS1836" s="90" t="s">
        <v>410</v>
      </c>
      <c r="AT1836" s="90" t="s">
        <v>244</v>
      </c>
      <c r="AU1836" s="90">
        <v>4.7216959999999997</v>
      </c>
      <c r="AV1836" s="90">
        <v>132.932814962078</v>
      </c>
      <c r="AW1836" s="90">
        <v>1102.5501754566201</v>
      </c>
      <c r="AX1836" s="90">
        <v>0.82798497630000001</v>
      </c>
    </row>
    <row r="1837" spans="1:50" x14ac:dyDescent="0.25">
      <c r="A1837" s="102">
        <v>830000</v>
      </c>
      <c r="B1837" s="102">
        <v>2400000</v>
      </c>
      <c r="C1837" s="102">
        <v>2400000</v>
      </c>
      <c r="D1837" s="90" t="s">
        <v>374</v>
      </c>
      <c r="E1837" s="90" t="s">
        <v>68</v>
      </c>
      <c r="F1837" s="90" t="s">
        <v>375</v>
      </c>
      <c r="G1837" s="90" t="s">
        <v>376</v>
      </c>
      <c r="H1837" s="90">
        <v>0.59</v>
      </c>
      <c r="I1837" s="90">
        <v>0.64</v>
      </c>
      <c r="J1837" s="90" t="s">
        <v>244</v>
      </c>
      <c r="K1837" s="90">
        <v>0.19679662636087</v>
      </c>
      <c r="L1837" s="90">
        <v>3747.1835506982202</v>
      </c>
      <c r="M1837" s="90">
        <v>10.7815908016152</v>
      </c>
      <c r="N1837" s="90">
        <v>2.0774632046180601</v>
      </c>
      <c r="O1837" s="90">
        <v>2.1217806965613</v>
      </c>
      <c r="P1837" s="90">
        <v>0.40883775005768003</v>
      </c>
      <c r="Q1837" s="90">
        <v>737.43308113236799</v>
      </c>
      <c r="R1837" s="90">
        <v>1300</v>
      </c>
      <c r="S1837" s="90" t="s">
        <v>387</v>
      </c>
      <c r="T1837" s="90">
        <v>1300</v>
      </c>
      <c r="U1837" s="90" t="s">
        <v>378</v>
      </c>
      <c r="V1837" s="90" t="s">
        <v>244</v>
      </c>
      <c r="Z1837" s="90">
        <v>0</v>
      </c>
      <c r="AA1837" s="90">
        <v>1</v>
      </c>
      <c r="AB1837" s="90">
        <v>2.1217806965613</v>
      </c>
      <c r="AC1837" s="90">
        <v>0.40883775005768003</v>
      </c>
      <c r="AD1837" s="90">
        <v>737.43308113236799</v>
      </c>
      <c r="AF1837" s="90">
        <v>-1</v>
      </c>
      <c r="AG1837" s="90">
        <v>-1</v>
      </c>
      <c r="AH1837" s="90">
        <v>-1</v>
      </c>
      <c r="AI1837" s="90">
        <v>-1</v>
      </c>
      <c r="AJ1837" s="90">
        <v>0</v>
      </c>
      <c r="AM1837" s="90" t="s">
        <v>379</v>
      </c>
      <c r="AN1837" s="90">
        <v>-1</v>
      </c>
      <c r="AQ1837" s="90">
        <v>376</v>
      </c>
      <c r="AR1837" s="90" t="s">
        <v>283</v>
      </c>
      <c r="AS1837" s="90" t="s">
        <v>410</v>
      </c>
      <c r="AT1837" s="90" t="s">
        <v>244</v>
      </c>
      <c r="AU1837" s="90">
        <v>4.7216959999999997</v>
      </c>
      <c r="AV1837" s="90">
        <v>132.029035569565</v>
      </c>
      <c r="AW1837" s="90">
        <v>796.40769129515104</v>
      </c>
      <c r="AX1837" s="90">
        <v>0.59808035780000002</v>
      </c>
    </row>
    <row r="1838" spans="1:50" x14ac:dyDescent="0.25">
      <c r="A1838" s="102">
        <v>830000</v>
      </c>
      <c r="B1838" s="102">
        <v>2400000</v>
      </c>
      <c r="C1838" s="102">
        <v>2400000</v>
      </c>
      <c r="D1838" s="90" t="s">
        <v>374</v>
      </c>
      <c r="E1838" s="90" t="s">
        <v>68</v>
      </c>
      <c r="F1838" s="90" t="s">
        <v>375</v>
      </c>
      <c r="G1838" s="90" t="s">
        <v>376</v>
      </c>
      <c r="H1838" s="90">
        <v>0.59</v>
      </c>
      <c r="I1838" s="90">
        <v>0.64</v>
      </c>
      <c r="J1838" s="90" t="s">
        <v>244</v>
      </c>
      <c r="K1838" s="90">
        <v>2.853745810065E-2</v>
      </c>
      <c r="L1838" s="90">
        <v>3763.3800884058001</v>
      </c>
      <c r="M1838" s="90">
        <v>9.7104931816671094</v>
      </c>
      <c r="N1838" s="90">
        <v>1.7683960951300099</v>
      </c>
      <c r="O1838" s="90">
        <v>0.27711279230855002</v>
      </c>
      <c r="P1838" s="90">
        <v>5.0465529470139998E-2</v>
      </c>
      <c r="Q1838" s="90">
        <v>107.397301589731</v>
      </c>
      <c r="R1838" s="90">
        <v>1300</v>
      </c>
      <c r="S1838" s="90" t="s">
        <v>387</v>
      </c>
      <c r="T1838" s="90">
        <v>1300</v>
      </c>
      <c r="U1838" s="90" t="s">
        <v>378</v>
      </c>
      <c r="V1838" s="90" t="s">
        <v>244</v>
      </c>
      <c r="Z1838" s="90">
        <v>0</v>
      </c>
      <c r="AA1838" s="90">
        <v>1</v>
      </c>
      <c r="AB1838" s="90">
        <v>0.27711279230855002</v>
      </c>
      <c r="AC1838" s="90">
        <v>5.0465529470139998E-2</v>
      </c>
      <c r="AD1838" s="90">
        <v>348.38670341089801</v>
      </c>
      <c r="AF1838" s="90">
        <v>-1</v>
      </c>
      <c r="AG1838" s="90">
        <v>-1</v>
      </c>
      <c r="AH1838" s="90">
        <v>-1</v>
      </c>
      <c r="AI1838" s="90">
        <v>-1</v>
      </c>
      <c r="AJ1838" s="90">
        <v>0</v>
      </c>
      <c r="AM1838" s="90" t="s">
        <v>379</v>
      </c>
      <c r="AN1838" s="90">
        <v>-1</v>
      </c>
      <c r="AQ1838" s="90">
        <v>376</v>
      </c>
      <c r="AR1838" s="90" t="s">
        <v>283</v>
      </c>
      <c r="AS1838" s="90" t="s">
        <v>410</v>
      </c>
      <c r="AT1838" s="90" t="s">
        <v>244</v>
      </c>
      <c r="AU1838" s="90">
        <v>4.7216959999999997</v>
      </c>
      <c r="AV1838" s="90">
        <v>102.423102167743</v>
      </c>
      <c r="AW1838" s="90">
        <v>115.486995593618</v>
      </c>
      <c r="AX1838" s="90">
        <v>0.28255207090000001</v>
      </c>
    </row>
    <row r="1839" spans="1:50" x14ac:dyDescent="0.25">
      <c r="A1839" s="102">
        <v>830000</v>
      </c>
      <c r="B1839" s="102">
        <v>2400000</v>
      </c>
      <c r="C1839" s="102">
        <v>2400000</v>
      </c>
      <c r="D1839" s="90" t="s">
        <v>374</v>
      </c>
      <c r="E1839" s="90" t="s">
        <v>68</v>
      </c>
      <c r="F1839" s="90" t="s">
        <v>375</v>
      </c>
      <c r="G1839" s="90" t="s">
        <v>376</v>
      </c>
      <c r="H1839" s="90">
        <v>0.59</v>
      </c>
      <c r="I1839" s="90">
        <v>0.64</v>
      </c>
      <c r="J1839" s="90" t="s">
        <v>244</v>
      </c>
      <c r="K1839" s="90">
        <v>0.10159180581627</v>
      </c>
      <c r="L1839" s="90">
        <v>3763.3800884058001</v>
      </c>
      <c r="M1839" s="90">
        <v>9.7104931816671094</v>
      </c>
      <c r="N1839" s="90">
        <v>1.7683960951300099</v>
      </c>
      <c r="O1839" s="90">
        <v>0.98650653769218</v>
      </c>
      <c r="P1839" s="90">
        <v>0.1796545527027</v>
      </c>
      <c r="Q1839" s="90">
        <v>382.32857915415798</v>
      </c>
      <c r="R1839" s="90">
        <v>1300</v>
      </c>
      <c r="S1839" s="90" t="s">
        <v>387</v>
      </c>
      <c r="T1839" s="90">
        <v>1300</v>
      </c>
      <c r="U1839" s="90" t="s">
        <v>378</v>
      </c>
      <c r="V1839" s="90" t="s">
        <v>244</v>
      </c>
      <c r="Z1839" s="90">
        <v>0</v>
      </c>
      <c r="AA1839" s="90">
        <v>1</v>
      </c>
      <c r="AB1839" s="90">
        <v>0.98650653769218</v>
      </c>
      <c r="AC1839" s="90">
        <v>0.1796545527027</v>
      </c>
      <c r="AD1839" s="90">
        <v>558.343344808197</v>
      </c>
      <c r="AF1839" s="90">
        <v>-1</v>
      </c>
      <c r="AG1839" s="90">
        <v>-1</v>
      </c>
      <c r="AH1839" s="90">
        <v>-1</v>
      </c>
      <c r="AI1839" s="90">
        <v>-1</v>
      </c>
      <c r="AJ1839" s="90">
        <v>0</v>
      </c>
      <c r="AM1839" s="90" t="s">
        <v>379</v>
      </c>
      <c r="AN1839" s="90">
        <v>-1</v>
      </c>
      <c r="AQ1839" s="90">
        <v>376</v>
      </c>
      <c r="AR1839" s="90" t="s">
        <v>283</v>
      </c>
      <c r="AS1839" s="90" t="s">
        <v>410</v>
      </c>
      <c r="AT1839" s="90" t="s">
        <v>244</v>
      </c>
      <c r="AU1839" s="90">
        <v>4.7216959999999997</v>
      </c>
      <c r="AV1839" s="90">
        <v>108.82544936795701</v>
      </c>
      <c r="AW1839" s="90">
        <v>411.12745183080398</v>
      </c>
      <c r="AX1839" s="90">
        <v>0.4528332075</v>
      </c>
    </row>
    <row r="1840" spans="1:50" x14ac:dyDescent="0.25">
      <c r="A1840" s="102">
        <v>830000</v>
      </c>
      <c r="B1840" s="102">
        <v>2400000</v>
      </c>
      <c r="C1840" s="102">
        <v>2400000</v>
      </c>
      <c r="D1840" s="90" t="s">
        <v>374</v>
      </c>
      <c r="E1840" s="90" t="s">
        <v>68</v>
      </c>
      <c r="F1840" s="90" t="s">
        <v>375</v>
      </c>
      <c r="G1840" s="90" t="s">
        <v>376</v>
      </c>
      <c r="H1840" s="90">
        <v>0.59</v>
      </c>
      <c r="I1840" s="90">
        <v>0.64</v>
      </c>
      <c r="J1840" s="90" t="s">
        <v>244</v>
      </c>
      <c r="K1840" s="90">
        <v>0.29758524418084997</v>
      </c>
      <c r="L1840" s="90">
        <v>3763.3800884058001</v>
      </c>
      <c r="M1840" s="90">
        <v>9.7104931816671094</v>
      </c>
      <c r="N1840" s="90">
        <v>1.7683960951300099</v>
      </c>
      <c r="O1840" s="90">
        <v>2.8896994845829602</v>
      </c>
      <c r="P1840" s="90">
        <v>0.52624858377773998</v>
      </c>
      <c r="Q1840" s="90">
        <v>1119.92638255362</v>
      </c>
      <c r="R1840" s="90">
        <v>1300</v>
      </c>
      <c r="S1840" s="90" t="s">
        <v>387</v>
      </c>
      <c r="T1840" s="90">
        <v>1300</v>
      </c>
      <c r="U1840" s="90" t="s">
        <v>378</v>
      </c>
      <c r="V1840" s="90" t="s">
        <v>244</v>
      </c>
      <c r="Z1840" s="90">
        <v>0</v>
      </c>
      <c r="AA1840" s="90">
        <v>1</v>
      </c>
      <c r="AB1840" s="90">
        <v>2.8896994845829602</v>
      </c>
      <c r="AC1840" s="90">
        <v>0.52624858377773998</v>
      </c>
      <c r="AD1840" s="90">
        <v>1119.92638255362</v>
      </c>
      <c r="AF1840" s="90">
        <v>-1</v>
      </c>
      <c r="AG1840" s="90">
        <v>-1</v>
      </c>
      <c r="AH1840" s="90">
        <v>-1</v>
      </c>
      <c r="AI1840" s="90">
        <v>-1</v>
      </c>
      <c r="AJ1840" s="90">
        <v>0</v>
      </c>
      <c r="AM1840" s="90" t="s">
        <v>379</v>
      </c>
      <c r="AN1840" s="90">
        <v>-1</v>
      </c>
      <c r="AQ1840" s="90">
        <v>376</v>
      </c>
      <c r="AR1840" s="90" t="s">
        <v>283</v>
      </c>
      <c r="AS1840" s="90" t="s">
        <v>410</v>
      </c>
      <c r="AT1840" s="90" t="s">
        <v>244</v>
      </c>
      <c r="AU1840" s="90">
        <v>4.7216959999999997</v>
      </c>
      <c r="AV1840" s="90">
        <v>138.99685180954799</v>
      </c>
      <c r="AW1840" s="90">
        <v>1204.2847566247699</v>
      </c>
      <c r="AX1840" s="90">
        <v>0.90829390310000002</v>
      </c>
    </row>
    <row r="1841" spans="1:50" x14ac:dyDescent="0.25">
      <c r="A1841" s="102">
        <v>830000</v>
      </c>
      <c r="B1841" s="102">
        <v>2400000</v>
      </c>
      <c r="C1841" s="102">
        <v>2400000</v>
      </c>
      <c r="D1841" s="90" t="s">
        <v>374</v>
      </c>
      <c r="E1841" s="90" t="s">
        <v>68</v>
      </c>
      <c r="F1841" s="90" t="s">
        <v>375</v>
      </c>
      <c r="G1841" s="90" t="s">
        <v>376</v>
      </c>
      <c r="H1841" s="90">
        <v>0.59</v>
      </c>
      <c r="I1841" s="90">
        <v>0.64</v>
      </c>
      <c r="J1841" s="90" t="s">
        <v>244</v>
      </c>
      <c r="K1841" s="90">
        <v>7.9243191854170003E-2</v>
      </c>
      <c r="L1841" s="90">
        <v>3763.3800884058001</v>
      </c>
      <c r="M1841" s="90">
        <v>9.7104931816671094</v>
      </c>
      <c r="N1841" s="90">
        <v>1.7683960951300099</v>
      </c>
      <c r="O1841" s="90">
        <v>0.76949047419354</v>
      </c>
      <c r="P1841" s="90">
        <v>0.14013335104055999</v>
      </c>
      <c r="Q1841" s="90">
        <v>298.22225036573798</v>
      </c>
      <c r="R1841" s="90">
        <v>1300</v>
      </c>
      <c r="S1841" s="90" t="s">
        <v>387</v>
      </c>
      <c r="T1841" s="90">
        <v>1300</v>
      </c>
      <c r="U1841" s="90" t="s">
        <v>378</v>
      </c>
      <c r="V1841" s="90" t="s">
        <v>244</v>
      </c>
      <c r="Z1841" s="90">
        <v>0</v>
      </c>
      <c r="AA1841" s="90">
        <v>1</v>
      </c>
      <c r="AB1841" s="90">
        <v>0.76949047419354</v>
      </c>
      <c r="AC1841" s="90">
        <v>0.14013335104055999</v>
      </c>
      <c r="AD1841" s="90">
        <v>298.22225036573701</v>
      </c>
      <c r="AF1841" s="90">
        <v>-1</v>
      </c>
      <c r="AG1841" s="90">
        <v>-1</v>
      </c>
      <c r="AH1841" s="90">
        <v>-1</v>
      </c>
      <c r="AI1841" s="90">
        <v>-1</v>
      </c>
      <c r="AJ1841" s="90">
        <v>0</v>
      </c>
      <c r="AM1841" s="90" t="s">
        <v>379</v>
      </c>
      <c r="AN1841" s="90">
        <v>-1</v>
      </c>
      <c r="AQ1841" s="90">
        <v>376</v>
      </c>
      <c r="AR1841" s="90" t="s">
        <v>283</v>
      </c>
      <c r="AS1841" s="90" t="s">
        <v>410</v>
      </c>
      <c r="AT1841" s="90" t="s">
        <v>244</v>
      </c>
      <c r="AU1841" s="90">
        <v>4.7216959999999997</v>
      </c>
      <c r="AV1841" s="90">
        <v>86.9687076000492</v>
      </c>
      <c r="AW1841" s="90">
        <v>320.68581988655802</v>
      </c>
      <c r="AX1841" s="90">
        <v>0.24186719409999999</v>
      </c>
    </row>
    <row r="1842" spans="1:50" x14ac:dyDescent="0.25">
      <c r="A1842" s="102">
        <v>830000</v>
      </c>
      <c r="B1842" s="102">
        <v>2400000</v>
      </c>
      <c r="C1842" s="102">
        <v>2400000</v>
      </c>
      <c r="D1842" s="90" t="s">
        <v>374</v>
      </c>
      <c r="E1842" s="90" t="s">
        <v>68</v>
      </c>
      <c r="F1842" s="90" t="s">
        <v>375</v>
      </c>
      <c r="G1842" s="90" t="s">
        <v>376</v>
      </c>
      <c r="H1842" s="90">
        <v>0.59</v>
      </c>
      <c r="I1842" s="90">
        <v>0.64</v>
      </c>
      <c r="J1842" s="90" t="s">
        <v>244</v>
      </c>
      <c r="K1842" s="90">
        <v>1.23722569319E-3</v>
      </c>
      <c r="L1842" s="90">
        <v>3791.2453083038399</v>
      </c>
      <c r="M1842" s="90">
        <v>11.034275242290599</v>
      </c>
      <c r="N1842" s="90">
        <v>1.5340905726039999</v>
      </c>
      <c r="O1842" s="90">
        <v>1.3651888835589999E-2</v>
      </c>
      <c r="P1842" s="90">
        <v>1.8980162721199999E-3</v>
      </c>
      <c r="Q1842" s="90">
        <v>4.6906261046536697</v>
      </c>
      <c r="R1842" s="90">
        <v>1300</v>
      </c>
      <c r="S1842" s="90" t="s">
        <v>387</v>
      </c>
      <c r="T1842" s="90">
        <v>1300</v>
      </c>
      <c r="U1842" s="90" t="s">
        <v>378</v>
      </c>
      <c r="V1842" s="90" t="s">
        <v>244</v>
      </c>
      <c r="Z1842" s="90">
        <v>0</v>
      </c>
      <c r="AA1842" s="90">
        <v>1</v>
      </c>
      <c r="AB1842" s="90">
        <v>1.3651888835589999E-2</v>
      </c>
      <c r="AC1842" s="90">
        <v>1.8980162721199999E-3</v>
      </c>
      <c r="AD1842" s="90">
        <v>156.410570528698</v>
      </c>
      <c r="AF1842" s="90">
        <v>-1</v>
      </c>
      <c r="AG1842" s="90">
        <v>-1</v>
      </c>
      <c r="AH1842" s="90">
        <v>-1</v>
      </c>
      <c r="AI1842" s="90">
        <v>-1</v>
      </c>
      <c r="AJ1842" s="90">
        <v>0</v>
      </c>
      <c r="AM1842" s="90" t="s">
        <v>379</v>
      </c>
      <c r="AN1842" s="90">
        <v>-1</v>
      </c>
      <c r="AQ1842" s="90">
        <v>376</v>
      </c>
      <c r="AR1842" s="90" t="s">
        <v>283</v>
      </c>
      <c r="AS1842" s="90" t="s">
        <v>410</v>
      </c>
      <c r="AT1842" s="90" t="s">
        <v>244</v>
      </c>
      <c r="AU1842" s="90">
        <v>4.7216959999999997</v>
      </c>
      <c r="AV1842" s="90">
        <v>22.159514464620599</v>
      </c>
      <c r="AW1842" s="90">
        <v>5.0068747424797397</v>
      </c>
      <c r="AX1842" s="90">
        <v>0.1268536663</v>
      </c>
    </row>
    <row r="1843" spans="1:50" x14ac:dyDescent="0.25">
      <c r="A1843" s="102">
        <v>830000</v>
      </c>
      <c r="B1843" s="102">
        <v>2400000</v>
      </c>
      <c r="C1843" s="102">
        <v>2400000</v>
      </c>
      <c r="D1843" s="90" t="s">
        <v>374</v>
      </c>
      <c r="E1843" s="90" t="s">
        <v>68</v>
      </c>
      <c r="F1843" s="90" t="s">
        <v>375</v>
      </c>
      <c r="G1843" s="90" t="s">
        <v>376</v>
      </c>
      <c r="H1843" s="90">
        <v>0.59</v>
      </c>
      <c r="I1843" s="90">
        <v>0.64</v>
      </c>
      <c r="J1843" s="90" t="s">
        <v>244</v>
      </c>
      <c r="K1843" s="90">
        <v>9.1006985053899994E-2</v>
      </c>
      <c r="L1843" s="90">
        <v>3761.16797161758</v>
      </c>
      <c r="M1843" s="90">
        <v>10.2154477809709</v>
      </c>
      <c r="N1843" s="90">
        <v>1.8978466159835901</v>
      </c>
      <c r="O1843" s="90">
        <v>0.92967710352173005</v>
      </c>
      <c r="P1843" s="90">
        <v>0.17271729861540999</v>
      </c>
      <c r="Q1843" s="90">
        <v>342.292557378212</v>
      </c>
      <c r="R1843" s="90">
        <v>1300</v>
      </c>
      <c r="S1843" s="90" t="s">
        <v>387</v>
      </c>
      <c r="T1843" s="90">
        <v>1300</v>
      </c>
      <c r="U1843" s="90" t="s">
        <v>378</v>
      </c>
      <c r="V1843" s="90" t="s">
        <v>244</v>
      </c>
      <c r="Z1843" s="90">
        <v>0</v>
      </c>
      <c r="AA1843" s="90">
        <v>1</v>
      </c>
      <c r="AB1843" s="90">
        <v>0.92967710352173005</v>
      </c>
      <c r="AC1843" s="90">
        <v>0.17271729861540999</v>
      </c>
      <c r="AD1843" s="90">
        <v>1139.0071817318401</v>
      </c>
      <c r="AF1843" s="90">
        <v>-1</v>
      </c>
      <c r="AG1843" s="90">
        <v>-1</v>
      </c>
      <c r="AH1843" s="90">
        <v>-1</v>
      </c>
      <c r="AI1843" s="90">
        <v>-1</v>
      </c>
      <c r="AJ1843" s="90">
        <v>0</v>
      </c>
      <c r="AM1843" s="90" t="s">
        <v>379</v>
      </c>
      <c r="AN1843" s="90">
        <v>-1</v>
      </c>
      <c r="AQ1843" s="90">
        <v>376</v>
      </c>
      <c r="AR1843" s="90" t="s">
        <v>283</v>
      </c>
      <c r="AS1843" s="90" t="s">
        <v>410</v>
      </c>
      <c r="AT1843" s="90" t="s">
        <v>244</v>
      </c>
      <c r="AU1843" s="90">
        <v>4.7216959999999997</v>
      </c>
      <c r="AV1843" s="90">
        <v>116.04654968806901</v>
      </c>
      <c r="AW1843" s="90">
        <v>368.29220194864098</v>
      </c>
      <c r="AX1843" s="90">
        <v>0.92376900380000004</v>
      </c>
    </row>
    <row r="1844" spans="1:50" x14ac:dyDescent="0.25">
      <c r="A1844" s="102">
        <v>830000</v>
      </c>
      <c r="B1844" s="102">
        <v>2400000</v>
      </c>
      <c r="C1844" s="102">
        <v>2400000</v>
      </c>
      <c r="D1844" s="90" t="s">
        <v>374</v>
      </c>
      <c r="E1844" s="90" t="s">
        <v>68</v>
      </c>
      <c r="F1844" s="90" t="s">
        <v>375</v>
      </c>
      <c r="G1844" s="90" t="s">
        <v>376</v>
      </c>
      <c r="H1844" s="90">
        <v>0.59</v>
      </c>
      <c r="I1844" s="90">
        <v>0.64</v>
      </c>
      <c r="J1844" s="90" t="s">
        <v>244</v>
      </c>
      <c r="K1844" s="90">
        <v>0.17323350771636001</v>
      </c>
      <c r="L1844" s="90">
        <v>3761.16797161758</v>
      </c>
      <c r="M1844" s="90">
        <v>10.2154477809709</v>
      </c>
      <c r="N1844" s="90">
        <v>1.8978466159835901</v>
      </c>
      <c r="O1844" s="90">
        <v>1.76965785199098</v>
      </c>
      <c r="P1844" s="90">
        <v>0.32877062639447002</v>
      </c>
      <c r="Q1844" s="90">
        <v>651.56032083376601</v>
      </c>
      <c r="R1844" s="90">
        <v>1300</v>
      </c>
      <c r="S1844" s="90" t="s">
        <v>387</v>
      </c>
      <c r="T1844" s="90">
        <v>1300</v>
      </c>
      <c r="U1844" s="90" t="s">
        <v>378</v>
      </c>
      <c r="V1844" s="90" t="s">
        <v>244</v>
      </c>
      <c r="Z1844" s="90">
        <v>0</v>
      </c>
      <c r="AA1844" s="90">
        <v>1</v>
      </c>
      <c r="AB1844" s="90">
        <v>1.76965785199098</v>
      </c>
      <c r="AC1844" s="90">
        <v>0.32877062639447002</v>
      </c>
      <c r="AD1844" s="90">
        <v>651.56032083376601</v>
      </c>
      <c r="AF1844" s="90">
        <v>-1</v>
      </c>
      <c r="AG1844" s="90">
        <v>-1</v>
      </c>
      <c r="AH1844" s="90">
        <v>-1</v>
      </c>
      <c r="AI1844" s="90">
        <v>-1</v>
      </c>
      <c r="AJ1844" s="90">
        <v>0</v>
      </c>
      <c r="AM1844" s="90" t="s">
        <v>379</v>
      </c>
      <c r="AN1844" s="90">
        <v>-1</v>
      </c>
      <c r="AQ1844" s="90">
        <v>376</v>
      </c>
      <c r="AR1844" s="90" t="s">
        <v>283</v>
      </c>
      <c r="AS1844" s="90" t="s">
        <v>410</v>
      </c>
      <c r="AT1844" s="90" t="s">
        <v>244</v>
      </c>
      <c r="AU1844" s="90">
        <v>4.7216959999999997</v>
      </c>
      <c r="AV1844" s="90">
        <v>106.29403754081299</v>
      </c>
      <c r="AW1844" s="90">
        <v>701.05113327686001</v>
      </c>
      <c r="AX1844" s="90">
        <v>0.52843497230000003</v>
      </c>
    </row>
    <row r="1845" spans="1:50" x14ac:dyDescent="0.25">
      <c r="A1845" s="102">
        <v>830000</v>
      </c>
      <c r="B1845" s="102">
        <v>2400000</v>
      </c>
      <c r="C1845" s="102">
        <v>2400000</v>
      </c>
      <c r="D1845" s="90" t="s">
        <v>374</v>
      </c>
      <c r="E1845" s="90" t="s">
        <v>68</v>
      </c>
      <c r="F1845" s="90" t="s">
        <v>375</v>
      </c>
      <c r="G1845" s="90" t="s">
        <v>376</v>
      </c>
      <c r="H1845" s="90">
        <v>0.59</v>
      </c>
      <c r="I1845" s="90">
        <v>0.64</v>
      </c>
      <c r="J1845" s="90" t="s">
        <v>244</v>
      </c>
      <c r="K1845" s="90">
        <v>0.14169657324397</v>
      </c>
      <c r="L1845" s="90">
        <v>3761.16797161758</v>
      </c>
      <c r="M1845" s="90">
        <v>10.2154477809709</v>
      </c>
      <c r="N1845" s="90">
        <v>1.8978466159835901</v>
      </c>
      <c r="O1845" s="90">
        <v>1.4474939447163799</v>
      </c>
      <c r="P1845" s="90">
        <v>0.26891836202754998</v>
      </c>
      <c r="Q1845" s="90">
        <v>532.94461297321402</v>
      </c>
      <c r="R1845" s="90">
        <v>1300</v>
      </c>
      <c r="S1845" s="90" t="s">
        <v>387</v>
      </c>
      <c r="T1845" s="90">
        <v>1300</v>
      </c>
      <c r="U1845" s="90" t="s">
        <v>378</v>
      </c>
      <c r="V1845" s="90" t="s">
        <v>244</v>
      </c>
      <c r="Z1845" s="90">
        <v>0</v>
      </c>
      <c r="AA1845" s="90">
        <v>1</v>
      </c>
      <c r="AB1845" s="90">
        <v>1.4474939447163799</v>
      </c>
      <c r="AC1845" s="90">
        <v>0.26891836202754998</v>
      </c>
      <c r="AD1845" s="90">
        <v>532.94461297321402</v>
      </c>
      <c r="AF1845" s="90">
        <v>-1</v>
      </c>
      <c r="AG1845" s="90">
        <v>-1</v>
      </c>
      <c r="AH1845" s="90">
        <v>-1</v>
      </c>
      <c r="AI1845" s="90">
        <v>-1</v>
      </c>
      <c r="AJ1845" s="90">
        <v>0</v>
      </c>
      <c r="AM1845" s="90" t="s">
        <v>379</v>
      </c>
      <c r="AN1845" s="90">
        <v>-1</v>
      </c>
      <c r="AQ1845" s="90">
        <v>376</v>
      </c>
      <c r="AR1845" s="90" t="s">
        <v>283</v>
      </c>
      <c r="AS1845" s="90" t="s">
        <v>410</v>
      </c>
      <c r="AT1845" s="90" t="s">
        <v>244</v>
      </c>
      <c r="AU1845" s="90">
        <v>4.7216959999999997</v>
      </c>
      <c r="AV1845" s="90">
        <v>96.415107819249002</v>
      </c>
      <c r="AW1845" s="90">
        <v>573.425687464465</v>
      </c>
      <c r="AX1845" s="90">
        <v>0.43223407380000001</v>
      </c>
    </row>
    <row r="1846" spans="1:50" x14ac:dyDescent="0.25">
      <c r="A1846" s="102">
        <v>830000</v>
      </c>
      <c r="B1846" s="102">
        <v>2400000</v>
      </c>
      <c r="C1846" s="102">
        <v>2400000</v>
      </c>
      <c r="D1846" s="90" t="s">
        <v>374</v>
      </c>
      <c r="E1846" s="90" t="s">
        <v>68</v>
      </c>
      <c r="F1846" s="90" t="s">
        <v>375</v>
      </c>
      <c r="G1846" s="90" t="s">
        <v>376</v>
      </c>
      <c r="H1846" s="90">
        <v>0.59</v>
      </c>
      <c r="I1846" s="90">
        <v>0.64</v>
      </c>
      <c r="J1846" s="90" t="s">
        <v>244</v>
      </c>
      <c r="K1846" s="90">
        <v>2.3244534105459999E-2</v>
      </c>
      <c r="L1846" s="90">
        <v>3767.0525004188698</v>
      </c>
      <c r="M1846" s="90">
        <v>9.8673703062809892</v>
      </c>
      <c r="N1846" s="90">
        <v>1.7883223524554399</v>
      </c>
      <c r="O1846" s="90">
        <v>0.22936242561558001</v>
      </c>
      <c r="P1846" s="90">
        <v>4.1568719913209998E-2</v>
      </c>
      <c r="Q1846" s="90">
        <v>87.563380323055995</v>
      </c>
      <c r="R1846" s="90">
        <v>1300</v>
      </c>
      <c r="S1846" s="90" t="s">
        <v>387</v>
      </c>
      <c r="T1846" s="90">
        <v>1300</v>
      </c>
      <c r="U1846" s="90" t="s">
        <v>378</v>
      </c>
      <c r="V1846" s="90" t="s">
        <v>244</v>
      </c>
      <c r="Z1846" s="90">
        <v>0</v>
      </c>
      <c r="AA1846" s="90">
        <v>1</v>
      </c>
      <c r="AB1846" s="90">
        <v>0.22936242561558001</v>
      </c>
      <c r="AC1846" s="90">
        <v>4.1568719913209998E-2</v>
      </c>
      <c r="AD1846" s="90">
        <v>574.42713145207699</v>
      </c>
      <c r="AF1846" s="90">
        <v>-1</v>
      </c>
      <c r="AG1846" s="90">
        <v>-1</v>
      </c>
      <c r="AH1846" s="90">
        <v>-1</v>
      </c>
      <c r="AI1846" s="90">
        <v>-1</v>
      </c>
      <c r="AJ1846" s="90">
        <v>0</v>
      </c>
      <c r="AM1846" s="90" t="s">
        <v>379</v>
      </c>
      <c r="AN1846" s="90">
        <v>-1</v>
      </c>
      <c r="AQ1846" s="90">
        <v>375</v>
      </c>
      <c r="AR1846" s="90" t="s">
        <v>285</v>
      </c>
      <c r="AS1846" s="90" t="s">
        <v>410</v>
      </c>
      <c r="AT1846" s="90" t="s">
        <v>244</v>
      </c>
      <c r="AU1846" s="90">
        <v>2.1676829999999998</v>
      </c>
      <c r="AV1846" s="90">
        <v>49.273627489798798</v>
      </c>
      <c r="AW1846" s="90">
        <v>94.067292130390598</v>
      </c>
      <c r="AX1846" s="90">
        <v>0.46587764110000002</v>
      </c>
    </row>
    <row r="1847" spans="1:50" x14ac:dyDescent="0.25">
      <c r="A1847" s="102">
        <v>830000</v>
      </c>
      <c r="B1847" s="102">
        <v>2400000</v>
      </c>
      <c r="C1847" s="102">
        <v>2400000</v>
      </c>
      <c r="D1847" s="90" t="s">
        <v>374</v>
      </c>
      <c r="E1847" s="90" t="s">
        <v>68</v>
      </c>
      <c r="F1847" s="90" t="s">
        <v>375</v>
      </c>
      <c r="G1847" s="90" t="s">
        <v>376</v>
      </c>
      <c r="H1847" s="90">
        <v>0.59</v>
      </c>
      <c r="I1847" s="90">
        <v>0.64</v>
      </c>
      <c r="J1847" s="90" t="s">
        <v>244</v>
      </c>
      <c r="K1847" s="90">
        <v>0.19906975687098</v>
      </c>
      <c r="L1847" s="90">
        <v>3765.9661651176898</v>
      </c>
      <c r="M1847" s="90">
        <v>9.9338337401203507</v>
      </c>
      <c r="N1847" s="90">
        <v>1.8092229171007901</v>
      </c>
      <c r="O1847" s="90">
        <v>1.9775258674425</v>
      </c>
      <c r="P1847" s="90">
        <v>0.36016156623265999</v>
      </c>
      <c r="Q1847" s="90">
        <v>749.68996887431899</v>
      </c>
      <c r="R1847" s="90">
        <v>1300</v>
      </c>
      <c r="S1847" s="90" t="s">
        <v>387</v>
      </c>
      <c r="T1847" s="90">
        <v>1300</v>
      </c>
      <c r="U1847" s="90" t="s">
        <v>378</v>
      </c>
      <c r="V1847" s="90" t="s">
        <v>244</v>
      </c>
      <c r="Z1847" s="90">
        <v>0</v>
      </c>
      <c r="AA1847" s="90">
        <v>1</v>
      </c>
      <c r="AB1847" s="90">
        <v>1.9775258674425</v>
      </c>
      <c r="AC1847" s="90">
        <v>0.36016156623265999</v>
      </c>
      <c r="AD1847" s="90">
        <v>1261.9081149020401</v>
      </c>
      <c r="AF1847" s="90">
        <v>-1</v>
      </c>
      <c r="AG1847" s="90">
        <v>-1</v>
      </c>
      <c r="AH1847" s="90">
        <v>-1</v>
      </c>
      <c r="AI1847" s="90">
        <v>-1</v>
      </c>
      <c r="AJ1847" s="90">
        <v>0</v>
      </c>
      <c r="AM1847" s="90" t="s">
        <v>379</v>
      </c>
      <c r="AN1847" s="90">
        <v>-1</v>
      </c>
      <c r="AQ1847" s="90">
        <v>375</v>
      </c>
      <c r="AR1847" s="90" t="s">
        <v>285</v>
      </c>
      <c r="AS1847" s="90" t="s">
        <v>410</v>
      </c>
      <c r="AT1847" s="90" t="s">
        <v>244</v>
      </c>
      <c r="AU1847" s="90">
        <v>2.1676829999999998</v>
      </c>
      <c r="AV1847" s="90">
        <v>132.444213469461</v>
      </c>
      <c r="AW1847" s="90">
        <v>805.60672409893505</v>
      </c>
      <c r="AX1847" s="90">
        <v>1.0234453486999999</v>
      </c>
    </row>
    <row r="1848" spans="1:50" x14ac:dyDescent="0.25">
      <c r="A1848" s="102">
        <v>830000</v>
      </c>
      <c r="B1848" s="102">
        <v>2400000</v>
      </c>
      <c r="C1848" s="102">
        <v>2400000</v>
      </c>
      <c r="D1848" s="90" t="s">
        <v>374</v>
      </c>
      <c r="E1848" s="90" t="s">
        <v>68</v>
      </c>
      <c r="F1848" s="90" t="s">
        <v>375</v>
      </c>
      <c r="G1848" s="90" t="s">
        <v>376</v>
      </c>
      <c r="H1848" s="90">
        <v>0.59</v>
      </c>
      <c r="I1848" s="90">
        <v>0.64</v>
      </c>
      <c r="J1848" s="90" t="s">
        <v>244</v>
      </c>
      <c r="K1848" s="90">
        <v>0.17441037066234</v>
      </c>
      <c r="L1848" s="90">
        <v>3765.9661651176898</v>
      </c>
      <c r="M1848" s="90">
        <v>9.9338337401203507</v>
      </c>
      <c r="N1848" s="90">
        <v>1.8092229171007901</v>
      </c>
      <c r="O1848" s="90">
        <v>1.73256362471252</v>
      </c>
      <c r="P1848" s="90">
        <v>0.31554723958235997</v>
      </c>
      <c r="Q1848" s="90">
        <v>656.82355476003397</v>
      </c>
      <c r="R1848" s="90">
        <v>1300</v>
      </c>
      <c r="S1848" s="90" t="s">
        <v>387</v>
      </c>
      <c r="T1848" s="90">
        <v>1300</v>
      </c>
      <c r="U1848" s="90" t="s">
        <v>378</v>
      </c>
      <c r="V1848" s="90" t="s">
        <v>244</v>
      </c>
      <c r="Z1848" s="90">
        <v>0</v>
      </c>
      <c r="AA1848" s="90">
        <v>1</v>
      </c>
      <c r="AB1848" s="90">
        <v>1.73256362471252</v>
      </c>
      <c r="AC1848" s="90">
        <v>0.31554723958235997</v>
      </c>
      <c r="AD1848" s="90">
        <v>656.82355476003397</v>
      </c>
      <c r="AF1848" s="90">
        <v>-1</v>
      </c>
      <c r="AG1848" s="90">
        <v>-1</v>
      </c>
      <c r="AH1848" s="90">
        <v>-1</v>
      </c>
      <c r="AI1848" s="90">
        <v>-1</v>
      </c>
      <c r="AJ1848" s="90">
        <v>0</v>
      </c>
      <c r="AM1848" s="90" t="s">
        <v>379</v>
      </c>
      <c r="AN1848" s="90">
        <v>-1</v>
      </c>
      <c r="AQ1848" s="90">
        <v>375</v>
      </c>
      <c r="AR1848" s="90" t="s">
        <v>285</v>
      </c>
      <c r="AS1848" s="90" t="s">
        <v>410</v>
      </c>
      <c r="AT1848" s="90" t="s">
        <v>244</v>
      </c>
      <c r="AU1848" s="90">
        <v>2.1676829999999998</v>
      </c>
      <c r="AV1848" s="90">
        <v>115.797586344801</v>
      </c>
      <c r="AW1848" s="90">
        <v>705.81372864808498</v>
      </c>
      <c r="AX1848" s="90">
        <v>0.53270361290000001</v>
      </c>
    </row>
    <row r="1849" spans="1:50" x14ac:dyDescent="0.25">
      <c r="A1849" s="102">
        <v>830000</v>
      </c>
      <c r="B1849" s="102">
        <v>2400000</v>
      </c>
      <c r="C1849" s="102">
        <v>2400000</v>
      </c>
      <c r="D1849" s="90" t="s">
        <v>374</v>
      </c>
      <c r="E1849" s="90" t="s">
        <v>68</v>
      </c>
      <c r="F1849" s="90" t="s">
        <v>375</v>
      </c>
      <c r="G1849" s="90" t="s">
        <v>376</v>
      </c>
      <c r="H1849" s="90">
        <v>0.59</v>
      </c>
      <c r="I1849" s="90">
        <v>0.64</v>
      </c>
      <c r="J1849" s="90" t="s">
        <v>244</v>
      </c>
      <c r="K1849" s="90">
        <v>3.6848646212690003E-2</v>
      </c>
      <c r="L1849" s="90">
        <v>3765.9661651176898</v>
      </c>
      <c r="M1849" s="90">
        <v>9.9338337401203507</v>
      </c>
      <c r="N1849" s="90">
        <v>1.8092229171007901</v>
      </c>
      <c r="O1849" s="90">
        <v>0.36604832502540002</v>
      </c>
      <c r="P1849" s="90">
        <v>6.6667415192140006E-2</v>
      </c>
      <c r="Q1849" s="90">
        <v>138.770754867394</v>
      </c>
      <c r="R1849" s="90">
        <v>1300</v>
      </c>
      <c r="S1849" s="90" t="s">
        <v>387</v>
      </c>
      <c r="T1849" s="90">
        <v>1300</v>
      </c>
      <c r="U1849" s="90" t="s">
        <v>378</v>
      </c>
      <c r="V1849" s="90" t="s">
        <v>244</v>
      </c>
      <c r="Z1849" s="90">
        <v>0</v>
      </c>
      <c r="AA1849" s="90">
        <v>1</v>
      </c>
      <c r="AB1849" s="90">
        <v>0.36604832502540002</v>
      </c>
      <c r="AC1849" s="90">
        <v>6.6667415192140006E-2</v>
      </c>
      <c r="AD1849" s="90">
        <v>138.77075486739199</v>
      </c>
      <c r="AF1849" s="90">
        <v>-1</v>
      </c>
      <c r="AG1849" s="90">
        <v>-1</v>
      </c>
      <c r="AH1849" s="90">
        <v>-1</v>
      </c>
      <c r="AI1849" s="90">
        <v>-1</v>
      </c>
      <c r="AJ1849" s="90">
        <v>0</v>
      </c>
      <c r="AM1849" s="90" t="s">
        <v>379</v>
      </c>
      <c r="AN1849" s="90">
        <v>-1</v>
      </c>
      <c r="AQ1849" s="90">
        <v>375</v>
      </c>
      <c r="AR1849" s="90" t="s">
        <v>285</v>
      </c>
      <c r="AS1849" s="90" t="s">
        <v>410</v>
      </c>
      <c r="AT1849" s="90" t="s">
        <v>244</v>
      </c>
      <c r="AU1849" s="90">
        <v>2.1676829999999998</v>
      </c>
      <c r="AV1849" s="90">
        <v>50.209713531667397</v>
      </c>
      <c r="AW1849" s="90">
        <v>149.12118058258</v>
      </c>
      <c r="AX1849" s="90">
        <v>0.1125472464</v>
      </c>
    </row>
    <row r="1850" spans="1:50" x14ac:dyDescent="0.25">
      <c r="A1850" s="102">
        <v>830000</v>
      </c>
      <c r="B1850" s="102">
        <v>2400000</v>
      </c>
      <c r="C1850" s="102">
        <v>2400000</v>
      </c>
      <c r="D1850" s="90" t="s">
        <v>374</v>
      </c>
      <c r="E1850" s="90" t="s">
        <v>68</v>
      </c>
      <c r="F1850" s="90" t="s">
        <v>375</v>
      </c>
      <c r="G1850" s="90" t="s">
        <v>376</v>
      </c>
      <c r="H1850" s="90">
        <v>0.59</v>
      </c>
      <c r="I1850" s="90">
        <v>0.64</v>
      </c>
      <c r="J1850" s="90" t="s">
        <v>244</v>
      </c>
      <c r="K1850" s="90">
        <v>9.9846853509809999E-2</v>
      </c>
      <c r="L1850" s="90">
        <v>3775.6522445601099</v>
      </c>
      <c r="M1850" s="90">
        <v>9.3002907279737901</v>
      </c>
      <c r="N1850" s="90">
        <v>1.61021838571117</v>
      </c>
      <c r="O1850" s="90">
        <v>0.92860476591468</v>
      </c>
      <c r="P1850" s="90">
        <v>0.16077523927691001</v>
      </c>
      <c r="Q1850" s="90">
        <v>376.98699656659301</v>
      </c>
      <c r="R1850" s="90">
        <v>1300</v>
      </c>
      <c r="S1850" s="90" t="s">
        <v>387</v>
      </c>
      <c r="T1850" s="90">
        <v>1300</v>
      </c>
      <c r="U1850" s="90" t="s">
        <v>378</v>
      </c>
      <c r="V1850" s="90" t="s">
        <v>244</v>
      </c>
      <c r="Z1850" s="90">
        <v>0</v>
      </c>
      <c r="AA1850" s="90">
        <v>1</v>
      </c>
      <c r="AB1850" s="90">
        <v>0.92860476591468</v>
      </c>
      <c r="AC1850" s="90">
        <v>0.16077523927691001</v>
      </c>
      <c r="AD1850" s="90">
        <v>950.27138272072796</v>
      </c>
      <c r="AF1850" s="90">
        <v>-1</v>
      </c>
      <c r="AG1850" s="90">
        <v>-1</v>
      </c>
      <c r="AH1850" s="90">
        <v>-1</v>
      </c>
      <c r="AI1850" s="90">
        <v>-1</v>
      </c>
      <c r="AJ1850" s="90">
        <v>0</v>
      </c>
      <c r="AM1850" s="90" t="s">
        <v>379</v>
      </c>
      <c r="AN1850" s="90">
        <v>-1</v>
      </c>
      <c r="AQ1850" s="90">
        <v>375</v>
      </c>
      <c r="AR1850" s="90" t="s">
        <v>285</v>
      </c>
      <c r="AS1850" s="90" t="s">
        <v>410</v>
      </c>
      <c r="AT1850" s="90" t="s">
        <v>244</v>
      </c>
      <c r="AU1850" s="90">
        <v>2.1676829999999998</v>
      </c>
      <c r="AV1850" s="90">
        <v>84.139726260708599</v>
      </c>
      <c r="AW1850" s="90">
        <v>404.065880382621</v>
      </c>
      <c r="AX1850" s="90">
        <v>0.77069860720000005</v>
      </c>
    </row>
    <row r="1851" spans="1:50" x14ac:dyDescent="0.25">
      <c r="A1851" s="102">
        <v>830000</v>
      </c>
      <c r="B1851" s="102">
        <v>2400000</v>
      </c>
      <c r="C1851" s="102">
        <v>2400000</v>
      </c>
      <c r="D1851" s="90" t="s">
        <v>374</v>
      </c>
      <c r="E1851" s="90" t="s">
        <v>68</v>
      </c>
      <c r="F1851" s="90" t="s">
        <v>375</v>
      </c>
      <c r="G1851" s="90" t="s">
        <v>376</v>
      </c>
      <c r="H1851" s="90">
        <v>0.59</v>
      </c>
      <c r="I1851" s="90">
        <v>0.64</v>
      </c>
      <c r="J1851" s="90" t="s">
        <v>244</v>
      </c>
      <c r="K1851" s="90">
        <v>0.17277499587840001</v>
      </c>
      <c r="L1851" s="90">
        <v>3775.6522445601099</v>
      </c>
      <c r="M1851" s="90">
        <v>9.3002907279737901</v>
      </c>
      <c r="N1851" s="90">
        <v>1.61021838571117</v>
      </c>
      <c r="O1851" s="90">
        <v>1.6068576921936599</v>
      </c>
      <c r="P1851" s="90">
        <v>0.27820547495457998</v>
      </c>
      <c r="Q1851" s="90">
        <v>652.33830099217096</v>
      </c>
      <c r="R1851" s="90">
        <v>1300</v>
      </c>
      <c r="S1851" s="90" t="s">
        <v>387</v>
      </c>
      <c r="T1851" s="90">
        <v>1300</v>
      </c>
      <c r="U1851" s="90" t="s">
        <v>378</v>
      </c>
      <c r="V1851" s="90" t="s">
        <v>244</v>
      </c>
      <c r="Z1851" s="90">
        <v>0</v>
      </c>
      <c r="AA1851" s="90">
        <v>1</v>
      </c>
      <c r="AB1851" s="90">
        <v>1.6068576921936599</v>
      </c>
      <c r="AC1851" s="90">
        <v>0.27820547495457998</v>
      </c>
      <c r="AD1851" s="90">
        <v>1382.18858746706</v>
      </c>
      <c r="AF1851" s="90">
        <v>-1</v>
      </c>
      <c r="AG1851" s="90">
        <v>-1</v>
      </c>
      <c r="AH1851" s="90">
        <v>-1</v>
      </c>
      <c r="AI1851" s="90">
        <v>-1</v>
      </c>
      <c r="AJ1851" s="90">
        <v>0</v>
      </c>
      <c r="AM1851" s="90" t="s">
        <v>379</v>
      </c>
      <c r="AN1851" s="90">
        <v>-1</v>
      </c>
      <c r="AQ1851" s="90">
        <v>375</v>
      </c>
      <c r="AR1851" s="90" t="s">
        <v>285</v>
      </c>
      <c r="AS1851" s="90" t="s">
        <v>410</v>
      </c>
      <c r="AT1851" s="90" t="s">
        <v>244</v>
      </c>
      <c r="AU1851" s="90">
        <v>2.1676829999999998</v>
      </c>
      <c r="AV1851" s="90">
        <v>109.689104993041</v>
      </c>
      <c r="AW1851" s="90">
        <v>699.19560170066404</v>
      </c>
      <c r="AX1851" s="90">
        <v>1.1209964213000001</v>
      </c>
    </row>
    <row r="1852" spans="1:50" x14ac:dyDescent="0.25">
      <c r="A1852" s="102">
        <v>830000</v>
      </c>
      <c r="B1852" s="102">
        <v>2400000</v>
      </c>
      <c r="C1852" s="102">
        <v>2400000</v>
      </c>
      <c r="D1852" s="90" t="s">
        <v>374</v>
      </c>
      <c r="E1852" s="90" t="s">
        <v>68</v>
      </c>
      <c r="F1852" s="90" t="s">
        <v>375</v>
      </c>
      <c r="G1852" s="90" t="s">
        <v>376</v>
      </c>
      <c r="H1852" s="90">
        <v>0.59</v>
      </c>
      <c r="I1852" s="90">
        <v>0.64</v>
      </c>
      <c r="J1852" s="90" t="s">
        <v>244</v>
      </c>
      <c r="K1852" s="90">
        <v>0.33266442115167</v>
      </c>
      <c r="L1852" s="90">
        <v>3783.55660249833</v>
      </c>
      <c r="M1852" s="90">
        <v>8.1145758939543295</v>
      </c>
      <c r="N1852" s="90">
        <v>1.2836234552414101</v>
      </c>
      <c r="O1852" s="90">
        <v>2.69943069265367</v>
      </c>
      <c r="P1852" s="90">
        <v>0.42701585371459999</v>
      </c>
      <c r="Q1852" s="90">
        <v>1258.6546670647101</v>
      </c>
      <c r="R1852" s="90">
        <v>1300</v>
      </c>
      <c r="S1852" s="90" t="s">
        <v>387</v>
      </c>
      <c r="T1852" s="90">
        <v>1300</v>
      </c>
      <c r="U1852" s="90" t="s">
        <v>378</v>
      </c>
      <c r="V1852" s="90" t="s">
        <v>244</v>
      </c>
      <c r="Z1852" s="90">
        <v>0</v>
      </c>
      <c r="AA1852" s="90">
        <v>1</v>
      </c>
      <c r="AB1852" s="90">
        <v>2.69943069265367</v>
      </c>
      <c r="AC1852" s="90">
        <v>0.42701585371459999</v>
      </c>
      <c r="AD1852" s="90">
        <v>1793.31893242814</v>
      </c>
      <c r="AF1852" s="90">
        <v>-1</v>
      </c>
      <c r="AG1852" s="90">
        <v>-1</v>
      </c>
      <c r="AH1852" s="90">
        <v>-1</v>
      </c>
      <c r="AI1852" s="90">
        <v>-1</v>
      </c>
      <c r="AJ1852" s="90">
        <v>0</v>
      </c>
      <c r="AM1852" s="90" t="s">
        <v>379</v>
      </c>
      <c r="AN1852" s="90">
        <v>-1</v>
      </c>
      <c r="AQ1852" s="90">
        <v>375</v>
      </c>
      <c r="AR1852" s="90" t="s">
        <v>285</v>
      </c>
      <c r="AS1852" s="90" t="s">
        <v>410</v>
      </c>
      <c r="AT1852" s="90" t="s">
        <v>244</v>
      </c>
      <c r="AU1852" s="90">
        <v>2.1676829999999998</v>
      </c>
      <c r="AV1852" s="90">
        <v>158.46111701605801</v>
      </c>
      <c r="AW1852" s="90">
        <v>1346.2451492416401</v>
      </c>
      <c r="AX1852" s="90">
        <v>1.4544354683</v>
      </c>
    </row>
    <row r="1853" spans="1:50" x14ac:dyDescent="0.25">
      <c r="A1853" s="102">
        <v>830000</v>
      </c>
      <c r="B1853" s="102">
        <v>2400000</v>
      </c>
      <c r="C1853" s="102">
        <v>2400000</v>
      </c>
      <c r="D1853" s="90" t="s">
        <v>374</v>
      </c>
      <c r="E1853" s="90" t="s">
        <v>68</v>
      </c>
      <c r="F1853" s="90" t="s">
        <v>375</v>
      </c>
      <c r="G1853" s="90" t="s">
        <v>376</v>
      </c>
      <c r="H1853" s="90">
        <v>0.59</v>
      </c>
      <c r="I1853" s="90">
        <v>0.64</v>
      </c>
      <c r="J1853" s="90" t="s">
        <v>244</v>
      </c>
      <c r="K1853" s="90">
        <v>0.41219787903628002</v>
      </c>
      <c r="L1853" s="90">
        <v>3788.60306865139</v>
      </c>
      <c r="M1853" s="90">
        <v>8.2673540374675891</v>
      </c>
      <c r="N1853" s="90">
        <v>1.28670975398589</v>
      </c>
      <c r="O1853" s="90">
        <v>3.4077857994862302</v>
      </c>
      <c r="P1853" s="90">
        <v>0.53037903152828003</v>
      </c>
      <c r="Q1853" s="90">
        <v>1561.6541494084699</v>
      </c>
      <c r="R1853" s="90">
        <v>1300</v>
      </c>
      <c r="S1853" s="90" t="s">
        <v>387</v>
      </c>
      <c r="T1853" s="90">
        <v>1300</v>
      </c>
      <c r="U1853" s="90" t="s">
        <v>378</v>
      </c>
      <c r="V1853" s="90" t="s">
        <v>244</v>
      </c>
      <c r="Z1853" s="90">
        <v>0</v>
      </c>
      <c r="AA1853" s="90">
        <v>1</v>
      </c>
      <c r="AB1853" s="90">
        <v>3.4077857994862302</v>
      </c>
      <c r="AC1853" s="90">
        <v>0.53037903152828003</v>
      </c>
      <c r="AD1853" s="90">
        <v>1760.1256296371801</v>
      </c>
      <c r="AF1853" s="90">
        <v>-1</v>
      </c>
      <c r="AG1853" s="90">
        <v>-1</v>
      </c>
      <c r="AH1853" s="90">
        <v>-1</v>
      </c>
      <c r="AI1853" s="90">
        <v>-1</v>
      </c>
      <c r="AJ1853" s="90">
        <v>0</v>
      </c>
      <c r="AM1853" s="90" t="s">
        <v>379</v>
      </c>
      <c r="AN1853" s="90">
        <v>-1</v>
      </c>
      <c r="AQ1853" s="90">
        <v>375</v>
      </c>
      <c r="AR1853" s="90" t="s">
        <v>285</v>
      </c>
      <c r="AS1853" s="90" t="s">
        <v>410</v>
      </c>
      <c r="AT1853" s="90" t="s">
        <v>244</v>
      </c>
      <c r="AU1853" s="90">
        <v>2.1676829999999998</v>
      </c>
      <c r="AV1853" s="90">
        <v>165.91896649229099</v>
      </c>
      <c r="AW1853" s="90">
        <v>1668.1056340776499</v>
      </c>
      <c r="AX1853" s="90">
        <v>1.4275147037</v>
      </c>
    </row>
    <row r="1854" spans="1:50" x14ac:dyDescent="0.25">
      <c r="A1854" s="102">
        <v>830000</v>
      </c>
      <c r="B1854" s="102">
        <v>2400000</v>
      </c>
      <c r="C1854" s="102">
        <v>2400000</v>
      </c>
      <c r="D1854" s="90" t="s">
        <v>374</v>
      </c>
      <c r="E1854" s="90" t="s">
        <v>68</v>
      </c>
      <c r="F1854" s="90" t="s">
        <v>375</v>
      </c>
      <c r="G1854" s="90" t="s">
        <v>376</v>
      </c>
      <c r="H1854" s="90">
        <v>0.59</v>
      </c>
      <c r="I1854" s="90">
        <v>0.64</v>
      </c>
      <c r="J1854" s="90" t="s">
        <v>244</v>
      </c>
      <c r="K1854" s="90">
        <v>5.6255804735080003E-2</v>
      </c>
      <c r="L1854" s="90">
        <v>3788.60306865139</v>
      </c>
      <c r="M1854" s="90">
        <v>8.2673540374675891</v>
      </c>
      <c r="N1854" s="90">
        <v>1.28670975398589</v>
      </c>
      <c r="O1854" s="90">
        <v>0.46508665440761998</v>
      </c>
      <c r="P1854" s="90">
        <v>7.2384892670960002E-2</v>
      </c>
      <c r="Q1854" s="90">
        <v>213.13091444881101</v>
      </c>
      <c r="R1854" s="90">
        <v>1300</v>
      </c>
      <c r="S1854" s="90" t="s">
        <v>387</v>
      </c>
      <c r="T1854" s="90">
        <v>1300</v>
      </c>
      <c r="U1854" s="90" t="s">
        <v>378</v>
      </c>
      <c r="V1854" s="90" t="s">
        <v>244</v>
      </c>
      <c r="Z1854" s="90">
        <v>0</v>
      </c>
      <c r="AA1854" s="90">
        <v>1</v>
      </c>
      <c r="AB1854" s="90">
        <v>0.46508665440761998</v>
      </c>
      <c r="AC1854" s="90">
        <v>7.2384892670960002E-2</v>
      </c>
      <c r="AD1854" s="90">
        <v>580.33488706569995</v>
      </c>
      <c r="AF1854" s="90">
        <v>-1</v>
      </c>
      <c r="AG1854" s="90">
        <v>-1</v>
      </c>
      <c r="AH1854" s="90">
        <v>-1</v>
      </c>
      <c r="AI1854" s="90">
        <v>-1</v>
      </c>
      <c r="AJ1854" s="90">
        <v>0</v>
      </c>
      <c r="AM1854" s="90" t="s">
        <v>379</v>
      </c>
      <c r="AN1854" s="90">
        <v>-1</v>
      </c>
      <c r="AQ1854" s="90">
        <v>375</v>
      </c>
      <c r="AR1854" s="90" t="s">
        <v>285</v>
      </c>
      <c r="AS1854" s="90" t="s">
        <v>410</v>
      </c>
      <c r="AT1854" s="90" t="s">
        <v>244</v>
      </c>
      <c r="AU1854" s="90">
        <v>2.1676829999999998</v>
      </c>
      <c r="AV1854" s="90">
        <v>70.114080628798604</v>
      </c>
      <c r="AW1854" s="90">
        <v>227.65916468947401</v>
      </c>
      <c r="AX1854" s="90">
        <v>0.47066900820000002</v>
      </c>
    </row>
    <row r="1855" spans="1:50" x14ac:dyDescent="0.25">
      <c r="A1855" s="102">
        <v>830000</v>
      </c>
      <c r="B1855" s="102">
        <v>2400000</v>
      </c>
      <c r="C1855" s="102">
        <v>2400000</v>
      </c>
      <c r="D1855" s="90" t="s">
        <v>374</v>
      </c>
      <c r="E1855" s="90" t="s">
        <v>68</v>
      </c>
      <c r="F1855" s="90" t="s">
        <v>375</v>
      </c>
      <c r="G1855" s="90" t="s">
        <v>376</v>
      </c>
      <c r="H1855" s="90">
        <v>0.59</v>
      </c>
      <c r="I1855" s="90">
        <v>0.64</v>
      </c>
      <c r="J1855" s="90" t="s">
        <v>244</v>
      </c>
      <c r="K1855" s="90">
        <v>0.12043813127965999</v>
      </c>
      <c r="L1855" s="90">
        <v>3765.58417130112</v>
      </c>
      <c r="M1855" s="90">
        <v>9.5695297145398897</v>
      </c>
      <c r="N1855" s="90">
        <v>1.72482288526538</v>
      </c>
      <c r="O1855" s="90">
        <v>1.15253627604439</v>
      </c>
      <c r="P1855" s="90">
        <v>0.20773444508975999</v>
      </c>
      <c r="Q1855" s="90">
        <v>453.51992076778498</v>
      </c>
      <c r="R1855" s="90">
        <v>1300</v>
      </c>
      <c r="S1855" s="90" t="s">
        <v>387</v>
      </c>
      <c r="T1855" s="90">
        <v>1300</v>
      </c>
      <c r="U1855" s="90" t="s">
        <v>378</v>
      </c>
      <c r="V1855" s="90" t="s">
        <v>244</v>
      </c>
      <c r="Z1855" s="90">
        <v>0</v>
      </c>
      <c r="AA1855" s="90">
        <v>1</v>
      </c>
      <c r="AB1855" s="90">
        <v>1.15253627604439</v>
      </c>
      <c r="AC1855" s="90">
        <v>0.20773444508975999</v>
      </c>
      <c r="AD1855" s="90">
        <v>1215.2963177430399</v>
      </c>
      <c r="AF1855" s="90">
        <v>-1</v>
      </c>
      <c r="AG1855" s="90">
        <v>-1</v>
      </c>
      <c r="AH1855" s="90">
        <v>-1</v>
      </c>
      <c r="AI1855" s="90">
        <v>-1</v>
      </c>
      <c r="AJ1855" s="90">
        <v>0</v>
      </c>
      <c r="AM1855" s="90" t="s">
        <v>379</v>
      </c>
      <c r="AN1855" s="90">
        <v>-1</v>
      </c>
      <c r="AQ1855" s="90">
        <v>375</v>
      </c>
      <c r="AR1855" s="90" t="s">
        <v>285</v>
      </c>
      <c r="AS1855" s="90" t="s">
        <v>410</v>
      </c>
      <c r="AT1855" s="90" t="s">
        <v>244</v>
      </c>
      <c r="AU1855" s="90">
        <v>2.1676829999999998</v>
      </c>
      <c r="AV1855" s="90">
        <v>96.9229855794825</v>
      </c>
      <c r="AW1855" s="90">
        <v>487.39582507095997</v>
      </c>
      <c r="AX1855" s="90">
        <v>0.9856417824</v>
      </c>
    </row>
    <row r="1856" spans="1:50" x14ac:dyDescent="0.25">
      <c r="A1856" s="102">
        <v>830000</v>
      </c>
      <c r="B1856" s="102">
        <v>2400000</v>
      </c>
      <c r="C1856" s="102">
        <v>2400000</v>
      </c>
      <c r="D1856" s="90" t="s">
        <v>374</v>
      </c>
      <c r="E1856" s="90" t="s">
        <v>68</v>
      </c>
      <c r="F1856" s="90" t="s">
        <v>375</v>
      </c>
      <c r="G1856" s="90" t="s">
        <v>376</v>
      </c>
      <c r="H1856" s="90">
        <v>0.59</v>
      </c>
      <c r="I1856" s="90">
        <v>0.64</v>
      </c>
      <c r="J1856" s="90" t="s">
        <v>244</v>
      </c>
      <c r="K1856" s="90">
        <v>0.14228767022290001</v>
      </c>
      <c r="L1856" s="90">
        <v>3765.58417130112</v>
      </c>
      <c r="M1856" s="90">
        <v>9.5695297145398897</v>
      </c>
      <c r="N1856" s="90">
        <v>1.72482288526538</v>
      </c>
      <c r="O1856" s="90">
        <v>1.3616260882107001</v>
      </c>
      <c r="P1856" s="90">
        <v>0.24542102989155001</v>
      </c>
      <c r="Q1856" s="90">
        <v>535.79619876266895</v>
      </c>
      <c r="R1856" s="90">
        <v>1300</v>
      </c>
      <c r="S1856" s="90" t="s">
        <v>387</v>
      </c>
      <c r="T1856" s="90">
        <v>1300</v>
      </c>
      <c r="U1856" s="90" t="s">
        <v>378</v>
      </c>
      <c r="V1856" s="90" t="s">
        <v>244</v>
      </c>
      <c r="Z1856" s="90">
        <v>0</v>
      </c>
      <c r="AA1856" s="90">
        <v>1</v>
      </c>
      <c r="AB1856" s="90">
        <v>1.3616260882107001</v>
      </c>
      <c r="AC1856" s="90">
        <v>0.24542102989155001</v>
      </c>
      <c r="AD1856" s="90">
        <v>680.59011287806902</v>
      </c>
      <c r="AF1856" s="90">
        <v>-1</v>
      </c>
      <c r="AG1856" s="90">
        <v>-1</v>
      </c>
      <c r="AH1856" s="90">
        <v>-1</v>
      </c>
      <c r="AI1856" s="90">
        <v>-1</v>
      </c>
      <c r="AJ1856" s="90">
        <v>0</v>
      </c>
      <c r="AM1856" s="90" t="s">
        <v>379</v>
      </c>
      <c r="AN1856" s="90">
        <v>-1</v>
      </c>
      <c r="AQ1856" s="90">
        <v>375</v>
      </c>
      <c r="AR1856" s="90" t="s">
        <v>285</v>
      </c>
      <c r="AS1856" s="90" t="s">
        <v>410</v>
      </c>
      <c r="AT1856" s="90" t="s">
        <v>244</v>
      </c>
      <c r="AU1856" s="90">
        <v>2.1676829999999998</v>
      </c>
      <c r="AV1856" s="90">
        <v>99.316030556584593</v>
      </c>
      <c r="AW1856" s="90">
        <v>575.81777206987897</v>
      </c>
      <c r="AX1856" s="90">
        <v>0.55197900479999995</v>
      </c>
    </row>
    <row r="1857" spans="1:50" x14ac:dyDescent="0.25">
      <c r="A1857" s="102">
        <v>830000</v>
      </c>
      <c r="B1857" s="102">
        <v>2400000</v>
      </c>
      <c r="C1857" s="102">
        <v>2400000</v>
      </c>
      <c r="D1857" s="90" t="s">
        <v>374</v>
      </c>
      <c r="E1857" s="90" t="s">
        <v>68</v>
      </c>
      <c r="F1857" s="90" t="s">
        <v>375</v>
      </c>
      <c r="G1857" s="90" t="s">
        <v>376</v>
      </c>
      <c r="H1857" s="90">
        <v>0.59</v>
      </c>
      <c r="I1857" s="90">
        <v>0.64</v>
      </c>
      <c r="J1857" s="90" t="s">
        <v>244</v>
      </c>
      <c r="K1857" s="90">
        <v>4.6601591235990003E-2</v>
      </c>
      <c r="L1857" s="90">
        <v>3763.3800884058001</v>
      </c>
      <c r="M1857" s="90">
        <v>9.7104931816671094</v>
      </c>
      <c r="N1857" s="90">
        <v>1.7683960951300099</v>
      </c>
      <c r="O1857" s="90">
        <v>0.45252443395191</v>
      </c>
      <c r="P1857" s="90">
        <v>8.2410071968570003E-2</v>
      </c>
      <c r="Q1857" s="90">
        <v>175.379500545551</v>
      </c>
      <c r="R1857" s="90">
        <v>1300</v>
      </c>
      <c r="S1857" s="90" t="s">
        <v>387</v>
      </c>
      <c r="T1857" s="90">
        <v>1300</v>
      </c>
      <c r="U1857" s="90" t="s">
        <v>378</v>
      </c>
      <c r="V1857" s="90" t="s">
        <v>244</v>
      </c>
      <c r="Z1857" s="90">
        <v>0</v>
      </c>
      <c r="AA1857" s="90">
        <v>1</v>
      </c>
      <c r="AB1857" s="90">
        <v>0.45252443395191</v>
      </c>
      <c r="AC1857" s="90">
        <v>8.2410071968570003E-2</v>
      </c>
      <c r="AD1857" s="90">
        <v>558.343344808197</v>
      </c>
      <c r="AF1857" s="90">
        <v>-1</v>
      </c>
      <c r="AG1857" s="90">
        <v>-1</v>
      </c>
      <c r="AH1857" s="90">
        <v>-1</v>
      </c>
      <c r="AI1857" s="90">
        <v>-1</v>
      </c>
      <c r="AJ1857" s="90">
        <v>0</v>
      </c>
      <c r="AM1857" s="90" t="s">
        <v>379</v>
      </c>
      <c r="AN1857" s="90">
        <v>-1</v>
      </c>
      <c r="AQ1857" s="90">
        <v>375</v>
      </c>
      <c r="AR1857" s="90" t="s">
        <v>285</v>
      </c>
      <c r="AS1857" s="90" t="s">
        <v>410</v>
      </c>
      <c r="AT1857" s="90" t="s">
        <v>244</v>
      </c>
      <c r="AU1857" s="90">
        <v>2.1676829999999998</v>
      </c>
      <c r="AV1857" s="90">
        <v>72.229401675543201</v>
      </c>
      <c r="AW1857" s="90">
        <v>188.58994878742399</v>
      </c>
      <c r="AX1857" s="90">
        <v>0.4528332075</v>
      </c>
    </row>
    <row r="1858" spans="1:50" x14ac:dyDescent="0.25">
      <c r="A1858" s="102">
        <v>830000</v>
      </c>
      <c r="B1858" s="102">
        <v>2400000</v>
      </c>
      <c r="C1858" s="102">
        <v>2500000</v>
      </c>
      <c r="D1858" s="90" t="s">
        <v>374</v>
      </c>
      <c r="E1858" s="90" t="s">
        <v>68</v>
      </c>
      <c r="F1858" s="90" t="s">
        <v>375</v>
      </c>
      <c r="G1858" s="90" t="s">
        <v>376</v>
      </c>
      <c r="H1858" s="90">
        <v>0.59</v>
      </c>
      <c r="I1858" s="90">
        <v>0.64</v>
      </c>
      <c r="J1858" s="90" t="s">
        <v>244</v>
      </c>
      <c r="K1858" s="90">
        <v>0.25009028400611999</v>
      </c>
      <c r="L1858" s="90">
        <v>3758.1952972904901</v>
      </c>
      <c r="M1858" s="90">
        <v>10.3809450928667</v>
      </c>
      <c r="N1858" s="90">
        <v>1.9499796479660301</v>
      </c>
      <c r="O1858" s="90">
        <v>2.5961735065270601</v>
      </c>
      <c r="P1858" s="90">
        <v>0.48767096396599002</v>
      </c>
      <c r="Q1858" s="90">
        <v>939.88812924986996</v>
      </c>
      <c r="R1858" s="90">
        <v>1300</v>
      </c>
      <c r="S1858" s="90" t="s">
        <v>387</v>
      </c>
      <c r="T1858" s="90">
        <v>1300</v>
      </c>
      <c r="U1858" s="90" t="s">
        <v>378</v>
      </c>
      <c r="V1858" s="90" t="s">
        <v>244</v>
      </c>
      <c r="Z1858" s="90">
        <v>0</v>
      </c>
      <c r="AA1858" s="90">
        <v>1</v>
      </c>
      <c r="AB1858" s="90">
        <v>2.5961735065270601</v>
      </c>
      <c r="AC1858" s="90">
        <v>0.48767096396599002</v>
      </c>
      <c r="AD1858" s="90">
        <v>1480.3809664687799</v>
      </c>
      <c r="AF1858" s="90">
        <v>-1</v>
      </c>
      <c r="AG1858" s="90">
        <v>-1</v>
      </c>
      <c r="AH1858" s="90">
        <v>-1</v>
      </c>
      <c r="AI1858" s="90">
        <v>-1</v>
      </c>
      <c r="AJ1858" s="90">
        <v>0</v>
      </c>
      <c r="AM1858" s="90" t="s">
        <v>379</v>
      </c>
      <c r="AN1858" s="90">
        <v>-1</v>
      </c>
      <c r="AQ1858" s="90">
        <v>375</v>
      </c>
      <c r="AR1858" s="90" t="s">
        <v>285</v>
      </c>
      <c r="AS1858" s="90" t="s">
        <v>410</v>
      </c>
      <c r="AT1858" s="90" t="s">
        <v>244</v>
      </c>
      <c r="AU1858" s="90">
        <v>2.1676829999999998</v>
      </c>
      <c r="AV1858" s="90">
        <v>146.992752197372</v>
      </c>
      <c r="AW1858" s="90">
        <v>1012.07947201003</v>
      </c>
      <c r="AX1858" s="90">
        <v>1.2006333871999999</v>
      </c>
    </row>
    <row r="1859" spans="1:50" x14ac:dyDescent="0.25">
      <c r="A1859" s="102">
        <v>830000</v>
      </c>
      <c r="B1859" s="102">
        <v>2400000</v>
      </c>
      <c r="C1859" s="102">
        <v>2500000</v>
      </c>
      <c r="D1859" s="90" t="s">
        <v>374</v>
      </c>
      <c r="E1859" s="90" t="s">
        <v>68</v>
      </c>
      <c r="F1859" s="90" t="s">
        <v>375</v>
      </c>
      <c r="G1859" s="90" t="s">
        <v>376</v>
      </c>
      <c r="H1859" s="90">
        <v>0.59</v>
      </c>
      <c r="I1859" s="90">
        <v>0.64</v>
      </c>
      <c r="J1859" s="90" t="s">
        <v>244</v>
      </c>
      <c r="K1859" s="90">
        <v>0.10095223248499</v>
      </c>
      <c r="L1859" s="90">
        <v>3758.1952972904901</v>
      </c>
      <c r="M1859" s="90">
        <v>10.3809450928667</v>
      </c>
      <c r="N1859" s="90">
        <v>1.9499796479660301</v>
      </c>
      <c r="O1859" s="90">
        <v>1.0479795824290401</v>
      </c>
      <c r="P1859" s="90">
        <v>0.19685479876247</v>
      </c>
      <c r="Q1859" s="90">
        <v>379.39820537608102</v>
      </c>
      <c r="R1859" s="90">
        <v>1300</v>
      </c>
      <c r="S1859" s="90" t="s">
        <v>387</v>
      </c>
      <c r="T1859" s="90">
        <v>1300</v>
      </c>
      <c r="U1859" s="90" t="s">
        <v>378</v>
      </c>
      <c r="V1859" s="90" t="s">
        <v>244</v>
      </c>
      <c r="Z1859" s="90">
        <v>0</v>
      </c>
      <c r="AA1859" s="90">
        <v>1</v>
      </c>
      <c r="AB1859" s="90">
        <v>1.0479795824290401</v>
      </c>
      <c r="AC1859" s="90">
        <v>0.19685479876247</v>
      </c>
      <c r="AD1859" s="90">
        <v>379.39820537608102</v>
      </c>
      <c r="AF1859" s="90">
        <v>-1</v>
      </c>
      <c r="AG1859" s="90">
        <v>-1</v>
      </c>
      <c r="AH1859" s="90">
        <v>-1</v>
      </c>
      <c r="AI1859" s="90">
        <v>-1</v>
      </c>
      <c r="AJ1859" s="90">
        <v>0</v>
      </c>
      <c r="AM1859" s="90" t="s">
        <v>379</v>
      </c>
      <c r="AN1859" s="90">
        <v>-1</v>
      </c>
      <c r="AQ1859" s="90">
        <v>375</v>
      </c>
      <c r="AR1859" s="90" t="s">
        <v>285</v>
      </c>
      <c r="AS1859" s="90" t="s">
        <v>410</v>
      </c>
      <c r="AT1859" s="90" t="s">
        <v>244</v>
      </c>
      <c r="AU1859" s="90">
        <v>2.1676829999999998</v>
      </c>
      <c r="AV1859" s="90">
        <v>86.651326731976596</v>
      </c>
      <c r="AW1859" s="90">
        <v>408.53919038751701</v>
      </c>
      <c r="AX1859" s="90">
        <v>0.30770332960000002</v>
      </c>
    </row>
    <row r="1860" spans="1:50" x14ac:dyDescent="0.25">
      <c r="A1860" s="102">
        <v>830000</v>
      </c>
      <c r="B1860" s="102">
        <v>2400000</v>
      </c>
      <c r="C1860" s="102">
        <v>2400000</v>
      </c>
      <c r="D1860" s="90" t="s">
        <v>374</v>
      </c>
      <c r="E1860" s="90" t="s">
        <v>68</v>
      </c>
      <c r="F1860" s="90" t="s">
        <v>375</v>
      </c>
      <c r="G1860" s="90" t="s">
        <v>376</v>
      </c>
      <c r="H1860" s="90">
        <v>0.59</v>
      </c>
      <c r="I1860" s="90">
        <v>0.64</v>
      </c>
      <c r="J1860" s="90" t="s">
        <v>244</v>
      </c>
      <c r="K1860" s="90">
        <v>1.7466725829E-4</v>
      </c>
      <c r="L1860" s="90">
        <v>3761.5798087868202</v>
      </c>
      <c r="M1860" s="90">
        <v>10.8202516724301</v>
      </c>
      <c r="N1860" s="90">
        <v>2.0845915085551199</v>
      </c>
      <c r="O1860" s="90">
        <v>1.8899436936499999E-3</v>
      </c>
      <c r="P1860" s="90">
        <v>3.6410988345E-4</v>
      </c>
      <c r="Q1860" s="90">
        <v>0.65702483204732998</v>
      </c>
      <c r="R1860" s="90">
        <v>1300</v>
      </c>
      <c r="S1860" s="90" t="s">
        <v>387</v>
      </c>
      <c r="T1860" s="90">
        <v>1300</v>
      </c>
      <c r="U1860" s="90" t="s">
        <v>378</v>
      </c>
      <c r="V1860" s="90" t="s">
        <v>244</v>
      </c>
      <c r="Z1860" s="90">
        <v>0</v>
      </c>
      <c r="AA1860" s="90">
        <v>1</v>
      </c>
      <c r="AB1860" s="90">
        <v>1.8899436936499999E-3</v>
      </c>
      <c r="AC1860" s="90">
        <v>3.6410988345E-4</v>
      </c>
      <c r="AD1860" s="90">
        <v>258.03072988901698</v>
      </c>
      <c r="AF1860" s="90">
        <v>-1</v>
      </c>
      <c r="AG1860" s="90">
        <v>-1</v>
      </c>
      <c r="AH1860" s="90">
        <v>-1</v>
      </c>
      <c r="AI1860" s="90">
        <v>-1</v>
      </c>
      <c r="AJ1860" s="90">
        <v>0</v>
      </c>
      <c r="AM1860" s="90" t="s">
        <v>379</v>
      </c>
      <c r="AN1860" s="90">
        <v>-1</v>
      </c>
      <c r="AQ1860" s="90">
        <v>377</v>
      </c>
      <c r="AR1860" s="90" t="s">
        <v>286</v>
      </c>
      <c r="AS1860" s="90" t="s">
        <v>287</v>
      </c>
      <c r="AT1860" s="90" t="s">
        <v>244</v>
      </c>
      <c r="AU1860" s="90">
        <v>1.142728</v>
      </c>
      <c r="AV1860" s="90">
        <v>4.4958429016052799</v>
      </c>
      <c r="AW1860" s="90">
        <v>0.70685331600024004</v>
      </c>
      <c r="AX1860" s="90">
        <v>0.20927066499999999</v>
      </c>
    </row>
    <row r="1861" spans="1:50" x14ac:dyDescent="0.25">
      <c r="A1861" s="102">
        <v>830000</v>
      </c>
      <c r="B1861" s="102">
        <v>2400000</v>
      </c>
      <c r="C1861" s="102">
        <v>2400000</v>
      </c>
      <c r="D1861" s="90" t="s">
        <v>374</v>
      </c>
      <c r="E1861" s="90" t="s">
        <v>68</v>
      </c>
      <c r="F1861" s="90" t="s">
        <v>375</v>
      </c>
      <c r="G1861" s="90" t="s">
        <v>376</v>
      </c>
      <c r="H1861" s="90">
        <v>0.59</v>
      </c>
      <c r="I1861" s="90">
        <v>0.64</v>
      </c>
      <c r="J1861" s="90" t="s">
        <v>244</v>
      </c>
      <c r="K1861" s="90">
        <v>0.12031561234336</v>
      </c>
      <c r="L1861" s="90">
        <v>3754.85988381487</v>
      </c>
      <c r="M1861" s="90">
        <v>10.6640272652579</v>
      </c>
      <c r="N1861" s="90">
        <v>2.0139385840834301</v>
      </c>
      <c r="O1861" s="90">
        <v>1.2830489704658199</v>
      </c>
      <c r="P1861" s="90">
        <v>0.24230825396592001</v>
      </c>
      <c r="Q1861" s="90">
        <v>451.76826618471398</v>
      </c>
      <c r="R1861" s="90">
        <v>1300</v>
      </c>
      <c r="S1861" s="90" t="s">
        <v>387</v>
      </c>
      <c r="T1861" s="90">
        <v>1300</v>
      </c>
      <c r="U1861" s="90" t="s">
        <v>378</v>
      </c>
      <c r="V1861" s="90" t="s">
        <v>244</v>
      </c>
      <c r="Z1861" s="90">
        <v>0</v>
      </c>
      <c r="AA1861" s="90">
        <v>1</v>
      </c>
      <c r="AB1861" s="90">
        <v>1.2830489704658199</v>
      </c>
      <c r="AC1861" s="90">
        <v>0.24230825396592001</v>
      </c>
      <c r="AD1861" s="90">
        <v>1166.9159170621599</v>
      </c>
      <c r="AF1861" s="90">
        <v>-1</v>
      </c>
      <c r="AG1861" s="90">
        <v>-1</v>
      </c>
      <c r="AH1861" s="90">
        <v>-1</v>
      </c>
      <c r="AI1861" s="90">
        <v>-1</v>
      </c>
      <c r="AJ1861" s="90">
        <v>0</v>
      </c>
      <c r="AM1861" s="90" t="s">
        <v>379</v>
      </c>
      <c r="AN1861" s="90">
        <v>-1</v>
      </c>
      <c r="AQ1861" s="90">
        <v>377</v>
      </c>
      <c r="AR1861" s="90" t="s">
        <v>286</v>
      </c>
      <c r="AS1861" s="90" t="s">
        <v>287</v>
      </c>
      <c r="AT1861" s="90" t="s">
        <v>244</v>
      </c>
      <c r="AU1861" s="90">
        <v>1.142728</v>
      </c>
      <c r="AV1861" s="90">
        <v>100.404805645519</v>
      </c>
      <c r="AW1861" s="90">
        <v>486.90000852672802</v>
      </c>
      <c r="AX1861" s="90">
        <v>0.94640382570000003</v>
      </c>
    </row>
    <row r="1862" spans="1:50" x14ac:dyDescent="0.25">
      <c r="A1862" s="102">
        <v>830000</v>
      </c>
      <c r="B1862" s="102">
        <v>2400000</v>
      </c>
      <c r="C1862" s="102">
        <v>2400000</v>
      </c>
      <c r="D1862" s="90" t="s">
        <v>374</v>
      </c>
      <c r="E1862" s="90" t="s">
        <v>68</v>
      </c>
      <c r="F1862" s="90" t="s">
        <v>375</v>
      </c>
      <c r="G1862" s="90" t="s">
        <v>376</v>
      </c>
      <c r="H1862" s="90">
        <v>0.59</v>
      </c>
      <c r="I1862" s="90">
        <v>0.64</v>
      </c>
      <c r="J1862" s="90" t="s">
        <v>244</v>
      </c>
      <c r="K1862" s="90">
        <v>3.8548234563000002E-4</v>
      </c>
      <c r="L1862" s="90">
        <v>3754.85988381487</v>
      </c>
      <c r="M1862" s="90">
        <v>10.6640272652579</v>
      </c>
      <c r="N1862" s="90">
        <v>2.0139385840834301</v>
      </c>
      <c r="O1862" s="90">
        <v>4.1107942441300001E-3</v>
      </c>
      <c r="P1862" s="90">
        <v>7.7633776935000004E-4</v>
      </c>
      <c r="Q1862" s="90">
        <v>1.44743219554747</v>
      </c>
      <c r="R1862" s="90">
        <v>1300</v>
      </c>
      <c r="S1862" s="90" t="s">
        <v>387</v>
      </c>
      <c r="T1862" s="90">
        <v>1300</v>
      </c>
      <c r="U1862" s="90" t="s">
        <v>378</v>
      </c>
      <c r="V1862" s="90" t="s">
        <v>244</v>
      </c>
      <c r="Z1862" s="90">
        <v>0</v>
      </c>
      <c r="AA1862" s="90">
        <v>1</v>
      </c>
      <c r="AB1862" s="90">
        <v>4.1107942441300001E-3</v>
      </c>
      <c r="AC1862" s="90">
        <v>7.7633776935000004E-4</v>
      </c>
      <c r="AD1862" s="90">
        <v>405.39427025421497</v>
      </c>
      <c r="AF1862" s="90">
        <v>-1</v>
      </c>
      <c r="AG1862" s="90">
        <v>-1</v>
      </c>
      <c r="AH1862" s="90">
        <v>-1</v>
      </c>
      <c r="AI1862" s="90">
        <v>-1</v>
      </c>
      <c r="AJ1862" s="90">
        <v>0</v>
      </c>
      <c r="AM1862" s="90" t="s">
        <v>379</v>
      </c>
      <c r="AN1862" s="90">
        <v>-1</v>
      </c>
      <c r="AQ1862" s="90">
        <v>377</v>
      </c>
      <c r="AR1862" s="90" t="s">
        <v>286</v>
      </c>
      <c r="AS1862" s="90" t="s">
        <v>287</v>
      </c>
      <c r="AT1862" s="90" t="s">
        <v>244</v>
      </c>
      <c r="AU1862" s="90">
        <v>1.142728</v>
      </c>
      <c r="AV1862" s="90">
        <v>11.3863890819405</v>
      </c>
      <c r="AW1862" s="90">
        <v>1.55999170616077</v>
      </c>
      <c r="AX1862" s="90">
        <v>0.32878691830000001</v>
      </c>
    </row>
    <row r="1863" spans="1:50" x14ac:dyDescent="0.25">
      <c r="A1863" s="102">
        <v>830000</v>
      </c>
      <c r="B1863" s="102">
        <v>2400000</v>
      </c>
      <c r="C1863" s="102">
        <v>2400000</v>
      </c>
      <c r="D1863" s="90" t="s">
        <v>374</v>
      </c>
      <c r="E1863" s="90" t="s">
        <v>68</v>
      </c>
      <c r="F1863" s="90" t="s">
        <v>375</v>
      </c>
      <c r="G1863" s="90" t="s">
        <v>376</v>
      </c>
      <c r="H1863" s="90">
        <v>0.59</v>
      </c>
      <c r="I1863" s="90">
        <v>0.64</v>
      </c>
      <c r="J1863" s="90" t="s">
        <v>244</v>
      </c>
      <c r="K1863" s="90">
        <v>1.0640618299120001E-2</v>
      </c>
      <c r="L1863" s="90">
        <v>3754.85988381487</v>
      </c>
      <c r="M1863" s="90">
        <v>10.6640272652579</v>
      </c>
      <c r="N1863" s="90">
        <v>2.0139385840834301</v>
      </c>
      <c r="O1863" s="90">
        <v>0.1134718436611</v>
      </c>
      <c r="P1863" s="90">
        <v>2.1429551751109999E-2</v>
      </c>
      <c r="Q1863" s="90">
        <v>39.954030790382099</v>
      </c>
      <c r="R1863" s="90">
        <v>1210</v>
      </c>
      <c r="S1863" s="90" t="s">
        <v>385</v>
      </c>
      <c r="T1863" s="90">
        <v>1210</v>
      </c>
      <c r="U1863" s="90" t="s">
        <v>378</v>
      </c>
      <c r="V1863" s="90" t="s">
        <v>244</v>
      </c>
      <c r="Z1863" s="90">
        <v>0</v>
      </c>
      <c r="AA1863" s="90">
        <v>1</v>
      </c>
      <c r="AB1863" s="90">
        <v>0.1134718436611</v>
      </c>
      <c r="AC1863" s="90">
        <v>2.1429551751109999E-2</v>
      </c>
      <c r="AD1863" s="90">
        <v>223.48716875282599</v>
      </c>
      <c r="AF1863" s="90">
        <v>-1</v>
      </c>
      <c r="AG1863" s="90">
        <v>-1</v>
      </c>
      <c r="AH1863" s="90">
        <v>-1</v>
      </c>
      <c r="AI1863" s="90">
        <v>-1</v>
      </c>
      <c r="AJ1863" s="90">
        <v>0</v>
      </c>
      <c r="AM1863" s="90" t="s">
        <v>379</v>
      </c>
      <c r="AN1863" s="90">
        <v>-1</v>
      </c>
      <c r="AQ1863" s="90">
        <v>377</v>
      </c>
      <c r="AR1863" s="90" t="s">
        <v>286</v>
      </c>
      <c r="AS1863" s="90" t="s">
        <v>287</v>
      </c>
      <c r="AT1863" s="90" t="s">
        <v>244</v>
      </c>
      <c r="AU1863" s="90">
        <v>1.142728</v>
      </c>
      <c r="AV1863" s="90">
        <v>33.639762571348399</v>
      </c>
      <c r="AW1863" s="90">
        <v>43.061054502131903</v>
      </c>
      <c r="AX1863" s="90">
        <v>0.18125480029999999</v>
      </c>
    </row>
    <row r="1864" spans="1:50" x14ac:dyDescent="0.25">
      <c r="A1864" s="102">
        <v>830000</v>
      </c>
      <c r="B1864" s="102">
        <v>2400000</v>
      </c>
      <c r="C1864" s="102">
        <v>2400000</v>
      </c>
      <c r="D1864" s="90" t="s">
        <v>374</v>
      </c>
      <c r="E1864" s="90" t="s">
        <v>68</v>
      </c>
      <c r="F1864" s="90" t="s">
        <v>375</v>
      </c>
      <c r="G1864" s="90" t="s">
        <v>376</v>
      </c>
      <c r="H1864" s="90">
        <v>0.59</v>
      </c>
      <c r="I1864" s="90">
        <v>0.64</v>
      </c>
      <c r="J1864" s="90" t="s">
        <v>244</v>
      </c>
      <c r="K1864" s="90">
        <v>0.17907304176777</v>
      </c>
      <c r="L1864" s="90">
        <v>3761.6001606657501</v>
      </c>
      <c r="M1864" s="90">
        <v>10.820338973805701</v>
      </c>
      <c r="N1864" s="90">
        <v>2.08461167355386</v>
      </c>
      <c r="O1864" s="90">
        <v>1.93763101299781</v>
      </c>
      <c r="P1864" s="90">
        <v>0.37329775328789999</v>
      </c>
      <c r="Q1864" s="90">
        <v>673.60118268457495</v>
      </c>
      <c r="R1864" s="90">
        <v>1300</v>
      </c>
      <c r="S1864" s="90" t="s">
        <v>387</v>
      </c>
      <c r="T1864" s="90">
        <v>1300</v>
      </c>
      <c r="U1864" s="90" t="s">
        <v>378</v>
      </c>
      <c r="V1864" s="90" t="s">
        <v>244</v>
      </c>
      <c r="Z1864" s="90">
        <v>0</v>
      </c>
      <c r="AA1864" s="90">
        <v>1</v>
      </c>
      <c r="AB1864" s="90">
        <v>1.93763101299781</v>
      </c>
      <c r="AC1864" s="90">
        <v>0.37329775328789999</v>
      </c>
      <c r="AD1864" s="90">
        <v>2318.4846496445198</v>
      </c>
      <c r="AF1864" s="90">
        <v>-1</v>
      </c>
      <c r="AG1864" s="90">
        <v>-1</v>
      </c>
      <c r="AH1864" s="90">
        <v>-1</v>
      </c>
      <c r="AI1864" s="90">
        <v>-1</v>
      </c>
      <c r="AJ1864" s="90">
        <v>0</v>
      </c>
      <c r="AM1864" s="90" t="s">
        <v>379</v>
      </c>
      <c r="AN1864" s="90">
        <v>-1</v>
      </c>
      <c r="AQ1864" s="90">
        <v>377</v>
      </c>
      <c r="AR1864" s="90" t="s">
        <v>286</v>
      </c>
      <c r="AS1864" s="90" t="s">
        <v>287</v>
      </c>
      <c r="AT1864" s="90" t="s">
        <v>244</v>
      </c>
      <c r="AU1864" s="90">
        <v>1.142728</v>
      </c>
      <c r="AV1864" s="90">
        <v>127.148696273602</v>
      </c>
      <c r="AW1864" s="90">
        <v>724.68288915663197</v>
      </c>
      <c r="AX1864" s="90">
        <v>1.8803606241999999</v>
      </c>
    </row>
    <row r="1865" spans="1:50" x14ac:dyDescent="0.25">
      <c r="A1865" s="102">
        <v>830000</v>
      </c>
      <c r="B1865" s="102">
        <v>2400000</v>
      </c>
      <c r="C1865" s="102">
        <v>2400000</v>
      </c>
      <c r="D1865" s="90" t="s">
        <v>374</v>
      </c>
      <c r="E1865" s="90" t="s">
        <v>68</v>
      </c>
      <c r="F1865" s="90" t="s">
        <v>375</v>
      </c>
      <c r="G1865" s="90" t="s">
        <v>376</v>
      </c>
      <c r="H1865" s="90">
        <v>0.59</v>
      </c>
      <c r="I1865" s="90">
        <v>0.64</v>
      </c>
      <c r="J1865" s="90" t="s">
        <v>244</v>
      </c>
      <c r="K1865" s="90">
        <v>2.720913147923E-2</v>
      </c>
      <c r="L1865" s="90">
        <v>3761.6001601052299</v>
      </c>
      <c r="M1865" s="90">
        <v>10.8203389721933</v>
      </c>
      <c r="N1865" s="90">
        <v>2.0846116732432298</v>
      </c>
      <c r="O1865" s="90">
        <v>0.29441202574424002</v>
      </c>
      <c r="P1865" s="90">
        <v>5.672047310041E-2</v>
      </c>
      <c r="Q1865" s="90">
        <v>102.349873328595</v>
      </c>
      <c r="R1865" s="90">
        <v>1300</v>
      </c>
      <c r="S1865" s="90" t="s">
        <v>387</v>
      </c>
      <c r="T1865" s="90">
        <v>1300</v>
      </c>
      <c r="U1865" s="90" t="s">
        <v>378</v>
      </c>
      <c r="V1865" s="90" t="s">
        <v>244</v>
      </c>
      <c r="Z1865" s="90">
        <v>0</v>
      </c>
      <c r="AA1865" s="90">
        <v>1</v>
      </c>
      <c r="AB1865" s="90">
        <v>0.29441202574424002</v>
      </c>
      <c r="AC1865" s="90">
        <v>5.672047310041E-2</v>
      </c>
      <c r="AD1865" s="90">
        <v>1317.5866469792099</v>
      </c>
      <c r="AF1865" s="90">
        <v>-1</v>
      </c>
      <c r="AG1865" s="90">
        <v>-1</v>
      </c>
      <c r="AH1865" s="90">
        <v>-1</v>
      </c>
      <c r="AI1865" s="90">
        <v>-1</v>
      </c>
      <c r="AJ1865" s="90">
        <v>0</v>
      </c>
      <c r="AM1865" s="90" t="s">
        <v>379</v>
      </c>
      <c r="AN1865" s="90">
        <v>-1</v>
      </c>
      <c r="AQ1865" s="90">
        <v>377</v>
      </c>
      <c r="AR1865" s="90" t="s">
        <v>286</v>
      </c>
      <c r="AS1865" s="90" t="s">
        <v>287</v>
      </c>
      <c r="AT1865" s="90" t="s">
        <v>244</v>
      </c>
      <c r="AU1865" s="90">
        <v>1.142728</v>
      </c>
      <c r="AV1865" s="90">
        <v>49.041510428353199</v>
      </c>
      <c r="AW1865" s="90">
        <v>110.111448474648</v>
      </c>
      <c r="AX1865" s="90">
        <v>1.0686023090000001</v>
      </c>
    </row>
    <row r="1866" spans="1:50" x14ac:dyDescent="0.25">
      <c r="A1866" s="102">
        <v>830000</v>
      </c>
      <c r="B1866" s="102">
        <v>2400000</v>
      </c>
      <c r="C1866" s="102">
        <v>2400000</v>
      </c>
      <c r="D1866" s="90" t="s">
        <v>374</v>
      </c>
      <c r="E1866" s="90" t="s">
        <v>68</v>
      </c>
      <c r="F1866" s="90" t="s">
        <v>375</v>
      </c>
      <c r="G1866" s="90" t="s">
        <v>376</v>
      </c>
      <c r="H1866" s="90">
        <v>0.59</v>
      </c>
      <c r="I1866" s="90">
        <v>0.64</v>
      </c>
      <c r="J1866" s="90" t="s">
        <v>244</v>
      </c>
      <c r="K1866" s="90">
        <v>5.06081396383E-2</v>
      </c>
      <c r="L1866" s="90">
        <v>3761.60015982497</v>
      </c>
      <c r="M1866" s="90">
        <v>10.8203389713871</v>
      </c>
      <c r="N1866" s="90">
        <v>2.0846116730879101</v>
      </c>
      <c r="O1866" s="90">
        <v>0.54759722559775004</v>
      </c>
      <c r="P1866" s="90">
        <v>0.10549831864327</v>
      </c>
      <c r="Q1866" s="90">
        <v>190.367586151892</v>
      </c>
      <c r="R1866" s="90">
        <v>1300</v>
      </c>
      <c r="S1866" s="90" t="s">
        <v>387</v>
      </c>
      <c r="T1866" s="90">
        <v>1300</v>
      </c>
      <c r="U1866" s="90" t="s">
        <v>378</v>
      </c>
      <c r="V1866" s="90" t="s">
        <v>244</v>
      </c>
      <c r="Z1866" s="90">
        <v>0</v>
      </c>
      <c r="AA1866" s="90">
        <v>1</v>
      </c>
      <c r="AB1866" s="90">
        <v>0.54759722559775004</v>
      </c>
      <c r="AC1866" s="90">
        <v>0.10549831864327</v>
      </c>
      <c r="AD1866" s="90">
        <v>1404.18328520303</v>
      </c>
      <c r="AF1866" s="90">
        <v>-1</v>
      </c>
      <c r="AG1866" s="90">
        <v>-1</v>
      </c>
      <c r="AH1866" s="90">
        <v>-1</v>
      </c>
      <c r="AI1866" s="90">
        <v>-1</v>
      </c>
      <c r="AJ1866" s="90">
        <v>0</v>
      </c>
      <c r="AM1866" s="90" t="s">
        <v>379</v>
      </c>
      <c r="AN1866" s="90">
        <v>-1</v>
      </c>
      <c r="AQ1866" s="90">
        <v>377</v>
      </c>
      <c r="AR1866" s="90" t="s">
        <v>286</v>
      </c>
      <c r="AS1866" s="90" t="s">
        <v>287</v>
      </c>
      <c r="AT1866" s="90" t="s">
        <v>244</v>
      </c>
      <c r="AU1866" s="90">
        <v>1.142728</v>
      </c>
      <c r="AV1866" s="90">
        <v>99.623852121433302</v>
      </c>
      <c r="AW1866" s="90">
        <v>204.80387492099101</v>
      </c>
      <c r="AX1866" s="90">
        <v>1.1388347811999999</v>
      </c>
    </row>
    <row r="1867" spans="1:50" x14ac:dyDescent="0.25">
      <c r="A1867" s="102">
        <v>830000</v>
      </c>
      <c r="B1867" s="102">
        <v>2400000</v>
      </c>
      <c r="C1867" s="102">
        <v>2400000</v>
      </c>
      <c r="D1867" s="90" t="s">
        <v>374</v>
      </c>
      <c r="E1867" s="90" t="s">
        <v>68</v>
      </c>
      <c r="F1867" s="90" t="s">
        <v>375</v>
      </c>
      <c r="G1867" s="90" t="s">
        <v>376</v>
      </c>
      <c r="H1867" s="90">
        <v>0.59</v>
      </c>
      <c r="I1867" s="90">
        <v>0.64</v>
      </c>
      <c r="J1867" s="90" t="s">
        <v>244</v>
      </c>
      <c r="K1867" s="90">
        <v>0.22978232208280999</v>
      </c>
      <c r="L1867" s="90">
        <v>3761.6001601052299</v>
      </c>
      <c r="M1867" s="90">
        <v>10.8203389721933</v>
      </c>
      <c r="N1867" s="90">
        <v>2.0846116732432298</v>
      </c>
      <c r="O1867" s="90">
        <v>2.48632261475375</v>
      </c>
      <c r="P1867" s="90">
        <v>0.47900691091876002</v>
      </c>
      <c r="Q1867" s="90">
        <v>864.34921953606101</v>
      </c>
      <c r="R1867" s="90">
        <v>1300</v>
      </c>
      <c r="S1867" s="90" t="s">
        <v>387</v>
      </c>
      <c r="T1867" s="90">
        <v>1300</v>
      </c>
      <c r="U1867" s="90" t="s">
        <v>378</v>
      </c>
      <c r="V1867" s="90" t="s">
        <v>244</v>
      </c>
      <c r="Z1867" s="90">
        <v>0</v>
      </c>
      <c r="AA1867" s="90">
        <v>1</v>
      </c>
      <c r="AB1867" s="90">
        <v>2.48632261475375</v>
      </c>
      <c r="AC1867" s="90">
        <v>0.47900691091876002</v>
      </c>
      <c r="AD1867" s="90">
        <v>1589.06030459612</v>
      </c>
      <c r="AF1867" s="90">
        <v>-1</v>
      </c>
      <c r="AG1867" s="90">
        <v>-1</v>
      </c>
      <c r="AH1867" s="90">
        <v>-1</v>
      </c>
      <c r="AI1867" s="90">
        <v>-1</v>
      </c>
      <c r="AJ1867" s="90">
        <v>0</v>
      </c>
      <c r="AM1867" s="90" t="s">
        <v>379</v>
      </c>
      <c r="AN1867" s="90">
        <v>-1</v>
      </c>
      <c r="AQ1867" s="90">
        <v>377</v>
      </c>
      <c r="AR1867" s="90" t="s">
        <v>286</v>
      </c>
      <c r="AS1867" s="90" t="s">
        <v>287</v>
      </c>
      <c r="AT1867" s="90" t="s">
        <v>244</v>
      </c>
      <c r="AU1867" s="90">
        <v>1.142728</v>
      </c>
      <c r="AV1867" s="90">
        <v>155.58505585877799</v>
      </c>
      <c r="AW1867" s="90">
        <v>929.89606587481705</v>
      </c>
      <c r="AX1867" s="90">
        <v>1.2887755916999999</v>
      </c>
    </row>
    <row r="1868" spans="1:50" x14ac:dyDescent="0.25">
      <c r="A1868" s="102">
        <v>830000</v>
      </c>
      <c r="B1868" s="102">
        <v>2400000</v>
      </c>
      <c r="C1868" s="102">
        <v>2400000</v>
      </c>
      <c r="D1868" s="90" t="s">
        <v>374</v>
      </c>
      <c r="E1868" s="90" t="s">
        <v>68</v>
      </c>
      <c r="F1868" s="90" t="s">
        <v>375</v>
      </c>
      <c r="G1868" s="90" t="s">
        <v>376</v>
      </c>
      <c r="H1868" s="90">
        <v>0.59</v>
      </c>
      <c r="I1868" s="90">
        <v>0.64</v>
      </c>
      <c r="J1868" s="90" t="s">
        <v>244</v>
      </c>
      <c r="K1868" s="90">
        <v>4.7416649243170003E-2</v>
      </c>
      <c r="L1868" s="90">
        <v>3757.9541202986902</v>
      </c>
      <c r="M1868" s="90">
        <v>10.810547258440501</v>
      </c>
      <c r="N1868" s="90">
        <v>2.0828062309037301</v>
      </c>
      <c r="O1868" s="90">
        <v>0.51259992748019001</v>
      </c>
      <c r="P1868" s="90">
        <v>9.8759692492250001E-2</v>
      </c>
      <c r="Q1868" s="90">
        <v>178.189592394128</v>
      </c>
      <c r="R1868" s="90">
        <v>1300</v>
      </c>
      <c r="S1868" s="90" t="s">
        <v>387</v>
      </c>
      <c r="T1868" s="90">
        <v>1300</v>
      </c>
      <c r="U1868" s="90" t="s">
        <v>378</v>
      </c>
      <c r="V1868" s="90" t="s">
        <v>244</v>
      </c>
      <c r="Z1868" s="90">
        <v>0</v>
      </c>
      <c r="AA1868" s="90">
        <v>1</v>
      </c>
      <c r="AB1868" s="90">
        <v>0.51259992748019001</v>
      </c>
      <c r="AC1868" s="90">
        <v>9.8759692492250001E-2</v>
      </c>
      <c r="AD1868" s="90">
        <v>423.75703679879001</v>
      </c>
      <c r="AF1868" s="90">
        <v>-1</v>
      </c>
      <c r="AG1868" s="90">
        <v>-1</v>
      </c>
      <c r="AH1868" s="90">
        <v>-1</v>
      </c>
      <c r="AI1868" s="90">
        <v>-1</v>
      </c>
      <c r="AJ1868" s="90">
        <v>0</v>
      </c>
      <c r="AM1868" s="90" t="s">
        <v>379</v>
      </c>
      <c r="AN1868" s="90">
        <v>-1</v>
      </c>
      <c r="AQ1868" s="90">
        <v>377</v>
      </c>
      <c r="AR1868" s="90" t="s">
        <v>286</v>
      </c>
      <c r="AS1868" s="90" t="s">
        <v>287</v>
      </c>
      <c r="AT1868" s="90" t="s">
        <v>244</v>
      </c>
      <c r="AU1868" s="90">
        <v>1.142728</v>
      </c>
      <c r="AV1868" s="90">
        <v>105.278963903574</v>
      </c>
      <c r="AW1868" s="90">
        <v>191.88837151841</v>
      </c>
      <c r="AX1868" s="90">
        <v>0.34367967300000002</v>
      </c>
    </row>
    <row r="1869" spans="1:50" x14ac:dyDescent="0.25">
      <c r="A1869" s="102">
        <v>830000</v>
      </c>
      <c r="B1869" s="102">
        <v>2400000</v>
      </c>
      <c r="C1869" s="102">
        <v>2400000</v>
      </c>
      <c r="D1869" s="90" t="s">
        <v>374</v>
      </c>
      <c r="E1869" s="90" t="s">
        <v>68</v>
      </c>
      <c r="F1869" s="90" t="s">
        <v>375</v>
      </c>
      <c r="G1869" s="90" t="s">
        <v>376</v>
      </c>
      <c r="H1869" s="90">
        <v>0.59</v>
      </c>
      <c r="I1869" s="90">
        <v>0.64</v>
      </c>
      <c r="J1869" s="90" t="s">
        <v>244</v>
      </c>
      <c r="K1869" s="90">
        <v>0.11113457469365</v>
      </c>
      <c r="L1869" s="90">
        <v>3761.60015982497</v>
      </c>
      <c r="M1869" s="90">
        <v>10.8203389713871</v>
      </c>
      <c r="N1869" s="90">
        <v>2.0846116730879101</v>
      </c>
      <c r="O1869" s="90">
        <v>1.2025137696263</v>
      </c>
      <c r="P1869" s="90">
        <v>0.23167243169005</v>
      </c>
      <c r="Q1869" s="90">
        <v>418.04383392973602</v>
      </c>
      <c r="R1869" s="90">
        <v>1300</v>
      </c>
      <c r="S1869" s="90" t="s">
        <v>387</v>
      </c>
      <c r="T1869" s="90">
        <v>1300</v>
      </c>
      <c r="U1869" s="90" t="s">
        <v>378</v>
      </c>
      <c r="V1869" s="90" t="s">
        <v>244</v>
      </c>
      <c r="Z1869" s="90">
        <v>0</v>
      </c>
      <c r="AA1869" s="90">
        <v>1</v>
      </c>
      <c r="AB1869" s="90">
        <v>1.2025137696263</v>
      </c>
      <c r="AC1869" s="90">
        <v>0.23167243169005</v>
      </c>
      <c r="AD1869" s="90">
        <v>421.09662829779302</v>
      </c>
      <c r="AF1869" s="90">
        <v>-1</v>
      </c>
      <c r="AG1869" s="90">
        <v>-1</v>
      </c>
      <c r="AH1869" s="90">
        <v>-1</v>
      </c>
      <c r="AI1869" s="90">
        <v>-1</v>
      </c>
      <c r="AJ1869" s="90">
        <v>0</v>
      </c>
      <c r="AM1869" s="90" t="s">
        <v>379</v>
      </c>
      <c r="AN1869" s="90">
        <v>-1</v>
      </c>
      <c r="AQ1869" s="90">
        <v>377</v>
      </c>
      <c r="AR1869" s="90" t="s">
        <v>286</v>
      </c>
      <c r="AS1869" s="90" t="s">
        <v>287</v>
      </c>
      <c r="AT1869" s="90" t="s">
        <v>244</v>
      </c>
      <c r="AU1869" s="90">
        <v>1.142728</v>
      </c>
      <c r="AV1869" s="90">
        <v>119.566614953147</v>
      </c>
      <c r="AW1869" s="90">
        <v>449.74566734971302</v>
      </c>
      <c r="AX1869" s="90">
        <v>0.34152200189999998</v>
      </c>
    </row>
    <row r="1870" spans="1:50" x14ac:dyDescent="0.25">
      <c r="A1870" s="102">
        <v>830000</v>
      </c>
      <c r="B1870" s="102">
        <v>2400000</v>
      </c>
      <c r="C1870" s="102">
        <v>2400000</v>
      </c>
      <c r="D1870" s="90" t="s">
        <v>374</v>
      </c>
      <c r="E1870" s="90" t="s">
        <v>68</v>
      </c>
      <c r="F1870" s="90" t="s">
        <v>375</v>
      </c>
      <c r="G1870" s="90" t="s">
        <v>376</v>
      </c>
      <c r="H1870" s="90">
        <v>0.59</v>
      </c>
      <c r="I1870" s="90">
        <v>0.64</v>
      </c>
      <c r="J1870" s="90" t="s">
        <v>244</v>
      </c>
      <c r="K1870" s="90">
        <v>6.03053327298E-3</v>
      </c>
      <c r="L1870" s="90">
        <v>3761.60015982497</v>
      </c>
      <c r="M1870" s="90">
        <v>10.8203389713871</v>
      </c>
      <c r="N1870" s="90">
        <v>2.0846116730879101</v>
      </c>
      <c r="O1870" s="90">
        <v>6.5252414191929994E-2</v>
      </c>
      <c r="P1870" s="90">
        <v>1.2571320055809999E-2</v>
      </c>
      <c r="Q1870" s="90">
        <v>22.684454923493899</v>
      </c>
      <c r="R1870" s="90">
        <v>1300</v>
      </c>
      <c r="S1870" s="90" t="s">
        <v>387</v>
      </c>
      <c r="T1870" s="90">
        <v>1300</v>
      </c>
      <c r="U1870" s="90" t="s">
        <v>378</v>
      </c>
      <c r="V1870" s="90" t="s">
        <v>244</v>
      </c>
      <c r="Z1870" s="90">
        <v>0</v>
      </c>
      <c r="AA1870" s="90">
        <v>1</v>
      </c>
      <c r="AB1870" s="90">
        <v>6.5252414191929994E-2</v>
      </c>
      <c r="AC1870" s="90">
        <v>1.2571320055809999E-2</v>
      </c>
      <c r="AD1870" s="90">
        <v>1190.7791190210901</v>
      </c>
      <c r="AF1870" s="90">
        <v>-1</v>
      </c>
      <c r="AG1870" s="90">
        <v>-1</v>
      </c>
      <c r="AH1870" s="90">
        <v>-1</v>
      </c>
      <c r="AI1870" s="90">
        <v>-1</v>
      </c>
      <c r="AJ1870" s="90">
        <v>0</v>
      </c>
      <c r="AM1870" s="90" t="s">
        <v>379</v>
      </c>
      <c r="AN1870" s="90">
        <v>-1</v>
      </c>
      <c r="AQ1870" s="90">
        <v>377</v>
      </c>
      <c r="AR1870" s="90" t="s">
        <v>286</v>
      </c>
      <c r="AS1870" s="90" t="s">
        <v>287</v>
      </c>
      <c r="AT1870" s="90" t="s">
        <v>244</v>
      </c>
      <c r="AU1870" s="90">
        <v>1.142728</v>
      </c>
      <c r="AV1870" s="90">
        <v>68.710727762130006</v>
      </c>
      <c r="AW1870" s="90">
        <v>24.404702306279901</v>
      </c>
      <c r="AX1870" s="90">
        <v>0.96575759859999999</v>
      </c>
    </row>
    <row r="1871" spans="1:50" x14ac:dyDescent="0.25">
      <c r="A1871" s="102">
        <v>830000</v>
      </c>
      <c r="B1871" s="102">
        <v>2400000</v>
      </c>
      <c r="C1871" s="102">
        <v>2400000</v>
      </c>
      <c r="D1871" s="90" t="s">
        <v>374</v>
      </c>
      <c r="E1871" s="90" t="s">
        <v>68</v>
      </c>
      <c r="F1871" s="90" t="s">
        <v>375</v>
      </c>
      <c r="G1871" s="90" t="s">
        <v>376</v>
      </c>
      <c r="H1871" s="90">
        <v>0.59</v>
      </c>
      <c r="I1871" s="90">
        <v>0.64</v>
      </c>
      <c r="J1871" s="90" t="s">
        <v>244</v>
      </c>
      <c r="K1871" s="90">
        <v>1.67918470777E-3</v>
      </c>
      <c r="L1871" s="90">
        <v>3761.60015982497</v>
      </c>
      <c r="M1871" s="90">
        <v>10.8203389713871</v>
      </c>
      <c r="N1871" s="90">
        <v>2.0846116730879101</v>
      </c>
      <c r="O1871" s="90">
        <v>1.8169347733729999E-2</v>
      </c>
      <c r="P1871" s="90">
        <v>3.5004480430999999E-3</v>
      </c>
      <c r="Q1871" s="90">
        <v>6.3164214651571298</v>
      </c>
      <c r="R1871" s="90">
        <v>1300</v>
      </c>
      <c r="S1871" s="90" t="s">
        <v>387</v>
      </c>
      <c r="T1871" s="90">
        <v>1300</v>
      </c>
      <c r="U1871" s="90" t="s">
        <v>378</v>
      </c>
      <c r="V1871" s="90" t="s">
        <v>244</v>
      </c>
      <c r="Z1871" s="90">
        <v>0</v>
      </c>
      <c r="AA1871" s="90">
        <v>1</v>
      </c>
      <c r="AB1871" s="90">
        <v>1.8169347733729999E-2</v>
      </c>
      <c r="AC1871" s="90">
        <v>3.5004480430999999E-3</v>
      </c>
      <c r="AD1871" s="90">
        <v>529.72802074742594</v>
      </c>
      <c r="AF1871" s="90">
        <v>-1</v>
      </c>
      <c r="AG1871" s="90">
        <v>-1</v>
      </c>
      <c r="AH1871" s="90">
        <v>-1</v>
      </c>
      <c r="AI1871" s="90">
        <v>-1</v>
      </c>
      <c r="AJ1871" s="90">
        <v>0</v>
      </c>
      <c r="AM1871" s="90" t="s">
        <v>379</v>
      </c>
      <c r="AN1871" s="90">
        <v>-1</v>
      </c>
      <c r="AQ1871" s="90">
        <v>377</v>
      </c>
      <c r="AR1871" s="90" t="s">
        <v>286</v>
      </c>
      <c r="AS1871" s="90" t="s">
        <v>287</v>
      </c>
      <c r="AT1871" s="90" t="s">
        <v>244</v>
      </c>
      <c r="AU1871" s="90">
        <v>1.142728</v>
      </c>
      <c r="AV1871" s="90">
        <v>27.957940367892</v>
      </c>
      <c r="AW1871" s="90">
        <v>6.7954194190725499</v>
      </c>
      <c r="AX1871" s="90">
        <v>0.429625321</v>
      </c>
    </row>
    <row r="1872" spans="1:50" x14ac:dyDescent="0.25">
      <c r="A1872" s="102">
        <v>830000</v>
      </c>
      <c r="B1872" s="102">
        <v>2400000</v>
      </c>
      <c r="C1872" s="102">
        <v>2400000</v>
      </c>
      <c r="D1872" s="90" t="s">
        <v>374</v>
      </c>
      <c r="E1872" s="90" t="s">
        <v>68</v>
      </c>
      <c r="F1872" s="90" t="s">
        <v>375</v>
      </c>
      <c r="G1872" s="90" t="s">
        <v>376</v>
      </c>
      <c r="H1872" s="90">
        <v>0.59</v>
      </c>
      <c r="I1872" s="90">
        <v>0.64</v>
      </c>
      <c r="J1872" s="90" t="s">
        <v>244</v>
      </c>
      <c r="K1872" s="90">
        <v>0.15341557361295999</v>
      </c>
      <c r="L1872" s="90">
        <v>3761.6001605256201</v>
      </c>
      <c r="M1872" s="90">
        <v>10.820338973402601</v>
      </c>
      <c r="N1872" s="90">
        <v>2.0846116734761999</v>
      </c>
      <c r="O1872" s="90">
        <v>1.66000851029128</v>
      </c>
      <c r="P1872" s="90">
        <v>0.31981189564662998</v>
      </c>
      <c r="Q1872" s="90">
        <v>577.08804632965996</v>
      </c>
      <c r="R1872" s="90">
        <v>1300</v>
      </c>
      <c r="S1872" s="90" t="s">
        <v>387</v>
      </c>
      <c r="T1872" s="90">
        <v>1300</v>
      </c>
      <c r="U1872" s="90" t="s">
        <v>378</v>
      </c>
      <c r="V1872" s="90" t="s">
        <v>244</v>
      </c>
      <c r="Z1872" s="90">
        <v>0</v>
      </c>
      <c r="AA1872" s="90">
        <v>1</v>
      </c>
      <c r="AB1872" s="90">
        <v>1.66000851029128</v>
      </c>
      <c r="AC1872" s="90">
        <v>0.31981189564662998</v>
      </c>
      <c r="AD1872" s="90">
        <v>955.02000478284197</v>
      </c>
      <c r="AF1872" s="90">
        <v>-1</v>
      </c>
      <c r="AG1872" s="90">
        <v>-1</v>
      </c>
      <c r="AH1872" s="90">
        <v>-1</v>
      </c>
      <c r="AI1872" s="90">
        <v>-1</v>
      </c>
      <c r="AJ1872" s="90">
        <v>0</v>
      </c>
      <c r="AM1872" s="90" t="s">
        <v>379</v>
      </c>
      <c r="AN1872" s="90">
        <v>-1</v>
      </c>
      <c r="AQ1872" s="90">
        <v>377</v>
      </c>
      <c r="AR1872" s="90" t="s">
        <v>286</v>
      </c>
      <c r="AS1872" s="90" t="s">
        <v>287</v>
      </c>
      <c r="AT1872" s="90" t="s">
        <v>244</v>
      </c>
      <c r="AU1872" s="90">
        <v>1.142728</v>
      </c>
      <c r="AV1872" s="90">
        <v>126.72426896425701</v>
      </c>
      <c r="AW1872" s="90">
        <v>620.85079937180797</v>
      </c>
      <c r="AX1872" s="90">
        <v>0.77454988219999998</v>
      </c>
    </row>
    <row r="1873" spans="1:50" x14ac:dyDescent="0.25">
      <c r="A1873" s="102">
        <v>830000</v>
      </c>
      <c r="B1873" s="102">
        <v>2400000</v>
      </c>
      <c r="C1873" s="102">
        <v>2400000</v>
      </c>
      <c r="D1873" s="90" t="s">
        <v>374</v>
      </c>
      <c r="E1873" s="90" t="s">
        <v>68</v>
      </c>
      <c r="F1873" s="90" t="s">
        <v>375</v>
      </c>
      <c r="G1873" s="90" t="s">
        <v>376</v>
      </c>
      <c r="H1873" s="90">
        <v>0.59</v>
      </c>
      <c r="I1873" s="90">
        <v>0.64</v>
      </c>
      <c r="J1873" s="90" t="s">
        <v>244</v>
      </c>
      <c r="K1873" s="90">
        <v>3.0144964814600001E-3</v>
      </c>
      <c r="L1873" s="90">
        <v>3761.6001605256201</v>
      </c>
      <c r="M1873" s="90">
        <v>10.820338973402601</v>
      </c>
      <c r="N1873" s="90">
        <v>2.0846116734761999</v>
      </c>
      <c r="O1873" s="90">
        <v>3.261787376361E-2</v>
      </c>
      <c r="P1873" s="90">
        <v>6.2840545549200004E-3</v>
      </c>
      <c r="Q1873" s="90">
        <v>11.3393304485939</v>
      </c>
      <c r="R1873" s="90">
        <v>1300</v>
      </c>
      <c r="S1873" s="90" t="s">
        <v>387</v>
      </c>
      <c r="T1873" s="90">
        <v>1300</v>
      </c>
      <c r="U1873" s="90" t="s">
        <v>378</v>
      </c>
      <c r="V1873" s="90" t="s">
        <v>244</v>
      </c>
      <c r="Z1873" s="90">
        <v>0</v>
      </c>
      <c r="AA1873" s="90">
        <v>1</v>
      </c>
      <c r="AB1873" s="90">
        <v>3.261787376361E-2</v>
      </c>
      <c r="AC1873" s="90">
        <v>6.2840545549200004E-3</v>
      </c>
      <c r="AD1873" s="90">
        <v>1051.79232325369</v>
      </c>
      <c r="AF1873" s="90">
        <v>-1</v>
      </c>
      <c r="AG1873" s="90">
        <v>-1</v>
      </c>
      <c r="AH1873" s="90">
        <v>-1</v>
      </c>
      <c r="AI1873" s="90">
        <v>-1</v>
      </c>
      <c r="AJ1873" s="90">
        <v>0</v>
      </c>
      <c r="AM1873" s="90" t="s">
        <v>379</v>
      </c>
      <c r="AN1873" s="90">
        <v>-1</v>
      </c>
      <c r="AQ1873" s="90">
        <v>377</v>
      </c>
      <c r="AR1873" s="90" t="s">
        <v>286</v>
      </c>
      <c r="AS1873" s="90" t="s">
        <v>287</v>
      </c>
      <c r="AT1873" s="90" t="s">
        <v>244</v>
      </c>
      <c r="AU1873" s="90">
        <v>1.142728</v>
      </c>
      <c r="AV1873" s="90">
        <v>51.461961347304999</v>
      </c>
      <c r="AW1873" s="90">
        <v>12.1992344463305</v>
      </c>
      <c r="AX1873" s="90">
        <v>0.85303513649999996</v>
      </c>
    </row>
    <row r="1874" spans="1:50" x14ac:dyDescent="0.25">
      <c r="A1874" s="102">
        <v>830000</v>
      </c>
      <c r="B1874" s="102">
        <v>2400000</v>
      </c>
      <c r="C1874" s="102">
        <v>2400000</v>
      </c>
      <c r="D1874" s="90" t="s">
        <v>374</v>
      </c>
      <c r="E1874" s="90" t="s">
        <v>68</v>
      </c>
      <c r="F1874" s="90" t="s">
        <v>375</v>
      </c>
      <c r="G1874" s="90" t="s">
        <v>376</v>
      </c>
      <c r="H1874" s="90">
        <v>0.59</v>
      </c>
      <c r="I1874" s="90">
        <v>0.64</v>
      </c>
      <c r="J1874" s="90" t="s">
        <v>244</v>
      </c>
      <c r="K1874" s="90">
        <v>9.1846897661009994E-2</v>
      </c>
      <c r="L1874" s="90">
        <v>3758.8981531250702</v>
      </c>
      <c r="M1874" s="90">
        <v>10.8130311252903</v>
      </c>
      <c r="N1874" s="90">
        <v>2.08325781237515</v>
      </c>
      <c r="O1874" s="90">
        <v>0.99314336316987994</v>
      </c>
      <c r="P1874" s="90">
        <v>0.19134076709472</v>
      </c>
      <c r="Q1874" s="90">
        <v>345.24313398824501</v>
      </c>
      <c r="R1874" s="90">
        <v>1300</v>
      </c>
      <c r="S1874" s="90" t="s">
        <v>387</v>
      </c>
      <c r="T1874" s="90">
        <v>1300</v>
      </c>
      <c r="U1874" s="90" t="s">
        <v>378</v>
      </c>
      <c r="V1874" s="90" t="s">
        <v>244</v>
      </c>
      <c r="Z1874" s="90">
        <v>0</v>
      </c>
      <c r="AA1874" s="90">
        <v>1</v>
      </c>
      <c r="AB1874" s="90">
        <v>0.99314336316987994</v>
      </c>
      <c r="AC1874" s="90">
        <v>0.19134076709472</v>
      </c>
      <c r="AD1874" s="90">
        <v>1043.70411707223</v>
      </c>
      <c r="AF1874" s="90">
        <v>-1</v>
      </c>
      <c r="AG1874" s="90">
        <v>-1</v>
      </c>
      <c r="AH1874" s="90">
        <v>-1</v>
      </c>
      <c r="AI1874" s="90">
        <v>-1</v>
      </c>
      <c r="AJ1874" s="90">
        <v>0</v>
      </c>
      <c r="AM1874" s="90" t="s">
        <v>379</v>
      </c>
      <c r="AN1874" s="90">
        <v>-1</v>
      </c>
      <c r="AQ1874" s="90">
        <v>377</v>
      </c>
      <c r="AR1874" s="90" t="s">
        <v>286</v>
      </c>
      <c r="AS1874" s="90" t="s">
        <v>287</v>
      </c>
      <c r="AT1874" s="90" t="s">
        <v>244</v>
      </c>
      <c r="AU1874" s="90">
        <v>1.142728</v>
      </c>
      <c r="AV1874" s="90">
        <v>111.76175552046</v>
      </c>
      <c r="AW1874" s="90">
        <v>371.69120767698303</v>
      </c>
      <c r="AX1874" s="90">
        <v>0.8464753585</v>
      </c>
    </row>
    <row r="1875" spans="1:50" x14ac:dyDescent="0.25">
      <c r="A1875" s="102">
        <v>830000</v>
      </c>
      <c r="B1875" s="102">
        <v>2400000</v>
      </c>
      <c r="C1875" s="102">
        <v>2500000</v>
      </c>
      <c r="D1875" s="90" t="s">
        <v>374</v>
      </c>
      <c r="E1875" s="90" t="s">
        <v>68</v>
      </c>
      <c r="F1875" s="90" t="s">
        <v>375</v>
      </c>
      <c r="G1875" s="90" t="s">
        <v>376</v>
      </c>
      <c r="H1875" s="90">
        <v>0.59</v>
      </c>
      <c r="I1875" s="90">
        <v>0.64</v>
      </c>
      <c r="J1875" s="90" t="s">
        <v>244</v>
      </c>
      <c r="K1875" s="90">
        <v>1.2707540092350001E-2</v>
      </c>
      <c r="L1875" s="90">
        <v>3754.8754972583802</v>
      </c>
      <c r="M1875" s="90">
        <v>10.802199967825601</v>
      </c>
      <c r="N1875" s="90">
        <v>2.0812572217348602</v>
      </c>
      <c r="O1875" s="90">
        <v>0.13726938917677001</v>
      </c>
      <c r="P1875" s="90">
        <v>2.6447659587689999E-2</v>
      </c>
      <c r="Q1875" s="90">
        <v>47.715230923208502</v>
      </c>
      <c r="R1875" s="90">
        <v>1300</v>
      </c>
      <c r="S1875" s="90" t="s">
        <v>387</v>
      </c>
      <c r="T1875" s="90">
        <v>1300</v>
      </c>
      <c r="U1875" s="90" t="s">
        <v>378</v>
      </c>
      <c r="V1875" s="90" t="s">
        <v>244</v>
      </c>
      <c r="Z1875" s="90">
        <v>0</v>
      </c>
      <c r="AA1875" s="90">
        <v>1</v>
      </c>
      <c r="AB1875" s="90">
        <v>0.13726938917677001</v>
      </c>
      <c r="AC1875" s="90">
        <v>2.6447659587689999E-2</v>
      </c>
      <c r="AD1875" s="90">
        <v>1220.41225481997</v>
      </c>
      <c r="AF1875" s="90">
        <v>-1</v>
      </c>
      <c r="AG1875" s="90">
        <v>-1</v>
      </c>
      <c r="AH1875" s="90">
        <v>-1</v>
      </c>
      <c r="AI1875" s="90">
        <v>-1</v>
      </c>
      <c r="AJ1875" s="90">
        <v>0</v>
      </c>
      <c r="AM1875" s="90" t="s">
        <v>379</v>
      </c>
      <c r="AN1875" s="90">
        <v>-1</v>
      </c>
      <c r="AQ1875" s="90">
        <v>377</v>
      </c>
      <c r="AR1875" s="90" t="s">
        <v>286</v>
      </c>
      <c r="AS1875" s="90" t="s">
        <v>287</v>
      </c>
      <c r="AT1875" s="90" t="s">
        <v>244</v>
      </c>
      <c r="AU1875" s="90">
        <v>1.142728</v>
      </c>
      <c r="AV1875" s="90">
        <v>29.721015642411</v>
      </c>
      <c r="AW1875" s="90">
        <v>51.425590235647498</v>
      </c>
      <c r="AX1875" s="90">
        <v>0.98979096089999996</v>
      </c>
    </row>
    <row r="1876" spans="1:50" x14ac:dyDescent="0.25">
      <c r="A1876" s="102">
        <v>830000</v>
      </c>
      <c r="B1876" s="102">
        <v>2400000</v>
      </c>
      <c r="C1876" s="102">
        <v>2500000</v>
      </c>
      <c r="D1876" s="90" t="s">
        <v>374</v>
      </c>
      <c r="E1876" s="90" t="s">
        <v>68</v>
      </c>
      <c r="F1876" s="90" t="s">
        <v>375</v>
      </c>
      <c r="G1876" s="90" t="s">
        <v>376</v>
      </c>
      <c r="H1876" s="90">
        <v>0.59</v>
      </c>
      <c r="I1876" s="90">
        <v>0.64</v>
      </c>
      <c r="J1876" s="90" t="s">
        <v>244</v>
      </c>
      <c r="K1876" s="90">
        <v>8.5088510634069997E-2</v>
      </c>
      <c r="L1876" s="90">
        <v>3761.6001606657501</v>
      </c>
      <c r="M1876" s="90">
        <v>10.820338973805701</v>
      </c>
      <c r="N1876" s="90">
        <v>2.08461167355386</v>
      </c>
      <c r="O1876" s="90">
        <v>0.92068652783698002</v>
      </c>
      <c r="P1876" s="90">
        <v>0.1773765025531</v>
      </c>
      <c r="Q1876" s="90">
        <v>320.06895527195297</v>
      </c>
      <c r="R1876" s="90">
        <v>1300</v>
      </c>
      <c r="S1876" s="90" t="s">
        <v>387</v>
      </c>
      <c r="T1876" s="90">
        <v>1300</v>
      </c>
      <c r="U1876" s="90" t="s">
        <v>378</v>
      </c>
      <c r="V1876" s="90" t="s">
        <v>244</v>
      </c>
      <c r="Z1876" s="90">
        <v>0</v>
      </c>
      <c r="AA1876" s="90">
        <v>1</v>
      </c>
      <c r="AB1876" s="90">
        <v>0.92068652783698002</v>
      </c>
      <c r="AC1876" s="90">
        <v>0.1773765025531</v>
      </c>
      <c r="AD1876" s="90">
        <v>333.52738978756702</v>
      </c>
      <c r="AF1876" s="90">
        <v>-1</v>
      </c>
      <c r="AG1876" s="90">
        <v>-1</v>
      </c>
      <c r="AH1876" s="90">
        <v>-1</v>
      </c>
      <c r="AI1876" s="90">
        <v>-1</v>
      </c>
      <c r="AJ1876" s="90">
        <v>0</v>
      </c>
      <c r="AM1876" s="90" t="s">
        <v>379</v>
      </c>
      <c r="AN1876" s="90">
        <v>-1</v>
      </c>
      <c r="AQ1876" s="90">
        <v>377</v>
      </c>
      <c r="AR1876" s="90" t="s">
        <v>286</v>
      </c>
      <c r="AS1876" s="90" t="s">
        <v>287</v>
      </c>
      <c r="AT1876" s="90" t="s">
        <v>244</v>
      </c>
      <c r="AU1876" s="90">
        <v>1.142728</v>
      </c>
      <c r="AV1876" s="90">
        <v>119.001590190985</v>
      </c>
      <c r="AW1876" s="90">
        <v>344.340985731964</v>
      </c>
      <c r="AX1876" s="90">
        <v>0.27050072159999999</v>
      </c>
    </row>
    <row r="1877" spans="1:50" x14ac:dyDescent="0.25">
      <c r="A1877" s="102">
        <v>830000</v>
      </c>
      <c r="B1877" s="102">
        <v>2400000</v>
      </c>
      <c r="C1877" s="102">
        <v>2500000</v>
      </c>
      <c r="D1877" s="90" t="s">
        <v>374</v>
      </c>
      <c r="E1877" s="90" t="s">
        <v>68</v>
      </c>
      <c r="F1877" s="90" t="s">
        <v>375</v>
      </c>
      <c r="G1877" s="90" t="s">
        <v>376</v>
      </c>
      <c r="H1877" s="90">
        <v>0.59</v>
      </c>
      <c r="I1877" s="90">
        <v>0.64</v>
      </c>
      <c r="J1877" s="90" t="s">
        <v>244</v>
      </c>
      <c r="K1877" s="90">
        <v>8.5537296502799995E-3</v>
      </c>
      <c r="L1877" s="90">
        <v>3761.6001606657501</v>
      </c>
      <c r="M1877" s="90">
        <v>10.820338973805701</v>
      </c>
      <c r="N1877" s="90">
        <v>2.08461167355386</v>
      </c>
      <c r="O1877" s="90">
        <v>9.255425430632E-2</v>
      </c>
      <c r="P1877" s="90">
        <v>1.783120468139E-2</v>
      </c>
      <c r="Q1877" s="90">
        <v>32.175710826784602</v>
      </c>
      <c r="R1877" s="90">
        <v>1300</v>
      </c>
      <c r="S1877" s="90" t="s">
        <v>387</v>
      </c>
      <c r="T1877" s="90">
        <v>1300</v>
      </c>
      <c r="U1877" s="90" t="s">
        <v>378</v>
      </c>
      <c r="V1877" s="90" t="s">
        <v>244</v>
      </c>
      <c r="Z1877" s="90">
        <v>0</v>
      </c>
      <c r="AA1877" s="90">
        <v>1</v>
      </c>
      <c r="AB1877" s="90">
        <v>9.255425430632E-2</v>
      </c>
      <c r="AC1877" s="90">
        <v>1.783120468139E-2</v>
      </c>
      <c r="AD1877" s="90">
        <v>943.38034794816804</v>
      </c>
      <c r="AF1877" s="90">
        <v>-1</v>
      </c>
      <c r="AG1877" s="90">
        <v>-1</v>
      </c>
      <c r="AH1877" s="90">
        <v>-1</v>
      </c>
      <c r="AI1877" s="90">
        <v>-1</v>
      </c>
      <c r="AJ1877" s="90">
        <v>0</v>
      </c>
      <c r="AM1877" s="90" t="s">
        <v>379</v>
      </c>
      <c r="AN1877" s="90">
        <v>-1</v>
      </c>
      <c r="AQ1877" s="90">
        <v>377</v>
      </c>
      <c r="AR1877" s="90" t="s">
        <v>286</v>
      </c>
      <c r="AS1877" s="90" t="s">
        <v>287</v>
      </c>
      <c r="AT1877" s="90" t="s">
        <v>244</v>
      </c>
      <c r="AU1877" s="90">
        <v>1.142728</v>
      </c>
      <c r="AV1877" s="90">
        <v>66.639520991727494</v>
      </c>
      <c r="AW1877" s="90">
        <v>34.615715770708398</v>
      </c>
      <c r="AX1877" s="90">
        <v>0.76510977120000001</v>
      </c>
    </row>
    <row r="1878" spans="1:50" x14ac:dyDescent="0.25">
      <c r="A1878" s="102">
        <v>830000</v>
      </c>
      <c r="B1878" s="102">
        <v>2400000</v>
      </c>
      <c r="C1878" s="102">
        <v>2500000</v>
      </c>
      <c r="D1878" s="90" t="s">
        <v>374</v>
      </c>
      <c r="E1878" s="90" t="s">
        <v>68</v>
      </c>
      <c r="F1878" s="90" t="s">
        <v>375</v>
      </c>
      <c r="G1878" s="90" t="s">
        <v>376</v>
      </c>
      <c r="H1878" s="90">
        <v>0.59</v>
      </c>
      <c r="I1878" s="90">
        <v>0.64</v>
      </c>
      <c r="J1878" s="90" t="s">
        <v>244</v>
      </c>
      <c r="K1878" s="90">
        <v>1.5452039298399999E-3</v>
      </c>
      <c r="L1878" s="90">
        <v>3761.6001606657501</v>
      </c>
      <c r="M1878" s="90">
        <v>10.820338973805701</v>
      </c>
      <c r="N1878" s="90">
        <v>2.08461167355386</v>
      </c>
      <c r="O1878" s="90">
        <v>1.6719630304619999E-2</v>
      </c>
      <c r="P1878" s="90">
        <v>3.2211501501799998E-3</v>
      </c>
      <c r="Q1878" s="90">
        <v>5.8124393507813501</v>
      </c>
      <c r="R1878" s="90">
        <v>1300</v>
      </c>
      <c r="S1878" s="90" t="s">
        <v>387</v>
      </c>
      <c r="T1878" s="90">
        <v>1300</v>
      </c>
      <c r="U1878" s="90" t="s">
        <v>378</v>
      </c>
      <c r="V1878" s="90" t="s">
        <v>244</v>
      </c>
      <c r="Z1878" s="90">
        <v>0</v>
      </c>
      <c r="AA1878" s="90">
        <v>1</v>
      </c>
      <c r="AB1878" s="90">
        <v>1.6719630304619999E-2</v>
      </c>
      <c r="AC1878" s="90">
        <v>3.2211501501799998E-3</v>
      </c>
      <c r="AD1878" s="90">
        <v>580.88915800674602</v>
      </c>
      <c r="AF1878" s="90">
        <v>-1</v>
      </c>
      <c r="AG1878" s="90">
        <v>-1</v>
      </c>
      <c r="AH1878" s="90">
        <v>-1</v>
      </c>
      <c r="AI1878" s="90">
        <v>-1</v>
      </c>
      <c r="AJ1878" s="90">
        <v>0</v>
      </c>
      <c r="AM1878" s="90" t="s">
        <v>379</v>
      </c>
      <c r="AN1878" s="90">
        <v>-1</v>
      </c>
      <c r="AQ1878" s="90">
        <v>377</v>
      </c>
      <c r="AR1878" s="90" t="s">
        <v>286</v>
      </c>
      <c r="AS1878" s="90" t="s">
        <v>287</v>
      </c>
      <c r="AT1878" s="90" t="s">
        <v>244</v>
      </c>
      <c r="AU1878" s="90">
        <v>1.142728</v>
      </c>
      <c r="AV1878" s="90">
        <v>17.560051438030499</v>
      </c>
      <c r="AW1878" s="90">
        <v>6.2532184474281696</v>
      </c>
      <c r="AX1878" s="90">
        <v>0.47111853850000002</v>
      </c>
    </row>
    <row r="1879" spans="1:50" x14ac:dyDescent="0.25">
      <c r="A1879" s="102">
        <v>840000</v>
      </c>
      <c r="B1879" s="102">
        <v>2400000</v>
      </c>
      <c r="C1879" s="102">
        <v>2400000</v>
      </c>
      <c r="D1879" s="90" t="s">
        <v>374</v>
      </c>
      <c r="E1879" s="90" t="s">
        <v>68</v>
      </c>
      <c r="F1879" s="90" t="s">
        <v>375</v>
      </c>
      <c r="G1879" s="90" t="s">
        <v>376</v>
      </c>
      <c r="H1879" s="90">
        <v>0.59</v>
      </c>
      <c r="I1879" s="90">
        <v>0.64</v>
      </c>
      <c r="J1879" s="90" t="s">
        <v>244</v>
      </c>
      <c r="K1879" s="90">
        <v>4.6844095314999999E-4</v>
      </c>
      <c r="L1879" s="90">
        <v>3761.6001606657501</v>
      </c>
      <c r="M1879" s="90">
        <v>10.820338973805701</v>
      </c>
      <c r="N1879" s="90">
        <v>2.08461167355386</v>
      </c>
      <c r="O1879" s="90">
        <v>5.0686899023899999E-3</v>
      </c>
      <c r="P1879" s="90">
        <v>9.7651747932000002E-4</v>
      </c>
      <c r="Q1879" s="90">
        <v>1.76208756466531</v>
      </c>
      <c r="R1879" s="90">
        <v>1300</v>
      </c>
      <c r="S1879" s="90" t="s">
        <v>387</v>
      </c>
      <c r="T1879" s="90">
        <v>1300</v>
      </c>
      <c r="U1879" s="90" t="s">
        <v>378</v>
      </c>
      <c r="V1879" s="90" t="s">
        <v>244</v>
      </c>
      <c r="Z1879" s="90">
        <v>0</v>
      </c>
      <c r="AA1879" s="90">
        <v>1</v>
      </c>
      <c r="AB1879" s="90">
        <v>5.0686899023899999E-3</v>
      </c>
      <c r="AC1879" s="90">
        <v>9.7651747932000002E-4</v>
      </c>
      <c r="AD1879" s="90">
        <v>2318.4846496445198</v>
      </c>
      <c r="AF1879" s="90">
        <v>-1</v>
      </c>
      <c r="AG1879" s="90">
        <v>-1</v>
      </c>
      <c r="AH1879" s="90">
        <v>-1</v>
      </c>
      <c r="AI1879" s="90">
        <v>-1</v>
      </c>
      <c r="AJ1879" s="90">
        <v>0</v>
      </c>
      <c r="AM1879" s="90" t="s">
        <v>379</v>
      </c>
      <c r="AN1879" s="90">
        <v>-1</v>
      </c>
      <c r="AQ1879" s="90">
        <v>377</v>
      </c>
      <c r="AR1879" s="90" t="s">
        <v>286</v>
      </c>
      <c r="AS1879" s="90" t="s">
        <v>287</v>
      </c>
      <c r="AT1879" s="90" t="s">
        <v>244</v>
      </c>
      <c r="AU1879" s="90">
        <v>1.142728</v>
      </c>
      <c r="AV1879" s="90">
        <v>21.367111189582101</v>
      </c>
      <c r="AW1879" s="90">
        <v>1.89571327980813</v>
      </c>
      <c r="AX1879" s="90">
        <v>1.8803606241999999</v>
      </c>
    </row>
    <row r="1880" spans="1:50" x14ac:dyDescent="0.25">
      <c r="A1880" s="102">
        <v>840000</v>
      </c>
      <c r="B1880" s="102">
        <v>2400000</v>
      </c>
      <c r="C1880" s="102">
        <v>2400000</v>
      </c>
      <c r="D1880" s="90" t="s">
        <v>374</v>
      </c>
      <c r="E1880" s="90" t="s">
        <v>68</v>
      </c>
      <c r="F1880" s="90" t="s">
        <v>375</v>
      </c>
      <c r="G1880" s="90" t="s">
        <v>376</v>
      </c>
      <c r="H1880" s="90">
        <v>0.59</v>
      </c>
      <c r="I1880" s="90">
        <v>0.64</v>
      </c>
      <c r="J1880" s="90" t="s">
        <v>244</v>
      </c>
      <c r="K1880" s="90">
        <v>8.2849621534999995E-4</v>
      </c>
      <c r="L1880" s="90">
        <v>3761.6001601052299</v>
      </c>
      <c r="M1880" s="90">
        <v>10.8203389721933</v>
      </c>
      <c r="N1880" s="90">
        <v>2.0846116732432298</v>
      </c>
      <c r="O1880" s="90">
        <v>8.9646098873099999E-3</v>
      </c>
      <c r="P1880" s="90">
        <v>1.72709288176E-3</v>
      </c>
      <c r="Q1880" s="90">
        <v>3.11647149632218</v>
      </c>
      <c r="R1880" s="90">
        <v>1300</v>
      </c>
      <c r="S1880" s="90" t="s">
        <v>387</v>
      </c>
      <c r="T1880" s="90">
        <v>1300</v>
      </c>
      <c r="U1880" s="90" t="s">
        <v>378</v>
      </c>
      <c r="V1880" s="90" t="s">
        <v>244</v>
      </c>
      <c r="Z1880" s="90">
        <v>0</v>
      </c>
      <c r="AA1880" s="90">
        <v>1</v>
      </c>
      <c r="AB1880" s="90">
        <v>8.9646098873099999E-3</v>
      </c>
      <c r="AC1880" s="90">
        <v>1.72709288176E-3</v>
      </c>
      <c r="AD1880" s="90">
        <v>1317.5866469792099</v>
      </c>
      <c r="AF1880" s="90">
        <v>-1</v>
      </c>
      <c r="AG1880" s="90">
        <v>-1</v>
      </c>
      <c r="AH1880" s="90">
        <v>-1</v>
      </c>
      <c r="AI1880" s="90">
        <v>-1</v>
      </c>
      <c r="AJ1880" s="90">
        <v>0</v>
      </c>
      <c r="AM1880" s="90" t="s">
        <v>379</v>
      </c>
      <c r="AN1880" s="90">
        <v>-1</v>
      </c>
      <c r="AQ1880" s="90">
        <v>377</v>
      </c>
      <c r="AR1880" s="90" t="s">
        <v>286</v>
      </c>
      <c r="AS1880" s="90" t="s">
        <v>287</v>
      </c>
      <c r="AT1880" s="90" t="s">
        <v>244</v>
      </c>
      <c r="AU1880" s="90">
        <v>1.142728</v>
      </c>
      <c r="AV1880" s="90">
        <v>41.299130994092899</v>
      </c>
      <c r="AW1880" s="90">
        <v>3.35280523004131</v>
      </c>
      <c r="AX1880" s="90">
        <v>1.0686023090000001</v>
      </c>
    </row>
    <row r="1881" spans="1:50" x14ac:dyDescent="0.25">
      <c r="A1881" s="102">
        <v>840000</v>
      </c>
      <c r="B1881" s="102">
        <v>2400000</v>
      </c>
      <c r="C1881" s="102">
        <v>2400000</v>
      </c>
      <c r="D1881" s="90" t="s">
        <v>374</v>
      </c>
      <c r="E1881" s="90" t="s">
        <v>68</v>
      </c>
      <c r="F1881" s="90" t="s">
        <v>375</v>
      </c>
      <c r="G1881" s="90" t="s">
        <v>376</v>
      </c>
      <c r="H1881" s="90">
        <v>0.59</v>
      </c>
      <c r="I1881" s="90">
        <v>0.64</v>
      </c>
      <c r="J1881" s="90" t="s">
        <v>244</v>
      </c>
      <c r="K1881" s="90">
        <v>8.0847395989000004E-4</v>
      </c>
      <c r="L1881" s="90">
        <v>3761.6001601052299</v>
      </c>
      <c r="M1881" s="90">
        <v>10.8203389721933</v>
      </c>
      <c r="N1881" s="90">
        <v>2.0846116732432298</v>
      </c>
      <c r="O1881" s="90">
        <v>8.7479622962E-3</v>
      </c>
      <c r="P1881" s="90">
        <v>1.6853542542999999E-3</v>
      </c>
      <c r="Q1881" s="90">
        <v>3.0411557769631301</v>
      </c>
      <c r="R1881" s="90">
        <v>1300</v>
      </c>
      <c r="S1881" s="90" t="s">
        <v>387</v>
      </c>
      <c r="T1881" s="90">
        <v>1300</v>
      </c>
      <c r="U1881" s="90" t="s">
        <v>378</v>
      </c>
      <c r="V1881" s="90" t="s">
        <v>244</v>
      </c>
      <c r="Z1881" s="90">
        <v>0</v>
      </c>
      <c r="AA1881" s="90">
        <v>1</v>
      </c>
      <c r="AB1881" s="90">
        <v>8.7479622962E-3</v>
      </c>
      <c r="AC1881" s="90">
        <v>1.6853542542999999E-3</v>
      </c>
      <c r="AD1881" s="90">
        <v>1589.06030459612</v>
      </c>
      <c r="AF1881" s="90">
        <v>-1</v>
      </c>
      <c r="AG1881" s="90">
        <v>-1</v>
      </c>
      <c r="AH1881" s="90">
        <v>-1</v>
      </c>
      <c r="AI1881" s="90">
        <v>-1</v>
      </c>
      <c r="AJ1881" s="90">
        <v>0</v>
      </c>
      <c r="AM1881" s="90" t="s">
        <v>379</v>
      </c>
      <c r="AN1881" s="90">
        <v>-1</v>
      </c>
      <c r="AQ1881" s="90">
        <v>377</v>
      </c>
      <c r="AR1881" s="90" t="s">
        <v>286</v>
      </c>
      <c r="AS1881" s="90" t="s">
        <v>287</v>
      </c>
      <c r="AT1881" s="90" t="s">
        <v>244</v>
      </c>
      <c r="AU1881" s="90">
        <v>1.142728</v>
      </c>
      <c r="AV1881" s="90">
        <v>71.190669710054607</v>
      </c>
      <c r="AW1881" s="90">
        <v>3.2717780369259799</v>
      </c>
      <c r="AX1881" s="90">
        <v>1.2887755916999999</v>
      </c>
    </row>
    <row r="1882" spans="1:50" x14ac:dyDescent="0.25">
      <c r="A1882" s="102">
        <v>830000</v>
      </c>
      <c r="B1882" s="102">
        <v>2400000</v>
      </c>
      <c r="C1882" s="102">
        <v>2400000</v>
      </c>
      <c r="D1882" s="90" t="s">
        <v>374</v>
      </c>
      <c r="E1882" s="90" t="s">
        <v>68</v>
      </c>
      <c r="F1882" s="90" t="s">
        <v>375</v>
      </c>
      <c r="G1882" s="90" t="s">
        <v>376</v>
      </c>
      <c r="H1882" s="90">
        <v>0.59</v>
      </c>
      <c r="I1882" s="90">
        <v>0.64</v>
      </c>
      <c r="J1882" s="90" t="s">
        <v>244</v>
      </c>
      <c r="K1882" s="90">
        <v>4.5678694037479997E-2</v>
      </c>
      <c r="L1882" s="90">
        <v>3761.5798087868202</v>
      </c>
      <c r="M1882" s="90">
        <v>10.8202516724301</v>
      </c>
      <c r="N1882" s="90">
        <v>2.0845915085551199</v>
      </c>
      <c r="O1882" s="90">
        <v>0.49425496555346998</v>
      </c>
      <c r="P1882" s="90">
        <v>9.5221417712420001E-2</v>
      </c>
      <c r="Q1882" s="90">
        <v>171.824053183139</v>
      </c>
      <c r="R1882" s="90">
        <v>1300</v>
      </c>
      <c r="S1882" s="90" t="s">
        <v>387</v>
      </c>
      <c r="T1882" s="90">
        <v>1300</v>
      </c>
      <c r="U1882" s="90" t="s">
        <v>378</v>
      </c>
      <c r="V1882" s="90" t="s">
        <v>244</v>
      </c>
      <c r="Z1882" s="90">
        <v>0</v>
      </c>
      <c r="AA1882" s="90">
        <v>1</v>
      </c>
      <c r="AB1882" s="90">
        <v>0.49425496555346998</v>
      </c>
      <c r="AC1882" s="90">
        <v>9.5221417712420001E-2</v>
      </c>
      <c r="AD1882" s="90">
        <v>258.03072988901698</v>
      </c>
      <c r="AF1882" s="90">
        <v>-1</v>
      </c>
      <c r="AG1882" s="90">
        <v>-1</v>
      </c>
      <c r="AH1882" s="90">
        <v>-1</v>
      </c>
      <c r="AI1882" s="90">
        <v>-1</v>
      </c>
      <c r="AJ1882" s="90">
        <v>0</v>
      </c>
      <c r="AM1882" s="90" t="s">
        <v>379</v>
      </c>
      <c r="AN1882" s="90">
        <v>-1</v>
      </c>
      <c r="AQ1882" s="90">
        <v>378</v>
      </c>
      <c r="AR1882" s="90" t="s">
        <v>288</v>
      </c>
      <c r="AS1882" s="90" t="s">
        <v>287</v>
      </c>
      <c r="AT1882" s="90" t="s">
        <v>244</v>
      </c>
      <c r="AU1882" s="90">
        <v>1.363408</v>
      </c>
      <c r="AV1882" s="90">
        <v>69.438077861803606</v>
      </c>
      <c r="AW1882" s="90">
        <v>184.85511633242399</v>
      </c>
      <c r="AX1882" s="90">
        <v>0.20927066499999999</v>
      </c>
    </row>
    <row r="1883" spans="1:50" x14ac:dyDescent="0.25">
      <c r="A1883" s="102">
        <v>830000</v>
      </c>
      <c r="B1883" s="102">
        <v>2400000</v>
      </c>
      <c r="C1883" s="102">
        <v>2400000</v>
      </c>
      <c r="D1883" s="90" t="s">
        <v>374</v>
      </c>
      <c r="E1883" s="90" t="s">
        <v>68</v>
      </c>
      <c r="F1883" s="90" t="s">
        <v>375</v>
      </c>
      <c r="G1883" s="90" t="s">
        <v>376</v>
      </c>
      <c r="H1883" s="90">
        <v>0.59</v>
      </c>
      <c r="I1883" s="90">
        <v>0.64</v>
      </c>
      <c r="J1883" s="90" t="s">
        <v>244</v>
      </c>
      <c r="K1883" s="90">
        <v>6.1714862543060002E-2</v>
      </c>
      <c r="L1883" s="90">
        <v>3761.6001606657501</v>
      </c>
      <c r="M1883" s="90">
        <v>10.820338973805701</v>
      </c>
      <c r="N1883" s="90">
        <v>2.08461167355386</v>
      </c>
      <c r="O1883" s="90">
        <v>0.66777573243779997</v>
      </c>
      <c r="P1883" s="90">
        <v>0.12865152288904</v>
      </c>
      <c r="Q1883" s="90">
        <v>232.146636857461</v>
      </c>
      <c r="R1883" s="90">
        <v>1300</v>
      </c>
      <c r="S1883" s="90" t="s">
        <v>387</v>
      </c>
      <c r="T1883" s="90">
        <v>1300</v>
      </c>
      <c r="U1883" s="90" t="s">
        <v>378</v>
      </c>
      <c r="V1883" s="90" t="s">
        <v>244</v>
      </c>
      <c r="Z1883" s="90">
        <v>0</v>
      </c>
      <c r="AA1883" s="90">
        <v>1</v>
      </c>
      <c r="AB1883" s="90">
        <v>0.66777573243779997</v>
      </c>
      <c r="AC1883" s="90">
        <v>0.12865152288904</v>
      </c>
      <c r="AD1883" s="90">
        <v>2318.4846496445198</v>
      </c>
      <c r="AF1883" s="90">
        <v>-1</v>
      </c>
      <c r="AG1883" s="90">
        <v>-1</v>
      </c>
      <c r="AH1883" s="90">
        <v>-1</v>
      </c>
      <c r="AI1883" s="90">
        <v>-1</v>
      </c>
      <c r="AJ1883" s="90">
        <v>0</v>
      </c>
      <c r="AM1883" s="90" t="s">
        <v>379</v>
      </c>
      <c r="AN1883" s="90">
        <v>-1</v>
      </c>
      <c r="AQ1883" s="90">
        <v>378</v>
      </c>
      <c r="AR1883" s="90" t="s">
        <v>288</v>
      </c>
      <c r="AS1883" s="90" t="s">
        <v>287</v>
      </c>
      <c r="AT1883" s="90" t="s">
        <v>244</v>
      </c>
      <c r="AU1883" s="90">
        <v>1.363408</v>
      </c>
      <c r="AV1883" s="90">
        <v>82.508616426155001</v>
      </c>
      <c r="AW1883" s="90">
        <v>249.75118783993901</v>
      </c>
      <c r="AX1883" s="90">
        <v>1.8803606241999999</v>
      </c>
    </row>
    <row r="1884" spans="1:50" x14ac:dyDescent="0.25">
      <c r="A1884" s="102">
        <v>830000</v>
      </c>
      <c r="B1884" s="102">
        <v>2400000</v>
      </c>
      <c r="C1884" s="102">
        <v>2400000</v>
      </c>
      <c r="D1884" s="90" t="s">
        <v>374</v>
      </c>
      <c r="E1884" s="90" t="s">
        <v>68</v>
      </c>
      <c r="F1884" s="90" t="s">
        <v>375</v>
      </c>
      <c r="G1884" s="90" t="s">
        <v>376</v>
      </c>
      <c r="H1884" s="90">
        <v>0.59</v>
      </c>
      <c r="I1884" s="90">
        <v>0.64</v>
      </c>
      <c r="J1884" s="90" t="s">
        <v>244</v>
      </c>
      <c r="K1884" s="90">
        <v>7.050606268048E-2</v>
      </c>
      <c r="L1884" s="90">
        <v>3761.6001612262698</v>
      </c>
      <c r="M1884" s="90">
        <v>10.820338975418</v>
      </c>
      <c r="N1884" s="90">
        <v>2.0846116738644902</v>
      </c>
      <c r="O1884" s="90">
        <v>0.76289949802490997</v>
      </c>
      <c r="P1884" s="90">
        <v>0.14697776134195001</v>
      </c>
      <c r="Q1884" s="90">
        <v>265.21561674633801</v>
      </c>
      <c r="R1884" s="90">
        <v>1300</v>
      </c>
      <c r="S1884" s="90" t="s">
        <v>387</v>
      </c>
      <c r="T1884" s="90">
        <v>1300</v>
      </c>
      <c r="U1884" s="90" t="s">
        <v>378</v>
      </c>
      <c r="V1884" s="90" t="s">
        <v>244</v>
      </c>
      <c r="Z1884" s="90">
        <v>0</v>
      </c>
      <c r="AA1884" s="90">
        <v>1</v>
      </c>
      <c r="AB1884" s="90">
        <v>0.76289949802490997</v>
      </c>
      <c r="AC1884" s="90">
        <v>0.14697776134195001</v>
      </c>
      <c r="AD1884" s="90">
        <v>1488.9414267872801</v>
      </c>
      <c r="AF1884" s="90">
        <v>-1</v>
      </c>
      <c r="AG1884" s="90">
        <v>-1</v>
      </c>
      <c r="AH1884" s="90">
        <v>-1</v>
      </c>
      <c r="AI1884" s="90">
        <v>-1</v>
      </c>
      <c r="AJ1884" s="90">
        <v>0</v>
      </c>
      <c r="AM1884" s="90" t="s">
        <v>379</v>
      </c>
      <c r="AN1884" s="90">
        <v>-1</v>
      </c>
      <c r="AQ1884" s="90">
        <v>378</v>
      </c>
      <c r="AR1884" s="90" t="s">
        <v>288</v>
      </c>
      <c r="AS1884" s="90" t="s">
        <v>287</v>
      </c>
      <c r="AT1884" s="90" t="s">
        <v>244</v>
      </c>
      <c r="AU1884" s="90">
        <v>1.363408</v>
      </c>
      <c r="AV1884" s="90">
        <v>111.012506750781</v>
      </c>
      <c r="AW1884" s="90">
        <v>285.32791257665201</v>
      </c>
      <c r="AX1884" s="90">
        <v>1.2075761774</v>
      </c>
    </row>
    <row r="1885" spans="1:50" x14ac:dyDescent="0.25">
      <c r="A1885" s="102">
        <v>830000</v>
      </c>
      <c r="B1885" s="102">
        <v>2400000</v>
      </c>
      <c r="C1885" s="102">
        <v>2400000</v>
      </c>
      <c r="D1885" s="90" t="s">
        <v>374</v>
      </c>
      <c r="E1885" s="90" t="s">
        <v>68</v>
      </c>
      <c r="F1885" s="90" t="s">
        <v>375</v>
      </c>
      <c r="G1885" s="90" t="s">
        <v>376</v>
      </c>
      <c r="H1885" s="90">
        <v>0.59</v>
      </c>
      <c r="I1885" s="90">
        <v>0.64</v>
      </c>
      <c r="J1885" s="90" t="s">
        <v>244</v>
      </c>
      <c r="K1885" s="90">
        <v>2.1550258953900001E-3</v>
      </c>
      <c r="L1885" s="90">
        <v>3735.0741333655501</v>
      </c>
      <c r="M1885" s="90">
        <v>9.91847478693734</v>
      </c>
      <c r="N1885" s="90">
        <v>1.66678720725565</v>
      </c>
      <c r="O1885" s="90">
        <v>2.137457000865E-2</v>
      </c>
      <c r="P1885" s="90">
        <v>3.5919695937399999E-3</v>
      </c>
      <c r="Q1885" s="90">
        <v>8.0491814786153402</v>
      </c>
      <c r="R1885" s="90">
        <v>1200</v>
      </c>
      <c r="S1885" s="90" t="s">
        <v>384</v>
      </c>
      <c r="T1885" s="90">
        <v>1200</v>
      </c>
      <c r="U1885" s="90" t="s">
        <v>378</v>
      </c>
      <c r="V1885" s="90" t="s">
        <v>244</v>
      </c>
      <c r="Z1885" s="90">
        <v>0</v>
      </c>
      <c r="AA1885" s="90">
        <v>1</v>
      </c>
      <c r="AB1885" s="90">
        <v>2.137457000865E-2</v>
      </c>
      <c r="AC1885" s="90">
        <v>3.5919695937399999E-3</v>
      </c>
      <c r="AD1885" s="90">
        <v>460.91974107297801</v>
      </c>
      <c r="AF1885" s="90">
        <v>-1</v>
      </c>
      <c r="AG1885" s="90">
        <v>-1</v>
      </c>
      <c r="AH1885" s="90">
        <v>-1</v>
      </c>
      <c r="AI1885" s="90">
        <v>-1</v>
      </c>
      <c r="AJ1885" s="90">
        <v>0</v>
      </c>
      <c r="AM1885" s="90" t="s">
        <v>379</v>
      </c>
      <c r="AN1885" s="90">
        <v>-1</v>
      </c>
      <c r="AQ1885" s="90">
        <v>378</v>
      </c>
      <c r="AR1885" s="90" t="s">
        <v>288</v>
      </c>
      <c r="AS1885" s="90" t="s">
        <v>287</v>
      </c>
      <c r="AT1885" s="90" t="s">
        <v>244</v>
      </c>
      <c r="AU1885" s="90">
        <v>1.363408</v>
      </c>
      <c r="AV1885" s="90">
        <v>24.098872828939399</v>
      </c>
      <c r="AW1885" s="90">
        <v>8.72108038520979</v>
      </c>
      <c r="AX1885" s="90">
        <v>0.37381974130000001</v>
      </c>
    </row>
    <row r="1886" spans="1:50" x14ac:dyDescent="0.25">
      <c r="A1886" s="102">
        <v>830000</v>
      </c>
      <c r="B1886" s="102">
        <v>2400000</v>
      </c>
      <c r="C1886" s="102">
        <v>2400000</v>
      </c>
      <c r="D1886" s="90" t="s">
        <v>374</v>
      </c>
      <c r="E1886" s="90" t="s">
        <v>68</v>
      </c>
      <c r="F1886" s="90" t="s">
        <v>375</v>
      </c>
      <c r="G1886" s="90" t="s">
        <v>376</v>
      </c>
      <c r="H1886" s="90">
        <v>0.59</v>
      </c>
      <c r="I1886" s="90">
        <v>0.64</v>
      </c>
      <c r="J1886" s="90" t="s">
        <v>244</v>
      </c>
      <c r="K1886" s="90">
        <v>8.4016260354200008E-3</v>
      </c>
      <c r="L1886" s="90">
        <v>3735.0741333655501</v>
      </c>
      <c r="M1886" s="90">
        <v>9.91847478693734</v>
      </c>
      <c r="N1886" s="90">
        <v>1.66678720725565</v>
      </c>
      <c r="O1886" s="90">
        <v>8.33313160016E-2</v>
      </c>
      <c r="P1886" s="90">
        <v>1.400372279598E-2</v>
      </c>
      <c r="Q1886" s="90">
        <v>31.380696083111498</v>
      </c>
      <c r="R1886" s="90">
        <v>1300</v>
      </c>
      <c r="S1886" s="90" t="s">
        <v>387</v>
      </c>
      <c r="T1886" s="90">
        <v>1300</v>
      </c>
      <c r="U1886" s="90" t="s">
        <v>378</v>
      </c>
      <c r="V1886" s="90" t="s">
        <v>244</v>
      </c>
      <c r="Z1886" s="90">
        <v>0</v>
      </c>
      <c r="AA1886" s="90">
        <v>1</v>
      </c>
      <c r="AB1886" s="90">
        <v>8.33313160016E-2</v>
      </c>
      <c r="AC1886" s="90">
        <v>1.400372279598E-2</v>
      </c>
      <c r="AD1886" s="90">
        <v>421.22179088635301</v>
      </c>
      <c r="AF1886" s="90">
        <v>-1</v>
      </c>
      <c r="AG1886" s="90">
        <v>-1</v>
      </c>
      <c r="AH1886" s="90">
        <v>-1</v>
      </c>
      <c r="AI1886" s="90">
        <v>-1</v>
      </c>
      <c r="AJ1886" s="90">
        <v>0</v>
      </c>
      <c r="AM1886" s="90" t="s">
        <v>379</v>
      </c>
      <c r="AN1886" s="90">
        <v>-1</v>
      </c>
      <c r="AQ1886" s="90">
        <v>378</v>
      </c>
      <c r="AR1886" s="90" t="s">
        <v>288</v>
      </c>
      <c r="AS1886" s="90" t="s">
        <v>287</v>
      </c>
      <c r="AT1886" s="90" t="s">
        <v>244</v>
      </c>
      <c r="AU1886" s="90">
        <v>1.363408</v>
      </c>
      <c r="AV1886" s="90">
        <v>50.871642211544497</v>
      </c>
      <c r="AW1886" s="90">
        <v>34.000174280045499</v>
      </c>
      <c r="AX1886" s="90">
        <v>0.3416235125</v>
      </c>
    </row>
    <row r="1887" spans="1:50" x14ac:dyDescent="0.25">
      <c r="A1887" s="102">
        <v>830000</v>
      </c>
      <c r="B1887" s="102">
        <v>2400000</v>
      </c>
      <c r="C1887" s="102">
        <v>2400000</v>
      </c>
      <c r="D1887" s="90" t="s">
        <v>374</v>
      </c>
      <c r="E1887" s="90" t="s">
        <v>68</v>
      </c>
      <c r="F1887" s="90" t="s">
        <v>375</v>
      </c>
      <c r="G1887" s="90" t="s">
        <v>376</v>
      </c>
      <c r="H1887" s="90">
        <v>0.59</v>
      </c>
      <c r="I1887" s="90">
        <v>0.64</v>
      </c>
      <c r="J1887" s="90" t="s">
        <v>244</v>
      </c>
      <c r="K1887" s="90">
        <v>3.3038686565150001E-2</v>
      </c>
      <c r="L1887" s="90">
        <v>3741.8746443498799</v>
      </c>
      <c r="M1887" s="90">
        <v>10.1229369516556</v>
      </c>
      <c r="N1887" s="90">
        <v>1.7608810384035101</v>
      </c>
      <c r="O1887" s="90">
        <v>0.33444854106452998</v>
      </c>
      <c r="P1887" s="90">
        <v>5.8177196706330002E-2</v>
      </c>
      <c r="Q1887" s="90">
        <v>123.626623540761</v>
      </c>
      <c r="R1887" s="90">
        <v>1200</v>
      </c>
      <c r="S1887" s="90" t="s">
        <v>384</v>
      </c>
      <c r="T1887" s="90">
        <v>1200</v>
      </c>
      <c r="U1887" s="90" t="s">
        <v>378</v>
      </c>
      <c r="V1887" s="90" t="s">
        <v>244</v>
      </c>
      <c r="Z1887" s="90">
        <v>0</v>
      </c>
      <c r="AA1887" s="90">
        <v>1</v>
      </c>
      <c r="AB1887" s="90">
        <v>0.33444854106452998</v>
      </c>
      <c r="AC1887" s="90">
        <v>5.8177196706330002E-2</v>
      </c>
      <c r="AD1887" s="90">
        <v>281.96550064121197</v>
      </c>
      <c r="AF1887" s="90">
        <v>-1</v>
      </c>
      <c r="AG1887" s="90">
        <v>-1</v>
      </c>
      <c r="AH1887" s="90">
        <v>-1</v>
      </c>
      <c r="AI1887" s="90">
        <v>-1</v>
      </c>
      <c r="AJ1887" s="90">
        <v>0</v>
      </c>
      <c r="AM1887" s="90" t="s">
        <v>379</v>
      </c>
      <c r="AN1887" s="90">
        <v>-1</v>
      </c>
      <c r="AQ1887" s="90">
        <v>378</v>
      </c>
      <c r="AR1887" s="90" t="s">
        <v>288</v>
      </c>
      <c r="AS1887" s="90" t="s">
        <v>287</v>
      </c>
      <c r="AT1887" s="90" t="s">
        <v>244</v>
      </c>
      <c r="AU1887" s="90">
        <v>1.363408</v>
      </c>
      <c r="AV1887" s="90">
        <v>46.259045861942603</v>
      </c>
      <c r="AW1887" s="90">
        <v>133.70282091383999</v>
      </c>
      <c r="AX1887" s="90">
        <v>0.22868248229999999</v>
      </c>
    </row>
    <row r="1888" spans="1:50" x14ac:dyDescent="0.25">
      <c r="A1888" s="102">
        <v>830000</v>
      </c>
      <c r="B1888" s="102">
        <v>2400000</v>
      </c>
      <c r="C1888" s="102">
        <v>2400000</v>
      </c>
      <c r="D1888" s="90" t="s">
        <v>374</v>
      </c>
      <c r="E1888" s="90" t="s">
        <v>68</v>
      </c>
      <c r="F1888" s="90" t="s">
        <v>375</v>
      </c>
      <c r="G1888" s="90" t="s">
        <v>376</v>
      </c>
      <c r="H1888" s="90">
        <v>0.59</v>
      </c>
      <c r="I1888" s="90">
        <v>0.64</v>
      </c>
      <c r="J1888" s="90" t="s">
        <v>244</v>
      </c>
      <c r="K1888" s="90">
        <v>7.1324535804729999E-2</v>
      </c>
      <c r="L1888" s="90">
        <v>3741.8746443498799</v>
      </c>
      <c r="M1888" s="90">
        <v>10.1229369516556</v>
      </c>
      <c r="N1888" s="90">
        <v>1.7608810384035101</v>
      </c>
      <c r="O1888" s="90">
        <v>0.72201377905737996</v>
      </c>
      <c r="P1888" s="90">
        <v>0.12559402267148001</v>
      </c>
      <c r="Q1888" s="90">
        <v>266.88747204774398</v>
      </c>
      <c r="R1888" s="90">
        <v>1300</v>
      </c>
      <c r="S1888" s="90" t="s">
        <v>387</v>
      </c>
      <c r="T1888" s="90">
        <v>1300</v>
      </c>
      <c r="U1888" s="90" t="s">
        <v>378</v>
      </c>
      <c r="V1888" s="90" t="s">
        <v>244</v>
      </c>
      <c r="Z1888" s="90">
        <v>0</v>
      </c>
      <c r="AA1888" s="90">
        <v>1</v>
      </c>
      <c r="AB1888" s="90">
        <v>0.72201377905737996</v>
      </c>
      <c r="AC1888" s="90">
        <v>0.12559402267148001</v>
      </c>
      <c r="AD1888" s="90">
        <v>266.88747204774501</v>
      </c>
      <c r="AF1888" s="90">
        <v>-1</v>
      </c>
      <c r="AG1888" s="90">
        <v>-1</v>
      </c>
      <c r="AH1888" s="90">
        <v>-1</v>
      </c>
      <c r="AI1888" s="90">
        <v>-1</v>
      </c>
      <c r="AJ1888" s="90">
        <v>0</v>
      </c>
      <c r="AM1888" s="90" t="s">
        <v>379</v>
      </c>
      <c r="AN1888" s="90">
        <v>-1</v>
      </c>
      <c r="AQ1888" s="90">
        <v>378</v>
      </c>
      <c r="AR1888" s="90" t="s">
        <v>288</v>
      </c>
      <c r="AS1888" s="90" t="s">
        <v>287</v>
      </c>
      <c r="AT1888" s="90" t="s">
        <v>244</v>
      </c>
      <c r="AU1888" s="90">
        <v>1.363408</v>
      </c>
      <c r="AV1888" s="90">
        <v>72.350540375385606</v>
      </c>
      <c r="AW1888" s="90">
        <v>288.64015579607002</v>
      </c>
      <c r="AX1888" s="90">
        <v>0.2164537486</v>
      </c>
    </row>
    <row r="1889" spans="1:50" x14ac:dyDescent="0.25">
      <c r="A1889" s="102">
        <v>830000</v>
      </c>
      <c r="B1889" s="102">
        <v>2400000</v>
      </c>
      <c r="C1889" s="102">
        <v>2400000</v>
      </c>
      <c r="D1889" s="90" t="s">
        <v>374</v>
      </c>
      <c r="E1889" s="90" t="s">
        <v>68</v>
      </c>
      <c r="F1889" s="90" t="s">
        <v>375</v>
      </c>
      <c r="G1889" s="90" t="s">
        <v>376</v>
      </c>
      <c r="H1889" s="90">
        <v>0.59</v>
      </c>
      <c r="I1889" s="90">
        <v>0.64</v>
      </c>
      <c r="J1889" s="90" t="s">
        <v>244</v>
      </c>
      <c r="K1889" s="90">
        <v>4.6290210359899997E-3</v>
      </c>
      <c r="L1889" s="90">
        <v>3741.8746443498799</v>
      </c>
      <c r="M1889" s="90">
        <v>10.1229369516556</v>
      </c>
      <c r="N1889" s="90">
        <v>1.7608810384035101</v>
      </c>
      <c r="O1889" s="90">
        <v>4.6859288095230003E-2</v>
      </c>
      <c r="P1889" s="90">
        <v>8.1511553686400007E-3</v>
      </c>
      <c r="Q1889" s="90">
        <v>17.321216442740699</v>
      </c>
      <c r="R1889" s="90">
        <v>1210</v>
      </c>
      <c r="S1889" s="90" t="s">
        <v>385</v>
      </c>
      <c r="T1889" s="90">
        <v>1210</v>
      </c>
      <c r="U1889" s="90" t="s">
        <v>378</v>
      </c>
      <c r="V1889" s="90" t="s">
        <v>244</v>
      </c>
      <c r="Z1889" s="90">
        <v>0</v>
      </c>
      <c r="AA1889" s="90">
        <v>1</v>
      </c>
      <c r="AB1889" s="90">
        <v>4.6859288095230003E-2</v>
      </c>
      <c r="AC1889" s="90">
        <v>8.1511553686400007E-3</v>
      </c>
      <c r="AD1889" s="90">
        <v>755.33592627580595</v>
      </c>
      <c r="AF1889" s="90">
        <v>-1</v>
      </c>
      <c r="AG1889" s="90">
        <v>-1</v>
      </c>
      <c r="AH1889" s="90">
        <v>-1</v>
      </c>
      <c r="AI1889" s="90">
        <v>-1</v>
      </c>
      <c r="AJ1889" s="90">
        <v>0</v>
      </c>
      <c r="AM1889" s="90" t="s">
        <v>379</v>
      </c>
      <c r="AN1889" s="90">
        <v>-1</v>
      </c>
      <c r="AQ1889" s="90">
        <v>378</v>
      </c>
      <c r="AR1889" s="90" t="s">
        <v>288</v>
      </c>
      <c r="AS1889" s="90" t="s">
        <v>287</v>
      </c>
      <c r="AT1889" s="90" t="s">
        <v>244</v>
      </c>
      <c r="AU1889" s="90">
        <v>1.363408</v>
      </c>
      <c r="AV1889" s="90">
        <v>18.5813442202654</v>
      </c>
      <c r="AW1889" s="90">
        <v>18.7329835089288</v>
      </c>
      <c r="AX1889" s="90">
        <v>0.61260010239999996</v>
      </c>
    </row>
    <row r="1890" spans="1:50" x14ac:dyDescent="0.25">
      <c r="A1890" s="102">
        <v>830000</v>
      </c>
      <c r="B1890" s="102">
        <v>2400000</v>
      </c>
      <c r="C1890" s="102">
        <v>2400000</v>
      </c>
      <c r="D1890" s="90" t="s">
        <v>374</v>
      </c>
      <c r="E1890" s="90" t="s">
        <v>68</v>
      </c>
      <c r="F1890" s="90" t="s">
        <v>375</v>
      </c>
      <c r="G1890" s="90" t="s">
        <v>376</v>
      </c>
      <c r="H1890" s="90">
        <v>0.59</v>
      </c>
      <c r="I1890" s="90">
        <v>0.64</v>
      </c>
      <c r="J1890" s="90" t="s">
        <v>244</v>
      </c>
      <c r="K1890" s="90">
        <v>1.700866178319E-2</v>
      </c>
      <c r="L1890" s="90">
        <v>3741.8746443498799</v>
      </c>
      <c r="M1890" s="90">
        <v>10.1229369516556</v>
      </c>
      <c r="N1890" s="90">
        <v>1.7608810384035101</v>
      </c>
      <c r="O1890" s="90">
        <v>0.17217761086335001</v>
      </c>
      <c r="P1890" s="90">
        <v>2.9950230022650001E-2</v>
      </c>
      <c r="Q1890" s="90">
        <v>63.644280260875199</v>
      </c>
      <c r="R1890" s="90">
        <v>1300</v>
      </c>
      <c r="S1890" s="90" t="s">
        <v>387</v>
      </c>
      <c r="T1890" s="90">
        <v>1300</v>
      </c>
      <c r="U1890" s="90" t="s">
        <v>378</v>
      </c>
      <c r="V1890" s="90" t="s">
        <v>244</v>
      </c>
      <c r="Z1890" s="90">
        <v>0</v>
      </c>
      <c r="AA1890" s="90">
        <v>1</v>
      </c>
      <c r="AB1890" s="90">
        <v>0.17217761086335001</v>
      </c>
      <c r="AC1890" s="90">
        <v>2.9950230022650001E-2</v>
      </c>
      <c r="AD1890" s="90">
        <v>1007.40450512401</v>
      </c>
      <c r="AF1890" s="90">
        <v>-1</v>
      </c>
      <c r="AG1890" s="90">
        <v>-1</v>
      </c>
      <c r="AH1890" s="90">
        <v>-1</v>
      </c>
      <c r="AI1890" s="90">
        <v>-1</v>
      </c>
      <c r="AJ1890" s="90">
        <v>0</v>
      </c>
      <c r="AM1890" s="90" t="s">
        <v>379</v>
      </c>
      <c r="AN1890" s="90">
        <v>-1</v>
      </c>
      <c r="AQ1890" s="90">
        <v>378</v>
      </c>
      <c r="AR1890" s="90" t="s">
        <v>288</v>
      </c>
      <c r="AS1890" s="90" t="s">
        <v>287</v>
      </c>
      <c r="AT1890" s="90" t="s">
        <v>244</v>
      </c>
      <c r="AU1890" s="90">
        <v>1.363408</v>
      </c>
      <c r="AV1890" s="90">
        <v>63.141938735008203</v>
      </c>
      <c r="AW1890" s="90">
        <v>68.831612173767198</v>
      </c>
      <c r="AX1890" s="90">
        <v>0.81703528400000003</v>
      </c>
    </row>
    <row r="1891" spans="1:50" x14ac:dyDescent="0.25">
      <c r="A1891" s="102">
        <v>830000</v>
      </c>
      <c r="B1891" s="102">
        <v>2400000</v>
      </c>
      <c r="C1891" s="102">
        <v>2400000</v>
      </c>
      <c r="D1891" s="90" t="s">
        <v>374</v>
      </c>
      <c r="E1891" s="90" t="s">
        <v>68</v>
      </c>
      <c r="F1891" s="90" t="s">
        <v>375</v>
      </c>
      <c r="G1891" s="90" t="s">
        <v>376</v>
      </c>
      <c r="H1891" s="90">
        <v>0.59</v>
      </c>
      <c r="I1891" s="90">
        <v>0.64</v>
      </c>
      <c r="J1891" s="90" t="s">
        <v>244</v>
      </c>
      <c r="K1891" s="90">
        <v>0.31544162719546998</v>
      </c>
      <c r="L1891" s="90">
        <v>3761.6001601052299</v>
      </c>
      <c r="M1891" s="90">
        <v>10.8203389721933</v>
      </c>
      <c r="N1891" s="90">
        <v>2.0846116732432298</v>
      </c>
      <c r="O1891" s="90">
        <v>3.4131853321952899</v>
      </c>
      <c r="P1891" s="90">
        <v>0.65757329827851996</v>
      </c>
      <c r="Q1891" s="90">
        <v>1186.5652753623499</v>
      </c>
      <c r="R1891" s="90">
        <v>1300</v>
      </c>
      <c r="S1891" s="90" t="s">
        <v>387</v>
      </c>
      <c r="T1891" s="90">
        <v>1300</v>
      </c>
      <c r="U1891" s="90" t="s">
        <v>378</v>
      </c>
      <c r="V1891" s="90" t="s">
        <v>244</v>
      </c>
      <c r="Z1891" s="90">
        <v>0</v>
      </c>
      <c r="AA1891" s="90">
        <v>1</v>
      </c>
      <c r="AB1891" s="90">
        <v>3.4131853321952899</v>
      </c>
      <c r="AC1891" s="90">
        <v>0.65757329827851996</v>
      </c>
      <c r="AD1891" s="90">
        <v>1317.5866469792099</v>
      </c>
      <c r="AF1891" s="90">
        <v>-1</v>
      </c>
      <c r="AG1891" s="90">
        <v>-1</v>
      </c>
      <c r="AH1891" s="90">
        <v>-1</v>
      </c>
      <c r="AI1891" s="90">
        <v>-1</v>
      </c>
      <c r="AJ1891" s="90">
        <v>0</v>
      </c>
      <c r="AM1891" s="90" t="s">
        <v>379</v>
      </c>
      <c r="AN1891" s="90">
        <v>-1</v>
      </c>
      <c r="AQ1891" s="90">
        <v>378</v>
      </c>
      <c r="AR1891" s="90" t="s">
        <v>288</v>
      </c>
      <c r="AS1891" s="90" t="s">
        <v>287</v>
      </c>
      <c r="AT1891" s="90" t="s">
        <v>244</v>
      </c>
      <c r="AU1891" s="90">
        <v>1.363408</v>
      </c>
      <c r="AV1891" s="90">
        <v>152.716502699796</v>
      </c>
      <c r="AW1891" s="90">
        <v>1276.5469749083099</v>
      </c>
      <c r="AX1891" s="90">
        <v>1.0686023090000001</v>
      </c>
    </row>
    <row r="1892" spans="1:50" x14ac:dyDescent="0.25">
      <c r="A1892" s="102">
        <v>830000</v>
      </c>
      <c r="B1892" s="102">
        <v>2400000</v>
      </c>
      <c r="C1892" s="102">
        <v>2400000</v>
      </c>
      <c r="D1892" s="90" t="s">
        <v>374</v>
      </c>
      <c r="E1892" s="90" t="s">
        <v>68</v>
      </c>
      <c r="F1892" s="90" t="s">
        <v>375</v>
      </c>
      <c r="G1892" s="90" t="s">
        <v>376</v>
      </c>
      <c r="H1892" s="90">
        <v>0.59</v>
      </c>
      <c r="I1892" s="90">
        <v>0.64</v>
      </c>
      <c r="J1892" s="90" t="s">
        <v>244</v>
      </c>
      <c r="K1892" s="90">
        <v>7.7380098636299997E-3</v>
      </c>
      <c r="L1892" s="90">
        <v>3761.6001601052299</v>
      </c>
      <c r="M1892" s="90">
        <v>10.8203389721933</v>
      </c>
      <c r="N1892" s="90">
        <v>2.0846116732432298</v>
      </c>
      <c r="O1892" s="90">
        <v>8.3727889694670002E-2</v>
      </c>
      <c r="P1892" s="90">
        <v>1.6130745689389998E-2</v>
      </c>
      <c r="Q1892" s="90">
        <v>29.1072991419339</v>
      </c>
      <c r="R1892" s="90">
        <v>1300</v>
      </c>
      <c r="S1892" s="90" t="s">
        <v>387</v>
      </c>
      <c r="T1892" s="90">
        <v>1300</v>
      </c>
      <c r="U1892" s="90" t="s">
        <v>378</v>
      </c>
      <c r="V1892" s="90" t="s">
        <v>244</v>
      </c>
      <c r="Z1892" s="90">
        <v>0</v>
      </c>
      <c r="AA1892" s="90">
        <v>1</v>
      </c>
      <c r="AB1892" s="90">
        <v>8.3727889694670002E-2</v>
      </c>
      <c r="AC1892" s="90">
        <v>1.6130745689389998E-2</v>
      </c>
      <c r="AD1892" s="90">
        <v>822.98247996599298</v>
      </c>
      <c r="AF1892" s="90">
        <v>-1</v>
      </c>
      <c r="AG1892" s="90">
        <v>-1</v>
      </c>
      <c r="AH1892" s="90">
        <v>-1</v>
      </c>
      <c r="AI1892" s="90">
        <v>-1</v>
      </c>
      <c r="AJ1892" s="90">
        <v>0</v>
      </c>
      <c r="AM1892" s="90" t="s">
        <v>379</v>
      </c>
      <c r="AN1892" s="90">
        <v>-1</v>
      </c>
      <c r="AQ1892" s="90">
        <v>378</v>
      </c>
      <c r="AR1892" s="90" t="s">
        <v>288</v>
      </c>
      <c r="AS1892" s="90" t="s">
        <v>287</v>
      </c>
      <c r="AT1892" s="90" t="s">
        <v>244</v>
      </c>
      <c r="AU1892" s="90">
        <v>1.363408</v>
      </c>
      <c r="AV1892" s="90">
        <v>54.010464683309301</v>
      </c>
      <c r="AW1892" s="90">
        <v>31.314614913235001</v>
      </c>
      <c r="AX1892" s="90">
        <v>0.66746348740000006</v>
      </c>
    </row>
    <row r="1893" spans="1:50" x14ac:dyDescent="0.25">
      <c r="A1893" s="102">
        <v>830000</v>
      </c>
      <c r="B1893" s="102">
        <v>2400000</v>
      </c>
      <c r="C1893" s="102">
        <v>2400000</v>
      </c>
      <c r="D1893" s="90" t="s">
        <v>374</v>
      </c>
      <c r="E1893" s="90" t="s">
        <v>68</v>
      </c>
      <c r="F1893" s="90" t="s">
        <v>375</v>
      </c>
      <c r="G1893" s="90" t="s">
        <v>376</v>
      </c>
      <c r="H1893" s="90">
        <v>0.59</v>
      </c>
      <c r="I1893" s="90">
        <v>0.64</v>
      </c>
      <c r="J1893" s="90" t="s">
        <v>244</v>
      </c>
      <c r="K1893" s="90">
        <v>2.8703104134389999E-2</v>
      </c>
      <c r="L1893" s="90">
        <v>3761.6001606657501</v>
      </c>
      <c r="M1893" s="90">
        <v>10.820338973805701</v>
      </c>
      <c r="N1893" s="90">
        <v>2.08461167355386</v>
      </c>
      <c r="O1893" s="90">
        <v>0.31057731633462998</v>
      </c>
      <c r="P1893" s="90">
        <v>5.9834825945790003E-2</v>
      </c>
      <c r="Q1893" s="90">
        <v>107.969601123557</v>
      </c>
      <c r="R1893" s="90">
        <v>1300</v>
      </c>
      <c r="S1893" s="90" t="s">
        <v>387</v>
      </c>
      <c r="T1893" s="90">
        <v>1300</v>
      </c>
      <c r="U1893" s="90" t="s">
        <v>378</v>
      </c>
      <c r="V1893" s="90" t="s">
        <v>244</v>
      </c>
      <c r="Z1893" s="90">
        <v>0</v>
      </c>
      <c r="AA1893" s="90">
        <v>1</v>
      </c>
      <c r="AB1893" s="90">
        <v>0.31057731633462998</v>
      </c>
      <c r="AC1893" s="90">
        <v>5.9834825945790003E-2</v>
      </c>
      <c r="AD1893" s="90">
        <v>958.87430576228098</v>
      </c>
      <c r="AF1893" s="90">
        <v>-1</v>
      </c>
      <c r="AG1893" s="90">
        <v>-1</v>
      </c>
      <c r="AH1893" s="90">
        <v>-1</v>
      </c>
      <c r="AI1893" s="90">
        <v>-1</v>
      </c>
      <c r="AJ1893" s="90">
        <v>0</v>
      </c>
      <c r="AM1893" s="90" t="s">
        <v>379</v>
      </c>
      <c r="AN1893" s="90">
        <v>-1</v>
      </c>
      <c r="AQ1893" s="90">
        <v>378</v>
      </c>
      <c r="AR1893" s="90" t="s">
        <v>288</v>
      </c>
      <c r="AS1893" s="90" t="s">
        <v>287</v>
      </c>
      <c r="AT1893" s="90" t="s">
        <v>244</v>
      </c>
      <c r="AU1893" s="90">
        <v>1.363408</v>
      </c>
      <c r="AV1893" s="90">
        <v>105.356472504368</v>
      </c>
      <c r="AW1893" s="90">
        <v>116.157341309103</v>
      </c>
      <c r="AX1893" s="90">
        <v>0.77767583600000001</v>
      </c>
    </row>
    <row r="1894" spans="1:50" x14ac:dyDescent="0.25">
      <c r="A1894" s="102">
        <v>830000</v>
      </c>
      <c r="B1894" s="102">
        <v>2400000</v>
      </c>
      <c r="C1894" s="102">
        <v>2400000</v>
      </c>
      <c r="D1894" s="90" t="s">
        <v>374</v>
      </c>
      <c r="E1894" s="90" t="s">
        <v>68</v>
      </c>
      <c r="F1894" s="90" t="s">
        <v>375</v>
      </c>
      <c r="G1894" s="90" t="s">
        <v>376</v>
      </c>
      <c r="H1894" s="90">
        <v>0.59</v>
      </c>
      <c r="I1894" s="90">
        <v>0.64</v>
      </c>
      <c r="J1894" s="90" t="s">
        <v>244</v>
      </c>
      <c r="K1894" s="90">
        <v>0.17656717695669</v>
      </c>
      <c r="L1894" s="90">
        <v>3761.6001606657501</v>
      </c>
      <c r="M1894" s="90">
        <v>10.820338973805701</v>
      </c>
      <c r="N1894" s="90">
        <v>2.08461167355386</v>
      </c>
      <c r="O1894" s="90">
        <v>1.91051670631937</v>
      </c>
      <c r="P1894" s="90">
        <v>0.36807399825037002</v>
      </c>
      <c r="Q1894" s="90">
        <v>664.17512120860204</v>
      </c>
      <c r="R1894" s="90">
        <v>1300</v>
      </c>
      <c r="S1894" s="90" t="s">
        <v>387</v>
      </c>
      <c r="T1894" s="90">
        <v>1300</v>
      </c>
      <c r="U1894" s="90" t="s">
        <v>378</v>
      </c>
      <c r="V1894" s="90" t="s">
        <v>244</v>
      </c>
      <c r="Z1894" s="90">
        <v>0</v>
      </c>
      <c r="AA1894" s="90">
        <v>1</v>
      </c>
      <c r="AB1894" s="90">
        <v>1.91051670631937</v>
      </c>
      <c r="AC1894" s="90">
        <v>0.36807399825037002</v>
      </c>
      <c r="AD1894" s="90">
        <v>664.17512120860204</v>
      </c>
      <c r="AF1894" s="90">
        <v>-1</v>
      </c>
      <c r="AG1894" s="90">
        <v>-1</v>
      </c>
      <c r="AH1894" s="90">
        <v>-1</v>
      </c>
      <c r="AI1894" s="90">
        <v>-1</v>
      </c>
      <c r="AJ1894" s="90">
        <v>0</v>
      </c>
      <c r="AM1894" s="90" t="s">
        <v>379</v>
      </c>
      <c r="AN1894" s="90">
        <v>-1</v>
      </c>
      <c r="AQ1894" s="90">
        <v>378</v>
      </c>
      <c r="AR1894" s="90" t="s">
        <v>288</v>
      </c>
      <c r="AS1894" s="90" t="s">
        <v>287</v>
      </c>
      <c r="AT1894" s="90" t="s">
        <v>244</v>
      </c>
      <c r="AU1894" s="90">
        <v>1.363408</v>
      </c>
      <c r="AV1894" s="90">
        <v>131.098743777788</v>
      </c>
      <c r="AW1894" s="90">
        <v>714.54201405223898</v>
      </c>
      <c r="AX1894" s="90">
        <v>0.53866595390000005</v>
      </c>
    </row>
    <row r="1895" spans="1:50" x14ac:dyDescent="0.25">
      <c r="A1895" s="102">
        <v>830000</v>
      </c>
      <c r="B1895" s="102">
        <v>2400000</v>
      </c>
      <c r="C1895" s="102">
        <v>2400000</v>
      </c>
      <c r="D1895" s="90" t="s">
        <v>374</v>
      </c>
      <c r="E1895" s="90" t="s">
        <v>68</v>
      </c>
      <c r="F1895" s="90" t="s">
        <v>375</v>
      </c>
      <c r="G1895" s="90" t="s">
        <v>376</v>
      </c>
      <c r="H1895" s="90">
        <v>0.59</v>
      </c>
      <c r="I1895" s="90">
        <v>0.64</v>
      </c>
      <c r="J1895" s="90" t="s">
        <v>244</v>
      </c>
      <c r="K1895" s="90">
        <v>2.3939175073419999E-2</v>
      </c>
      <c r="L1895" s="90">
        <v>3761.6001606657501</v>
      </c>
      <c r="M1895" s="90">
        <v>10.820338973805701</v>
      </c>
      <c r="N1895" s="90">
        <v>2.08461167355386</v>
      </c>
      <c r="O1895" s="90">
        <v>0.25902998904771002</v>
      </c>
      <c r="P1895" s="90">
        <v>4.99038838133E-2</v>
      </c>
      <c r="Q1895" s="90">
        <v>90.049604802393503</v>
      </c>
      <c r="R1895" s="90">
        <v>1300</v>
      </c>
      <c r="S1895" s="90" t="s">
        <v>387</v>
      </c>
      <c r="T1895" s="90">
        <v>1300</v>
      </c>
      <c r="U1895" s="90" t="s">
        <v>378</v>
      </c>
      <c r="V1895" s="90" t="s">
        <v>244</v>
      </c>
      <c r="Z1895" s="90">
        <v>0</v>
      </c>
      <c r="AA1895" s="90">
        <v>1</v>
      </c>
      <c r="AB1895" s="90">
        <v>0.25902998904771002</v>
      </c>
      <c r="AC1895" s="90">
        <v>4.99038838133E-2</v>
      </c>
      <c r="AD1895" s="90">
        <v>1526.7774809136999</v>
      </c>
      <c r="AF1895" s="90">
        <v>-1</v>
      </c>
      <c r="AG1895" s="90">
        <v>-1</v>
      </c>
      <c r="AH1895" s="90">
        <v>-1</v>
      </c>
      <c r="AI1895" s="90">
        <v>-1</v>
      </c>
      <c r="AJ1895" s="90">
        <v>0</v>
      </c>
      <c r="AM1895" s="90" t="s">
        <v>379</v>
      </c>
      <c r="AN1895" s="90">
        <v>-1</v>
      </c>
      <c r="AQ1895" s="90">
        <v>378</v>
      </c>
      <c r="AR1895" s="90" t="s">
        <v>288</v>
      </c>
      <c r="AS1895" s="90" t="s">
        <v>287</v>
      </c>
      <c r="AT1895" s="90" t="s">
        <v>244</v>
      </c>
      <c r="AU1895" s="90">
        <v>1.363408</v>
      </c>
      <c r="AV1895" s="90">
        <v>95.212390677888806</v>
      </c>
      <c r="AW1895" s="90">
        <v>96.878404392840906</v>
      </c>
      <c r="AX1895" s="90">
        <v>1.2382623527000001</v>
      </c>
    </row>
    <row r="1896" spans="1:50" x14ac:dyDescent="0.25">
      <c r="A1896" s="102">
        <v>830000</v>
      </c>
      <c r="B1896" s="102">
        <v>2400000</v>
      </c>
      <c r="C1896" s="102">
        <v>2400000</v>
      </c>
      <c r="D1896" s="90" t="s">
        <v>374</v>
      </c>
      <c r="E1896" s="90" t="s">
        <v>68</v>
      </c>
      <c r="F1896" s="90" t="s">
        <v>375</v>
      </c>
      <c r="G1896" s="90" t="s">
        <v>376</v>
      </c>
      <c r="H1896" s="90">
        <v>0.59</v>
      </c>
      <c r="I1896" s="90">
        <v>0.64</v>
      </c>
      <c r="J1896" s="90" t="s">
        <v>244</v>
      </c>
      <c r="K1896" s="90">
        <v>3.1585803179499999E-3</v>
      </c>
      <c r="L1896" s="90">
        <v>3761.6001606657501</v>
      </c>
      <c r="M1896" s="90">
        <v>10.820338973805701</v>
      </c>
      <c r="N1896" s="90">
        <v>2.08461167355386</v>
      </c>
      <c r="O1896" s="90">
        <v>3.4176909716299997E-2</v>
      </c>
      <c r="P1896" s="90">
        <v>6.5844134026699997E-3</v>
      </c>
      <c r="Q1896" s="90">
        <v>11.881316231510199</v>
      </c>
      <c r="R1896" s="90">
        <v>1300</v>
      </c>
      <c r="S1896" s="90" t="s">
        <v>387</v>
      </c>
      <c r="T1896" s="90">
        <v>1300</v>
      </c>
      <c r="U1896" s="90" t="s">
        <v>378</v>
      </c>
      <c r="V1896" s="90" t="s">
        <v>244</v>
      </c>
      <c r="Z1896" s="90">
        <v>0</v>
      </c>
      <c r="AA1896" s="90">
        <v>1</v>
      </c>
      <c r="AB1896" s="90">
        <v>3.4176909716299997E-2</v>
      </c>
      <c r="AC1896" s="90">
        <v>6.5844134026699997E-3</v>
      </c>
      <c r="AD1896" s="90">
        <v>132.82650436177701</v>
      </c>
      <c r="AF1896" s="90">
        <v>-1</v>
      </c>
      <c r="AG1896" s="90">
        <v>-1</v>
      </c>
      <c r="AH1896" s="90">
        <v>-1</v>
      </c>
      <c r="AI1896" s="90">
        <v>-1</v>
      </c>
      <c r="AJ1896" s="90">
        <v>0</v>
      </c>
      <c r="AM1896" s="90" t="s">
        <v>379</v>
      </c>
      <c r="AN1896" s="90">
        <v>-1</v>
      </c>
      <c r="AQ1896" s="90">
        <v>378</v>
      </c>
      <c r="AR1896" s="90" t="s">
        <v>288</v>
      </c>
      <c r="AS1896" s="90" t="s">
        <v>287</v>
      </c>
      <c r="AT1896" s="90" t="s">
        <v>244</v>
      </c>
      <c r="AU1896" s="90">
        <v>1.363408</v>
      </c>
      <c r="AV1896" s="90">
        <v>15.273760055731</v>
      </c>
      <c r="AW1896" s="90">
        <v>12.782321045399</v>
      </c>
      <c r="AX1896" s="90">
        <v>0.1077262809</v>
      </c>
    </row>
    <row r="1897" spans="1:50" x14ac:dyDescent="0.25">
      <c r="A1897" s="102">
        <v>830000</v>
      </c>
      <c r="B1897" s="102">
        <v>2400000</v>
      </c>
      <c r="C1897" s="102">
        <v>2400000</v>
      </c>
      <c r="D1897" s="90" t="s">
        <v>374</v>
      </c>
      <c r="E1897" s="90" t="s">
        <v>68</v>
      </c>
      <c r="F1897" s="90" t="s">
        <v>375</v>
      </c>
      <c r="G1897" s="90" t="s">
        <v>376</v>
      </c>
      <c r="H1897" s="90">
        <v>0.59</v>
      </c>
      <c r="I1897" s="90">
        <v>0.64</v>
      </c>
      <c r="J1897" s="90" t="s">
        <v>244</v>
      </c>
      <c r="K1897" s="90">
        <v>0.16165721287217999</v>
      </c>
      <c r="L1897" s="90">
        <v>3761.6001601052299</v>
      </c>
      <c r="M1897" s="90">
        <v>10.8203389721933</v>
      </c>
      <c r="N1897" s="90">
        <v>2.0846116732432298</v>
      </c>
      <c r="O1897" s="90">
        <v>1.7491858405770899</v>
      </c>
      <c r="P1897" s="90">
        <v>0.33699251301731997</v>
      </c>
      <c r="Q1897" s="90">
        <v>608.08979782218705</v>
      </c>
      <c r="R1897" s="90">
        <v>1300</v>
      </c>
      <c r="S1897" s="90" t="s">
        <v>387</v>
      </c>
      <c r="T1897" s="90">
        <v>1300</v>
      </c>
      <c r="U1897" s="90" t="s">
        <v>378</v>
      </c>
      <c r="V1897" s="90" t="s">
        <v>244</v>
      </c>
      <c r="Z1897" s="90">
        <v>0</v>
      </c>
      <c r="AA1897" s="90">
        <v>1</v>
      </c>
      <c r="AB1897" s="90">
        <v>1.7491858405770899</v>
      </c>
      <c r="AC1897" s="90">
        <v>0.33699251301731997</v>
      </c>
      <c r="AD1897" s="90">
        <v>1589.06030459612</v>
      </c>
      <c r="AF1897" s="90">
        <v>-1</v>
      </c>
      <c r="AG1897" s="90">
        <v>-1</v>
      </c>
      <c r="AH1897" s="90">
        <v>-1</v>
      </c>
      <c r="AI1897" s="90">
        <v>-1</v>
      </c>
      <c r="AJ1897" s="90">
        <v>0</v>
      </c>
      <c r="AM1897" s="90" t="s">
        <v>379</v>
      </c>
      <c r="AN1897" s="90">
        <v>-1</v>
      </c>
      <c r="AQ1897" s="90">
        <v>378</v>
      </c>
      <c r="AR1897" s="90" t="s">
        <v>288</v>
      </c>
      <c r="AS1897" s="90" t="s">
        <v>287</v>
      </c>
      <c r="AT1897" s="90" t="s">
        <v>244</v>
      </c>
      <c r="AU1897" s="90">
        <v>1.363408</v>
      </c>
      <c r="AV1897" s="90">
        <v>134.22051736569</v>
      </c>
      <c r="AW1897" s="90">
        <v>654.20353013909698</v>
      </c>
      <c r="AX1897" s="90">
        <v>1.2887755916999999</v>
      </c>
    </row>
    <row r="1898" spans="1:50" x14ac:dyDescent="0.25">
      <c r="A1898" s="102">
        <v>830000</v>
      </c>
      <c r="B1898" s="102">
        <v>2400000</v>
      </c>
      <c r="C1898" s="102">
        <v>2400000</v>
      </c>
      <c r="D1898" s="90" t="s">
        <v>374</v>
      </c>
      <c r="E1898" s="90" t="s">
        <v>68</v>
      </c>
      <c r="F1898" s="90" t="s">
        <v>375</v>
      </c>
      <c r="G1898" s="90" t="s">
        <v>376</v>
      </c>
      <c r="H1898" s="90">
        <v>0.59</v>
      </c>
      <c r="I1898" s="90">
        <v>0.64</v>
      </c>
      <c r="J1898" s="90" t="s">
        <v>244</v>
      </c>
      <c r="K1898" s="90">
        <v>0.1415546480688</v>
      </c>
      <c r="L1898" s="90">
        <v>3761.6001601052299</v>
      </c>
      <c r="M1898" s="90">
        <v>10.8203389721933</v>
      </c>
      <c r="N1898" s="90">
        <v>2.0846116732432298</v>
      </c>
      <c r="O1898" s="90">
        <v>1.53166927519398</v>
      </c>
      <c r="P1898" s="90">
        <v>0.29508647176606001</v>
      </c>
      <c r="Q1898" s="90">
        <v>532.47198683924898</v>
      </c>
      <c r="R1898" s="90">
        <v>1300</v>
      </c>
      <c r="S1898" s="90" t="s">
        <v>387</v>
      </c>
      <c r="T1898" s="90">
        <v>1300</v>
      </c>
      <c r="U1898" s="90" t="s">
        <v>378</v>
      </c>
      <c r="V1898" s="90" t="s">
        <v>244</v>
      </c>
      <c r="Z1898" s="90">
        <v>0</v>
      </c>
      <c r="AA1898" s="90">
        <v>1</v>
      </c>
      <c r="AB1898" s="90">
        <v>1.53166927519398</v>
      </c>
      <c r="AC1898" s="90">
        <v>0.29508647176606001</v>
      </c>
      <c r="AD1898" s="90">
        <v>532.47198683924898</v>
      </c>
      <c r="AF1898" s="90">
        <v>-1</v>
      </c>
      <c r="AG1898" s="90">
        <v>-1</v>
      </c>
      <c r="AH1898" s="90">
        <v>-1</v>
      </c>
      <c r="AI1898" s="90">
        <v>-1</v>
      </c>
      <c r="AJ1898" s="90">
        <v>0</v>
      </c>
      <c r="AM1898" s="90" t="s">
        <v>379</v>
      </c>
      <c r="AN1898" s="90">
        <v>-1</v>
      </c>
      <c r="AQ1898" s="90">
        <v>378</v>
      </c>
      <c r="AR1898" s="90" t="s">
        <v>288</v>
      </c>
      <c r="AS1898" s="90" t="s">
        <v>287</v>
      </c>
      <c r="AT1898" s="90" t="s">
        <v>244</v>
      </c>
      <c r="AU1898" s="90">
        <v>1.363408</v>
      </c>
      <c r="AV1898" s="90">
        <v>123.175174507672</v>
      </c>
      <c r="AW1898" s="90">
        <v>572.851336657807</v>
      </c>
      <c r="AX1898" s="90">
        <v>0.43185075979999998</v>
      </c>
    </row>
    <row r="1899" spans="1:50" x14ac:dyDescent="0.25">
      <c r="A1899" s="102">
        <v>830000</v>
      </c>
      <c r="B1899" s="102">
        <v>2400000</v>
      </c>
      <c r="C1899" s="102">
        <v>2400000</v>
      </c>
      <c r="D1899" s="90" t="s">
        <v>374</v>
      </c>
      <c r="E1899" s="90" t="s">
        <v>68</v>
      </c>
      <c r="F1899" s="90" t="s">
        <v>375</v>
      </c>
      <c r="G1899" s="90" t="s">
        <v>376</v>
      </c>
      <c r="H1899" s="90">
        <v>0.59</v>
      </c>
      <c r="I1899" s="90">
        <v>0.64</v>
      </c>
      <c r="J1899" s="90" t="s">
        <v>244</v>
      </c>
      <c r="K1899" s="90">
        <v>2.2845269147939998E-2</v>
      </c>
      <c r="L1899" s="90">
        <v>3761.6001601052299</v>
      </c>
      <c r="M1899" s="90">
        <v>10.8203389721933</v>
      </c>
      <c r="N1899" s="90">
        <v>2.0846116732432298</v>
      </c>
      <c r="O1899" s="90">
        <v>0.24719355609179</v>
      </c>
      <c r="P1899" s="90">
        <v>4.762351474419E-2</v>
      </c>
      <c r="Q1899" s="90">
        <v>85.934768084571999</v>
      </c>
      <c r="R1899" s="90">
        <v>1300</v>
      </c>
      <c r="S1899" s="90" t="s">
        <v>387</v>
      </c>
      <c r="T1899" s="90">
        <v>1300</v>
      </c>
      <c r="U1899" s="90" t="s">
        <v>378</v>
      </c>
      <c r="V1899" s="90" t="s">
        <v>244</v>
      </c>
      <c r="Z1899" s="90">
        <v>0</v>
      </c>
      <c r="AA1899" s="90">
        <v>1</v>
      </c>
      <c r="AB1899" s="90">
        <v>0.24719355609179</v>
      </c>
      <c r="AC1899" s="90">
        <v>4.762351474419E-2</v>
      </c>
      <c r="AD1899" s="90">
        <v>1790.67315618109</v>
      </c>
      <c r="AF1899" s="90">
        <v>-1</v>
      </c>
      <c r="AG1899" s="90">
        <v>-1</v>
      </c>
      <c r="AH1899" s="90">
        <v>-1</v>
      </c>
      <c r="AI1899" s="90">
        <v>-1</v>
      </c>
      <c r="AJ1899" s="90">
        <v>0</v>
      </c>
      <c r="AM1899" s="90" t="s">
        <v>379</v>
      </c>
      <c r="AN1899" s="90">
        <v>-1</v>
      </c>
      <c r="AQ1899" s="90">
        <v>378</v>
      </c>
      <c r="AR1899" s="90" t="s">
        <v>288</v>
      </c>
      <c r="AS1899" s="90" t="s">
        <v>287</v>
      </c>
      <c r="AT1899" s="90" t="s">
        <v>244</v>
      </c>
      <c r="AU1899" s="90">
        <v>1.363408</v>
      </c>
      <c r="AV1899" s="90">
        <v>104.367487168808</v>
      </c>
      <c r="AW1899" s="90">
        <v>92.451524172832407</v>
      </c>
      <c r="AX1899" s="90">
        <v>1.4522896644000001</v>
      </c>
    </row>
    <row r="1900" spans="1:50" x14ac:dyDescent="0.25">
      <c r="A1900" s="102">
        <v>830000</v>
      </c>
      <c r="B1900" s="102">
        <v>2400000</v>
      </c>
      <c r="C1900" s="102">
        <v>2400000</v>
      </c>
      <c r="D1900" s="90" t="s">
        <v>374</v>
      </c>
      <c r="E1900" s="90" t="s">
        <v>68</v>
      </c>
      <c r="F1900" s="90" t="s">
        <v>375</v>
      </c>
      <c r="G1900" s="90" t="s">
        <v>376</v>
      </c>
      <c r="H1900" s="90">
        <v>0.59</v>
      </c>
      <c r="I1900" s="90">
        <v>0.64</v>
      </c>
      <c r="J1900" s="90" t="s">
        <v>244</v>
      </c>
      <c r="K1900" s="90">
        <v>0.14207838088763</v>
      </c>
      <c r="L1900" s="90">
        <v>3758.8981531250702</v>
      </c>
      <c r="M1900" s="90">
        <v>10.8130311252903</v>
      </c>
      <c r="N1900" s="90">
        <v>2.08325781237515</v>
      </c>
      <c r="O1900" s="90">
        <v>1.53629795476883</v>
      </c>
      <c r="P1900" s="90">
        <v>0.29598589695376998</v>
      </c>
      <c r="Q1900" s="90">
        <v>534.05816351752401</v>
      </c>
      <c r="R1900" s="90">
        <v>1300</v>
      </c>
      <c r="S1900" s="90" t="s">
        <v>387</v>
      </c>
      <c r="T1900" s="90">
        <v>1300</v>
      </c>
      <c r="U1900" s="90" t="s">
        <v>378</v>
      </c>
      <c r="V1900" s="90" t="s">
        <v>244</v>
      </c>
      <c r="Z1900" s="90">
        <v>0</v>
      </c>
      <c r="AA1900" s="90">
        <v>1</v>
      </c>
      <c r="AB1900" s="90">
        <v>1.53629795476883</v>
      </c>
      <c r="AC1900" s="90">
        <v>0.29598589695376998</v>
      </c>
      <c r="AD1900" s="90">
        <v>1043.70411707223</v>
      </c>
      <c r="AF1900" s="90">
        <v>-1</v>
      </c>
      <c r="AG1900" s="90">
        <v>-1</v>
      </c>
      <c r="AH1900" s="90">
        <v>-1</v>
      </c>
      <c r="AI1900" s="90">
        <v>-1</v>
      </c>
      <c r="AJ1900" s="90">
        <v>0</v>
      </c>
      <c r="AM1900" s="90" t="s">
        <v>379</v>
      </c>
      <c r="AN1900" s="90">
        <v>-1</v>
      </c>
      <c r="AQ1900" s="90">
        <v>378</v>
      </c>
      <c r="AR1900" s="90" t="s">
        <v>288</v>
      </c>
      <c r="AS1900" s="90" t="s">
        <v>287</v>
      </c>
      <c r="AT1900" s="90" t="s">
        <v>244</v>
      </c>
      <c r="AU1900" s="90">
        <v>1.363408</v>
      </c>
      <c r="AV1900" s="90">
        <v>128.120008798687</v>
      </c>
      <c r="AW1900" s="90">
        <v>574.97080817931203</v>
      </c>
      <c r="AX1900" s="90">
        <v>0.8464753585</v>
      </c>
    </row>
    <row r="1901" spans="1:50" x14ac:dyDescent="0.25">
      <c r="A1901" s="102">
        <v>830000</v>
      </c>
      <c r="B1901" s="102">
        <v>2400000</v>
      </c>
      <c r="C1901" s="102">
        <v>2500000</v>
      </c>
      <c r="D1901" s="90" t="s">
        <v>374</v>
      </c>
      <c r="E1901" s="90" t="s">
        <v>68</v>
      </c>
      <c r="F1901" s="90" t="s">
        <v>375</v>
      </c>
      <c r="G1901" s="90" t="s">
        <v>376</v>
      </c>
      <c r="H1901" s="90">
        <v>0.59</v>
      </c>
      <c r="I1901" s="90">
        <v>0.64</v>
      </c>
      <c r="J1901" s="90" t="s">
        <v>244</v>
      </c>
      <c r="K1901" s="90">
        <v>2.3164444513910001E-2</v>
      </c>
      <c r="L1901" s="90">
        <v>3754.8754972583802</v>
      </c>
      <c r="M1901" s="90">
        <v>10.802199967825601</v>
      </c>
      <c r="N1901" s="90">
        <v>2.0812572217348602</v>
      </c>
      <c r="O1901" s="90">
        <v>0.25022696178295001</v>
      </c>
      <c r="P1901" s="90">
        <v>4.8211167432069997E-2</v>
      </c>
      <c r="Q1901" s="90">
        <v>86.979605112915806</v>
      </c>
      <c r="R1901" s="90">
        <v>1300</v>
      </c>
      <c r="S1901" s="90" t="s">
        <v>387</v>
      </c>
      <c r="T1901" s="90">
        <v>1300</v>
      </c>
      <c r="U1901" s="90" t="s">
        <v>378</v>
      </c>
      <c r="V1901" s="90" t="s">
        <v>244</v>
      </c>
      <c r="Z1901" s="90">
        <v>0</v>
      </c>
      <c r="AA1901" s="90">
        <v>1</v>
      </c>
      <c r="AB1901" s="90">
        <v>0.25022696178295001</v>
      </c>
      <c r="AC1901" s="90">
        <v>4.8211167432069997E-2</v>
      </c>
      <c r="AD1901" s="90">
        <v>1220.41225481997</v>
      </c>
      <c r="AF1901" s="90">
        <v>-1</v>
      </c>
      <c r="AG1901" s="90">
        <v>-1</v>
      </c>
      <c r="AH1901" s="90">
        <v>-1</v>
      </c>
      <c r="AI1901" s="90">
        <v>-1</v>
      </c>
      <c r="AJ1901" s="90">
        <v>0</v>
      </c>
      <c r="AM1901" s="90" t="s">
        <v>379</v>
      </c>
      <c r="AN1901" s="90">
        <v>-1</v>
      </c>
      <c r="AQ1901" s="90">
        <v>378</v>
      </c>
      <c r="AR1901" s="90" t="s">
        <v>288</v>
      </c>
      <c r="AS1901" s="90" t="s">
        <v>287</v>
      </c>
      <c r="AT1901" s="90" t="s">
        <v>244</v>
      </c>
      <c r="AU1901" s="90">
        <v>1.363408</v>
      </c>
      <c r="AV1901" s="90">
        <v>40.600867634796998</v>
      </c>
      <c r="AW1901" s="90">
        <v>93.743181052482299</v>
      </c>
      <c r="AX1901" s="90">
        <v>0.98979096089999996</v>
      </c>
    </row>
    <row r="1902" spans="1:50" x14ac:dyDescent="0.25">
      <c r="A1902" s="102">
        <v>840000</v>
      </c>
      <c r="B1902" s="102">
        <v>2400000</v>
      </c>
      <c r="C1902" s="102">
        <v>2400000</v>
      </c>
      <c r="D1902" s="90" t="s">
        <v>374</v>
      </c>
      <c r="E1902" s="90" t="s">
        <v>68</v>
      </c>
      <c r="F1902" s="90" t="s">
        <v>375</v>
      </c>
      <c r="G1902" s="90" t="s">
        <v>376</v>
      </c>
      <c r="H1902" s="90">
        <v>0.59</v>
      </c>
      <c r="I1902" s="90">
        <v>0.64</v>
      </c>
      <c r="J1902" s="90" t="s">
        <v>244</v>
      </c>
      <c r="K1902" s="90">
        <v>4.6844095314999999E-4</v>
      </c>
      <c r="L1902" s="90">
        <v>3761.6001606657501</v>
      </c>
      <c r="M1902" s="90">
        <v>10.820338973805701</v>
      </c>
      <c r="N1902" s="90">
        <v>2.08461167355386</v>
      </c>
      <c r="O1902" s="90">
        <v>5.0686899023899999E-3</v>
      </c>
      <c r="P1902" s="90">
        <v>9.7651747932000002E-4</v>
      </c>
      <c r="Q1902" s="90">
        <v>1.76208756466531</v>
      </c>
      <c r="R1902" s="90">
        <v>1300</v>
      </c>
      <c r="S1902" s="90" t="s">
        <v>387</v>
      </c>
      <c r="T1902" s="90">
        <v>1300</v>
      </c>
      <c r="U1902" s="90" t="s">
        <v>378</v>
      </c>
      <c r="V1902" s="90" t="s">
        <v>244</v>
      </c>
      <c r="Z1902" s="90">
        <v>0</v>
      </c>
      <c r="AA1902" s="90">
        <v>1</v>
      </c>
      <c r="AB1902" s="90">
        <v>5.0686899023899999E-3</v>
      </c>
      <c r="AC1902" s="90">
        <v>9.7651747932000002E-4</v>
      </c>
      <c r="AD1902" s="90">
        <v>2318.4846496445198</v>
      </c>
      <c r="AF1902" s="90">
        <v>-1</v>
      </c>
      <c r="AG1902" s="90">
        <v>-1</v>
      </c>
      <c r="AH1902" s="90">
        <v>-1</v>
      </c>
      <c r="AI1902" s="90">
        <v>-1</v>
      </c>
      <c r="AJ1902" s="90">
        <v>0</v>
      </c>
      <c r="AM1902" s="90" t="s">
        <v>379</v>
      </c>
      <c r="AN1902" s="90">
        <v>-1</v>
      </c>
      <c r="AQ1902" s="90">
        <v>378</v>
      </c>
      <c r="AR1902" s="90" t="s">
        <v>288</v>
      </c>
      <c r="AS1902" s="90" t="s">
        <v>287</v>
      </c>
      <c r="AT1902" s="90" t="s">
        <v>244</v>
      </c>
      <c r="AU1902" s="90">
        <v>1.363408</v>
      </c>
      <c r="AV1902" s="90">
        <v>21.367111189582101</v>
      </c>
      <c r="AW1902" s="90">
        <v>1.89571327980813</v>
      </c>
      <c r="AX1902" s="90">
        <v>1.8803606241999999</v>
      </c>
    </row>
    <row r="1903" spans="1:50" x14ac:dyDescent="0.25">
      <c r="A1903" s="102">
        <v>840000</v>
      </c>
      <c r="B1903" s="102">
        <v>2400000</v>
      </c>
      <c r="C1903" s="102">
        <v>2400000</v>
      </c>
      <c r="D1903" s="90" t="s">
        <v>374</v>
      </c>
      <c r="E1903" s="90" t="s">
        <v>68</v>
      </c>
      <c r="F1903" s="90" t="s">
        <v>375</v>
      </c>
      <c r="G1903" s="90" t="s">
        <v>376</v>
      </c>
      <c r="H1903" s="90">
        <v>0.59</v>
      </c>
      <c r="I1903" s="90">
        <v>0.64</v>
      </c>
      <c r="J1903" s="90" t="s">
        <v>244</v>
      </c>
      <c r="K1903" s="90">
        <v>8.2849621534999995E-4</v>
      </c>
      <c r="L1903" s="90">
        <v>3761.6001601052299</v>
      </c>
      <c r="M1903" s="90">
        <v>10.8203389721933</v>
      </c>
      <c r="N1903" s="90">
        <v>2.0846116732432298</v>
      </c>
      <c r="O1903" s="90">
        <v>8.9646098873099999E-3</v>
      </c>
      <c r="P1903" s="90">
        <v>1.72709288176E-3</v>
      </c>
      <c r="Q1903" s="90">
        <v>3.11647149632218</v>
      </c>
      <c r="R1903" s="90">
        <v>1300</v>
      </c>
      <c r="S1903" s="90" t="s">
        <v>387</v>
      </c>
      <c r="T1903" s="90">
        <v>1300</v>
      </c>
      <c r="U1903" s="90" t="s">
        <v>378</v>
      </c>
      <c r="V1903" s="90" t="s">
        <v>244</v>
      </c>
      <c r="Z1903" s="90">
        <v>0</v>
      </c>
      <c r="AA1903" s="90">
        <v>1</v>
      </c>
      <c r="AB1903" s="90">
        <v>8.9646098873099999E-3</v>
      </c>
      <c r="AC1903" s="90">
        <v>1.72709288176E-3</v>
      </c>
      <c r="AD1903" s="90">
        <v>1317.5866469792099</v>
      </c>
      <c r="AF1903" s="90">
        <v>-1</v>
      </c>
      <c r="AG1903" s="90">
        <v>-1</v>
      </c>
      <c r="AH1903" s="90">
        <v>-1</v>
      </c>
      <c r="AI1903" s="90">
        <v>-1</v>
      </c>
      <c r="AJ1903" s="90">
        <v>0</v>
      </c>
      <c r="AM1903" s="90" t="s">
        <v>379</v>
      </c>
      <c r="AN1903" s="90">
        <v>-1</v>
      </c>
      <c r="AQ1903" s="90">
        <v>378</v>
      </c>
      <c r="AR1903" s="90" t="s">
        <v>288</v>
      </c>
      <c r="AS1903" s="90" t="s">
        <v>287</v>
      </c>
      <c r="AT1903" s="90" t="s">
        <v>244</v>
      </c>
      <c r="AU1903" s="90">
        <v>1.363408</v>
      </c>
      <c r="AV1903" s="90">
        <v>41.299130994092899</v>
      </c>
      <c r="AW1903" s="90">
        <v>3.35280523004131</v>
      </c>
      <c r="AX1903" s="90">
        <v>1.0686023090000001</v>
      </c>
    </row>
    <row r="1904" spans="1:50" x14ac:dyDescent="0.25">
      <c r="A1904" s="102">
        <v>840000</v>
      </c>
      <c r="B1904" s="102">
        <v>2400000</v>
      </c>
      <c r="C1904" s="102">
        <v>2400000</v>
      </c>
      <c r="D1904" s="90" t="s">
        <v>374</v>
      </c>
      <c r="E1904" s="90" t="s">
        <v>68</v>
      </c>
      <c r="F1904" s="90" t="s">
        <v>375</v>
      </c>
      <c r="G1904" s="90" t="s">
        <v>376</v>
      </c>
      <c r="H1904" s="90">
        <v>0.59</v>
      </c>
      <c r="I1904" s="90">
        <v>0.64</v>
      </c>
      <c r="J1904" s="90" t="s">
        <v>244</v>
      </c>
      <c r="K1904" s="90">
        <v>8.0847395989000004E-4</v>
      </c>
      <c r="L1904" s="90">
        <v>3761.6001601052299</v>
      </c>
      <c r="M1904" s="90">
        <v>10.8203389721933</v>
      </c>
      <c r="N1904" s="90">
        <v>2.0846116732432298</v>
      </c>
      <c r="O1904" s="90">
        <v>8.7479622962E-3</v>
      </c>
      <c r="P1904" s="90">
        <v>1.6853542542999999E-3</v>
      </c>
      <c r="Q1904" s="90">
        <v>3.0411557769631301</v>
      </c>
      <c r="R1904" s="90">
        <v>1300</v>
      </c>
      <c r="S1904" s="90" t="s">
        <v>387</v>
      </c>
      <c r="T1904" s="90">
        <v>1300</v>
      </c>
      <c r="U1904" s="90" t="s">
        <v>378</v>
      </c>
      <c r="V1904" s="90" t="s">
        <v>244</v>
      </c>
      <c r="Z1904" s="90">
        <v>0</v>
      </c>
      <c r="AA1904" s="90">
        <v>1</v>
      </c>
      <c r="AB1904" s="90">
        <v>8.7479622962E-3</v>
      </c>
      <c r="AC1904" s="90">
        <v>1.6853542542999999E-3</v>
      </c>
      <c r="AD1904" s="90">
        <v>1589.06030459612</v>
      </c>
      <c r="AF1904" s="90">
        <v>-1</v>
      </c>
      <c r="AG1904" s="90">
        <v>-1</v>
      </c>
      <c r="AH1904" s="90">
        <v>-1</v>
      </c>
      <c r="AI1904" s="90">
        <v>-1</v>
      </c>
      <c r="AJ1904" s="90">
        <v>0</v>
      </c>
      <c r="AM1904" s="90" t="s">
        <v>379</v>
      </c>
      <c r="AN1904" s="90">
        <v>-1</v>
      </c>
      <c r="AQ1904" s="90">
        <v>378</v>
      </c>
      <c r="AR1904" s="90" t="s">
        <v>288</v>
      </c>
      <c r="AS1904" s="90" t="s">
        <v>287</v>
      </c>
      <c r="AT1904" s="90" t="s">
        <v>244</v>
      </c>
      <c r="AU1904" s="90">
        <v>1.363408</v>
      </c>
      <c r="AV1904" s="90">
        <v>71.190669710054607</v>
      </c>
      <c r="AW1904" s="90">
        <v>3.2717780369259799</v>
      </c>
      <c r="AX1904" s="90">
        <v>1.2887755916999999</v>
      </c>
    </row>
    <row r="1905" spans="1:50" x14ac:dyDescent="0.25">
      <c r="A1905" s="102">
        <v>630000</v>
      </c>
      <c r="B1905" s="102">
        <v>1300000</v>
      </c>
      <c r="C1905" s="102">
        <v>1300000</v>
      </c>
      <c r="D1905" s="90" t="s">
        <v>374</v>
      </c>
      <c r="E1905" s="90" t="s">
        <v>68</v>
      </c>
      <c r="F1905" s="90" t="s">
        <v>375</v>
      </c>
      <c r="G1905" s="90" t="s">
        <v>376</v>
      </c>
      <c r="H1905" s="90">
        <v>0.59</v>
      </c>
      <c r="I1905" s="90">
        <v>0.64</v>
      </c>
      <c r="J1905" s="90" t="s">
        <v>244</v>
      </c>
      <c r="K1905" s="90">
        <v>1.348510492908E-2</v>
      </c>
      <c r="L1905" s="90">
        <v>3796.1064631833101</v>
      </c>
      <c r="M1905" s="90">
        <v>8.8266635144335108</v>
      </c>
      <c r="N1905" s="90">
        <v>1.4526754567379101</v>
      </c>
      <c r="O1905" s="90">
        <v>0.11902848366586</v>
      </c>
      <c r="P1905" s="90">
        <v>1.9589480962009999E-2</v>
      </c>
      <c r="Q1905" s="90">
        <v>51.190893978004603</v>
      </c>
      <c r="R1905" s="90">
        <v>1750</v>
      </c>
      <c r="S1905" s="90" t="s">
        <v>377</v>
      </c>
      <c r="T1905" s="90">
        <v>1750</v>
      </c>
      <c r="U1905" s="90" t="s">
        <v>378</v>
      </c>
      <c r="V1905" s="90" t="s">
        <v>244</v>
      </c>
      <c r="Z1905" s="90">
        <v>0</v>
      </c>
      <c r="AA1905" s="90">
        <v>1</v>
      </c>
      <c r="AB1905" s="90">
        <v>0.11902848366586</v>
      </c>
      <c r="AC1905" s="90">
        <v>1.9589480962009999E-2</v>
      </c>
      <c r="AD1905" s="90">
        <v>212.102180547784</v>
      </c>
      <c r="AF1905" s="90">
        <v>-1</v>
      </c>
      <c r="AG1905" s="90">
        <v>-1</v>
      </c>
      <c r="AH1905" s="90">
        <v>-1</v>
      </c>
      <c r="AI1905" s="90">
        <v>-1</v>
      </c>
      <c r="AJ1905" s="90">
        <v>0</v>
      </c>
      <c r="AM1905" s="90" t="s">
        <v>379</v>
      </c>
      <c r="AN1905" s="90">
        <v>-1</v>
      </c>
      <c r="AQ1905" s="90">
        <v>379</v>
      </c>
      <c r="AR1905" s="90" t="s">
        <v>289</v>
      </c>
      <c r="AS1905" s="90" t="s">
        <v>411</v>
      </c>
      <c r="AT1905" s="90" t="s">
        <v>244</v>
      </c>
      <c r="AU1905" s="90">
        <v>3.2060680000000001</v>
      </c>
      <c r="AV1905" s="90">
        <v>31.029250730338099</v>
      </c>
      <c r="AW1905" s="90">
        <v>54.5722834890055</v>
      </c>
      <c r="AX1905" s="90">
        <v>0.17202123320000001</v>
      </c>
    </row>
    <row r="1906" spans="1:50" x14ac:dyDescent="0.25">
      <c r="A1906" s="102">
        <v>630000</v>
      </c>
      <c r="B1906" s="102">
        <v>1300000</v>
      </c>
      <c r="C1906" s="102">
        <v>1300000</v>
      </c>
      <c r="D1906" s="90" t="s">
        <v>374</v>
      </c>
      <c r="E1906" s="90" t="s">
        <v>68</v>
      </c>
      <c r="F1906" s="90" t="s">
        <v>375</v>
      </c>
      <c r="G1906" s="90" t="s">
        <v>376</v>
      </c>
      <c r="H1906" s="90">
        <v>0.59</v>
      </c>
      <c r="I1906" s="90">
        <v>0.64</v>
      </c>
      <c r="J1906" s="90" t="s">
        <v>244</v>
      </c>
      <c r="K1906" s="90">
        <v>2.328926634918E-2</v>
      </c>
      <c r="L1906" s="90">
        <v>3734.5185289246301</v>
      </c>
      <c r="M1906" s="90">
        <v>8.2792638428047098</v>
      </c>
      <c r="N1906" s="90">
        <v>1.27948949585256</v>
      </c>
      <c r="O1906" s="90">
        <v>0.19281798081028001</v>
      </c>
      <c r="P1906" s="90">
        <v>2.97983716599E-2</v>
      </c>
      <c r="Q1906" s="90">
        <v>86.974196706107193</v>
      </c>
      <c r="R1906" s="90">
        <v>1750</v>
      </c>
      <c r="S1906" s="90" t="s">
        <v>377</v>
      </c>
      <c r="T1906" s="90">
        <v>1750</v>
      </c>
      <c r="U1906" s="90" t="s">
        <v>378</v>
      </c>
      <c r="V1906" s="90" t="s">
        <v>244</v>
      </c>
      <c r="Z1906" s="90">
        <v>0</v>
      </c>
      <c r="AA1906" s="90">
        <v>1</v>
      </c>
      <c r="AB1906" s="90">
        <v>0.19281798081028001</v>
      </c>
      <c r="AC1906" s="90">
        <v>2.97983716599E-2</v>
      </c>
      <c r="AD1906" s="90">
        <v>1657.3742711714599</v>
      </c>
      <c r="AF1906" s="90">
        <v>-1</v>
      </c>
      <c r="AG1906" s="90">
        <v>-1</v>
      </c>
      <c r="AH1906" s="90">
        <v>-1</v>
      </c>
      <c r="AI1906" s="90">
        <v>-1</v>
      </c>
      <c r="AJ1906" s="90">
        <v>0</v>
      </c>
      <c r="AM1906" s="90" t="s">
        <v>379</v>
      </c>
      <c r="AN1906" s="90">
        <v>-1</v>
      </c>
      <c r="AQ1906" s="90">
        <v>379</v>
      </c>
      <c r="AR1906" s="90" t="s">
        <v>289</v>
      </c>
      <c r="AS1906" s="90" t="s">
        <v>411</v>
      </c>
      <c r="AT1906" s="90" t="s">
        <v>244</v>
      </c>
      <c r="AU1906" s="90">
        <v>3.2060680000000001</v>
      </c>
      <c r="AV1906" s="90">
        <v>63.944239508289499</v>
      </c>
      <c r="AW1906" s="90">
        <v>94.248317098199195</v>
      </c>
      <c r="AX1906" s="90">
        <v>1.3441802686</v>
      </c>
    </row>
    <row r="1907" spans="1:50" x14ac:dyDescent="0.25">
      <c r="A1907" s="102">
        <v>650000</v>
      </c>
      <c r="B1907" s="102">
        <v>2300000</v>
      </c>
      <c r="C1907" s="102">
        <v>2300000</v>
      </c>
      <c r="D1907" s="90" t="s">
        <v>374</v>
      </c>
      <c r="E1907" s="90" t="s">
        <v>68</v>
      </c>
      <c r="F1907" s="90" t="s">
        <v>375</v>
      </c>
      <c r="G1907" s="90" t="s">
        <v>376</v>
      </c>
      <c r="H1907" s="90">
        <v>0.59</v>
      </c>
      <c r="I1907" s="90">
        <v>0.64</v>
      </c>
      <c r="J1907" s="90" t="s">
        <v>244</v>
      </c>
      <c r="K1907" s="90">
        <v>4.2619450742800002E-3</v>
      </c>
      <c r="L1907" s="90">
        <v>3780.30688682853</v>
      </c>
      <c r="M1907" s="90">
        <v>10.8701205903584</v>
      </c>
      <c r="N1907" s="90">
        <v>2.0937337319537899</v>
      </c>
      <c r="O1907" s="90">
        <v>4.6327856906919998E-2</v>
      </c>
      <c r="P1907" s="90">
        <v>8.9233781657499997E-3</v>
      </c>
      <c r="Q1907" s="90">
        <v>16.111460315593199</v>
      </c>
      <c r="R1907" s="90">
        <v>1300</v>
      </c>
      <c r="S1907" s="90" t="s">
        <v>387</v>
      </c>
      <c r="T1907" s="90">
        <v>1300</v>
      </c>
      <c r="U1907" s="90" t="s">
        <v>378</v>
      </c>
      <c r="V1907" s="90" t="s">
        <v>244</v>
      </c>
      <c r="Z1907" s="90">
        <v>0</v>
      </c>
      <c r="AA1907" s="90">
        <v>1</v>
      </c>
      <c r="AB1907" s="90">
        <v>4.6327856906919998E-2</v>
      </c>
      <c r="AC1907" s="90">
        <v>8.9233781657499997E-3</v>
      </c>
      <c r="AD1907" s="90">
        <v>253.41667984801299</v>
      </c>
      <c r="AF1907" s="90">
        <v>-1</v>
      </c>
      <c r="AG1907" s="90">
        <v>-1</v>
      </c>
      <c r="AH1907" s="90">
        <v>-1</v>
      </c>
      <c r="AI1907" s="90">
        <v>-1</v>
      </c>
      <c r="AJ1907" s="90">
        <v>0</v>
      </c>
      <c r="AM1907" s="90" t="s">
        <v>379</v>
      </c>
      <c r="AN1907" s="90">
        <v>-1</v>
      </c>
      <c r="AQ1907" s="90">
        <v>379</v>
      </c>
      <c r="AR1907" s="90" t="s">
        <v>289</v>
      </c>
      <c r="AS1907" s="90" t="s">
        <v>411</v>
      </c>
      <c r="AT1907" s="90" t="s">
        <v>244</v>
      </c>
      <c r="AU1907" s="90">
        <v>3.2060680000000001</v>
      </c>
      <c r="AV1907" s="90">
        <v>20.209053360271501</v>
      </c>
      <c r="AW1907" s="90">
        <v>17.2474797957722</v>
      </c>
      <c r="AX1907" s="90">
        <v>0.20552853190000001</v>
      </c>
    </row>
    <row r="1908" spans="1:50" x14ac:dyDescent="0.25">
      <c r="A1908" s="102">
        <v>650000</v>
      </c>
      <c r="B1908" s="102">
        <v>2300000</v>
      </c>
      <c r="C1908" s="102">
        <v>2300000</v>
      </c>
      <c r="D1908" s="90" t="s">
        <v>374</v>
      </c>
      <c r="E1908" s="90" t="s">
        <v>68</v>
      </c>
      <c r="F1908" s="90" t="s">
        <v>375</v>
      </c>
      <c r="G1908" s="90" t="s">
        <v>376</v>
      </c>
      <c r="H1908" s="90">
        <v>0.59</v>
      </c>
      <c r="I1908" s="90">
        <v>0.64</v>
      </c>
      <c r="J1908" s="90" t="s">
        <v>244</v>
      </c>
      <c r="K1908" s="90">
        <v>6.4894542391630006E-2</v>
      </c>
      <c r="L1908" s="90">
        <v>3757.3267528548099</v>
      </c>
      <c r="M1908" s="90">
        <v>10.14152876366</v>
      </c>
      <c r="N1908" s="90">
        <v>1.7597422292543301</v>
      </c>
      <c r="O1908" s="90">
        <v>0.65812986826927</v>
      </c>
      <c r="P1908" s="90">
        <v>0.11419766669468</v>
      </c>
      <c r="Q1908" s="90">
        <v>243.83000024234201</v>
      </c>
      <c r="R1908" s="90">
        <v>1300</v>
      </c>
      <c r="S1908" s="90" t="s">
        <v>387</v>
      </c>
      <c r="T1908" s="90">
        <v>1300</v>
      </c>
      <c r="U1908" s="90" t="s">
        <v>378</v>
      </c>
      <c r="V1908" s="90" t="s">
        <v>244</v>
      </c>
      <c r="Z1908" s="90">
        <v>0</v>
      </c>
      <c r="AA1908" s="90">
        <v>1</v>
      </c>
      <c r="AB1908" s="90">
        <v>0.65812986826927</v>
      </c>
      <c r="AC1908" s="90">
        <v>0.11419766669468</v>
      </c>
      <c r="AD1908" s="90">
        <v>358.66288607491299</v>
      </c>
      <c r="AF1908" s="90">
        <v>-1</v>
      </c>
      <c r="AG1908" s="90">
        <v>-1</v>
      </c>
      <c r="AH1908" s="90">
        <v>-1</v>
      </c>
      <c r="AI1908" s="90">
        <v>-1</v>
      </c>
      <c r="AJ1908" s="90">
        <v>0</v>
      </c>
      <c r="AM1908" s="90" t="s">
        <v>379</v>
      </c>
      <c r="AN1908" s="90">
        <v>-1</v>
      </c>
      <c r="AQ1908" s="90">
        <v>379</v>
      </c>
      <c r="AR1908" s="90" t="s">
        <v>289</v>
      </c>
      <c r="AS1908" s="90" t="s">
        <v>411</v>
      </c>
      <c r="AT1908" s="90" t="s">
        <v>244</v>
      </c>
      <c r="AU1908" s="90">
        <v>3.2060680000000001</v>
      </c>
      <c r="AV1908" s="90">
        <v>146.36381318789901</v>
      </c>
      <c r="AW1908" s="90">
        <v>262.618895656277</v>
      </c>
      <c r="AX1908" s="90">
        <v>0.29088636340000001</v>
      </c>
    </row>
    <row r="1909" spans="1:50" x14ac:dyDescent="0.25">
      <c r="A1909" s="102">
        <v>650000</v>
      </c>
      <c r="B1909" s="102">
        <v>2300000</v>
      </c>
      <c r="C1909" s="102">
        <v>2300000</v>
      </c>
      <c r="D1909" s="90" t="s">
        <v>374</v>
      </c>
      <c r="E1909" s="90" t="s">
        <v>68</v>
      </c>
      <c r="F1909" s="90" t="s">
        <v>375</v>
      </c>
      <c r="G1909" s="90" t="s">
        <v>376</v>
      </c>
      <c r="H1909" s="90">
        <v>0.59</v>
      </c>
      <c r="I1909" s="90">
        <v>0.64</v>
      </c>
      <c r="J1909" s="90" t="s">
        <v>244</v>
      </c>
      <c r="K1909" s="90">
        <v>0.11900303486574999</v>
      </c>
      <c r="L1909" s="90">
        <v>3757.3267528548099</v>
      </c>
      <c r="M1909" s="90">
        <v>10.14152876366</v>
      </c>
      <c r="N1909" s="90">
        <v>1.7597422292543301</v>
      </c>
      <c r="O1909" s="90">
        <v>1.20687270105385</v>
      </c>
      <c r="P1909" s="90">
        <v>0.20941466586268001</v>
      </c>
      <c r="Q1909" s="90">
        <v>447.13328657199997</v>
      </c>
      <c r="R1909" s="90">
        <v>1300</v>
      </c>
      <c r="S1909" s="90" t="s">
        <v>387</v>
      </c>
      <c r="T1909" s="90">
        <v>1300</v>
      </c>
      <c r="U1909" s="90" t="s">
        <v>378</v>
      </c>
      <c r="V1909" s="90" t="s">
        <v>244</v>
      </c>
      <c r="Z1909" s="90">
        <v>0</v>
      </c>
      <c r="AA1909" s="90">
        <v>1</v>
      </c>
      <c r="AB1909" s="90">
        <v>1.20687270105385</v>
      </c>
      <c r="AC1909" s="90">
        <v>0.20941466586268001</v>
      </c>
      <c r="AD1909" s="90">
        <v>897.62607497102999</v>
      </c>
      <c r="AF1909" s="90">
        <v>-1</v>
      </c>
      <c r="AG1909" s="90">
        <v>-1</v>
      </c>
      <c r="AH1909" s="90">
        <v>-1</v>
      </c>
      <c r="AI1909" s="90">
        <v>-1</v>
      </c>
      <c r="AJ1909" s="90">
        <v>0</v>
      </c>
      <c r="AM1909" s="90" t="s">
        <v>379</v>
      </c>
      <c r="AN1909" s="90">
        <v>-1</v>
      </c>
      <c r="AQ1909" s="90">
        <v>379</v>
      </c>
      <c r="AR1909" s="90" t="s">
        <v>289</v>
      </c>
      <c r="AS1909" s="90" t="s">
        <v>411</v>
      </c>
      <c r="AT1909" s="90" t="s">
        <v>244</v>
      </c>
      <c r="AU1909" s="90">
        <v>3.2060680000000001</v>
      </c>
      <c r="AV1909" s="90">
        <v>111.100154247227</v>
      </c>
      <c r="AW1909" s="90">
        <v>481.58819593155698</v>
      </c>
      <c r="AX1909" s="90">
        <v>0.7280016829</v>
      </c>
    </row>
    <row r="1910" spans="1:50" x14ac:dyDescent="0.25">
      <c r="A1910" s="102">
        <v>650000</v>
      </c>
      <c r="B1910" s="102">
        <v>2300000</v>
      </c>
      <c r="C1910" s="102">
        <v>2300000</v>
      </c>
      <c r="D1910" s="90" t="s">
        <v>374</v>
      </c>
      <c r="E1910" s="90" t="s">
        <v>68</v>
      </c>
      <c r="F1910" s="90" t="s">
        <v>375</v>
      </c>
      <c r="G1910" s="90" t="s">
        <v>376</v>
      </c>
      <c r="H1910" s="90">
        <v>0.59</v>
      </c>
      <c r="I1910" s="90">
        <v>0.64</v>
      </c>
      <c r="J1910" s="90" t="s">
        <v>244</v>
      </c>
      <c r="K1910" s="90">
        <v>0.20379506126537</v>
      </c>
      <c r="L1910" s="90">
        <v>3753.7732455074201</v>
      </c>
      <c r="M1910" s="90">
        <v>10.0798447195052</v>
      </c>
      <c r="N1910" s="90">
        <v>1.77154147761529</v>
      </c>
      <c r="O1910" s="90">
        <v>2.05422257215703</v>
      </c>
      <c r="P1910" s="90">
        <v>0.36103140396476002</v>
      </c>
      <c r="Q1910" s="90">
        <v>765.000448544508</v>
      </c>
      <c r="R1910" s="90">
        <v>1200</v>
      </c>
      <c r="S1910" s="90" t="s">
        <v>384</v>
      </c>
      <c r="T1910" s="90">
        <v>1200</v>
      </c>
      <c r="U1910" s="90" t="s">
        <v>378</v>
      </c>
      <c r="V1910" s="90" t="s">
        <v>244</v>
      </c>
      <c r="Z1910" s="90">
        <v>0</v>
      </c>
      <c r="AA1910" s="90">
        <v>1</v>
      </c>
      <c r="AB1910" s="90">
        <v>2.05422257215703</v>
      </c>
      <c r="AC1910" s="90">
        <v>0.36103140396476002</v>
      </c>
      <c r="AD1910" s="90">
        <v>769.17561498375801</v>
      </c>
      <c r="AF1910" s="90">
        <v>-1</v>
      </c>
      <c r="AG1910" s="90">
        <v>-1</v>
      </c>
      <c r="AH1910" s="90">
        <v>-1</v>
      </c>
      <c r="AI1910" s="90">
        <v>-1</v>
      </c>
      <c r="AJ1910" s="90">
        <v>0</v>
      </c>
      <c r="AM1910" s="90" t="s">
        <v>379</v>
      </c>
      <c r="AN1910" s="90">
        <v>-1</v>
      </c>
      <c r="AQ1910" s="90">
        <v>379</v>
      </c>
      <c r="AR1910" s="90" t="s">
        <v>289</v>
      </c>
      <c r="AS1910" s="90" t="s">
        <v>411</v>
      </c>
      <c r="AT1910" s="90" t="s">
        <v>244</v>
      </c>
      <c r="AU1910" s="90">
        <v>3.2060680000000001</v>
      </c>
      <c r="AV1910" s="90">
        <v>121.032102016148</v>
      </c>
      <c r="AW1910" s="90">
        <v>824.72935253518006</v>
      </c>
      <c r="AX1910" s="90">
        <v>0.6238245053</v>
      </c>
    </row>
    <row r="1911" spans="1:50" x14ac:dyDescent="0.25">
      <c r="A1911" s="102">
        <v>650000</v>
      </c>
      <c r="B1911" s="102">
        <v>2300000</v>
      </c>
      <c r="C1911" s="102">
        <v>2300000</v>
      </c>
      <c r="D1911" s="90" t="s">
        <v>374</v>
      </c>
      <c r="E1911" s="90" t="s">
        <v>68</v>
      </c>
      <c r="F1911" s="90" t="s">
        <v>375</v>
      </c>
      <c r="G1911" s="90" t="s">
        <v>376</v>
      </c>
      <c r="H1911" s="90">
        <v>0.59</v>
      </c>
      <c r="I1911" s="90">
        <v>0.64</v>
      </c>
      <c r="J1911" s="90" t="s">
        <v>244</v>
      </c>
      <c r="K1911" s="90">
        <v>2.2089163028220001E-2</v>
      </c>
      <c r="L1911" s="90">
        <v>3753.7732455074201</v>
      </c>
      <c r="M1911" s="90">
        <v>10.0798447195052</v>
      </c>
      <c r="N1911" s="90">
        <v>1.77154147761529</v>
      </c>
      <c r="O1911" s="90">
        <v>0.22265533330831999</v>
      </c>
      <c r="P1911" s="90">
        <v>3.9131868510299997E-2</v>
      </c>
      <c r="Q1911" s="90">
        <v>82.917709190995296</v>
      </c>
      <c r="R1911" s="90">
        <v>1300</v>
      </c>
      <c r="S1911" s="90" t="s">
        <v>387</v>
      </c>
      <c r="T1911" s="90">
        <v>1300</v>
      </c>
      <c r="U1911" s="90" t="s">
        <v>378</v>
      </c>
      <c r="V1911" s="90" t="s">
        <v>244</v>
      </c>
      <c r="Z1911" s="90">
        <v>0</v>
      </c>
      <c r="AA1911" s="90">
        <v>1</v>
      </c>
      <c r="AB1911" s="90">
        <v>0.22265533330831999</v>
      </c>
      <c r="AC1911" s="90">
        <v>3.9131868510299997E-2</v>
      </c>
      <c r="AD1911" s="90">
        <v>693.68598347990201</v>
      </c>
      <c r="AF1911" s="90">
        <v>-1</v>
      </c>
      <c r="AG1911" s="90">
        <v>-1</v>
      </c>
      <c r="AH1911" s="90">
        <v>-1</v>
      </c>
      <c r="AI1911" s="90">
        <v>-1</v>
      </c>
      <c r="AJ1911" s="90">
        <v>0</v>
      </c>
      <c r="AM1911" s="90" t="s">
        <v>379</v>
      </c>
      <c r="AN1911" s="90">
        <v>-1</v>
      </c>
      <c r="AQ1911" s="90">
        <v>379</v>
      </c>
      <c r="AR1911" s="90" t="s">
        <v>289</v>
      </c>
      <c r="AS1911" s="90" t="s">
        <v>411</v>
      </c>
      <c r="AT1911" s="90" t="s">
        <v>244</v>
      </c>
      <c r="AU1911" s="90">
        <v>3.2060680000000001</v>
      </c>
      <c r="AV1911" s="90">
        <v>90.602092399913204</v>
      </c>
      <c r="AW1911" s="90">
        <v>89.3916712662039</v>
      </c>
      <c r="AX1911" s="90">
        <v>0.56260014879999998</v>
      </c>
    </row>
    <row r="1912" spans="1:50" x14ac:dyDescent="0.25">
      <c r="A1912" s="102">
        <v>650000</v>
      </c>
      <c r="B1912" s="102">
        <v>2300000</v>
      </c>
      <c r="C1912" s="102">
        <v>2300000</v>
      </c>
      <c r="D1912" s="90" t="s">
        <v>374</v>
      </c>
      <c r="E1912" s="90" t="s">
        <v>68</v>
      </c>
      <c r="F1912" s="90" t="s">
        <v>375</v>
      </c>
      <c r="G1912" s="90" t="s">
        <v>376</v>
      </c>
      <c r="H1912" s="90">
        <v>0.59</v>
      </c>
      <c r="I1912" s="90">
        <v>0.64</v>
      </c>
      <c r="J1912" s="90" t="s">
        <v>244</v>
      </c>
      <c r="K1912" s="90">
        <v>4.6201617145259999E-2</v>
      </c>
      <c r="L1912" s="90">
        <v>3753.7732455074201</v>
      </c>
      <c r="M1912" s="90">
        <v>10.0798447195052</v>
      </c>
      <c r="N1912" s="90">
        <v>1.77154147761529</v>
      </c>
      <c r="O1912" s="90">
        <v>0.46570512661430002</v>
      </c>
      <c r="P1912" s="90">
        <v>8.1848081105729997E-2</v>
      </c>
      <c r="Q1912" s="90">
        <v>173.43039433907299</v>
      </c>
      <c r="R1912" s="90">
        <v>1820</v>
      </c>
      <c r="S1912" s="90" t="s">
        <v>412</v>
      </c>
      <c r="T1912" s="90">
        <v>1820</v>
      </c>
      <c r="U1912" s="90" t="s">
        <v>378</v>
      </c>
      <c r="V1912" s="90" t="s">
        <v>244</v>
      </c>
      <c r="Z1912" s="90">
        <v>0</v>
      </c>
      <c r="AA1912" s="90">
        <v>1</v>
      </c>
      <c r="AB1912" s="90">
        <v>0.46570512661430002</v>
      </c>
      <c r="AC1912" s="90">
        <v>8.1848081105729997E-2</v>
      </c>
      <c r="AD1912" s="90">
        <v>173.430394339072</v>
      </c>
      <c r="AF1912" s="90">
        <v>-1</v>
      </c>
      <c r="AG1912" s="90">
        <v>-1</v>
      </c>
      <c r="AH1912" s="90">
        <v>-1</v>
      </c>
      <c r="AI1912" s="90">
        <v>-1</v>
      </c>
      <c r="AJ1912" s="90">
        <v>0</v>
      </c>
      <c r="AM1912" s="90" t="s">
        <v>379</v>
      </c>
      <c r="AN1912" s="90">
        <v>-1</v>
      </c>
      <c r="AQ1912" s="90">
        <v>379</v>
      </c>
      <c r="AR1912" s="90" t="s">
        <v>289</v>
      </c>
      <c r="AS1912" s="90" t="s">
        <v>411</v>
      </c>
      <c r="AT1912" s="90" t="s">
        <v>244</v>
      </c>
      <c r="AU1912" s="90">
        <v>3.2060680000000001</v>
      </c>
      <c r="AV1912" s="90">
        <v>57.1073230848177</v>
      </c>
      <c r="AW1912" s="90">
        <v>186.97131106958099</v>
      </c>
      <c r="AX1912" s="90">
        <v>0.14065725409999999</v>
      </c>
    </row>
    <row r="1913" spans="1:50" x14ac:dyDescent="0.25">
      <c r="A1913" s="102">
        <v>650000</v>
      </c>
      <c r="B1913" s="102">
        <v>2300000</v>
      </c>
      <c r="C1913" s="102">
        <v>2300000</v>
      </c>
      <c r="D1913" s="90" t="s">
        <v>374</v>
      </c>
      <c r="E1913" s="90" t="s">
        <v>68</v>
      </c>
      <c r="F1913" s="90" t="s">
        <v>375</v>
      </c>
      <c r="G1913" s="90" t="s">
        <v>376</v>
      </c>
      <c r="H1913" s="90">
        <v>0.59</v>
      </c>
      <c r="I1913" s="90">
        <v>0.64</v>
      </c>
      <c r="J1913" s="90" t="s">
        <v>244</v>
      </c>
      <c r="K1913" s="90">
        <v>7.6041440919800002E-3</v>
      </c>
      <c r="L1913" s="90">
        <v>3753.7732455074201</v>
      </c>
      <c r="M1913" s="90">
        <v>10.0798447195052</v>
      </c>
      <c r="N1913" s="90">
        <v>1.77154147761529</v>
      </c>
      <c r="O1913" s="90">
        <v>7.6648591671940006E-2</v>
      </c>
      <c r="P1913" s="90">
        <v>1.3471056660709999E-2</v>
      </c>
      <c r="Q1913" s="90">
        <v>28.544232647472899</v>
      </c>
      <c r="R1913" s="90">
        <v>1300</v>
      </c>
      <c r="S1913" s="90" t="s">
        <v>387</v>
      </c>
      <c r="T1913" s="90">
        <v>1300</v>
      </c>
      <c r="U1913" s="90" t="s">
        <v>378</v>
      </c>
      <c r="V1913" s="90" t="s">
        <v>244</v>
      </c>
      <c r="Z1913" s="90">
        <v>0</v>
      </c>
      <c r="AA1913" s="90">
        <v>1</v>
      </c>
      <c r="AB1913" s="90">
        <v>7.6648591671940006E-2</v>
      </c>
      <c r="AC1913" s="90">
        <v>1.3471056660709999E-2</v>
      </c>
      <c r="AD1913" s="90">
        <v>56.7160363200585</v>
      </c>
      <c r="AF1913" s="90">
        <v>-1</v>
      </c>
      <c r="AG1913" s="90">
        <v>-1</v>
      </c>
      <c r="AH1913" s="90">
        <v>-1</v>
      </c>
      <c r="AI1913" s="90">
        <v>-1</v>
      </c>
      <c r="AJ1913" s="90">
        <v>0</v>
      </c>
      <c r="AM1913" s="90" t="s">
        <v>379</v>
      </c>
      <c r="AN1913" s="90">
        <v>-1</v>
      </c>
      <c r="AQ1913" s="90">
        <v>379</v>
      </c>
      <c r="AR1913" s="90" t="s">
        <v>289</v>
      </c>
      <c r="AS1913" s="90" t="s">
        <v>411</v>
      </c>
      <c r="AT1913" s="90" t="s">
        <v>244</v>
      </c>
      <c r="AU1913" s="90">
        <v>3.2060680000000001</v>
      </c>
      <c r="AV1913" s="90">
        <v>48.475069923088299</v>
      </c>
      <c r="AW1913" s="90">
        <v>30.772879355500201</v>
      </c>
      <c r="AX1913" s="90">
        <v>4.5998407400000003E-2</v>
      </c>
    </row>
    <row r="1914" spans="1:50" x14ac:dyDescent="0.25">
      <c r="A1914" s="102">
        <v>660000</v>
      </c>
      <c r="B1914" s="102">
        <v>2300000</v>
      </c>
      <c r="C1914" s="102">
        <v>2300000</v>
      </c>
      <c r="D1914" s="90" t="s">
        <v>374</v>
      </c>
      <c r="E1914" s="90" t="s">
        <v>68</v>
      </c>
      <c r="F1914" s="90" t="s">
        <v>375</v>
      </c>
      <c r="G1914" s="90" t="s">
        <v>376</v>
      </c>
      <c r="H1914" s="90">
        <v>0.59</v>
      </c>
      <c r="I1914" s="90">
        <v>0.64</v>
      </c>
      <c r="J1914" s="90" t="s">
        <v>244</v>
      </c>
      <c r="K1914" s="90">
        <v>6.3276372356090002E-2</v>
      </c>
      <c r="L1914" s="90">
        <v>3728.52021845954</v>
      </c>
      <c r="M1914" s="90">
        <v>9.2901878153640105</v>
      </c>
      <c r="N1914" s="90">
        <v>1.3662044634539401</v>
      </c>
      <c r="O1914" s="90">
        <v>0.58784938346299997</v>
      </c>
      <c r="P1914" s="90">
        <v>8.6448462344060006E-2</v>
      </c>
      <c r="Q1914" s="90">
        <v>235.92723368046299</v>
      </c>
      <c r="R1914" s="90">
        <v>1200</v>
      </c>
      <c r="S1914" s="90" t="s">
        <v>384</v>
      </c>
      <c r="T1914" s="90">
        <v>1200</v>
      </c>
      <c r="U1914" s="90" t="s">
        <v>378</v>
      </c>
      <c r="V1914" s="90" t="s">
        <v>244</v>
      </c>
      <c r="Z1914" s="90">
        <v>0</v>
      </c>
      <c r="AA1914" s="90">
        <v>1</v>
      </c>
      <c r="AB1914" s="90">
        <v>0.58784938346299997</v>
      </c>
      <c r="AC1914" s="90">
        <v>8.6448462344060006E-2</v>
      </c>
      <c r="AD1914" s="90">
        <v>779.08876918817305</v>
      </c>
      <c r="AF1914" s="90">
        <v>-1</v>
      </c>
      <c r="AG1914" s="90">
        <v>-1</v>
      </c>
      <c r="AH1914" s="90">
        <v>-1</v>
      </c>
      <c r="AI1914" s="90">
        <v>-1</v>
      </c>
      <c r="AJ1914" s="90">
        <v>0</v>
      </c>
      <c r="AM1914" s="90" t="s">
        <v>379</v>
      </c>
      <c r="AN1914" s="90">
        <v>-1</v>
      </c>
      <c r="AQ1914" s="90">
        <v>379</v>
      </c>
      <c r="AR1914" s="90" t="s">
        <v>289</v>
      </c>
      <c r="AS1914" s="90" t="s">
        <v>411</v>
      </c>
      <c r="AT1914" s="90" t="s">
        <v>244</v>
      </c>
      <c r="AU1914" s="90">
        <v>3.2060680000000001</v>
      </c>
      <c r="AV1914" s="90">
        <v>129.80237353517401</v>
      </c>
      <c r="AW1914" s="90">
        <v>256.07039385542498</v>
      </c>
      <c r="AX1914" s="90">
        <v>0.63186437080000002</v>
      </c>
    </row>
    <row r="1915" spans="1:50" x14ac:dyDescent="0.25">
      <c r="A1915" s="102">
        <v>660000</v>
      </c>
      <c r="B1915" s="102">
        <v>2300000</v>
      </c>
      <c r="C1915" s="102">
        <v>2300000</v>
      </c>
      <c r="D1915" s="90" t="s">
        <v>374</v>
      </c>
      <c r="E1915" s="90" t="s">
        <v>68</v>
      </c>
      <c r="F1915" s="90" t="s">
        <v>375</v>
      </c>
      <c r="G1915" s="90" t="s">
        <v>376</v>
      </c>
      <c r="H1915" s="90">
        <v>0.59</v>
      </c>
      <c r="I1915" s="90">
        <v>0.64</v>
      </c>
      <c r="J1915" s="90" t="s">
        <v>244</v>
      </c>
      <c r="K1915" s="90">
        <v>0.12372429770894</v>
      </c>
      <c r="L1915" s="90">
        <v>3728.52021845954</v>
      </c>
      <c r="M1915" s="90">
        <v>9.2901878153640105</v>
      </c>
      <c r="N1915" s="90">
        <v>1.3662044634539401</v>
      </c>
      <c r="O1915" s="90">
        <v>1.1494219630401099</v>
      </c>
      <c r="P1915" s="90">
        <v>0.16903268776766001</v>
      </c>
      <c r="Q1915" s="90">
        <v>461.30854552250798</v>
      </c>
      <c r="R1915" s="90">
        <v>1210</v>
      </c>
      <c r="S1915" s="90" t="s">
        <v>385</v>
      </c>
      <c r="T1915" s="90">
        <v>1210</v>
      </c>
      <c r="U1915" s="90" t="s">
        <v>378</v>
      </c>
      <c r="V1915" s="90" t="s">
        <v>244</v>
      </c>
      <c r="Z1915" s="90">
        <v>0</v>
      </c>
      <c r="AA1915" s="90">
        <v>1</v>
      </c>
      <c r="AB1915" s="90">
        <v>1.1494219630401099</v>
      </c>
      <c r="AC1915" s="90">
        <v>0.16903268776766001</v>
      </c>
      <c r="AD1915" s="90">
        <v>524.06002134046196</v>
      </c>
      <c r="AF1915" s="90">
        <v>-1</v>
      </c>
      <c r="AG1915" s="90">
        <v>-1</v>
      </c>
      <c r="AH1915" s="90">
        <v>-1</v>
      </c>
      <c r="AI1915" s="90">
        <v>-1</v>
      </c>
      <c r="AJ1915" s="90">
        <v>0</v>
      </c>
      <c r="AM1915" s="90" t="s">
        <v>379</v>
      </c>
      <c r="AN1915" s="90">
        <v>-1</v>
      </c>
      <c r="AQ1915" s="90">
        <v>379</v>
      </c>
      <c r="AR1915" s="90" t="s">
        <v>289</v>
      </c>
      <c r="AS1915" s="90" t="s">
        <v>411</v>
      </c>
      <c r="AT1915" s="90" t="s">
        <v>244</v>
      </c>
      <c r="AU1915" s="90">
        <v>3.2060680000000001</v>
      </c>
      <c r="AV1915" s="90">
        <v>109.360051404335</v>
      </c>
      <c r="AW1915" s="90">
        <v>500.69446879037503</v>
      </c>
      <c r="AX1915" s="90">
        <v>0.42502840339999998</v>
      </c>
    </row>
    <row r="1916" spans="1:50" x14ac:dyDescent="0.25">
      <c r="A1916" s="102">
        <v>660000</v>
      </c>
      <c r="B1916" s="102">
        <v>2300000</v>
      </c>
      <c r="C1916" s="102">
        <v>2300000</v>
      </c>
      <c r="D1916" s="90" t="s">
        <v>374</v>
      </c>
      <c r="E1916" s="90" t="s">
        <v>68</v>
      </c>
      <c r="F1916" s="90" t="s">
        <v>375</v>
      </c>
      <c r="G1916" s="90" t="s">
        <v>376</v>
      </c>
      <c r="H1916" s="90">
        <v>0.59</v>
      </c>
      <c r="I1916" s="90">
        <v>0.64</v>
      </c>
      <c r="J1916" s="90" t="s">
        <v>244</v>
      </c>
      <c r="K1916" s="90">
        <v>3.9281850939670002E-2</v>
      </c>
      <c r="L1916" s="90">
        <v>3728.52021845954</v>
      </c>
      <c r="M1916" s="90">
        <v>9.2901878153640105</v>
      </c>
      <c r="N1916" s="90">
        <v>1.3662044634539401</v>
      </c>
      <c r="O1916" s="90">
        <v>0.36493577296473001</v>
      </c>
      <c r="P1916" s="90">
        <v>5.366704008651E-2</v>
      </c>
      <c r="Q1916" s="90">
        <v>146.46317544709899</v>
      </c>
      <c r="R1916" s="90">
        <v>1210</v>
      </c>
      <c r="S1916" s="90" t="s">
        <v>385</v>
      </c>
      <c r="T1916" s="90">
        <v>1210</v>
      </c>
      <c r="U1916" s="90" t="s">
        <v>378</v>
      </c>
      <c r="V1916" s="90" t="s">
        <v>244</v>
      </c>
      <c r="Z1916" s="90">
        <v>0</v>
      </c>
      <c r="AA1916" s="90">
        <v>1</v>
      </c>
      <c r="AB1916" s="90">
        <v>0.36493577296473001</v>
      </c>
      <c r="AC1916" s="90">
        <v>5.366704008651E-2</v>
      </c>
      <c r="AD1916" s="90">
        <v>146.463175447098</v>
      </c>
      <c r="AF1916" s="90">
        <v>-1</v>
      </c>
      <c r="AG1916" s="90">
        <v>-1</v>
      </c>
      <c r="AH1916" s="90">
        <v>-1</v>
      </c>
      <c r="AI1916" s="90">
        <v>-1</v>
      </c>
      <c r="AJ1916" s="90">
        <v>0</v>
      </c>
      <c r="AM1916" s="90" t="s">
        <v>379</v>
      </c>
      <c r="AN1916" s="90">
        <v>-1</v>
      </c>
      <c r="AQ1916" s="90">
        <v>379</v>
      </c>
      <c r="AR1916" s="90" t="s">
        <v>289</v>
      </c>
      <c r="AS1916" s="90" t="s">
        <v>411</v>
      </c>
      <c r="AT1916" s="90" t="s">
        <v>244</v>
      </c>
      <c r="AU1916" s="90">
        <v>3.2060680000000001</v>
      </c>
      <c r="AV1916" s="90">
        <v>51.347653443563303</v>
      </c>
      <c r="AW1916" s="90">
        <v>158.96801075899</v>
      </c>
      <c r="AX1916" s="90">
        <v>0.11878603040000001</v>
      </c>
    </row>
    <row r="1917" spans="1:50" x14ac:dyDescent="0.25">
      <c r="A1917" s="102">
        <v>660000</v>
      </c>
      <c r="B1917" s="102">
        <v>2300000</v>
      </c>
      <c r="C1917" s="102">
        <v>2300000</v>
      </c>
      <c r="D1917" s="90" t="s">
        <v>374</v>
      </c>
      <c r="E1917" s="90" t="s">
        <v>68</v>
      </c>
      <c r="F1917" s="90" t="s">
        <v>375</v>
      </c>
      <c r="G1917" s="90" t="s">
        <v>376</v>
      </c>
      <c r="H1917" s="90">
        <v>0.59</v>
      </c>
      <c r="I1917" s="90">
        <v>0.64</v>
      </c>
      <c r="J1917" s="90" t="s">
        <v>244</v>
      </c>
      <c r="K1917" s="90">
        <v>0.11716091039517</v>
      </c>
      <c r="L1917" s="90">
        <v>3728.52021845954</v>
      </c>
      <c r="M1917" s="90">
        <v>9.2901878153640105</v>
      </c>
      <c r="N1917" s="90">
        <v>1.3662044634539401</v>
      </c>
      <c r="O1917" s="90">
        <v>1.08844686219017</v>
      </c>
      <c r="P1917" s="90">
        <v>0.16006575872421</v>
      </c>
      <c r="Q1917" s="90">
        <v>436.836823221521</v>
      </c>
      <c r="R1917" s="90">
        <v>1210</v>
      </c>
      <c r="S1917" s="90" t="s">
        <v>385</v>
      </c>
      <c r="T1917" s="90">
        <v>1210</v>
      </c>
      <c r="U1917" s="90" t="s">
        <v>378</v>
      </c>
      <c r="V1917" s="90" t="s">
        <v>244</v>
      </c>
      <c r="Z1917" s="90">
        <v>0</v>
      </c>
      <c r="AA1917" s="90">
        <v>1</v>
      </c>
      <c r="AB1917" s="90">
        <v>1.08844686219017</v>
      </c>
      <c r="AC1917" s="90">
        <v>0.16006575872421</v>
      </c>
      <c r="AD1917" s="90">
        <v>436.836823221521</v>
      </c>
      <c r="AF1917" s="90">
        <v>-1</v>
      </c>
      <c r="AG1917" s="90">
        <v>-1</v>
      </c>
      <c r="AH1917" s="90">
        <v>-1</v>
      </c>
      <c r="AI1917" s="90">
        <v>-1</v>
      </c>
      <c r="AJ1917" s="90">
        <v>0</v>
      </c>
      <c r="AM1917" s="90" t="s">
        <v>379</v>
      </c>
      <c r="AN1917" s="90">
        <v>-1</v>
      </c>
      <c r="AQ1917" s="90">
        <v>379</v>
      </c>
      <c r="AR1917" s="90" t="s">
        <v>289</v>
      </c>
      <c r="AS1917" s="90" t="s">
        <v>411</v>
      </c>
      <c r="AT1917" s="90" t="s">
        <v>244</v>
      </c>
      <c r="AU1917" s="90">
        <v>3.2060680000000001</v>
      </c>
      <c r="AV1917" s="90">
        <v>90.050713368860201</v>
      </c>
      <c r="AW1917" s="90">
        <v>474.133382686929</v>
      </c>
      <c r="AX1917" s="90">
        <v>0.35428777230000003</v>
      </c>
    </row>
    <row r="1918" spans="1:50" x14ac:dyDescent="0.25">
      <c r="A1918" s="102">
        <v>660000</v>
      </c>
      <c r="B1918" s="102">
        <v>2300000</v>
      </c>
      <c r="C1918" s="102">
        <v>2300000</v>
      </c>
      <c r="D1918" s="90" t="s">
        <v>374</v>
      </c>
      <c r="E1918" s="90" t="s">
        <v>68</v>
      </c>
      <c r="F1918" s="90" t="s">
        <v>375</v>
      </c>
      <c r="G1918" s="90" t="s">
        <v>376</v>
      </c>
      <c r="H1918" s="90">
        <v>0.59</v>
      </c>
      <c r="I1918" s="90">
        <v>0.64</v>
      </c>
      <c r="J1918" s="90" t="s">
        <v>244</v>
      </c>
      <c r="K1918" s="90">
        <v>0.22444885550359001</v>
      </c>
      <c r="L1918" s="90">
        <v>3795.9897575166701</v>
      </c>
      <c r="M1918" s="90">
        <v>9.9980728868832802</v>
      </c>
      <c r="N1918" s="90">
        <v>1.81902505231189</v>
      </c>
      <c r="O1918" s="90">
        <v>2.2440560167024302</v>
      </c>
      <c r="P1918" s="90">
        <v>0.40827809112376001</v>
      </c>
      <c r="Q1918" s="90">
        <v>852.00555657797099</v>
      </c>
      <c r="R1918" s="90">
        <v>1300</v>
      </c>
      <c r="S1918" s="90" t="s">
        <v>387</v>
      </c>
      <c r="T1918" s="90">
        <v>1300</v>
      </c>
      <c r="U1918" s="90" t="s">
        <v>378</v>
      </c>
      <c r="V1918" s="90" t="s">
        <v>244</v>
      </c>
      <c r="Z1918" s="90">
        <v>0</v>
      </c>
      <c r="AA1918" s="90">
        <v>1</v>
      </c>
      <c r="AB1918" s="90">
        <v>2.2440560167024302</v>
      </c>
      <c r="AC1918" s="90">
        <v>0.40827809112376001</v>
      </c>
      <c r="AD1918" s="90">
        <v>1257.6161041953401</v>
      </c>
      <c r="AF1918" s="90">
        <v>-1</v>
      </c>
      <c r="AG1918" s="90">
        <v>-1</v>
      </c>
      <c r="AH1918" s="90">
        <v>-1</v>
      </c>
      <c r="AI1918" s="90">
        <v>-1</v>
      </c>
      <c r="AJ1918" s="90">
        <v>0</v>
      </c>
      <c r="AM1918" s="90" t="s">
        <v>379</v>
      </c>
      <c r="AN1918" s="90">
        <v>-1</v>
      </c>
      <c r="AQ1918" s="90">
        <v>379</v>
      </c>
      <c r="AR1918" s="90" t="s">
        <v>289</v>
      </c>
      <c r="AS1918" s="90" t="s">
        <v>411</v>
      </c>
      <c r="AT1918" s="90" t="s">
        <v>244</v>
      </c>
      <c r="AU1918" s="90">
        <v>3.2060680000000001</v>
      </c>
      <c r="AV1918" s="90">
        <v>147.779075215087</v>
      </c>
      <c r="AW1918" s="90">
        <v>908.312292395035</v>
      </c>
      <c r="AX1918" s="90">
        <v>1.0199643992</v>
      </c>
    </row>
    <row r="1919" spans="1:50" x14ac:dyDescent="0.25">
      <c r="A1919" s="102">
        <v>660000</v>
      </c>
      <c r="B1919" s="102">
        <v>2300000</v>
      </c>
      <c r="C1919" s="102">
        <v>2300000</v>
      </c>
      <c r="D1919" s="90" t="s">
        <v>374</v>
      </c>
      <c r="E1919" s="90" t="s">
        <v>68</v>
      </c>
      <c r="F1919" s="90" t="s">
        <v>375</v>
      </c>
      <c r="G1919" s="90" t="s">
        <v>376</v>
      </c>
      <c r="H1919" s="90">
        <v>0.59</v>
      </c>
      <c r="I1919" s="90">
        <v>0.64</v>
      </c>
      <c r="J1919" s="90" t="s">
        <v>244</v>
      </c>
      <c r="K1919" s="90">
        <v>4.1210046862899998E-3</v>
      </c>
      <c r="L1919" s="90">
        <v>3795.9897575166701</v>
      </c>
      <c r="M1919" s="90">
        <v>9.9980728868832802</v>
      </c>
      <c r="N1919" s="90">
        <v>1.81902505231189</v>
      </c>
      <c r="O1919" s="90">
        <v>4.1202105220760003E-2</v>
      </c>
      <c r="P1919" s="90">
        <v>7.4962107650600003E-3</v>
      </c>
      <c r="Q1919" s="90">
        <v>15.643291579854001</v>
      </c>
      <c r="R1919" s="90">
        <v>1300</v>
      </c>
      <c r="S1919" s="90" t="s">
        <v>387</v>
      </c>
      <c r="T1919" s="90">
        <v>1300</v>
      </c>
      <c r="U1919" s="90" t="s">
        <v>378</v>
      </c>
      <c r="V1919" s="90" t="s">
        <v>244</v>
      </c>
      <c r="Z1919" s="90">
        <v>0</v>
      </c>
      <c r="AA1919" s="90">
        <v>1</v>
      </c>
      <c r="AB1919" s="90">
        <v>4.1202105220760003E-2</v>
      </c>
      <c r="AC1919" s="90">
        <v>7.4962107650600003E-3</v>
      </c>
      <c r="AD1919" s="90">
        <v>258.63866741022002</v>
      </c>
      <c r="AF1919" s="90">
        <v>-1</v>
      </c>
      <c r="AG1919" s="90">
        <v>-1</v>
      </c>
      <c r="AH1919" s="90">
        <v>-1</v>
      </c>
      <c r="AI1919" s="90">
        <v>-1</v>
      </c>
      <c r="AJ1919" s="90">
        <v>0</v>
      </c>
      <c r="AM1919" s="90" t="s">
        <v>379</v>
      </c>
      <c r="AN1919" s="90">
        <v>-1</v>
      </c>
      <c r="AQ1919" s="90">
        <v>379</v>
      </c>
      <c r="AR1919" s="90" t="s">
        <v>289</v>
      </c>
      <c r="AS1919" s="90" t="s">
        <v>411</v>
      </c>
      <c r="AT1919" s="90" t="s">
        <v>244</v>
      </c>
      <c r="AU1919" s="90">
        <v>3.2060680000000001</v>
      </c>
      <c r="AV1919" s="90">
        <v>28.722590033135202</v>
      </c>
      <c r="AW1919" s="90">
        <v>16.677114281473099</v>
      </c>
      <c r="AX1919" s="90">
        <v>0.2097637205</v>
      </c>
    </row>
    <row r="1920" spans="1:50" x14ac:dyDescent="0.25">
      <c r="A1920" s="102">
        <v>660000</v>
      </c>
      <c r="B1920" s="102">
        <v>2300000</v>
      </c>
      <c r="C1920" s="102">
        <v>2300000</v>
      </c>
      <c r="D1920" s="90" t="s">
        <v>374</v>
      </c>
      <c r="E1920" s="90" t="s">
        <v>68</v>
      </c>
      <c r="F1920" s="90" t="s">
        <v>375</v>
      </c>
      <c r="G1920" s="90" t="s">
        <v>376</v>
      </c>
      <c r="H1920" s="90">
        <v>0.59</v>
      </c>
      <c r="I1920" s="90">
        <v>0.64</v>
      </c>
      <c r="J1920" s="90" t="s">
        <v>244</v>
      </c>
      <c r="K1920" s="90">
        <v>6.5599304158919999E-2</v>
      </c>
      <c r="L1920" s="90">
        <v>3795.9897575166701</v>
      </c>
      <c r="M1920" s="90">
        <v>9.9980728868832802</v>
      </c>
      <c r="N1920" s="90">
        <v>1.81902505231189</v>
      </c>
      <c r="O1920" s="90">
        <v>0.65586662430971998</v>
      </c>
      <c r="P1920" s="90">
        <v>0.1193267776793</v>
      </c>
      <c r="Q1920" s="90">
        <v>249.01428668748801</v>
      </c>
      <c r="R1920" s="90">
        <v>1300</v>
      </c>
      <c r="S1920" s="90" t="s">
        <v>387</v>
      </c>
      <c r="T1920" s="90">
        <v>1300</v>
      </c>
      <c r="U1920" s="90" t="s">
        <v>378</v>
      </c>
      <c r="V1920" s="90" t="s">
        <v>244</v>
      </c>
      <c r="Z1920" s="90">
        <v>0</v>
      </c>
      <c r="AA1920" s="90">
        <v>1</v>
      </c>
      <c r="AB1920" s="90">
        <v>0.65586662430971998</v>
      </c>
      <c r="AC1920" s="90">
        <v>0.1193267776793</v>
      </c>
      <c r="AD1920" s="90">
        <v>809.92498601355896</v>
      </c>
      <c r="AF1920" s="90">
        <v>-1</v>
      </c>
      <c r="AG1920" s="90">
        <v>-1</v>
      </c>
      <c r="AH1920" s="90">
        <v>-1</v>
      </c>
      <c r="AI1920" s="90">
        <v>-1</v>
      </c>
      <c r="AJ1920" s="90">
        <v>0</v>
      </c>
      <c r="AM1920" s="90" t="s">
        <v>379</v>
      </c>
      <c r="AN1920" s="90">
        <v>-1</v>
      </c>
      <c r="AQ1920" s="90">
        <v>379</v>
      </c>
      <c r="AR1920" s="90" t="s">
        <v>289</v>
      </c>
      <c r="AS1920" s="90" t="s">
        <v>411</v>
      </c>
      <c r="AT1920" s="90" t="s">
        <v>244</v>
      </c>
      <c r="AU1920" s="90">
        <v>3.2060680000000001</v>
      </c>
      <c r="AV1920" s="90">
        <v>78.696377096806401</v>
      </c>
      <c r="AW1920" s="90">
        <v>265.47096534050303</v>
      </c>
      <c r="AX1920" s="90">
        <v>0.65687346800000002</v>
      </c>
    </row>
    <row r="1921" spans="1:50" x14ac:dyDescent="0.25">
      <c r="A1921" s="102">
        <v>660000</v>
      </c>
      <c r="B1921" s="102">
        <v>2300000</v>
      </c>
      <c r="C1921" s="102">
        <v>2300000</v>
      </c>
      <c r="D1921" s="90" t="s">
        <v>374</v>
      </c>
      <c r="E1921" s="90" t="s">
        <v>68</v>
      </c>
      <c r="F1921" s="90" t="s">
        <v>375</v>
      </c>
      <c r="G1921" s="90" t="s">
        <v>376</v>
      </c>
      <c r="H1921" s="90">
        <v>0.59</v>
      </c>
      <c r="I1921" s="90">
        <v>0.64</v>
      </c>
      <c r="J1921" s="90" t="s">
        <v>244</v>
      </c>
      <c r="K1921" s="90">
        <v>0.27375402882510003</v>
      </c>
      <c r="L1921" s="90">
        <v>3736.5625381342902</v>
      </c>
      <c r="M1921" s="90">
        <v>9.5503003584537094</v>
      </c>
      <c r="N1921" s="90">
        <v>1.50476534094271</v>
      </c>
      <c r="O1921" s="90">
        <v>2.61443319961655</v>
      </c>
      <c r="P1921" s="90">
        <v>0.41193557451945001</v>
      </c>
      <c r="Q1921" s="90">
        <v>1022.89904877122</v>
      </c>
      <c r="R1921" s="90">
        <v>1200</v>
      </c>
      <c r="S1921" s="90" t="s">
        <v>384</v>
      </c>
      <c r="T1921" s="90">
        <v>1200</v>
      </c>
      <c r="U1921" s="90" t="s">
        <v>378</v>
      </c>
      <c r="V1921" s="90" t="s">
        <v>244</v>
      </c>
      <c r="Z1921" s="90">
        <v>0</v>
      </c>
      <c r="AA1921" s="90">
        <v>1</v>
      </c>
      <c r="AB1921" s="90">
        <v>2.61443319961655</v>
      </c>
      <c r="AC1921" s="90">
        <v>0.41193557451945001</v>
      </c>
      <c r="AD1921" s="90">
        <v>1800.47150726836</v>
      </c>
      <c r="AF1921" s="90">
        <v>-1</v>
      </c>
      <c r="AG1921" s="90">
        <v>-1</v>
      </c>
      <c r="AH1921" s="90">
        <v>-1</v>
      </c>
      <c r="AI1921" s="90">
        <v>-1</v>
      </c>
      <c r="AJ1921" s="90">
        <v>0</v>
      </c>
      <c r="AM1921" s="90" t="s">
        <v>379</v>
      </c>
      <c r="AN1921" s="90">
        <v>-1</v>
      </c>
      <c r="AQ1921" s="90">
        <v>379</v>
      </c>
      <c r="AR1921" s="90" t="s">
        <v>289</v>
      </c>
      <c r="AS1921" s="90" t="s">
        <v>411</v>
      </c>
      <c r="AT1921" s="90" t="s">
        <v>244</v>
      </c>
      <c r="AU1921" s="90">
        <v>3.2060680000000001</v>
      </c>
      <c r="AV1921" s="90">
        <v>137.28426854576699</v>
      </c>
      <c r="AW1921" s="90">
        <v>1107.8432497087499</v>
      </c>
      <c r="AX1921" s="90">
        <v>1.4602364211000001</v>
      </c>
    </row>
    <row r="1922" spans="1:50" x14ac:dyDescent="0.25">
      <c r="A1922" s="102">
        <v>660000</v>
      </c>
      <c r="B1922" s="102">
        <v>2300000</v>
      </c>
      <c r="C1922" s="102">
        <v>2300000</v>
      </c>
      <c r="D1922" s="90" t="s">
        <v>374</v>
      </c>
      <c r="E1922" s="90" t="s">
        <v>68</v>
      </c>
      <c r="F1922" s="90" t="s">
        <v>375</v>
      </c>
      <c r="G1922" s="90" t="s">
        <v>376</v>
      </c>
      <c r="H1922" s="90">
        <v>0.59</v>
      </c>
      <c r="I1922" s="90">
        <v>0.64</v>
      </c>
      <c r="J1922" s="90" t="s">
        <v>244</v>
      </c>
      <c r="K1922" s="90">
        <v>5.5860900854700002E-3</v>
      </c>
      <c r="L1922" s="90">
        <v>3736.5625381342902</v>
      </c>
      <c r="M1922" s="90">
        <v>9.5503003584537094</v>
      </c>
      <c r="N1922" s="90">
        <v>1.50476534094271</v>
      </c>
      <c r="O1922" s="90">
        <v>5.3348838145660001E-2</v>
      </c>
      <c r="P1922" s="90">
        <v>8.4057547520000001E-3</v>
      </c>
      <c r="Q1922" s="90">
        <v>20.8727749480292</v>
      </c>
      <c r="R1922" s="90">
        <v>1300</v>
      </c>
      <c r="S1922" s="90" t="s">
        <v>387</v>
      </c>
      <c r="T1922" s="90">
        <v>1300</v>
      </c>
      <c r="U1922" s="90" t="s">
        <v>378</v>
      </c>
      <c r="V1922" s="90" t="s">
        <v>244</v>
      </c>
      <c r="Z1922" s="90">
        <v>0</v>
      </c>
      <c r="AA1922" s="90">
        <v>1</v>
      </c>
      <c r="AB1922" s="90">
        <v>5.3348838145660001E-2</v>
      </c>
      <c r="AC1922" s="90">
        <v>8.4057547520000001E-3</v>
      </c>
      <c r="AD1922" s="90">
        <v>385.69705587563698</v>
      </c>
      <c r="AF1922" s="90">
        <v>-1</v>
      </c>
      <c r="AG1922" s="90">
        <v>-1</v>
      </c>
      <c r="AH1922" s="90">
        <v>-1</v>
      </c>
      <c r="AI1922" s="90">
        <v>-1</v>
      </c>
      <c r="AJ1922" s="90">
        <v>0</v>
      </c>
      <c r="AM1922" s="90" t="s">
        <v>379</v>
      </c>
      <c r="AN1922" s="90">
        <v>-1</v>
      </c>
      <c r="AQ1922" s="90">
        <v>379</v>
      </c>
      <c r="AR1922" s="90" t="s">
        <v>289</v>
      </c>
      <c r="AS1922" s="90" t="s">
        <v>411</v>
      </c>
      <c r="AT1922" s="90" t="s">
        <v>244</v>
      </c>
      <c r="AU1922" s="90">
        <v>3.2060680000000001</v>
      </c>
      <c r="AV1922" s="90">
        <v>40.515081498966701</v>
      </c>
      <c r="AW1922" s="90">
        <v>22.606104538508902</v>
      </c>
      <c r="AX1922" s="90">
        <v>0.31281188640000002</v>
      </c>
    </row>
    <row r="1923" spans="1:50" x14ac:dyDescent="0.25">
      <c r="A1923" s="102">
        <v>660000</v>
      </c>
      <c r="B1923" s="102">
        <v>2300000</v>
      </c>
      <c r="C1923" s="102">
        <v>2300000</v>
      </c>
      <c r="D1923" s="90" t="s">
        <v>374</v>
      </c>
      <c r="E1923" s="90" t="s">
        <v>68</v>
      </c>
      <c r="F1923" s="90" t="s">
        <v>375</v>
      </c>
      <c r="G1923" s="90" t="s">
        <v>376</v>
      </c>
      <c r="H1923" s="90">
        <v>0.59</v>
      </c>
      <c r="I1923" s="90">
        <v>0.64</v>
      </c>
      <c r="J1923" s="90" t="s">
        <v>244</v>
      </c>
      <c r="K1923" s="90">
        <v>0.21105568051716</v>
      </c>
      <c r="L1923" s="90">
        <v>3780.3068876735001</v>
      </c>
      <c r="M1923" s="90">
        <v>10.870120592788</v>
      </c>
      <c r="N1923" s="90">
        <v>2.09373373242178</v>
      </c>
      <c r="O1923" s="90">
        <v>2.2942006990145298</v>
      </c>
      <c r="P1923" s="90">
        <v>0.44189439771802003</v>
      </c>
      <c r="Q1923" s="90">
        <v>797.855242741653</v>
      </c>
      <c r="R1923" s="90">
        <v>1300</v>
      </c>
      <c r="S1923" s="90" t="s">
        <v>387</v>
      </c>
      <c r="T1923" s="90">
        <v>1300</v>
      </c>
      <c r="U1923" s="90" t="s">
        <v>378</v>
      </c>
      <c r="V1923" s="90" t="s">
        <v>244</v>
      </c>
      <c r="Z1923" s="90">
        <v>0</v>
      </c>
      <c r="AA1923" s="90">
        <v>1</v>
      </c>
      <c r="AB1923" s="90">
        <v>2.2942006990145298</v>
      </c>
      <c r="AC1923" s="90">
        <v>0.44189439771802003</v>
      </c>
      <c r="AD1923" s="90">
        <v>1451.51022115359</v>
      </c>
      <c r="AF1923" s="90">
        <v>-1</v>
      </c>
      <c r="AG1923" s="90">
        <v>-1</v>
      </c>
      <c r="AH1923" s="90">
        <v>-1</v>
      </c>
      <c r="AI1923" s="90">
        <v>-1</v>
      </c>
      <c r="AJ1923" s="90">
        <v>0</v>
      </c>
      <c r="AM1923" s="90" t="s">
        <v>379</v>
      </c>
      <c r="AN1923" s="90">
        <v>-1</v>
      </c>
      <c r="AQ1923" s="90">
        <v>379</v>
      </c>
      <c r="AR1923" s="90" t="s">
        <v>289</v>
      </c>
      <c r="AS1923" s="90" t="s">
        <v>411</v>
      </c>
      <c r="AT1923" s="90" t="s">
        <v>244</v>
      </c>
      <c r="AU1923" s="90">
        <v>3.2060680000000001</v>
      </c>
      <c r="AV1923" s="90">
        <v>137.934223270731</v>
      </c>
      <c r="AW1923" s="90">
        <v>854.11203618488798</v>
      </c>
      <c r="AX1923" s="90">
        <v>1.1772183463999999</v>
      </c>
    </row>
    <row r="1924" spans="1:50" x14ac:dyDescent="0.25">
      <c r="A1924" s="102">
        <v>660000</v>
      </c>
      <c r="B1924" s="102">
        <v>2300000</v>
      </c>
      <c r="C1924" s="102">
        <v>2300000</v>
      </c>
      <c r="D1924" s="90" t="s">
        <v>374</v>
      </c>
      <c r="E1924" s="90" t="s">
        <v>68</v>
      </c>
      <c r="F1924" s="90" t="s">
        <v>375</v>
      </c>
      <c r="G1924" s="90" t="s">
        <v>376</v>
      </c>
      <c r="H1924" s="90">
        <v>0.59</v>
      </c>
      <c r="I1924" s="90">
        <v>0.64</v>
      </c>
      <c r="J1924" s="90" t="s">
        <v>244</v>
      </c>
      <c r="K1924" s="90">
        <v>5.9320696420659999E-2</v>
      </c>
      <c r="L1924" s="90">
        <v>3780.3068876735001</v>
      </c>
      <c r="M1924" s="90">
        <v>10.870120592788</v>
      </c>
      <c r="N1924" s="90">
        <v>2.09373373242178</v>
      </c>
      <c r="O1924" s="90">
        <v>0.64482312374084005</v>
      </c>
      <c r="P1924" s="90">
        <v>0.1242017431267</v>
      </c>
      <c r="Q1924" s="90">
        <v>224.250437260643</v>
      </c>
      <c r="R1924" s="90">
        <v>1300</v>
      </c>
      <c r="S1924" s="90" t="s">
        <v>387</v>
      </c>
      <c r="T1924" s="90">
        <v>1300</v>
      </c>
      <c r="U1924" s="90" t="s">
        <v>378</v>
      </c>
      <c r="V1924" s="90" t="s">
        <v>244</v>
      </c>
      <c r="Z1924" s="90">
        <v>0</v>
      </c>
      <c r="AA1924" s="90">
        <v>1</v>
      </c>
      <c r="AB1924" s="90">
        <v>0.64482312374084005</v>
      </c>
      <c r="AC1924" s="90">
        <v>0.1242017431267</v>
      </c>
      <c r="AD1924" s="90">
        <v>227.622089027903</v>
      </c>
      <c r="AF1924" s="90">
        <v>-1</v>
      </c>
      <c r="AG1924" s="90">
        <v>-1</v>
      </c>
      <c r="AH1924" s="90">
        <v>-1</v>
      </c>
      <c r="AI1924" s="90">
        <v>-1</v>
      </c>
      <c r="AJ1924" s="90">
        <v>0</v>
      </c>
      <c r="AM1924" s="90" t="s">
        <v>379</v>
      </c>
      <c r="AN1924" s="90">
        <v>-1</v>
      </c>
      <c r="AQ1924" s="90">
        <v>379</v>
      </c>
      <c r="AR1924" s="90" t="s">
        <v>289</v>
      </c>
      <c r="AS1924" s="90" t="s">
        <v>411</v>
      </c>
      <c r="AT1924" s="90" t="s">
        <v>244</v>
      </c>
      <c r="AU1924" s="90">
        <v>3.2060680000000001</v>
      </c>
      <c r="AV1924" s="90">
        <v>75.212008543549899</v>
      </c>
      <c r="AW1924" s="90">
        <v>240.06234129122501</v>
      </c>
      <c r="AX1924" s="90">
        <v>0.18460834470000001</v>
      </c>
    </row>
    <row r="1925" spans="1:50" x14ac:dyDescent="0.25">
      <c r="A1925" s="102">
        <v>660000</v>
      </c>
      <c r="B1925" s="102">
        <v>2300000</v>
      </c>
      <c r="C1925" s="102">
        <v>2300000</v>
      </c>
      <c r="D1925" s="90" t="s">
        <v>374</v>
      </c>
      <c r="E1925" s="90" t="s">
        <v>68</v>
      </c>
      <c r="F1925" s="90" t="s">
        <v>375</v>
      </c>
      <c r="G1925" s="90" t="s">
        <v>376</v>
      </c>
      <c r="H1925" s="90">
        <v>0.59</v>
      </c>
      <c r="I1925" s="90">
        <v>0.64</v>
      </c>
      <c r="J1925" s="90" t="s">
        <v>244</v>
      </c>
      <c r="K1925" s="90">
        <v>6.1626381816740003E-2</v>
      </c>
      <c r="L1925" s="90">
        <v>3727.76341277641</v>
      </c>
      <c r="M1925" s="90">
        <v>8.8415930022973601</v>
      </c>
      <c r="N1925" s="90">
        <v>1.2811565966791401</v>
      </c>
      <c r="O1925" s="90">
        <v>0.54487538622780995</v>
      </c>
      <c r="P1925" s="90">
        <v>7.8953045593980004E-2</v>
      </c>
      <c r="Q1925" s="90">
        <v>229.72857139824001</v>
      </c>
      <c r="R1925" s="90">
        <v>1210</v>
      </c>
      <c r="S1925" s="90" t="s">
        <v>385</v>
      </c>
      <c r="T1925" s="90">
        <v>1210</v>
      </c>
      <c r="U1925" s="90" t="s">
        <v>378</v>
      </c>
      <c r="V1925" s="90" t="s">
        <v>244</v>
      </c>
      <c r="Z1925" s="90">
        <v>0</v>
      </c>
      <c r="AA1925" s="90">
        <v>1</v>
      </c>
      <c r="AB1925" s="90">
        <v>0.54487538622780995</v>
      </c>
      <c r="AC1925" s="90">
        <v>7.8953045593980004E-2</v>
      </c>
      <c r="AD1925" s="90">
        <v>431.57483801206001</v>
      </c>
      <c r="AF1925" s="90">
        <v>-1</v>
      </c>
      <c r="AG1925" s="90">
        <v>-1</v>
      </c>
      <c r="AH1925" s="90">
        <v>-1</v>
      </c>
      <c r="AI1925" s="90">
        <v>-1</v>
      </c>
      <c r="AJ1925" s="90">
        <v>0</v>
      </c>
      <c r="AM1925" s="90" t="s">
        <v>379</v>
      </c>
      <c r="AN1925" s="90">
        <v>-1</v>
      </c>
      <c r="AQ1925" s="90">
        <v>379</v>
      </c>
      <c r="AR1925" s="90" t="s">
        <v>289</v>
      </c>
      <c r="AS1925" s="90" t="s">
        <v>411</v>
      </c>
      <c r="AT1925" s="90" t="s">
        <v>244</v>
      </c>
      <c r="AU1925" s="90">
        <v>3.2060680000000001</v>
      </c>
      <c r="AV1925" s="90">
        <v>67.381863592062402</v>
      </c>
      <c r="AW1925" s="90">
        <v>249.39311904435601</v>
      </c>
      <c r="AX1925" s="90">
        <v>0.35002014440000001</v>
      </c>
    </row>
    <row r="1926" spans="1:50" x14ac:dyDescent="0.25">
      <c r="A1926" s="102">
        <v>660000</v>
      </c>
      <c r="B1926" s="102">
        <v>2300000</v>
      </c>
      <c r="C1926" s="102">
        <v>2300000</v>
      </c>
      <c r="D1926" s="90" t="s">
        <v>374</v>
      </c>
      <c r="E1926" s="90" t="s">
        <v>68</v>
      </c>
      <c r="F1926" s="90" t="s">
        <v>375</v>
      </c>
      <c r="G1926" s="90" t="s">
        <v>376</v>
      </c>
      <c r="H1926" s="90">
        <v>0.59</v>
      </c>
      <c r="I1926" s="90">
        <v>0.64</v>
      </c>
      <c r="J1926" s="90" t="s">
        <v>244</v>
      </c>
      <c r="K1926" s="90">
        <v>0.13251568521189999</v>
      </c>
      <c r="L1926" s="90">
        <v>3727.76341277641</v>
      </c>
      <c r="M1926" s="90">
        <v>8.8415930022973601</v>
      </c>
      <c r="N1926" s="90">
        <v>1.2811565966791401</v>
      </c>
      <c r="O1926" s="90">
        <v>1.17164975506424</v>
      </c>
      <c r="P1926" s="90">
        <v>0.16977334427269</v>
      </c>
      <c r="Q1926" s="90">
        <v>493.98712295194599</v>
      </c>
      <c r="R1926" s="90">
        <v>1210</v>
      </c>
      <c r="S1926" s="90" t="s">
        <v>385</v>
      </c>
      <c r="T1926" s="90">
        <v>1210</v>
      </c>
      <c r="U1926" s="90" t="s">
        <v>378</v>
      </c>
      <c r="V1926" s="90" t="s">
        <v>244</v>
      </c>
      <c r="Z1926" s="90">
        <v>0</v>
      </c>
      <c r="AA1926" s="90">
        <v>1</v>
      </c>
      <c r="AB1926" s="90">
        <v>1.17164975506424</v>
      </c>
      <c r="AC1926" s="90">
        <v>0.16977334427269</v>
      </c>
      <c r="AD1926" s="90">
        <v>1020.36722396074</v>
      </c>
      <c r="AF1926" s="90">
        <v>-1</v>
      </c>
      <c r="AG1926" s="90">
        <v>-1</v>
      </c>
      <c r="AH1926" s="90">
        <v>-1</v>
      </c>
      <c r="AI1926" s="90">
        <v>-1</v>
      </c>
      <c r="AJ1926" s="90">
        <v>0</v>
      </c>
      <c r="AM1926" s="90" t="s">
        <v>379</v>
      </c>
      <c r="AN1926" s="90">
        <v>-1</v>
      </c>
      <c r="AQ1926" s="90">
        <v>379</v>
      </c>
      <c r="AR1926" s="90" t="s">
        <v>289</v>
      </c>
      <c r="AS1926" s="90" t="s">
        <v>411</v>
      </c>
      <c r="AT1926" s="90" t="s">
        <v>244</v>
      </c>
      <c r="AU1926" s="90">
        <v>3.2060680000000001</v>
      </c>
      <c r="AV1926" s="90">
        <v>95.194403019118795</v>
      </c>
      <c r="AW1926" s="90">
        <v>536.27195176854696</v>
      </c>
      <c r="AX1926" s="90">
        <v>0.82754843789999999</v>
      </c>
    </row>
    <row r="1927" spans="1:50" x14ac:dyDescent="0.25">
      <c r="A1927" s="102">
        <v>660000</v>
      </c>
      <c r="B1927" s="102">
        <v>2300000</v>
      </c>
      <c r="C1927" s="102">
        <v>2300000</v>
      </c>
      <c r="D1927" s="90" t="s">
        <v>374</v>
      </c>
      <c r="E1927" s="90" t="s">
        <v>68</v>
      </c>
      <c r="F1927" s="90" t="s">
        <v>375</v>
      </c>
      <c r="G1927" s="90" t="s">
        <v>376</v>
      </c>
      <c r="H1927" s="90">
        <v>0.59</v>
      </c>
      <c r="I1927" s="90">
        <v>0.64</v>
      </c>
      <c r="J1927" s="90" t="s">
        <v>244</v>
      </c>
      <c r="K1927" s="90">
        <v>3.9053285082709999E-2</v>
      </c>
      <c r="L1927" s="90">
        <v>3727.76341277641</v>
      </c>
      <c r="M1927" s="90">
        <v>8.8415930022973601</v>
      </c>
      <c r="N1927" s="90">
        <v>1.2811565966791401</v>
      </c>
      <c r="O1927" s="90">
        <v>0.34529325210403</v>
      </c>
      <c r="P1927" s="90">
        <v>5.0033373805699999E-2</v>
      </c>
      <c r="Q1927" s="90">
        <v>145.58140728006001</v>
      </c>
      <c r="R1927" s="90">
        <v>1210</v>
      </c>
      <c r="S1927" s="90" t="s">
        <v>385</v>
      </c>
      <c r="T1927" s="90">
        <v>1210</v>
      </c>
      <c r="U1927" s="90" t="s">
        <v>378</v>
      </c>
      <c r="V1927" s="90" t="s">
        <v>244</v>
      </c>
      <c r="Z1927" s="90">
        <v>0</v>
      </c>
      <c r="AA1927" s="90">
        <v>1</v>
      </c>
      <c r="AB1927" s="90">
        <v>0.34529325210403</v>
      </c>
      <c r="AC1927" s="90">
        <v>5.0033373805699999E-2</v>
      </c>
      <c r="AD1927" s="90">
        <v>288.76845434444903</v>
      </c>
      <c r="AF1927" s="90">
        <v>-1</v>
      </c>
      <c r="AG1927" s="90">
        <v>-1</v>
      </c>
      <c r="AH1927" s="90">
        <v>-1</v>
      </c>
      <c r="AI1927" s="90">
        <v>-1</v>
      </c>
      <c r="AJ1927" s="90">
        <v>0</v>
      </c>
      <c r="AM1927" s="90" t="s">
        <v>379</v>
      </c>
      <c r="AN1927" s="90">
        <v>-1</v>
      </c>
      <c r="AQ1927" s="90">
        <v>379</v>
      </c>
      <c r="AR1927" s="90" t="s">
        <v>289</v>
      </c>
      <c r="AS1927" s="90" t="s">
        <v>411</v>
      </c>
      <c r="AT1927" s="90" t="s">
        <v>244</v>
      </c>
      <c r="AU1927" s="90">
        <v>3.2060680000000001</v>
      </c>
      <c r="AV1927" s="90">
        <v>50.946810526716</v>
      </c>
      <c r="AW1927" s="90">
        <v>158.04303755279099</v>
      </c>
      <c r="AX1927" s="90">
        <v>0.23419988189999999</v>
      </c>
    </row>
    <row r="1928" spans="1:50" x14ac:dyDescent="0.25">
      <c r="A1928" s="102">
        <v>660000</v>
      </c>
      <c r="B1928" s="102">
        <v>2300000</v>
      </c>
      <c r="C1928" s="102">
        <v>2300000</v>
      </c>
      <c r="D1928" s="90" t="s">
        <v>374</v>
      </c>
      <c r="E1928" s="90" t="s">
        <v>68</v>
      </c>
      <c r="F1928" s="90" t="s">
        <v>375</v>
      </c>
      <c r="G1928" s="90" t="s">
        <v>376</v>
      </c>
      <c r="H1928" s="90">
        <v>0.59</v>
      </c>
      <c r="I1928" s="90">
        <v>0.64</v>
      </c>
      <c r="J1928" s="90" t="s">
        <v>244</v>
      </c>
      <c r="K1928" s="90">
        <v>0.16459253490350001</v>
      </c>
      <c r="L1928" s="90">
        <v>3787.3454042538101</v>
      </c>
      <c r="M1928" s="90">
        <v>10.5007283236798</v>
      </c>
      <c r="N1928" s="90">
        <v>1.9772370676453399</v>
      </c>
      <c r="O1928" s="90">
        <v>1.7283414931274801</v>
      </c>
      <c r="P1928" s="90">
        <v>0.32543846106891</v>
      </c>
      <c r="Q1928" s="90">
        <v>623.36878064126597</v>
      </c>
      <c r="R1928" s="90">
        <v>1300</v>
      </c>
      <c r="S1928" s="90" t="s">
        <v>387</v>
      </c>
      <c r="T1928" s="90">
        <v>1300</v>
      </c>
      <c r="U1928" s="90" t="s">
        <v>378</v>
      </c>
      <c r="V1928" s="90" t="s">
        <v>244</v>
      </c>
      <c r="Z1928" s="90">
        <v>0</v>
      </c>
      <c r="AA1928" s="90">
        <v>1</v>
      </c>
      <c r="AB1928" s="90">
        <v>1.7283414931274801</v>
      </c>
      <c r="AC1928" s="90">
        <v>0.32543846106891</v>
      </c>
      <c r="AD1928" s="90">
        <v>1295.10630951189</v>
      </c>
      <c r="AF1928" s="90">
        <v>-1</v>
      </c>
      <c r="AG1928" s="90">
        <v>-1</v>
      </c>
      <c r="AH1928" s="90">
        <v>-1</v>
      </c>
      <c r="AI1928" s="90">
        <v>-1</v>
      </c>
      <c r="AJ1928" s="90">
        <v>0</v>
      </c>
      <c r="AM1928" s="90" t="s">
        <v>379</v>
      </c>
      <c r="AN1928" s="90">
        <v>-1</v>
      </c>
      <c r="AQ1928" s="90">
        <v>379</v>
      </c>
      <c r="AR1928" s="90" t="s">
        <v>289</v>
      </c>
      <c r="AS1928" s="90" t="s">
        <v>411</v>
      </c>
      <c r="AT1928" s="90" t="s">
        <v>244</v>
      </c>
      <c r="AU1928" s="90">
        <v>3.2060680000000001</v>
      </c>
      <c r="AV1928" s="90">
        <v>158.15806859712001</v>
      </c>
      <c r="AW1928" s="90">
        <v>666.08235695333804</v>
      </c>
      <c r="AX1928" s="90">
        <v>1.0503700807</v>
      </c>
    </row>
    <row r="1929" spans="1:50" x14ac:dyDescent="0.25">
      <c r="A1929" s="102">
        <v>660000</v>
      </c>
      <c r="B1929" s="102">
        <v>2300000</v>
      </c>
      <c r="C1929" s="102">
        <v>2300000</v>
      </c>
      <c r="D1929" s="90" t="s">
        <v>374</v>
      </c>
      <c r="E1929" s="90" t="s">
        <v>68</v>
      </c>
      <c r="F1929" s="90" t="s">
        <v>375</v>
      </c>
      <c r="G1929" s="90" t="s">
        <v>376</v>
      </c>
      <c r="H1929" s="90">
        <v>0.59</v>
      </c>
      <c r="I1929" s="90">
        <v>0.64</v>
      </c>
      <c r="J1929" s="90" t="s">
        <v>244</v>
      </c>
      <c r="K1929" s="90">
        <v>7.9478059589499998E-3</v>
      </c>
      <c r="L1929" s="90">
        <v>3787.3454042538101</v>
      </c>
      <c r="M1929" s="90">
        <v>10.5007283236798</v>
      </c>
      <c r="N1929" s="90">
        <v>1.9772370676453399</v>
      </c>
      <c r="O1929" s="90">
        <v>8.3457751144339995E-2</v>
      </c>
      <c r="P1929" s="90">
        <v>1.5714696548499999E-2</v>
      </c>
      <c r="Q1929" s="90">
        <v>30.101086372560601</v>
      </c>
      <c r="R1929" s="90">
        <v>1300</v>
      </c>
      <c r="S1929" s="90" t="s">
        <v>387</v>
      </c>
      <c r="T1929" s="90">
        <v>1300</v>
      </c>
      <c r="U1929" s="90" t="s">
        <v>378</v>
      </c>
      <c r="V1929" s="90" t="s">
        <v>244</v>
      </c>
      <c r="Z1929" s="90">
        <v>0</v>
      </c>
      <c r="AA1929" s="90">
        <v>1</v>
      </c>
      <c r="AB1929" s="90">
        <v>8.3457751144339995E-2</v>
      </c>
      <c r="AC1929" s="90">
        <v>1.5714696548499999E-2</v>
      </c>
      <c r="AD1929" s="90">
        <v>342.98986618663503</v>
      </c>
      <c r="AF1929" s="90">
        <v>-1</v>
      </c>
      <c r="AG1929" s="90">
        <v>-1</v>
      </c>
      <c r="AH1929" s="90">
        <v>-1</v>
      </c>
      <c r="AI1929" s="90">
        <v>-1</v>
      </c>
      <c r="AJ1929" s="90">
        <v>0</v>
      </c>
      <c r="AM1929" s="90" t="s">
        <v>379</v>
      </c>
      <c r="AN1929" s="90">
        <v>-1</v>
      </c>
      <c r="AQ1929" s="90">
        <v>379</v>
      </c>
      <c r="AR1929" s="90" t="s">
        <v>289</v>
      </c>
      <c r="AS1929" s="90" t="s">
        <v>411</v>
      </c>
      <c r="AT1929" s="90" t="s">
        <v>244</v>
      </c>
      <c r="AU1929" s="90">
        <v>3.2060680000000001</v>
      </c>
      <c r="AV1929" s="90">
        <v>39.781201747328602</v>
      </c>
      <c r="AW1929" s="90">
        <v>32.163629588999001</v>
      </c>
      <c r="AX1929" s="90">
        <v>0.27817507400000002</v>
      </c>
    </row>
    <row r="1930" spans="1:50" x14ac:dyDescent="0.25">
      <c r="A1930" s="102">
        <v>660000</v>
      </c>
      <c r="B1930" s="102">
        <v>2300000</v>
      </c>
      <c r="C1930" s="102">
        <v>2300000</v>
      </c>
      <c r="D1930" s="90" t="s">
        <v>374</v>
      </c>
      <c r="E1930" s="90" t="s">
        <v>68</v>
      </c>
      <c r="F1930" s="90" t="s">
        <v>375</v>
      </c>
      <c r="G1930" s="90" t="s">
        <v>376</v>
      </c>
      <c r="H1930" s="90">
        <v>0.59</v>
      </c>
      <c r="I1930" s="90">
        <v>0.64</v>
      </c>
      <c r="J1930" s="90" t="s">
        <v>244</v>
      </c>
      <c r="K1930" s="90">
        <v>1.5897148078000001E-4</v>
      </c>
      <c r="L1930" s="90">
        <v>3787.3454042538101</v>
      </c>
      <c r="M1930" s="90">
        <v>10.5007283236798</v>
      </c>
      <c r="N1930" s="90">
        <v>1.9772370676453399</v>
      </c>
      <c r="O1930" s="90">
        <v>1.66931633097E-3</v>
      </c>
      <c r="P1930" s="90">
        <v>3.1432430451E-4</v>
      </c>
      <c r="Q1930" s="90">
        <v>0.60207990717364002</v>
      </c>
      <c r="R1930" s="90">
        <v>1300</v>
      </c>
      <c r="S1930" s="90" t="s">
        <v>387</v>
      </c>
      <c r="T1930" s="90">
        <v>1300</v>
      </c>
      <c r="U1930" s="90" t="s">
        <v>378</v>
      </c>
      <c r="V1930" s="90" t="s">
        <v>244</v>
      </c>
      <c r="Z1930" s="90">
        <v>0</v>
      </c>
      <c r="AA1930" s="90">
        <v>1</v>
      </c>
      <c r="AB1930" s="90">
        <v>1.66931633097E-3</v>
      </c>
      <c r="AC1930" s="90">
        <v>3.1432430451E-4</v>
      </c>
      <c r="AD1930" s="90">
        <v>81.301806307412505</v>
      </c>
      <c r="AF1930" s="90">
        <v>-1</v>
      </c>
      <c r="AG1930" s="90">
        <v>-1</v>
      </c>
      <c r="AH1930" s="90">
        <v>-1</v>
      </c>
      <c r="AI1930" s="90">
        <v>-1</v>
      </c>
      <c r="AJ1930" s="90">
        <v>0</v>
      </c>
      <c r="AM1930" s="90" t="s">
        <v>379</v>
      </c>
      <c r="AN1930" s="90">
        <v>-1</v>
      </c>
      <c r="AQ1930" s="90">
        <v>379</v>
      </c>
      <c r="AR1930" s="90" t="s">
        <v>289</v>
      </c>
      <c r="AS1930" s="90" t="s">
        <v>411</v>
      </c>
      <c r="AT1930" s="90" t="s">
        <v>244</v>
      </c>
      <c r="AU1930" s="90">
        <v>3.2060680000000001</v>
      </c>
      <c r="AV1930" s="90">
        <v>3.81138798627881</v>
      </c>
      <c r="AW1930" s="90">
        <v>0.64333475801017004</v>
      </c>
      <c r="AX1930" s="90">
        <v>6.5938204599999994E-2</v>
      </c>
    </row>
    <row r="1931" spans="1:50" x14ac:dyDescent="0.25">
      <c r="A1931" s="102">
        <v>660000</v>
      </c>
      <c r="B1931" s="102">
        <v>2300000</v>
      </c>
      <c r="C1931" s="102">
        <v>2300000</v>
      </c>
      <c r="D1931" s="90" t="s">
        <v>374</v>
      </c>
      <c r="E1931" s="90" t="s">
        <v>68</v>
      </c>
      <c r="F1931" s="90" t="s">
        <v>375</v>
      </c>
      <c r="G1931" s="90" t="s">
        <v>376</v>
      </c>
      <c r="H1931" s="90">
        <v>0.59</v>
      </c>
      <c r="I1931" s="90">
        <v>0.64</v>
      </c>
      <c r="J1931" s="90" t="s">
        <v>244</v>
      </c>
      <c r="K1931" s="90">
        <v>0.14496104586264</v>
      </c>
      <c r="L1931" s="90">
        <v>3796.1064631833101</v>
      </c>
      <c r="M1931" s="90">
        <v>8.8266635144335108</v>
      </c>
      <c r="N1931" s="90">
        <v>1.4526754567379101</v>
      </c>
      <c r="O1931" s="90">
        <v>1.27952237452995</v>
      </c>
      <c r="P1931" s="90">
        <v>0.21058135350772</v>
      </c>
      <c r="Q1931" s="90">
        <v>550.28756310900599</v>
      </c>
      <c r="R1931" s="90">
        <v>1300</v>
      </c>
      <c r="S1931" s="90" t="s">
        <v>387</v>
      </c>
      <c r="T1931" s="90">
        <v>1300</v>
      </c>
      <c r="U1931" s="90" t="s">
        <v>378</v>
      </c>
      <c r="V1931" s="90" t="s">
        <v>244</v>
      </c>
      <c r="Z1931" s="90">
        <v>0</v>
      </c>
      <c r="AA1931" s="90">
        <v>1</v>
      </c>
      <c r="AB1931" s="90">
        <v>1.27952237452995</v>
      </c>
      <c r="AC1931" s="90">
        <v>0.21058135350772</v>
      </c>
      <c r="AD1931" s="90">
        <v>563.44554416132996</v>
      </c>
      <c r="AF1931" s="90">
        <v>-1</v>
      </c>
      <c r="AG1931" s="90">
        <v>-1</v>
      </c>
      <c r="AH1931" s="90">
        <v>-1</v>
      </c>
      <c r="AI1931" s="90">
        <v>-1</v>
      </c>
      <c r="AJ1931" s="90">
        <v>0</v>
      </c>
      <c r="AM1931" s="90" t="s">
        <v>379</v>
      </c>
      <c r="AN1931" s="90">
        <v>-1</v>
      </c>
      <c r="AQ1931" s="90">
        <v>379</v>
      </c>
      <c r="AR1931" s="90" t="s">
        <v>289</v>
      </c>
      <c r="AS1931" s="90" t="s">
        <v>411</v>
      </c>
      <c r="AT1931" s="90" t="s">
        <v>244</v>
      </c>
      <c r="AU1931" s="90">
        <v>3.2060680000000001</v>
      </c>
      <c r="AV1931" s="90">
        <v>108.034928770554</v>
      </c>
      <c r="AW1931" s="90">
        <v>586.63653944707301</v>
      </c>
      <c r="AX1931" s="90">
        <v>0.45697124430000002</v>
      </c>
    </row>
    <row r="1932" spans="1:50" x14ac:dyDescent="0.25">
      <c r="A1932" s="102">
        <v>660000</v>
      </c>
      <c r="B1932" s="102">
        <v>2300000</v>
      </c>
      <c r="C1932" s="102">
        <v>2300000</v>
      </c>
      <c r="D1932" s="90" t="s">
        <v>374</v>
      </c>
      <c r="E1932" s="90" t="s">
        <v>68</v>
      </c>
      <c r="F1932" s="90" t="s">
        <v>375</v>
      </c>
      <c r="G1932" s="90" t="s">
        <v>376</v>
      </c>
      <c r="H1932" s="90">
        <v>0.59</v>
      </c>
      <c r="I1932" s="90">
        <v>0.64</v>
      </c>
      <c r="J1932" s="90" t="s">
        <v>244</v>
      </c>
      <c r="K1932" s="90">
        <v>2.2942765492120001E-2</v>
      </c>
      <c r="L1932" s="90">
        <v>3796.1064631833101</v>
      </c>
      <c r="M1932" s="90">
        <v>8.8266635144335108</v>
      </c>
      <c r="N1932" s="90">
        <v>1.4526754567379101</v>
      </c>
      <c r="O1932" s="90">
        <v>0.20250807108953001</v>
      </c>
      <c r="P1932" s="90">
        <v>3.3328392340100002E-2</v>
      </c>
      <c r="Q1932" s="90">
        <v>87.093180367950893</v>
      </c>
      <c r="R1932" s="90">
        <v>1820</v>
      </c>
      <c r="S1932" s="90" t="s">
        <v>412</v>
      </c>
      <c r="T1932" s="90">
        <v>1820</v>
      </c>
      <c r="U1932" s="90" t="s">
        <v>378</v>
      </c>
      <c r="V1932" s="90" t="s">
        <v>244</v>
      </c>
      <c r="Z1932" s="90">
        <v>0</v>
      </c>
      <c r="AA1932" s="90">
        <v>1</v>
      </c>
      <c r="AB1932" s="90">
        <v>0.20250807108953001</v>
      </c>
      <c r="AC1932" s="90">
        <v>3.3328392340100002E-2</v>
      </c>
      <c r="AD1932" s="90">
        <v>87.093180367950495</v>
      </c>
      <c r="AF1932" s="90">
        <v>-1</v>
      </c>
      <c r="AG1932" s="90">
        <v>-1</v>
      </c>
      <c r="AH1932" s="90">
        <v>-1</v>
      </c>
      <c r="AI1932" s="90">
        <v>-1</v>
      </c>
      <c r="AJ1932" s="90">
        <v>0</v>
      </c>
      <c r="AM1932" s="90" t="s">
        <v>379</v>
      </c>
      <c r="AN1932" s="90">
        <v>-1</v>
      </c>
      <c r="AQ1932" s="90">
        <v>379</v>
      </c>
      <c r="AR1932" s="90" t="s">
        <v>289</v>
      </c>
      <c r="AS1932" s="90" t="s">
        <v>411</v>
      </c>
      <c r="AT1932" s="90" t="s">
        <v>244</v>
      </c>
      <c r="AU1932" s="90">
        <v>3.2060680000000001</v>
      </c>
      <c r="AV1932" s="90">
        <v>39.126909676456997</v>
      </c>
      <c r="AW1932" s="90">
        <v>92.846077879418701</v>
      </c>
      <c r="AX1932" s="90">
        <v>7.0635182800000001E-2</v>
      </c>
    </row>
    <row r="1933" spans="1:50" x14ac:dyDescent="0.25">
      <c r="A1933" s="102">
        <v>660000</v>
      </c>
      <c r="B1933" s="102">
        <v>2300000</v>
      </c>
      <c r="C1933" s="102">
        <v>2300000</v>
      </c>
      <c r="D1933" s="90" t="s">
        <v>374</v>
      </c>
      <c r="E1933" s="90" t="s">
        <v>68</v>
      </c>
      <c r="F1933" s="90" t="s">
        <v>375</v>
      </c>
      <c r="G1933" s="90" t="s">
        <v>376</v>
      </c>
      <c r="H1933" s="90">
        <v>0.59</v>
      </c>
      <c r="I1933" s="90">
        <v>0.64</v>
      </c>
      <c r="J1933" s="90" t="s">
        <v>244</v>
      </c>
      <c r="K1933" s="90">
        <v>3.3540157897150001E-2</v>
      </c>
      <c r="L1933" s="90">
        <v>3796.1064631833101</v>
      </c>
      <c r="M1933" s="90">
        <v>8.8266635144335108</v>
      </c>
      <c r="N1933" s="90">
        <v>1.4526754567379101</v>
      </c>
      <c r="O1933" s="90">
        <v>0.29604768797913</v>
      </c>
      <c r="P1933" s="90">
        <v>4.8722964192300003E-2</v>
      </c>
      <c r="Q1933" s="90">
        <v>127.322010169571</v>
      </c>
      <c r="R1933" s="90">
        <v>1300</v>
      </c>
      <c r="S1933" s="90" t="s">
        <v>387</v>
      </c>
      <c r="T1933" s="90">
        <v>1300</v>
      </c>
      <c r="U1933" s="90" t="s">
        <v>378</v>
      </c>
      <c r="V1933" s="90" t="s">
        <v>244</v>
      </c>
      <c r="Z1933" s="90">
        <v>0</v>
      </c>
      <c r="AA1933" s="90">
        <v>1</v>
      </c>
      <c r="AB1933" s="90">
        <v>0.29604768797913</v>
      </c>
      <c r="AC1933" s="90">
        <v>4.8722964192300003E-2</v>
      </c>
      <c r="AD1933" s="90">
        <v>1482.4548432977299</v>
      </c>
      <c r="AF1933" s="90">
        <v>-1</v>
      </c>
      <c r="AG1933" s="90">
        <v>-1</v>
      </c>
      <c r="AH1933" s="90">
        <v>-1</v>
      </c>
      <c r="AI1933" s="90">
        <v>-1</v>
      </c>
      <c r="AJ1933" s="90">
        <v>0</v>
      </c>
      <c r="AM1933" s="90" t="s">
        <v>379</v>
      </c>
      <c r="AN1933" s="90">
        <v>-1</v>
      </c>
      <c r="AQ1933" s="90">
        <v>379</v>
      </c>
      <c r="AR1933" s="90" t="s">
        <v>289</v>
      </c>
      <c r="AS1933" s="90" t="s">
        <v>411</v>
      </c>
      <c r="AT1933" s="90" t="s">
        <v>244</v>
      </c>
      <c r="AU1933" s="90">
        <v>3.2060680000000001</v>
      </c>
      <c r="AV1933" s="90">
        <v>96.146737909922194</v>
      </c>
      <c r="AW1933" s="90">
        <v>135.73220339440201</v>
      </c>
      <c r="AX1933" s="90">
        <v>1.2023153635999999</v>
      </c>
    </row>
    <row r="1934" spans="1:50" x14ac:dyDescent="0.25">
      <c r="A1934" s="102">
        <v>660000</v>
      </c>
      <c r="B1934" s="102">
        <v>2300000</v>
      </c>
      <c r="C1934" s="102">
        <v>2300000</v>
      </c>
      <c r="D1934" s="90" t="s">
        <v>374</v>
      </c>
      <c r="E1934" s="90" t="s">
        <v>68</v>
      </c>
      <c r="F1934" s="90" t="s">
        <v>375</v>
      </c>
      <c r="G1934" s="90" t="s">
        <v>376</v>
      </c>
      <c r="H1934" s="90">
        <v>0.59</v>
      </c>
      <c r="I1934" s="90">
        <v>0.64</v>
      </c>
      <c r="J1934" s="90" t="s">
        <v>244</v>
      </c>
      <c r="K1934" s="90">
        <v>4.6536912932030002E-2</v>
      </c>
      <c r="L1934" s="90">
        <v>3780.3068873918401</v>
      </c>
      <c r="M1934" s="90">
        <v>10.8701205919782</v>
      </c>
      <c r="N1934" s="90">
        <v>2.0937337322657799</v>
      </c>
      <c r="O1934" s="90">
        <v>0.50586185554964003</v>
      </c>
      <c r="P1934" s="90">
        <v>9.7435904401319995E-2</v>
      </c>
      <c r="Q1934" s="90">
        <v>175.92381247493699</v>
      </c>
      <c r="R1934" s="90">
        <v>1300</v>
      </c>
      <c r="S1934" s="90" t="s">
        <v>387</v>
      </c>
      <c r="T1934" s="90">
        <v>1300</v>
      </c>
      <c r="U1934" s="90" t="s">
        <v>378</v>
      </c>
      <c r="V1934" s="90" t="s">
        <v>244</v>
      </c>
      <c r="Z1934" s="90">
        <v>0</v>
      </c>
      <c r="AA1934" s="90">
        <v>1</v>
      </c>
      <c r="AB1934" s="90">
        <v>0.50586185554964003</v>
      </c>
      <c r="AC1934" s="90">
        <v>9.7435904401319995E-2</v>
      </c>
      <c r="AD1934" s="90">
        <v>175.923812474936</v>
      </c>
      <c r="AF1934" s="90">
        <v>-1</v>
      </c>
      <c r="AG1934" s="90">
        <v>-1</v>
      </c>
      <c r="AH1934" s="90">
        <v>-1</v>
      </c>
      <c r="AI1934" s="90">
        <v>-1</v>
      </c>
      <c r="AJ1934" s="90">
        <v>0</v>
      </c>
      <c r="AM1934" s="90" t="s">
        <v>379</v>
      </c>
      <c r="AN1934" s="90">
        <v>-1</v>
      </c>
      <c r="AQ1934" s="90">
        <v>379</v>
      </c>
      <c r="AR1934" s="90" t="s">
        <v>289</v>
      </c>
      <c r="AS1934" s="90" t="s">
        <v>411</v>
      </c>
      <c r="AT1934" s="90" t="s">
        <v>244</v>
      </c>
      <c r="AU1934" s="90">
        <v>3.2060680000000001</v>
      </c>
      <c r="AV1934" s="90">
        <v>69.222698885963894</v>
      </c>
      <c r="AW1934" s="90">
        <v>188.328204977685</v>
      </c>
      <c r="AX1934" s="90">
        <v>0.1426794911</v>
      </c>
    </row>
    <row r="1935" spans="1:50" x14ac:dyDescent="0.25">
      <c r="A1935" s="102">
        <v>660000</v>
      </c>
      <c r="B1935" s="102">
        <v>2300000</v>
      </c>
      <c r="C1935" s="102">
        <v>2300000</v>
      </c>
      <c r="D1935" s="90" t="s">
        <v>374</v>
      </c>
      <c r="E1935" s="90" t="s">
        <v>68</v>
      </c>
      <c r="F1935" s="90" t="s">
        <v>375</v>
      </c>
      <c r="G1935" s="90" t="s">
        <v>376</v>
      </c>
      <c r="H1935" s="90">
        <v>0.59</v>
      </c>
      <c r="I1935" s="90">
        <v>0.64</v>
      </c>
      <c r="J1935" s="90" t="s">
        <v>244</v>
      </c>
      <c r="K1935" s="90">
        <v>0.16788523783194001</v>
      </c>
      <c r="L1935" s="90">
        <v>3780.3068873918401</v>
      </c>
      <c r="M1935" s="90">
        <v>10.8701205919782</v>
      </c>
      <c r="N1935" s="90">
        <v>2.0937337322657799</v>
      </c>
      <c r="O1935" s="90">
        <v>1.82493278084615</v>
      </c>
      <c r="P1935" s="90">
        <v>0.35150698559819998</v>
      </c>
      <c r="Q1935" s="90">
        <v>634.65772086750803</v>
      </c>
      <c r="R1935" s="90">
        <v>1300</v>
      </c>
      <c r="S1935" s="90" t="s">
        <v>387</v>
      </c>
      <c r="T1935" s="90">
        <v>1300</v>
      </c>
      <c r="U1935" s="90" t="s">
        <v>378</v>
      </c>
      <c r="V1935" s="90" t="s">
        <v>244</v>
      </c>
      <c r="Z1935" s="90">
        <v>0</v>
      </c>
      <c r="AA1935" s="90">
        <v>1</v>
      </c>
      <c r="AB1935" s="90">
        <v>1.82493278084615</v>
      </c>
      <c r="AC1935" s="90">
        <v>0.35150698559819998</v>
      </c>
      <c r="AD1935" s="90">
        <v>2082.0689960650102</v>
      </c>
      <c r="AF1935" s="90">
        <v>-1</v>
      </c>
      <c r="AG1935" s="90">
        <v>-1</v>
      </c>
      <c r="AH1935" s="90">
        <v>-1</v>
      </c>
      <c r="AI1935" s="90">
        <v>-1</v>
      </c>
      <c r="AJ1935" s="90">
        <v>0</v>
      </c>
      <c r="AM1935" s="90" t="s">
        <v>379</v>
      </c>
      <c r="AN1935" s="90">
        <v>-1</v>
      </c>
      <c r="AQ1935" s="90">
        <v>379</v>
      </c>
      <c r="AR1935" s="90" t="s">
        <v>289</v>
      </c>
      <c r="AS1935" s="90" t="s">
        <v>411</v>
      </c>
      <c r="AT1935" s="90" t="s">
        <v>244</v>
      </c>
      <c r="AU1935" s="90">
        <v>3.2060680000000001</v>
      </c>
      <c r="AV1935" s="90">
        <v>115.02561434506499</v>
      </c>
      <c r="AW1935" s="90">
        <v>679.40745294634496</v>
      </c>
      <c r="AX1935" s="90">
        <v>1.6886204348</v>
      </c>
    </row>
    <row r="1936" spans="1:50" x14ac:dyDescent="0.25">
      <c r="A1936" s="102">
        <v>660000</v>
      </c>
      <c r="B1936" s="102">
        <v>2300000</v>
      </c>
      <c r="C1936" s="102">
        <v>2300000</v>
      </c>
      <c r="D1936" s="90" t="s">
        <v>374</v>
      </c>
      <c r="E1936" s="90" t="s">
        <v>68</v>
      </c>
      <c r="F1936" s="90" t="s">
        <v>375</v>
      </c>
      <c r="G1936" s="90" t="s">
        <v>376</v>
      </c>
      <c r="H1936" s="90">
        <v>0.59</v>
      </c>
      <c r="I1936" s="90">
        <v>0.64</v>
      </c>
      <c r="J1936" s="90" t="s">
        <v>244</v>
      </c>
      <c r="K1936" s="90">
        <v>9.0730151222720004E-2</v>
      </c>
      <c r="L1936" s="90">
        <v>3728.5128951882002</v>
      </c>
      <c r="M1936" s="90">
        <v>9.2901999147443703</v>
      </c>
      <c r="N1936" s="90">
        <v>1.36620727431417</v>
      </c>
      <c r="O1936" s="90">
        <v>0.84290124315407</v>
      </c>
      <c r="P1936" s="90">
        <v>0.1239561926001</v>
      </c>
      <c r="Q1936" s="90">
        <v>338.28853881629402</v>
      </c>
      <c r="R1936" s="90">
        <v>1200</v>
      </c>
      <c r="S1936" s="90" t="s">
        <v>384</v>
      </c>
      <c r="T1936" s="90">
        <v>1200</v>
      </c>
      <c r="U1936" s="90" t="s">
        <v>378</v>
      </c>
      <c r="V1936" s="90" t="s">
        <v>244</v>
      </c>
      <c r="Z1936" s="90">
        <v>0</v>
      </c>
      <c r="AA1936" s="90">
        <v>1</v>
      </c>
      <c r="AB1936" s="90">
        <v>0.84290124315407</v>
      </c>
      <c r="AC1936" s="90">
        <v>0.1239561926001</v>
      </c>
      <c r="AD1936" s="90">
        <v>721.01395695707504</v>
      </c>
      <c r="AF1936" s="90">
        <v>-1</v>
      </c>
      <c r="AG1936" s="90">
        <v>-1</v>
      </c>
      <c r="AH1936" s="90">
        <v>-1</v>
      </c>
      <c r="AI1936" s="90">
        <v>-1</v>
      </c>
      <c r="AJ1936" s="90">
        <v>0</v>
      </c>
      <c r="AM1936" s="90" t="s">
        <v>379</v>
      </c>
      <c r="AN1936" s="90">
        <v>-1</v>
      </c>
      <c r="AQ1936" s="90">
        <v>379</v>
      </c>
      <c r="AR1936" s="90" t="s">
        <v>289</v>
      </c>
      <c r="AS1936" s="90" t="s">
        <v>411</v>
      </c>
      <c r="AT1936" s="90" t="s">
        <v>244</v>
      </c>
      <c r="AU1936" s="90">
        <v>3.2060680000000001</v>
      </c>
      <c r="AV1936" s="90">
        <v>114.146323896533</v>
      </c>
      <c r="AW1936" s="90">
        <v>367.17189518099599</v>
      </c>
      <c r="AX1936" s="90">
        <v>0.58476395540000004</v>
      </c>
    </row>
    <row r="1937" spans="1:50" x14ac:dyDescent="0.25">
      <c r="A1937" s="102">
        <v>660000</v>
      </c>
      <c r="B1937" s="102">
        <v>2300000</v>
      </c>
      <c r="C1937" s="102">
        <v>2300000</v>
      </c>
      <c r="D1937" s="90" t="s">
        <v>374</v>
      </c>
      <c r="E1937" s="90" t="s">
        <v>68</v>
      </c>
      <c r="F1937" s="90" t="s">
        <v>375</v>
      </c>
      <c r="G1937" s="90" t="s">
        <v>376</v>
      </c>
      <c r="H1937" s="90">
        <v>0.59</v>
      </c>
      <c r="I1937" s="90">
        <v>0.64</v>
      </c>
      <c r="J1937" s="90" t="s">
        <v>244</v>
      </c>
      <c r="K1937" s="90">
        <v>3.5437244250699999E-3</v>
      </c>
      <c r="L1937" s="90">
        <v>3728.5128951882002</v>
      </c>
      <c r="M1937" s="90">
        <v>9.2901999147443703</v>
      </c>
      <c r="N1937" s="90">
        <v>1.36620727431417</v>
      </c>
      <c r="O1937" s="90">
        <v>3.2921908351710001E-2</v>
      </c>
      <c r="P1937" s="90">
        <v>4.8414620877000004E-3</v>
      </c>
      <c r="Q1937" s="90">
        <v>13.212822215889201</v>
      </c>
      <c r="R1937" s="90">
        <v>1210</v>
      </c>
      <c r="S1937" s="90" t="s">
        <v>385</v>
      </c>
      <c r="T1937" s="90">
        <v>1210</v>
      </c>
      <c r="U1937" s="90" t="s">
        <v>378</v>
      </c>
      <c r="V1937" s="90" t="s">
        <v>244</v>
      </c>
      <c r="Z1937" s="90">
        <v>0</v>
      </c>
      <c r="AA1937" s="90">
        <v>1</v>
      </c>
      <c r="AB1937" s="90">
        <v>3.2921908351710001E-2</v>
      </c>
      <c r="AC1937" s="90">
        <v>4.8414620877000004E-3</v>
      </c>
      <c r="AD1937" s="90">
        <v>13.212822215889201</v>
      </c>
      <c r="AF1937" s="90">
        <v>-1</v>
      </c>
      <c r="AG1937" s="90">
        <v>-1</v>
      </c>
      <c r="AH1937" s="90">
        <v>-1</v>
      </c>
      <c r="AI1937" s="90">
        <v>-1</v>
      </c>
      <c r="AJ1937" s="90">
        <v>0</v>
      </c>
      <c r="AM1937" s="90" t="s">
        <v>379</v>
      </c>
      <c r="AN1937" s="90">
        <v>-1</v>
      </c>
      <c r="AQ1937" s="90">
        <v>379</v>
      </c>
      <c r="AR1937" s="90" t="s">
        <v>289</v>
      </c>
      <c r="AS1937" s="90" t="s">
        <v>411</v>
      </c>
      <c r="AT1937" s="90" t="s">
        <v>244</v>
      </c>
      <c r="AU1937" s="90">
        <v>3.2060680000000001</v>
      </c>
      <c r="AV1937" s="90">
        <v>22.536499663361202</v>
      </c>
      <c r="AW1937" s="90">
        <v>14.3409439488345</v>
      </c>
      <c r="AX1937" s="90">
        <v>1.07159953E-2</v>
      </c>
    </row>
    <row r="1938" spans="1:50" x14ac:dyDescent="0.25">
      <c r="A1938" s="102">
        <v>660000</v>
      </c>
      <c r="B1938" s="102">
        <v>2300000</v>
      </c>
      <c r="C1938" s="102">
        <v>2300000</v>
      </c>
      <c r="D1938" s="90" t="s">
        <v>374</v>
      </c>
      <c r="E1938" s="90" t="s">
        <v>68</v>
      </c>
      <c r="F1938" s="90" t="s">
        <v>375</v>
      </c>
      <c r="G1938" s="90" t="s">
        <v>376</v>
      </c>
      <c r="H1938" s="90">
        <v>0.59</v>
      </c>
      <c r="I1938" s="90">
        <v>0.64</v>
      </c>
      <c r="J1938" s="90" t="s">
        <v>244</v>
      </c>
      <c r="K1938" s="90">
        <v>2.091654865318E-2</v>
      </c>
      <c r="L1938" s="90">
        <v>3728.5128951882002</v>
      </c>
      <c r="M1938" s="90">
        <v>9.2901999147443703</v>
      </c>
      <c r="N1938" s="90">
        <v>1.36620727431417</v>
      </c>
      <c r="O1938" s="90">
        <v>0.19431891851454999</v>
      </c>
      <c r="P1938" s="90">
        <v>2.8576340923519999E-2</v>
      </c>
      <c r="Q1938" s="90">
        <v>77.987621376227906</v>
      </c>
      <c r="R1938" s="90">
        <v>1210</v>
      </c>
      <c r="S1938" s="90" t="s">
        <v>385</v>
      </c>
      <c r="T1938" s="90">
        <v>1210</v>
      </c>
      <c r="U1938" s="90" t="s">
        <v>378</v>
      </c>
      <c r="V1938" s="90" t="s">
        <v>244</v>
      </c>
      <c r="Z1938" s="90">
        <v>0</v>
      </c>
      <c r="AA1938" s="90">
        <v>1</v>
      </c>
      <c r="AB1938" s="90">
        <v>0.19431891851454999</v>
      </c>
      <c r="AC1938" s="90">
        <v>2.8576340923519999E-2</v>
      </c>
      <c r="AD1938" s="90">
        <v>77.987621376227906</v>
      </c>
      <c r="AF1938" s="90">
        <v>-1</v>
      </c>
      <c r="AG1938" s="90">
        <v>-1</v>
      </c>
      <c r="AH1938" s="90">
        <v>-1</v>
      </c>
      <c r="AI1938" s="90">
        <v>-1</v>
      </c>
      <c r="AJ1938" s="90">
        <v>0</v>
      </c>
      <c r="AM1938" s="90" t="s">
        <v>379</v>
      </c>
      <c r="AN1938" s="90">
        <v>-1</v>
      </c>
      <c r="AQ1938" s="90">
        <v>379</v>
      </c>
      <c r="AR1938" s="90" t="s">
        <v>289</v>
      </c>
      <c r="AS1938" s="90" t="s">
        <v>411</v>
      </c>
      <c r="AT1938" s="90" t="s">
        <v>244</v>
      </c>
      <c r="AU1938" s="90">
        <v>3.2060680000000001</v>
      </c>
      <c r="AV1938" s="90">
        <v>60.897392459987103</v>
      </c>
      <c r="AW1938" s="90">
        <v>84.646269251579795</v>
      </c>
      <c r="AX1938" s="90">
        <v>6.3250301199999998E-2</v>
      </c>
    </row>
    <row r="1939" spans="1:50" x14ac:dyDescent="0.25">
      <c r="A1939" s="102">
        <v>660000</v>
      </c>
      <c r="B1939" s="102">
        <v>2300000</v>
      </c>
      <c r="C1939" s="102">
        <v>2300000</v>
      </c>
      <c r="D1939" s="90" t="s">
        <v>374</v>
      </c>
      <c r="E1939" s="90" t="s">
        <v>68</v>
      </c>
      <c r="F1939" s="90" t="s">
        <v>375</v>
      </c>
      <c r="G1939" s="90" t="s">
        <v>376</v>
      </c>
      <c r="H1939" s="90">
        <v>0.59</v>
      </c>
      <c r="I1939" s="90">
        <v>0.64</v>
      </c>
      <c r="J1939" s="90" t="s">
        <v>244</v>
      </c>
      <c r="K1939" s="90">
        <v>2.5166579879570002E-2</v>
      </c>
      <c r="L1939" s="90">
        <v>3728.5128951882002</v>
      </c>
      <c r="M1939" s="90">
        <v>9.2901999147443703</v>
      </c>
      <c r="N1939" s="90">
        <v>1.36620727431417</v>
      </c>
      <c r="O1939" s="90">
        <v>0.23380255825164001</v>
      </c>
      <c r="P1939" s="90">
        <v>3.438276450108E-2</v>
      </c>
      <c r="Q1939" s="90">
        <v>93.833917608782997</v>
      </c>
      <c r="R1939" s="90">
        <v>1210</v>
      </c>
      <c r="S1939" s="90" t="s">
        <v>385</v>
      </c>
      <c r="T1939" s="90">
        <v>1210</v>
      </c>
      <c r="U1939" s="90" t="s">
        <v>378</v>
      </c>
      <c r="V1939" s="90" t="s">
        <v>244</v>
      </c>
      <c r="Z1939" s="90">
        <v>0</v>
      </c>
      <c r="AA1939" s="90">
        <v>1</v>
      </c>
      <c r="AB1939" s="90">
        <v>0.23380255825164001</v>
      </c>
      <c r="AC1939" s="90">
        <v>3.438276450108E-2</v>
      </c>
      <c r="AD1939" s="90">
        <v>93.833917608782997</v>
      </c>
      <c r="AF1939" s="90">
        <v>-1</v>
      </c>
      <c r="AG1939" s="90">
        <v>-1</v>
      </c>
      <c r="AH1939" s="90">
        <v>-1</v>
      </c>
      <c r="AI1939" s="90">
        <v>-1</v>
      </c>
      <c r="AJ1939" s="90">
        <v>0</v>
      </c>
      <c r="AM1939" s="90" t="s">
        <v>379</v>
      </c>
      <c r="AN1939" s="90">
        <v>-1</v>
      </c>
      <c r="AQ1939" s="90">
        <v>379</v>
      </c>
      <c r="AR1939" s="90" t="s">
        <v>289</v>
      </c>
      <c r="AS1939" s="90" t="s">
        <v>411</v>
      </c>
      <c r="AT1939" s="90" t="s">
        <v>244</v>
      </c>
      <c r="AU1939" s="90">
        <v>3.2060680000000001</v>
      </c>
      <c r="AV1939" s="90">
        <v>42.725360564327097</v>
      </c>
      <c r="AW1939" s="90">
        <v>101.845535415504</v>
      </c>
      <c r="AX1939" s="90">
        <v>7.6102122999999994E-2</v>
      </c>
    </row>
    <row r="1940" spans="1:50" x14ac:dyDescent="0.25">
      <c r="A1940" s="102">
        <v>660000</v>
      </c>
      <c r="B1940" s="102">
        <v>2300000</v>
      </c>
      <c r="C1940" s="102">
        <v>2300000</v>
      </c>
      <c r="D1940" s="90" t="s">
        <v>374</v>
      </c>
      <c r="E1940" s="90" t="s">
        <v>68</v>
      </c>
      <c r="F1940" s="90" t="s">
        <v>375</v>
      </c>
      <c r="G1940" s="90" t="s">
        <v>376</v>
      </c>
      <c r="H1940" s="90">
        <v>0.59</v>
      </c>
      <c r="I1940" s="90">
        <v>0.64</v>
      </c>
      <c r="J1940" s="90" t="s">
        <v>244</v>
      </c>
      <c r="K1940" s="90">
        <v>5.6580109649220001E-2</v>
      </c>
      <c r="L1940" s="90">
        <v>3728.50801126535</v>
      </c>
      <c r="M1940" s="90">
        <v>9.2902079778439202</v>
      </c>
      <c r="N1940" s="90">
        <v>1.36620914779748</v>
      </c>
      <c r="O1940" s="90">
        <v>0.52564098605051002</v>
      </c>
      <c r="P1940" s="90">
        <v>7.7300263386149995E-2</v>
      </c>
      <c r="Q1940" s="90">
        <v>210.95939210540701</v>
      </c>
      <c r="R1940" s="90">
        <v>1200</v>
      </c>
      <c r="S1940" s="90" t="s">
        <v>384</v>
      </c>
      <c r="T1940" s="90">
        <v>1200</v>
      </c>
      <c r="U1940" s="90" t="s">
        <v>378</v>
      </c>
      <c r="V1940" s="90" t="s">
        <v>244</v>
      </c>
      <c r="Z1940" s="90">
        <v>0</v>
      </c>
      <c r="AA1940" s="90">
        <v>1</v>
      </c>
      <c r="AB1940" s="90">
        <v>0.52564098605051002</v>
      </c>
      <c r="AC1940" s="90">
        <v>7.7300263386149995E-2</v>
      </c>
      <c r="AD1940" s="90">
        <v>645.89748778415105</v>
      </c>
      <c r="AF1940" s="90">
        <v>-1</v>
      </c>
      <c r="AG1940" s="90">
        <v>-1</v>
      </c>
      <c r="AH1940" s="90">
        <v>-1</v>
      </c>
      <c r="AI1940" s="90">
        <v>-1</v>
      </c>
      <c r="AJ1940" s="90">
        <v>0</v>
      </c>
      <c r="AM1940" s="90" t="s">
        <v>379</v>
      </c>
      <c r="AN1940" s="90">
        <v>-1</v>
      </c>
      <c r="AQ1940" s="90">
        <v>379</v>
      </c>
      <c r="AR1940" s="90" t="s">
        <v>289</v>
      </c>
      <c r="AS1940" s="90" t="s">
        <v>411</v>
      </c>
      <c r="AT1940" s="90" t="s">
        <v>244</v>
      </c>
      <c r="AU1940" s="90">
        <v>3.2060680000000001</v>
      </c>
      <c r="AV1940" s="90">
        <v>79.670812135417094</v>
      </c>
      <c r="AW1940" s="90">
        <v>228.971580114061</v>
      </c>
      <c r="AX1940" s="90">
        <v>0.52384224479999997</v>
      </c>
    </row>
    <row r="1941" spans="1:50" x14ac:dyDescent="0.25">
      <c r="A1941" s="102">
        <v>660000</v>
      </c>
      <c r="B1941" s="102">
        <v>2300000</v>
      </c>
      <c r="C1941" s="102">
        <v>2300000</v>
      </c>
      <c r="D1941" s="90" t="s">
        <v>374</v>
      </c>
      <c r="E1941" s="90" t="s">
        <v>68</v>
      </c>
      <c r="F1941" s="90" t="s">
        <v>375</v>
      </c>
      <c r="G1941" s="90" t="s">
        <v>376</v>
      </c>
      <c r="H1941" s="90">
        <v>0.59</v>
      </c>
      <c r="I1941" s="90">
        <v>0.64</v>
      </c>
      <c r="J1941" s="90" t="s">
        <v>244</v>
      </c>
      <c r="K1941" s="90">
        <v>2.6527357511599999E-3</v>
      </c>
      <c r="L1941" s="90">
        <v>3728.50801126535</v>
      </c>
      <c r="M1941" s="90">
        <v>9.2902079778439202</v>
      </c>
      <c r="N1941" s="90">
        <v>1.36620914779748</v>
      </c>
      <c r="O1941" s="90">
        <v>2.4644466838529999E-2</v>
      </c>
      <c r="P1941" s="90">
        <v>3.62419184992E-3</v>
      </c>
      <c r="Q1941" s="90">
        <v>9.8907464999700796</v>
      </c>
      <c r="R1941" s="90">
        <v>1210</v>
      </c>
      <c r="S1941" s="90" t="s">
        <v>385</v>
      </c>
      <c r="T1941" s="90">
        <v>1210</v>
      </c>
      <c r="U1941" s="90" t="s">
        <v>378</v>
      </c>
      <c r="V1941" s="90" t="s">
        <v>244</v>
      </c>
      <c r="Z1941" s="90">
        <v>0</v>
      </c>
      <c r="AA1941" s="90">
        <v>1</v>
      </c>
      <c r="AB1941" s="90">
        <v>2.4644466838529999E-2</v>
      </c>
      <c r="AC1941" s="90">
        <v>3.62419184992E-3</v>
      </c>
      <c r="AD1941" s="90">
        <v>9.8907464999684098</v>
      </c>
      <c r="AF1941" s="90">
        <v>-1</v>
      </c>
      <c r="AG1941" s="90">
        <v>-1</v>
      </c>
      <c r="AH1941" s="90">
        <v>-1</v>
      </c>
      <c r="AI1941" s="90">
        <v>-1</v>
      </c>
      <c r="AJ1941" s="90">
        <v>0</v>
      </c>
      <c r="AM1941" s="90" t="s">
        <v>379</v>
      </c>
      <c r="AN1941" s="90">
        <v>-1</v>
      </c>
      <c r="AQ1941" s="90">
        <v>379</v>
      </c>
      <c r="AR1941" s="90" t="s">
        <v>289</v>
      </c>
      <c r="AS1941" s="90" t="s">
        <v>411</v>
      </c>
      <c r="AT1941" s="90" t="s">
        <v>244</v>
      </c>
      <c r="AU1941" s="90">
        <v>3.2060680000000001</v>
      </c>
      <c r="AV1941" s="90">
        <v>30.981562939709502</v>
      </c>
      <c r="AW1941" s="90">
        <v>10.7352407115101</v>
      </c>
      <c r="AX1941" s="90">
        <v>8.0216921999999996E-3</v>
      </c>
    </row>
    <row r="1942" spans="1:50" x14ac:dyDescent="0.25">
      <c r="A1942" s="102">
        <v>660000</v>
      </c>
      <c r="B1942" s="102">
        <v>2300000</v>
      </c>
      <c r="C1942" s="102">
        <v>2300000</v>
      </c>
      <c r="D1942" s="90" t="s">
        <v>374</v>
      </c>
      <c r="E1942" s="90" t="s">
        <v>68</v>
      </c>
      <c r="F1942" s="90" t="s">
        <v>375</v>
      </c>
      <c r="G1942" s="90" t="s">
        <v>376</v>
      </c>
      <c r="H1942" s="90">
        <v>0.59</v>
      </c>
      <c r="I1942" s="90">
        <v>0.64</v>
      </c>
      <c r="J1942" s="90" t="s">
        <v>244</v>
      </c>
      <c r="K1942" s="90">
        <v>3.5723410106599999E-3</v>
      </c>
      <c r="L1942" s="90">
        <v>3728.1445689707798</v>
      </c>
      <c r="M1942" s="90">
        <v>9.01720907417495</v>
      </c>
      <c r="N1942" s="90">
        <v>1.31444231244057</v>
      </c>
      <c r="O1942" s="90">
        <v>3.2212545777380003E-2</v>
      </c>
      <c r="P1942" s="90">
        <v>4.6956361788799998E-3</v>
      </c>
      <c r="Q1942" s="90">
        <v>13.3182037374111</v>
      </c>
      <c r="R1942" s="90">
        <v>1200</v>
      </c>
      <c r="S1942" s="90" t="s">
        <v>384</v>
      </c>
      <c r="T1942" s="90">
        <v>1200</v>
      </c>
      <c r="U1942" s="90" t="s">
        <v>378</v>
      </c>
      <c r="V1942" s="90" t="s">
        <v>244</v>
      </c>
      <c r="Z1942" s="90">
        <v>0</v>
      </c>
      <c r="AA1942" s="90">
        <v>1</v>
      </c>
      <c r="AB1942" s="90">
        <v>3.2212545777380003E-2</v>
      </c>
      <c r="AC1942" s="90">
        <v>4.6956361788799998E-3</v>
      </c>
      <c r="AD1942" s="90">
        <v>52.254489810932903</v>
      </c>
      <c r="AF1942" s="90">
        <v>-1</v>
      </c>
      <c r="AG1942" s="90">
        <v>-1</v>
      </c>
      <c r="AH1942" s="90">
        <v>-1</v>
      </c>
      <c r="AI1942" s="90">
        <v>-1</v>
      </c>
      <c r="AJ1942" s="90">
        <v>0</v>
      </c>
      <c r="AM1942" s="90" t="s">
        <v>379</v>
      </c>
      <c r="AN1942" s="90">
        <v>-1</v>
      </c>
      <c r="AQ1942" s="90">
        <v>379</v>
      </c>
      <c r="AR1942" s="90" t="s">
        <v>289</v>
      </c>
      <c r="AS1942" s="90" t="s">
        <v>411</v>
      </c>
      <c r="AT1942" s="90" t="s">
        <v>244</v>
      </c>
      <c r="AU1942" s="90">
        <v>3.2060680000000001</v>
      </c>
      <c r="AV1942" s="90">
        <v>37.052892281170202</v>
      </c>
      <c r="AW1942" s="90">
        <v>14.456751162002099</v>
      </c>
      <c r="AX1942" s="90">
        <v>4.2379959299999999E-2</v>
      </c>
    </row>
    <row r="1943" spans="1:50" x14ac:dyDescent="0.25">
      <c r="A1943" s="102">
        <v>660000</v>
      </c>
      <c r="B1943" s="102">
        <v>2300000</v>
      </c>
      <c r="C1943" s="102">
        <v>2300000</v>
      </c>
      <c r="D1943" s="90" t="s">
        <v>374</v>
      </c>
      <c r="E1943" s="90" t="s">
        <v>68</v>
      </c>
      <c r="F1943" s="90" t="s">
        <v>375</v>
      </c>
      <c r="G1943" s="90" t="s">
        <v>376</v>
      </c>
      <c r="H1943" s="90">
        <v>0.59</v>
      </c>
      <c r="I1943" s="90">
        <v>0.64</v>
      </c>
      <c r="J1943" s="90" t="s">
        <v>244</v>
      </c>
      <c r="K1943" s="90">
        <v>9.8951849703369996E-2</v>
      </c>
      <c r="L1943" s="90">
        <v>3728.1445689707798</v>
      </c>
      <c r="M1943" s="90">
        <v>9.01720907417495</v>
      </c>
      <c r="N1943" s="90">
        <v>1.31444231244057</v>
      </c>
      <c r="O1943" s="90">
        <v>0.89226951705165003</v>
      </c>
      <c r="P1943" s="90">
        <v>0.13006649814436999</v>
      </c>
      <c r="Q1943" s="90">
        <v>368.90680106124302</v>
      </c>
      <c r="R1943" s="90">
        <v>1210</v>
      </c>
      <c r="S1943" s="90" t="s">
        <v>385</v>
      </c>
      <c r="T1943" s="90">
        <v>1210</v>
      </c>
      <c r="U1943" s="90" t="s">
        <v>378</v>
      </c>
      <c r="V1943" s="90" t="s">
        <v>244</v>
      </c>
      <c r="Z1943" s="90">
        <v>0</v>
      </c>
      <c r="AA1943" s="90">
        <v>1</v>
      </c>
      <c r="AB1943" s="90">
        <v>0.89226951705165003</v>
      </c>
      <c r="AC1943" s="90">
        <v>0.13006649814436999</v>
      </c>
      <c r="AD1943" s="90">
        <v>1041.5518337926101</v>
      </c>
      <c r="AF1943" s="90">
        <v>-1</v>
      </c>
      <c r="AG1943" s="90">
        <v>-1</v>
      </c>
      <c r="AH1943" s="90">
        <v>-1</v>
      </c>
      <c r="AI1943" s="90">
        <v>-1</v>
      </c>
      <c r="AJ1943" s="90">
        <v>0</v>
      </c>
      <c r="AM1943" s="90" t="s">
        <v>379</v>
      </c>
      <c r="AN1943" s="90">
        <v>-1</v>
      </c>
      <c r="AQ1943" s="90">
        <v>379</v>
      </c>
      <c r="AR1943" s="90" t="s">
        <v>289</v>
      </c>
      <c r="AS1943" s="90" t="s">
        <v>411</v>
      </c>
      <c r="AT1943" s="90" t="s">
        <v>244</v>
      </c>
      <c r="AU1943" s="90">
        <v>3.2060680000000001</v>
      </c>
      <c r="AV1943" s="90">
        <v>83.175078510453304</v>
      </c>
      <c r="AW1943" s="90">
        <v>400.443928480453</v>
      </c>
      <c r="AX1943" s="90">
        <v>0.8447297922</v>
      </c>
    </row>
    <row r="1944" spans="1:50" x14ac:dyDescent="0.25">
      <c r="A1944" s="102">
        <v>660000</v>
      </c>
      <c r="B1944" s="102">
        <v>2300000</v>
      </c>
      <c r="C1944" s="102">
        <v>2300000</v>
      </c>
      <c r="D1944" s="90" t="s">
        <v>374</v>
      </c>
      <c r="E1944" s="90" t="s">
        <v>68</v>
      </c>
      <c r="F1944" s="90" t="s">
        <v>375</v>
      </c>
      <c r="G1944" s="90" t="s">
        <v>376</v>
      </c>
      <c r="H1944" s="90">
        <v>0.59</v>
      </c>
      <c r="I1944" s="90">
        <v>0.64</v>
      </c>
      <c r="J1944" s="90" t="s">
        <v>244</v>
      </c>
      <c r="K1944" s="90">
        <v>9.3443223406179998E-2</v>
      </c>
      <c r="L1944" s="90">
        <v>3728.1445689707798</v>
      </c>
      <c r="M1944" s="90">
        <v>9.01720907417495</v>
      </c>
      <c r="N1944" s="90">
        <v>1.31444231244057</v>
      </c>
      <c r="O1944" s="90">
        <v>0.8425970820184</v>
      </c>
      <c r="P1944" s="90">
        <v>0.12282572665592</v>
      </c>
      <c r="Q1944" s="90">
        <v>348.36984584889098</v>
      </c>
      <c r="R1944" s="90">
        <v>1210</v>
      </c>
      <c r="S1944" s="90" t="s">
        <v>385</v>
      </c>
      <c r="T1944" s="90">
        <v>1210</v>
      </c>
      <c r="U1944" s="90" t="s">
        <v>378</v>
      </c>
      <c r="V1944" s="90" t="s">
        <v>244</v>
      </c>
      <c r="Z1944" s="90">
        <v>0</v>
      </c>
      <c r="AA1944" s="90">
        <v>1</v>
      </c>
      <c r="AB1944" s="90">
        <v>0.8425970820184</v>
      </c>
      <c r="AC1944" s="90">
        <v>0.12282572665592</v>
      </c>
      <c r="AD1944" s="90">
        <v>587.35191120420905</v>
      </c>
      <c r="AF1944" s="90">
        <v>-1</v>
      </c>
      <c r="AG1944" s="90">
        <v>-1</v>
      </c>
      <c r="AH1944" s="90">
        <v>-1</v>
      </c>
      <c r="AI1944" s="90">
        <v>-1</v>
      </c>
      <c r="AJ1944" s="90">
        <v>0</v>
      </c>
      <c r="AM1944" s="90" t="s">
        <v>379</v>
      </c>
      <c r="AN1944" s="90">
        <v>-1</v>
      </c>
      <c r="AQ1944" s="90">
        <v>379</v>
      </c>
      <c r="AR1944" s="90" t="s">
        <v>289</v>
      </c>
      <c r="AS1944" s="90" t="s">
        <v>411</v>
      </c>
      <c r="AT1944" s="90" t="s">
        <v>244</v>
      </c>
      <c r="AU1944" s="90">
        <v>3.2060680000000001</v>
      </c>
      <c r="AV1944" s="90">
        <v>80.370276607163106</v>
      </c>
      <c r="AW1944" s="90">
        <v>378.15130877107703</v>
      </c>
      <c r="AX1944" s="90">
        <v>0.47636002529999999</v>
      </c>
    </row>
    <row r="1945" spans="1:50" x14ac:dyDescent="0.25">
      <c r="A1945" s="102">
        <v>660000</v>
      </c>
      <c r="B1945" s="102">
        <v>2300000</v>
      </c>
      <c r="C1945" s="102">
        <v>2400000</v>
      </c>
      <c r="D1945" s="90" t="s">
        <v>374</v>
      </c>
      <c r="E1945" s="90" t="s">
        <v>68</v>
      </c>
      <c r="F1945" s="90" t="s">
        <v>375</v>
      </c>
      <c r="G1945" s="90" t="s">
        <v>376</v>
      </c>
      <c r="H1945" s="90">
        <v>0.59</v>
      </c>
      <c r="I1945" s="90">
        <v>0.64</v>
      </c>
      <c r="J1945" s="90" t="s">
        <v>244</v>
      </c>
      <c r="K1945" s="90">
        <v>1.58795275803E-3</v>
      </c>
      <c r="L1945" s="90">
        <v>3734.5185289246301</v>
      </c>
      <c r="M1945" s="90">
        <v>8.2792638428047098</v>
      </c>
      <c r="N1945" s="90">
        <v>1.27948949585256</v>
      </c>
      <c r="O1945" s="90">
        <v>1.314707985365E-2</v>
      </c>
      <c r="P1945" s="90">
        <v>2.0317688738099998E-3</v>
      </c>
      <c r="Q1945" s="90">
        <v>5.9302389979274697</v>
      </c>
      <c r="R1945" s="90">
        <v>1200</v>
      </c>
      <c r="S1945" s="90" t="s">
        <v>384</v>
      </c>
      <c r="T1945" s="90">
        <v>1200</v>
      </c>
      <c r="U1945" s="90" t="s">
        <v>378</v>
      </c>
      <c r="V1945" s="90" t="s">
        <v>244</v>
      </c>
      <c r="Z1945" s="90">
        <v>0</v>
      </c>
      <c r="AA1945" s="90">
        <v>1</v>
      </c>
      <c r="AB1945" s="90">
        <v>1.314707985365E-2</v>
      </c>
      <c r="AC1945" s="90">
        <v>2.0317688738099998E-3</v>
      </c>
      <c r="AD1945" s="90">
        <v>5.9302389979271002</v>
      </c>
      <c r="AF1945" s="90">
        <v>-1</v>
      </c>
      <c r="AG1945" s="90">
        <v>-1</v>
      </c>
      <c r="AH1945" s="90">
        <v>-1</v>
      </c>
      <c r="AI1945" s="90">
        <v>-1</v>
      </c>
      <c r="AJ1945" s="90">
        <v>0</v>
      </c>
      <c r="AM1945" s="90" t="s">
        <v>379</v>
      </c>
      <c r="AN1945" s="90">
        <v>-1</v>
      </c>
      <c r="AQ1945" s="90">
        <v>379</v>
      </c>
      <c r="AR1945" s="90" t="s">
        <v>289</v>
      </c>
      <c r="AS1945" s="90" t="s">
        <v>411</v>
      </c>
      <c r="AT1945" s="90" t="s">
        <v>244</v>
      </c>
      <c r="AU1945" s="90">
        <v>3.2060680000000001</v>
      </c>
      <c r="AV1945" s="90">
        <v>16.051368574773601</v>
      </c>
      <c r="AW1945" s="90">
        <v>6.4262168173091903</v>
      </c>
      <c r="AX1945" s="90">
        <v>4.8096018000000004E-3</v>
      </c>
    </row>
    <row r="1946" spans="1:50" x14ac:dyDescent="0.25">
      <c r="A1946" s="102">
        <v>660000</v>
      </c>
      <c r="B1946" s="102">
        <v>2300000</v>
      </c>
      <c r="C1946" s="102">
        <v>2400000</v>
      </c>
      <c r="D1946" s="90" t="s">
        <v>374</v>
      </c>
      <c r="E1946" s="90" t="s">
        <v>68</v>
      </c>
      <c r="F1946" s="90" t="s">
        <v>375</v>
      </c>
      <c r="G1946" s="90" t="s">
        <v>376</v>
      </c>
      <c r="H1946" s="90">
        <v>0.59</v>
      </c>
      <c r="I1946" s="90">
        <v>0.64</v>
      </c>
      <c r="J1946" s="90" t="s">
        <v>244</v>
      </c>
      <c r="K1946" s="90">
        <v>2.231438540205E-2</v>
      </c>
      <c r="L1946" s="90">
        <v>3734.5185289246301</v>
      </c>
      <c r="M1946" s="90">
        <v>8.2792638428047098</v>
      </c>
      <c r="N1946" s="90">
        <v>1.27948949585256</v>
      </c>
      <c r="O1946" s="90">
        <v>0.18474668423365001</v>
      </c>
      <c r="P1946" s="90">
        <v>2.855102172833E-2</v>
      </c>
      <c r="Q1946" s="90">
        <v>83.333485745543399</v>
      </c>
      <c r="R1946" s="90">
        <v>1820</v>
      </c>
      <c r="S1946" s="90" t="s">
        <v>412</v>
      </c>
      <c r="T1946" s="90">
        <v>1820</v>
      </c>
      <c r="U1946" s="90" t="s">
        <v>378</v>
      </c>
      <c r="V1946" s="90" t="s">
        <v>244</v>
      </c>
      <c r="Z1946" s="90">
        <v>0</v>
      </c>
      <c r="AA1946" s="90">
        <v>1</v>
      </c>
      <c r="AB1946" s="90">
        <v>0.18474668423365001</v>
      </c>
      <c r="AC1946" s="90">
        <v>2.855102172833E-2</v>
      </c>
      <c r="AD1946" s="90">
        <v>83.333485745543001</v>
      </c>
      <c r="AF1946" s="90">
        <v>-1</v>
      </c>
      <c r="AG1946" s="90">
        <v>-1</v>
      </c>
      <c r="AH1946" s="90">
        <v>-1</v>
      </c>
      <c r="AI1946" s="90">
        <v>-1</v>
      </c>
      <c r="AJ1946" s="90">
        <v>0</v>
      </c>
      <c r="AM1946" s="90" t="s">
        <v>379</v>
      </c>
      <c r="AN1946" s="90">
        <v>-1</v>
      </c>
      <c r="AQ1946" s="90">
        <v>379</v>
      </c>
      <c r="AR1946" s="90" t="s">
        <v>289</v>
      </c>
      <c r="AS1946" s="90" t="s">
        <v>411</v>
      </c>
      <c r="AT1946" s="90" t="s">
        <v>244</v>
      </c>
      <c r="AU1946" s="90">
        <v>3.2060680000000001</v>
      </c>
      <c r="AV1946" s="90">
        <v>49.6539318261867</v>
      </c>
      <c r="AW1946" s="90">
        <v>90.303113876218703</v>
      </c>
      <c r="AX1946" s="90">
        <v>6.7585957599999996E-2</v>
      </c>
    </row>
    <row r="1947" spans="1:50" x14ac:dyDescent="0.25">
      <c r="A1947" s="102">
        <v>660000</v>
      </c>
      <c r="B1947" s="102">
        <v>2300000</v>
      </c>
      <c r="C1947" s="102">
        <v>2400000</v>
      </c>
      <c r="D1947" s="90" t="s">
        <v>374</v>
      </c>
      <c r="E1947" s="90" t="s">
        <v>68</v>
      </c>
      <c r="F1947" s="90" t="s">
        <v>375</v>
      </c>
      <c r="G1947" s="90" t="s">
        <v>376</v>
      </c>
      <c r="H1947" s="90">
        <v>0.59</v>
      </c>
      <c r="I1947" s="90">
        <v>0.64</v>
      </c>
      <c r="J1947" s="90" t="s">
        <v>244</v>
      </c>
      <c r="K1947" s="90">
        <v>3.2313512747099999E-3</v>
      </c>
      <c r="L1947" s="90">
        <v>3734.5185289246301</v>
      </c>
      <c r="M1947" s="90">
        <v>8.2792638428047098</v>
      </c>
      <c r="N1947" s="90">
        <v>1.27948949585256</v>
      </c>
      <c r="O1947" s="90">
        <v>2.6753209772110001E-2</v>
      </c>
      <c r="P1947" s="90">
        <v>4.1344800134000001E-3</v>
      </c>
      <c r="Q1947" s="90">
        <v>12.067541208872401</v>
      </c>
      <c r="R1947" s="90">
        <v>1300</v>
      </c>
      <c r="S1947" s="90" t="s">
        <v>387</v>
      </c>
      <c r="T1947" s="90">
        <v>1300</v>
      </c>
      <c r="U1947" s="90" t="s">
        <v>378</v>
      </c>
      <c r="V1947" s="90" t="s">
        <v>244</v>
      </c>
      <c r="Z1947" s="90">
        <v>0</v>
      </c>
      <c r="AA1947" s="90">
        <v>1</v>
      </c>
      <c r="AB1947" s="90">
        <v>2.6753209772110001E-2</v>
      </c>
      <c r="AC1947" s="90">
        <v>4.1344800134000001E-3</v>
      </c>
      <c r="AD1947" s="90">
        <v>560.41115080686302</v>
      </c>
      <c r="AF1947" s="90">
        <v>-1</v>
      </c>
      <c r="AG1947" s="90">
        <v>-1</v>
      </c>
      <c r="AH1947" s="90">
        <v>-1</v>
      </c>
      <c r="AI1947" s="90">
        <v>-1</v>
      </c>
      <c r="AJ1947" s="90">
        <v>0</v>
      </c>
      <c r="AM1947" s="90" t="s">
        <v>379</v>
      </c>
      <c r="AN1947" s="90">
        <v>-1</v>
      </c>
      <c r="AQ1947" s="90">
        <v>379</v>
      </c>
      <c r="AR1947" s="90" t="s">
        <v>289</v>
      </c>
      <c r="AS1947" s="90" t="s">
        <v>411</v>
      </c>
      <c r="AT1947" s="90" t="s">
        <v>244</v>
      </c>
      <c r="AU1947" s="90">
        <v>3.2060680000000001</v>
      </c>
      <c r="AV1947" s="90">
        <v>21.147250864018499</v>
      </c>
      <c r="AW1947" s="90">
        <v>13.0768146590939</v>
      </c>
      <c r="AX1947" s="90">
        <v>0.45451026020000002</v>
      </c>
    </row>
    <row r="1948" spans="1:50" x14ac:dyDescent="0.25">
      <c r="A1948" s="102">
        <v>660000</v>
      </c>
      <c r="B1948" s="102">
        <v>2400000</v>
      </c>
      <c r="C1948" s="102">
        <v>2400000</v>
      </c>
      <c r="D1948" s="90" t="s">
        <v>374</v>
      </c>
      <c r="E1948" s="90" t="s">
        <v>68</v>
      </c>
      <c r="F1948" s="90" t="s">
        <v>375</v>
      </c>
      <c r="G1948" s="90" t="s">
        <v>376</v>
      </c>
      <c r="H1948" s="90">
        <v>0.59</v>
      </c>
      <c r="I1948" s="90">
        <v>0.64</v>
      </c>
      <c r="J1948" s="90" t="s">
        <v>244</v>
      </c>
      <c r="K1948" s="90">
        <v>3.8204002772199998E-3</v>
      </c>
      <c r="L1948" s="90">
        <v>3726.50451562637</v>
      </c>
      <c r="M1948" s="90">
        <v>8.4494311536369704</v>
      </c>
      <c r="N1948" s="90">
        <v>1.20686878910697</v>
      </c>
      <c r="O1948" s="90">
        <v>3.228020912178E-2</v>
      </c>
      <c r="P1948" s="90">
        <v>4.6107218564799997E-3</v>
      </c>
      <c r="Q1948" s="90">
        <v>14.2367388845941</v>
      </c>
      <c r="R1948" s="90">
        <v>1210</v>
      </c>
      <c r="S1948" s="90" t="s">
        <v>385</v>
      </c>
      <c r="T1948" s="90">
        <v>1210</v>
      </c>
      <c r="U1948" s="90" t="s">
        <v>378</v>
      </c>
      <c r="V1948" s="90" t="s">
        <v>244</v>
      </c>
      <c r="Z1948" s="90">
        <v>0</v>
      </c>
      <c r="AA1948" s="90">
        <v>1</v>
      </c>
      <c r="AB1948" s="90">
        <v>3.228020912178E-2</v>
      </c>
      <c r="AC1948" s="90">
        <v>4.6107218564799997E-3</v>
      </c>
      <c r="AD1948" s="90">
        <v>60.604850131737599</v>
      </c>
      <c r="AF1948" s="90">
        <v>-1</v>
      </c>
      <c r="AG1948" s="90">
        <v>-1</v>
      </c>
      <c r="AH1948" s="90">
        <v>-1</v>
      </c>
      <c r="AI1948" s="90">
        <v>-1</v>
      </c>
      <c r="AJ1948" s="90">
        <v>0</v>
      </c>
      <c r="AM1948" s="90" t="s">
        <v>379</v>
      </c>
      <c r="AN1948" s="90">
        <v>-1</v>
      </c>
      <c r="AQ1948" s="90">
        <v>379</v>
      </c>
      <c r="AR1948" s="90" t="s">
        <v>289</v>
      </c>
      <c r="AS1948" s="90" t="s">
        <v>411</v>
      </c>
      <c r="AT1948" s="90" t="s">
        <v>244</v>
      </c>
      <c r="AU1948" s="90">
        <v>3.2060680000000001</v>
      </c>
      <c r="AV1948" s="90">
        <v>16.882117776059101</v>
      </c>
      <c r="AW1948" s="90">
        <v>15.460611398041999</v>
      </c>
      <c r="AX1948" s="90">
        <v>4.9152352099999998E-2</v>
      </c>
    </row>
    <row r="1949" spans="1:50" x14ac:dyDescent="0.25">
      <c r="A1949" s="102">
        <v>660000</v>
      </c>
      <c r="B1949" s="102">
        <v>2400000</v>
      </c>
      <c r="C1949" s="102">
        <v>2400000</v>
      </c>
      <c r="D1949" s="90" t="s">
        <v>374</v>
      </c>
      <c r="E1949" s="90" t="s">
        <v>68</v>
      </c>
      <c r="F1949" s="90" t="s">
        <v>375</v>
      </c>
      <c r="G1949" s="90" t="s">
        <v>376</v>
      </c>
      <c r="H1949" s="90">
        <v>0.59</v>
      </c>
      <c r="I1949" s="90">
        <v>0.64</v>
      </c>
      <c r="J1949" s="90" t="s">
        <v>244</v>
      </c>
      <c r="K1949" s="90">
        <v>4.6754572126969998E-2</v>
      </c>
      <c r="L1949" s="90">
        <v>3726.50451562637</v>
      </c>
      <c r="M1949" s="90">
        <v>8.4494311536369704</v>
      </c>
      <c r="N1949" s="90">
        <v>1.20686878910697</v>
      </c>
      <c r="O1949" s="90">
        <v>0.39504953830463002</v>
      </c>
      <c r="P1949" s="90">
        <v>5.6426633848089998E-2</v>
      </c>
      <c r="Q1949" s="90">
        <v>174.231124157355</v>
      </c>
      <c r="R1949" s="90">
        <v>1210</v>
      </c>
      <c r="S1949" s="90" t="s">
        <v>385</v>
      </c>
      <c r="T1949" s="90">
        <v>1210</v>
      </c>
      <c r="U1949" s="90" t="s">
        <v>378</v>
      </c>
      <c r="V1949" s="90" t="s">
        <v>244</v>
      </c>
      <c r="Z1949" s="90">
        <v>0</v>
      </c>
      <c r="AA1949" s="90">
        <v>1</v>
      </c>
      <c r="AB1949" s="90">
        <v>0.39504953830463002</v>
      </c>
      <c r="AC1949" s="90">
        <v>5.6426633848089998E-2</v>
      </c>
      <c r="AD1949" s="90">
        <v>589.23649349626601</v>
      </c>
      <c r="AF1949" s="90">
        <v>-1</v>
      </c>
      <c r="AG1949" s="90">
        <v>-1</v>
      </c>
      <c r="AH1949" s="90">
        <v>-1</v>
      </c>
      <c r="AI1949" s="90">
        <v>-1</v>
      </c>
      <c r="AJ1949" s="90">
        <v>0</v>
      </c>
      <c r="AM1949" s="90" t="s">
        <v>379</v>
      </c>
      <c r="AN1949" s="90">
        <v>-1</v>
      </c>
      <c r="AQ1949" s="90">
        <v>379</v>
      </c>
      <c r="AR1949" s="90" t="s">
        <v>289</v>
      </c>
      <c r="AS1949" s="90" t="s">
        <v>411</v>
      </c>
      <c r="AT1949" s="90" t="s">
        <v>244</v>
      </c>
      <c r="AU1949" s="90">
        <v>3.2060680000000001</v>
      </c>
      <c r="AV1949" s="90">
        <v>57.018961291252701</v>
      </c>
      <c r="AW1949" s="90">
        <v>189.20904048861399</v>
      </c>
      <c r="AX1949" s="90">
        <v>0.47788847810000001</v>
      </c>
    </row>
    <row r="1950" spans="1:50" x14ac:dyDescent="0.25">
      <c r="A1950" s="102">
        <v>660000</v>
      </c>
      <c r="B1950" s="102">
        <v>2400000</v>
      </c>
      <c r="C1950" s="102">
        <v>2400000</v>
      </c>
      <c r="D1950" s="90" t="s">
        <v>374</v>
      </c>
      <c r="E1950" s="90" t="s">
        <v>68</v>
      </c>
      <c r="F1950" s="90" t="s">
        <v>375</v>
      </c>
      <c r="G1950" s="90" t="s">
        <v>376</v>
      </c>
      <c r="H1950" s="90">
        <v>0.59</v>
      </c>
      <c r="I1950" s="90">
        <v>0.64</v>
      </c>
      <c r="J1950" s="90" t="s">
        <v>244</v>
      </c>
      <c r="K1950" s="90">
        <v>5.029154528391E-2</v>
      </c>
      <c r="L1950" s="90">
        <v>3726.50451562637</v>
      </c>
      <c r="M1950" s="90">
        <v>8.4494311536369704</v>
      </c>
      <c r="N1950" s="90">
        <v>1.20686878910697</v>
      </c>
      <c r="O1950" s="90">
        <v>0.42493494948640997</v>
      </c>
      <c r="P1950" s="90">
        <v>6.0695296359110001E-2</v>
      </c>
      <c r="Q1950" s="90">
        <v>187.41167059831901</v>
      </c>
      <c r="R1950" s="90">
        <v>1210</v>
      </c>
      <c r="S1950" s="90" t="s">
        <v>385</v>
      </c>
      <c r="T1950" s="90">
        <v>1210</v>
      </c>
      <c r="U1950" s="90" t="s">
        <v>378</v>
      </c>
      <c r="V1950" s="90" t="s">
        <v>244</v>
      </c>
      <c r="Z1950" s="90">
        <v>0</v>
      </c>
      <c r="AA1950" s="90">
        <v>1</v>
      </c>
      <c r="AB1950" s="90">
        <v>0.42493494948640997</v>
      </c>
      <c r="AC1950" s="90">
        <v>6.0695296359110001E-2</v>
      </c>
      <c r="AD1950" s="90">
        <v>600.51490556004899</v>
      </c>
      <c r="AF1950" s="90">
        <v>-1</v>
      </c>
      <c r="AG1950" s="90">
        <v>-1</v>
      </c>
      <c r="AH1950" s="90">
        <v>-1</v>
      </c>
      <c r="AI1950" s="90">
        <v>-1</v>
      </c>
      <c r="AJ1950" s="90">
        <v>0</v>
      </c>
      <c r="AM1950" s="90" t="s">
        <v>379</v>
      </c>
      <c r="AN1950" s="90">
        <v>-1</v>
      </c>
      <c r="AQ1950" s="90">
        <v>379</v>
      </c>
      <c r="AR1950" s="90" t="s">
        <v>289</v>
      </c>
      <c r="AS1950" s="90" t="s">
        <v>411</v>
      </c>
      <c r="AT1950" s="90" t="s">
        <v>244</v>
      </c>
      <c r="AU1950" s="90">
        <v>3.2060680000000001</v>
      </c>
      <c r="AV1950" s="90">
        <v>67.110585648123504</v>
      </c>
      <c r="AW1950" s="90">
        <v>203.52266302461101</v>
      </c>
      <c r="AX1950" s="90">
        <v>0.48703560870000001</v>
      </c>
    </row>
    <row r="1951" spans="1:50" x14ac:dyDescent="0.25">
      <c r="A1951" s="102">
        <v>660000</v>
      </c>
      <c r="B1951" s="102">
        <v>2400000</v>
      </c>
      <c r="C1951" s="102">
        <v>2400000</v>
      </c>
      <c r="D1951" s="90" t="s">
        <v>374</v>
      </c>
      <c r="E1951" s="90" t="s">
        <v>68</v>
      </c>
      <c r="F1951" s="90" t="s">
        <v>375</v>
      </c>
      <c r="G1951" s="90" t="s">
        <v>376</v>
      </c>
      <c r="H1951" s="90">
        <v>0.59</v>
      </c>
      <c r="I1951" s="90">
        <v>0.64</v>
      </c>
      <c r="J1951" s="90" t="s">
        <v>244</v>
      </c>
      <c r="K1951" s="90">
        <v>4.2576978410790001E-2</v>
      </c>
      <c r="L1951" s="90">
        <v>3776.0306701306299</v>
      </c>
      <c r="M1951" s="90">
        <v>10.770803101359199</v>
      </c>
      <c r="N1951" s="90">
        <v>2.06382503617652</v>
      </c>
      <c r="O1951" s="90">
        <v>0.45858825111353002</v>
      </c>
      <c r="P1951" s="90">
        <v>8.7871434008950006E-2</v>
      </c>
      <c r="Q1951" s="90">
        <v>160.77197632066699</v>
      </c>
      <c r="R1951" s="90">
        <v>1300</v>
      </c>
      <c r="S1951" s="90" t="s">
        <v>387</v>
      </c>
      <c r="T1951" s="90">
        <v>1300</v>
      </c>
      <c r="U1951" s="90" t="s">
        <v>378</v>
      </c>
      <c r="V1951" s="90" t="s">
        <v>244</v>
      </c>
      <c r="Z1951" s="90">
        <v>0</v>
      </c>
      <c r="AA1951" s="90">
        <v>1</v>
      </c>
      <c r="AB1951" s="90">
        <v>0.45858825111353002</v>
      </c>
      <c r="AC1951" s="90">
        <v>8.7871434008950006E-2</v>
      </c>
      <c r="AD1951" s="90">
        <v>781.80468301644396</v>
      </c>
      <c r="AF1951" s="90">
        <v>-1</v>
      </c>
      <c r="AG1951" s="90">
        <v>-1</v>
      </c>
      <c r="AH1951" s="90">
        <v>-1</v>
      </c>
      <c r="AI1951" s="90">
        <v>-1</v>
      </c>
      <c r="AJ1951" s="90">
        <v>0</v>
      </c>
      <c r="AM1951" s="90" t="s">
        <v>379</v>
      </c>
      <c r="AN1951" s="90">
        <v>-1</v>
      </c>
      <c r="AQ1951" s="90">
        <v>379</v>
      </c>
      <c r="AR1951" s="90" t="s">
        <v>289</v>
      </c>
      <c r="AS1951" s="90" t="s">
        <v>411</v>
      </c>
      <c r="AT1951" s="90" t="s">
        <v>244</v>
      </c>
      <c r="AU1951" s="90">
        <v>3.2060680000000001</v>
      </c>
      <c r="AV1951" s="90">
        <v>91.198811557849695</v>
      </c>
      <c r="AW1951" s="90">
        <v>172.30291852812701</v>
      </c>
      <c r="AX1951" s="90">
        <v>0.63406705839999999</v>
      </c>
    </row>
    <row r="1952" spans="1:50" x14ac:dyDescent="0.25">
      <c r="A1952" s="102">
        <v>660000</v>
      </c>
      <c r="B1952" s="102">
        <v>2400000</v>
      </c>
      <c r="C1952" s="102">
        <v>2400000</v>
      </c>
      <c r="D1952" s="90" t="s">
        <v>374</v>
      </c>
      <c r="E1952" s="90" t="s">
        <v>68</v>
      </c>
      <c r="F1952" s="90" t="s">
        <v>375</v>
      </c>
      <c r="G1952" s="90" t="s">
        <v>376</v>
      </c>
      <c r="H1952" s="90">
        <v>0.59</v>
      </c>
      <c r="I1952" s="90">
        <v>0.64</v>
      </c>
      <c r="J1952" s="90" t="s">
        <v>244</v>
      </c>
      <c r="K1952" s="90">
        <v>1.681606738692E-2</v>
      </c>
      <c r="L1952" s="90">
        <v>3776.0306701306299</v>
      </c>
      <c r="M1952" s="90">
        <v>10.770803101359199</v>
      </c>
      <c r="N1952" s="90">
        <v>2.06382503617652</v>
      </c>
      <c r="O1952" s="90">
        <v>0.18112255076372999</v>
      </c>
      <c r="P1952" s="90">
        <v>3.4705420883159997E-2</v>
      </c>
      <c r="Q1952" s="90">
        <v>63.497986204004803</v>
      </c>
      <c r="R1952" s="90">
        <v>1820</v>
      </c>
      <c r="S1952" s="90" t="s">
        <v>412</v>
      </c>
      <c r="T1952" s="90">
        <v>1820</v>
      </c>
      <c r="U1952" s="90" t="s">
        <v>378</v>
      </c>
      <c r="V1952" s="90" t="s">
        <v>244</v>
      </c>
      <c r="Z1952" s="90">
        <v>0</v>
      </c>
      <c r="AA1952" s="90">
        <v>1</v>
      </c>
      <c r="AB1952" s="90">
        <v>0.18112255076372999</v>
      </c>
      <c r="AC1952" s="90">
        <v>3.4705420883159997E-2</v>
      </c>
      <c r="AD1952" s="90">
        <v>63.497986204005201</v>
      </c>
      <c r="AF1952" s="90">
        <v>-1</v>
      </c>
      <c r="AG1952" s="90">
        <v>-1</v>
      </c>
      <c r="AH1952" s="90">
        <v>-1</v>
      </c>
      <c r="AI1952" s="90">
        <v>-1</v>
      </c>
      <c r="AJ1952" s="90">
        <v>0</v>
      </c>
      <c r="AM1952" s="90" t="s">
        <v>379</v>
      </c>
      <c r="AN1952" s="90">
        <v>-1</v>
      </c>
      <c r="AQ1952" s="90">
        <v>379</v>
      </c>
      <c r="AR1952" s="90" t="s">
        <v>289</v>
      </c>
      <c r="AS1952" s="90" t="s">
        <v>411</v>
      </c>
      <c r="AT1952" s="90" t="s">
        <v>244</v>
      </c>
      <c r="AU1952" s="90">
        <v>3.2060680000000001</v>
      </c>
      <c r="AV1952" s="90">
        <v>36.597722809796402</v>
      </c>
      <c r="AW1952" s="90">
        <v>68.052210304281104</v>
      </c>
      <c r="AX1952" s="90">
        <v>5.1498772300000002E-2</v>
      </c>
    </row>
    <row r="1953" spans="1:50" x14ac:dyDescent="0.25">
      <c r="A1953" s="102">
        <v>660000</v>
      </c>
      <c r="B1953" s="102">
        <v>2400000</v>
      </c>
      <c r="C1953" s="102">
        <v>2400000</v>
      </c>
      <c r="D1953" s="90" t="s">
        <v>374</v>
      </c>
      <c r="E1953" s="90" t="s">
        <v>68</v>
      </c>
      <c r="F1953" s="90" t="s">
        <v>375</v>
      </c>
      <c r="G1953" s="90" t="s">
        <v>376</v>
      </c>
      <c r="H1953" s="90">
        <v>0.59</v>
      </c>
      <c r="I1953" s="90">
        <v>0.64</v>
      </c>
      <c r="J1953" s="90" t="s">
        <v>244</v>
      </c>
      <c r="K1953" s="90">
        <v>1.7718560312000001E-3</v>
      </c>
      <c r="L1953" s="90">
        <v>3769.6654084565098</v>
      </c>
      <c r="M1953" s="90">
        <v>10.539283896516</v>
      </c>
      <c r="N1953" s="90">
        <v>1.94125316199142</v>
      </c>
      <c r="O1953" s="90">
        <v>1.8674093736640002E-2</v>
      </c>
      <c r="P1953" s="90">
        <v>3.4396211231700002E-3</v>
      </c>
      <c r="Q1953" s="90">
        <v>6.6793043896060702</v>
      </c>
      <c r="R1953" s="90">
        <v>1200</v>
      </c>
      <c r="S1953" s="90" t="s">
        <v>384</v>
      </c>
      <c r="T1953" s="90">
        <v>1200</v>
      </c>
      <c r="U1953" s="90" t="s">
        <v>378</v>
      </c>
      <c r="V1953" s="90" t="s">
        <v>244</v>
      </c>
      <c r="Z1953" s="90">
        <v>0</v>
      </c>
      <c r="AA1953" s="90">
        <v>1</v>
      </c>
      <c r="AB1953" s="90">
        <v>1.8674093736640002E-2</v>
      </c>
      <c r="AC1953" s="90">
        <v>3.4396211231700002E-3</v>
      </c>
      <c r="AD1953" s="90">
        <v>10.0308085208384</v>
      </c>
      <c r="AF1953" s="90">
        <v>-1</v>
      </c>
      <c r="AG1953" s="90">
        <v>-1</v>
      </c>
      <c r="AH1953" s="90">
        <v>-1</v>
      </c>
      <c r="AI1953" s="90">
        <v>-1</v>
      </c>
      <c r="AJ1953" s="90">
        <v>0</v>
      </c>
      <c r="AM1953" s="90" t="s">
        <v>379</v>
      </c>
      <c r="AN1953" s="90">
        <v>-1</v>
      </c>
      <c r="AQ1953" s="90">
        <v>379</v>
      </c>
      <c r="AR1953" s="90" t="s">
        <v>289</v>
      </c>
      <c r="AS1953" s="90" t="s">
        <v>411</v>
      </c>
      <c r="AT1953" s="90" t="s">
        <v>244</v>
      </c>
      <c r="AU1953" s="90">
        <v>3.2060680000000001</v>
      </c>
      <c r="AV1953" s="90">
        <v>11.7611295944714</v>
      </c>
      <c r="AW1953" s="90">
        <v>7.1704469594568003</v>
      </c>
      <c r="AX1953" s="90">
        <v>8.1352866999999992E-3</v>
      </c>
    </row>
    <row r="1954" spans="1:50" x14ac:dyDescent="0.25">
      <c r="A1954" s="102">
        <v>660000</v>
      </c>
      <c r="B1954" s="102">
        <v>2400000</v>
      </c>
      <c r="C1954" s="102">
        <v>2400000</v>
      </c>
      <c r="D1954" s="90" t="s">
        <v>374</v>
      </c>
      <c r="E1954" s="90" t="s">
        <v>68</v>
      </c>
      <c r="F1954" s="90" t="s">
        <v>375</v>
      </c>
      <c r="G1954" s="90" t="s">
        <v>376</v>
      </c>
      <c r="H1954" s="90">
        <v>0.59</v>
      </c>
      <c r="I1954" s="90">
        <v>0.64</v>
      </c>
      <c r="J1954" s="90" t="s">
        <v>244</v>
      </c>
      <c r="K1954" s="90">
        <v>2.2163556414000001E-3</v>
      </c>
      <c r="L1954" s="90">
        <v>3769.6654084565098</v>
      </c>
      <c r="M1954" s="90">
        <v>10.539283896516</v>
      </c>
      <c r="N1954" s="90">
        <v>1.94125316199142</v>
      </c>
      <c r="O1954" s="90">
        <v>2.335880132037E-2</v>
      </c>
      <c r="P1954" s="90">
        <v>4.3025073969600001E-3</v>
      </c>
      <c r="Q1954" s="90">
        <v>8.3549191942268006</v>
      </c>
      <c r="R1954" s="90">
        <v>1300</v>
      </c>
      <c r="S1954" s="90" t="s">
        <v>387</v>
      </c>
      <c r="T1954" s="90">
        <v>1300</v>
      </c>
      <c r="U1954" s="90" t="s">
        <v>378</v>
      </c>
      <c r="V1954" s="90" t="s">
        <v>244</v>
      </c>
      <c r="Z1954" s="90">
        <v>0</v>
      </c>
      <c r="AA1954" s="90">
        <v>1</v>
      </c>
      <c r="AB1954" s="90">
        <v>2.335880132037E-2</v>
      </c>
      <c r="AC1954" s="90">
        <v>4.3025073969600001E-3</v>
      </c>
      <c r="AD1954" s="90">
        <v>9.1058333417396593</v>
      </c>
      <c r="AF1954" s="90">
        <v>-1</v>
      </c>
      <c r="AG1954" s="90">
        <v>-1</v>
      </c>
      <c r="AH1954" s="90">
        <v>-1</v>
      </c>
      <c r="AI1954" s="90">
        <v>-1</v>
      </c>
      <c r="AJ1954" s="90">
        <v>0</v>
      </c>
      <c r="AM1954" s="90" t="s">
        <v>379</v>
      </c>
      <c r="AN1954" s="90">
        <v>-1</v>
      </c>
      <c r="AQ1954" s="90">
        <v>379</v>
      </c>
      <c r="AR1954" s="90" t="s">
        <v>289</v>
      </c>
      <c r="AS1954" s="90" t="s">
        <v>411</v>
      </c>
      <c r="AT1954" s="90" t="s">
        <v>244</v>
      </c>
      <c r="AU1954" s="90">
        <v>3.2060680000000001</v>
      </c>
      <c r="AV1954" s="90">
        <v>13.119784435555699</v>
      </c>
      <c r="AW1954" s="90">
        <v>8.9692730617243406</v>
      </c>
      <c r="AX1954" s="90">
        <v>7.3851040999999996E-3</v>
      </c>
    </row>
    <row r="1955" spans="1:50" x14ac:dyDescent="0.25">
      <c r="A1955" s="102">
        <v>660000</v>
      </c>
      <c r="B1955" s="102">
        <v>2400000</v>
      </c>
      <c r="C1955" s="102">
        <v>2400000</v>
      </c>
      <c r="D1955" s="90" t="s">
        <v>374</v>
      </c>
      <c r="E1955" s="90" t="s">
        <v>68</v>
      </c>
      <c r="F1955" s="90" t="s">
        <v>375</v>
      </c>
      <c r="G1955" s="90" t="s">
        <v>376</v>
      </c>
      <c r="H1955" s="90">
        <v>0.59</v>
      </c>
      <c r="I1955" s="90">
        <v>0.64</v>
      </c>
      <c r="J1955" s="90" t="s">
        <v>244</v>
      </c>
      <c r="K1955" s="90">
        <v>3.5174233389539997E-2</v>
      </c>
      <c r="L1955" s="90">
        <v>3769.6654084565098</v>
      </c>
      <c r="M1955" s="90">
        <v>10.539283896516</v>
      </c>
      <c r="N1955" s="90">
        <v>1.94125316199142</v>
      </c>
      <c r="O1955" s="90">
        <v>0.37071123153468</v>
      </c>
      <c r="P1955" s="90">
        <v>6.8282091788070001E-2</v>
      </c>
      <c r="Q1955" s="90">
        <v>132.59509087752801</v>
      </c>
      <c r="R1955" s="90">
        <v>1210</v>
      </c>
      <c r="S1955" s="90" t="s">
        <v>385</v>
      </c>
      <c r="T1955" s="90">
        <v>1210</v>
      </c>
      <c r="U1955" s="90" t="s">
        <v>378</v>
      </c>
      <c r="V1955" s="90" t="s">
        <v>244</v>
      </c>
      <c r="Z1955" s="90">
        <v>0</v>
      </c>
      <c r="AA1955" s="90">
        <v>1</v>
      </c>
      <c r="AB1955" s="90">
        <v>0.37071123153468</v>
      </c>
      <c r="AC1955" s="90">
        <v>6.8282091788070001E-2</v>
      </c>
      <c r="AD1955" s="90">
        <v>478.23394053988301</v>
      </c>
      <c r="AF1955" s="90">
        <v>-1</v>
      </c>
      <c r="AG1955" s="90">
        <v>-1</v>
      </c>
      <c r="AH1955" s="90">
        <v>-1</v>
      </c>
      <c r="AI1955" s="90">
        <v>-1</v>
      </c>
      <c r="AJ1955" s="90">
        <v>0</v>
      </c>
      <c r="AM1955" s="90" t="s">
        <v>379</v>
      </c>
      <c r="AN1955" s="90">
        <v>-1</v>
      </c>
      <c r="AQ1955" s="90">
        <v>379</v>
      </c>
      <c r="AR1955" s="90" t="s">
        <v>289</v>
      </c>
      <c r="AS1955" s="90" t="s">
        <v>411</v>
      </c>
      <c r="AT1955" s="90" t="s">
        <v>244</v>
      </c>
      <c r="AU1955" s="90">
        <v>3.2060680000000001</v>
      </c>
      <c r="AV1955" s="90">
        <v>58.423289978476603</v>
      </c>
      <c r="AW1955" s="90">
        <v>142.34507229546</v>
      </c>
      <c r="AX1955" s="90">
        <v>0.3878620767</v>
      </c>
    </row>
    <row r="1956" spans="1:50" x14ac:dyDescent="0.25">
      <c r="A1956" s="102">
        <v>660000</v>
      </c>
      <c r="B1956" s="102">
        <v>2400000</v>
      </c>
      <c r="C1956" s="102">
        <v>2400000</v>
      </c>
      <c r="D1956" s="90" t="s">
        <v>374</v>
      </c>
      <c r="E1956" s="90" t="s">
        <v>68</v>
      </c>
      <c r="F1956" s="90" t="s">
        <v>375</v>
      </c>
      <c r="G1956" s="90" t="s">
        <v>376</v>
      </c>
      <c r="H1956" s="90">
        <v>0.59</v>
      </c>
      <c r="I1956" s="90">
        <v>0.64</v>
      </c>
      <c r="J1956" s="90" t="s">
        <v>244</v>
      </c>
      <c r="K1956" s="90">
        <v>7.0241055593890003E-2</v>
      </c>
      <c r="L1956" s="90">
        <v>3769.6654084565098</v>
      </c>
      <c r="M1956" s="90">
        <v>10.539283896516</v>
      </c>
      <c r="N1956" s="90">
        <v>1.94125316199142</v>
      </c>
      <c r="O1956" s="90">
        <v>0.74029042609497997</v>
      </c>
      <c r="P1956" s="90">
        <v>0.13635567127324999</v>
      </c>
      <c r="Q1956" s="90">
        <v>264.78527752576099</v>
      </c>
      <c r="R1956" s="90">
        <v>1300</v>
      </c>
      <c r="S1956" s="90" t="s">
        <v>387</v>
      </c>
      <c r="T1956" s="90">
        <v>1300</v>
      </c>
      <c r="U1956" s="90" t="s">
        <v>378</v>
      </c>
      <c r="V1956" s="90" t="s">
        <v>244</v>
      </c>
      <c r="Z1956" s="90">
        <v>0</v>
      </c>
      <c r="AA1956" s="90">
        <v>1</v>
      </c>
      <c r="AB1956" s="90">
        <v>0.74029042609497997</v>
      </c>
      <c r="AC1956" s="90">
        <v>0.13635567127324999</v>
      </c>
      <c r="AD1956" s="90">
        <v>1310.7350177492101</v>
      </c>
      <c r="AF1956" s="90">
        <v>-1</v>
      </c>
      <c r="AG1956" s="90">
        <v>-1</v>
      </c>
      <c r="AH1956" s="90">
        <v>-1</v>
      </c>
      <c r="AI1956" s="90">
        <v>-1</v>
      </c>
      <c r="AJ1956" s="90">
        <v>0</v>
      </c>
      <c r="AM1956" s="90" t="s">
        <v>379</v>
      </c>
      <c r="AN1956" s="90">
        <v>-1</v>
      </c>
      <c r="AQ1956" s="90">
        <v>379</v>
      </c>
      <c r="AR1956" s="90" t="s">
        <v>289</v>
      </c>
      <c r="AS1956" s="90" t="s">
        <v>411</v>
      </c>
      <c r="AT1956" s="90" t="s">
        <v>244</v>
      </c>
      <c r="AU1956" s="90">
        <v>3.2060680000000001</v>
      </c>
      <c r="AV1956" s="90">
        <v>73.640655407778794</v>
      </c>
      <c r="AW1956" s="90">
        <v>284.25546694629497</v>
      </c>
      <c r="AX1956" s="90">
        <v>1.0630454321</v>
      </c>
    </row>
    <row r="1957" spans="1:50" x14ac:dyDescent="0.25">
      <c r="A1957" s="102">
        <v>830000</v>
      </c>
      <c r="B1957" s="102">
        <v>2400000</v>
      </c>
      <c r="C1957" s="102">
        <v>2400000</v>
      </c>
      <c r="D1957" s="90" t="s">
        <v>374</v>
      </c>
      <c r="E1957" s="90" t="s">
        <v>68</v>
      </c>
      <c r="F1957" s="90" t="s">
        <v>375</v>
      </c>
      <c r="G1957" s="90" t="s">
        <v>376</v>
      </c>
      <c r="H1957" s="90">
        <v>0.59</v>
      </c>
      <c r="I1957" s="90">
        <v>0.64</v>
      </c>
      <c r="J1957" s="90" t="s">
        <v>244</v>
      </c>
      <c r="K1957" s="90">
        <v>2.417719239241E-2</v>
      </c>
      <c r="L1957" s="90">
        <v>3811.3396671840001</v>
      </c>
      <c r="M1957" s="90">
        <v>9.6314439814663295</v>
      </c>
      <c r="N1957" s="90">
        <v>1.34660469972349</v>
      </c>
      <c r="O1957" s="90">
        <v>0.23286127415669999</v>
      </c>
      <c r="P1957" s="90">
        <v>3.2557120901739997E-2</v>
      </c>
      <c r="Q1957" s="90">
        <v>92.147492406362005</v>
      </c>
      <c r="R1957" s="90">
        <v>1400</v>
      </c>
      <c r="S1957" s="90" t="s">
        <v>324</v>
      </c>
      <c r="T1957" s="90">
        <v>1400</v>
      </c>
      <c r="U1957" s="90" t="s">
        <v>378</v>
      </c>
      <c r="V1957" s="90" t="s">
        <v>244</v>
      </c>
      <c r="Z1957" s="90">
        <v>0</v>
      </c>
      <c r="AA1957" s="90">
        <v>1</v>
      </c>
      <c r="AB1957" s="90">
        <v>0.23286127415669999</v>
      </c>
      <c r="AC1957" s="90">
        <v>3.2557120901739997E-2</v>
      </c>
      <c r="AD1957" s="90">
        <v>716.31790617111596</v>
      </c>
      <c r="AF1957" s="90">
        <v>-1</v>
      </c>
      <c r="AG1957" s="90">
        <v>-1</v>
      </c>
      <c r="AH1957" s="90">
        <v>-1</v>
      </c>
      <c r="AI1957" s="90">
        <v>-1</v>
      </c>
      <c r="AJ1957" s="90">
        <v>0</v>
      </c>
      <c r="AM1957" s="90" t="s">
        <v>379</v>
      </c>
      <c r="AN1957" s="90">
        <v>-1</v>
      </c>
      <c r="AQ1957" s="90">
        <v>380</v>
      </c>
      <c r="AR1957" s="90" t="s">
        <v>291</v>
      </c>
      <c r="AS1957" s="90" t="s">
        <v>413</v>
      </c>
      <c r="AT1957" s="90" t="s">
        <v>244</v>
      </c>
      <c r="AU1957" s="90">
        <v>1.1779919999999999</v>
      </c>
      <c r="AV1957" s="90">
        <v>92.091301952983599</v>
      </c>
      <c r="AW1957" s="90">
        <v>97.841626308859205</v>
      </c>
      <c r="AX1957" s="90">
        <v>0.58095531730000005</v>
      </c>
    </row>
    <row r="1958" spans="1:50" x14ac:dyDescent="0.25">
      <c r="A1958" s="102">
        <v>830000</v>
      </c>
      <c r="B1958" s="102">
        <v>2400000</v>
      </c>
      <c r="C1958" s="102">
        <v>2400000</v>
      </c>
      <c r="D1958" s="90" t="s">
        <v>374</v>
      </c>
      <c r="E1958" s="90" t="s">
        <v>68</v>
      </c>
      <c r="F1958" s="90" t="s">
        <v>375</v>
      </c>
      <c r="G1958" s="90" t="s">
        <v>376</v>
      </c>
      <c r="H1958" s="90">
        <v>0.59</v>
      </c>
      <c r="I1958" s="90">
        <v>0.64</v>
      </c>
      <c r="J1958" s="90" t="s">
        <v>244</v>
      </c>
      <c r="K1958" s="90">
        <v>1.6492793266029999E-2</v>
      </c>
      <c r="L1958" s="90">
        <v>3764.4729522903599</v>
      </c>
      <c r="M1958" s="90">
        <v>10.8097988027918</v>
      </c>
      <c r="N1958" s="90">
        <v>1.50576525601291</v>
      </c>
      <c r="O1958" s="90">
        <v>0.17828377690186001</v>
      </c>
      <c r="P1958" s="90">
        <v>2.483427507459E-2</v>
      </c>
      <c r="Q1958" s="90">
        <v>62.086674157701502</v>
      </c>
      <c r="R1958" s="90">
        <v>1400</v>
      </c>
      <c r="S1958" s="90" t="s">
        <v>324</v>
      </c>
      <c r="T1958" s="90">
        <v>1400</v>
      </c>
      <c r="U1958" s="90" t="s">
        <v>378</v>
      </c>
      <c r="V1958" s="90" t="s">
        <v>244</v>
      </c>
      <c r="Z1958" s="90">
        <v>0</v>
      </c>
      <c r="AA1958" s="90">
        <v>1</v>
      </c>
      <c r="AB1958" s="90">
        <v>0.17828377690186001</v>
      </c>
      <c r="AC1958" s="90">
        <v>2.483427507459E-2</v>
      </c>
      <c r="AD1958" s="90">
        <v>684.80318894117795</v>
      </c>
      <c r="AF1958" s="90">
        <v>-1</v>
      </c>
      <c r="AG1958" s="90">
        <v>-1</v>
      </c>
      <c r="AH1958" s="90">
        <v>-1</v>
      </c>
      <c r="AI1958" s="90">
        <v>-1</v>
      </c>
      <c r="AJ1958" s="90">
        <v>0</v>
      </c>
      <c r="AM1958" s="90" t="s">
        <v>379</v>
      </c>
      <c r="AN1958" s="90">
        <v>-1</v>
      </c>
      <c r="AQ1958" s="90">
        <v>380</v>
      </c>
      <c r="AR1958" s="90" t="s">
        <v>291</v>
      </c>
      <c r="AS1958" s="90" t="s">
        <v>413</v>
      </c>
      <c r="AT1958" s="90" t="s">
        <v>244</v>
      </c>
      <c r="AU1958" s="90">
        <v>1.1779919999999999</v>
      </c>
      <c r="AV1958" s="90">
        <v>37.613716065640901</v>
      </c>
      <c r="AW1958" s="90">
        <v>66.743966351964602</v>
      </c>
      <c r="AX1958" s="90">
        <v>0.55539593590000003</v>
      </c>
    </row>
    <row r="1959" spans="1:50" x14ac:dyDescent="0.25">
      <c r="A1959" s="102">
        <v>840000</v>
      </c>
      <c r="B1959" s="102">
        <v>2400000</v>
      </c>
      <c r="C1959" s="102">
        <v>2400000</v>
      </c>
      <c r="D1959" s="90" t="s">
        <v>374</v>
      </c>
      <c r="E1959" s="90" t="s">
        <v>68</v>
      </c>
      <c r="F1959" s="90" t="s">
        <v>375</v>
      </c>
      <c r="G1959" s="90" t="s">
        <v>376</v>
      </c>
      <c r="H1959" s="90">
        <v>0.59</v>
      </c>
      <c r="I1959" s="90">
        <v>0.64</v>
      </c>
      <c r="J1959" s="90" t="s">
        <v>244</v>
      </c>
      <c r="K1959" s="90">
        <v>4.8284835071709997E-2</v>
      </c>
      <c r="L1959" s="90">
        <v>3811.3396671840001</v>
      </c>
      <c r="M1959" s="90">
        <v>9.6314439814663295</v>
      </c>
      <c r="N1959" s="90">
        <v>1.34660469972349</v>
      </c>
      <c r="O1959" s="90">
        <v>0.46505268414757001</v>
      </c>
      <c r="P1959" s="90">
        <v>6.502058583294E-2</v>
      </c>
      <c r="Q1959" s="90">
        <v>184.02990723226799</v>
      </c>
      <c r="R1959" s="90">
        <v>1300</v>
      </c>
      <c r="S1959" s="90" t="s">
        <v>387</v>
      </c>
      <c r="T1959" s="90">
        <v>1300</v>
      </c>
      <c r="U1959" s="90" t="s">
        <v>378</v>
      </c>
      <c r="V1959" s="90" t="s">
        <v>244</v>
      </c>
      <c r="Z1959" s="90">
        <v>0</v>
      </c>
      <c r="AA1959" s="90">
        <v>1</v>
      </c>
      <c r="AB1959" s="90">
        <v>0.46505268414757001</v>
      </c>
      <c r="AC1959" s="90">
        <v>6.502058583294E-2</v>
      </c>
      <c r="AD1959" s="90">
        <v>184.02990723226799</v>
      </c>
      <c r="AF1959" s="90">
        <v>-1</v>
      </c>
      <c r="AG1959" s="90">
        <v>-1</v>
      </c>
      <c r="AH1959" s="90">
        <v>-1</v>
      </c>
      <c r="AI1959" s="90">
        <v>-1</v>
      </c>
      <c r="AJ1959" s="90">
        <v>0</v>
      </c>
      <c r="AM1959" s="90" t="s">
        <v>379</v>
      </c>
      <c r="AN1959" s="90">
        <v>-1</v>
      </c>
      <c r="AQ1959" s="90">
        <v>380</v>
      </c>
      <c r="AR1959" s="90" t="s">
        <v>291</v>
      </c>
      <c r="AS1959" s="90" t="s">
        <v>413</v>
      </c>
      <c r="AT1959" s="90" t="s">
        <v>244</v>
      </c>
      <c r="AU1959" s="90">
        <v>1.1779919999999999</v>
      </c>
      <c r="AV1959" s="90">
        <v>107.863184764756</v>
      </c>
      <c r="AW1959" s="90">
        <v>195.401794914498</v>
      </c>
      <c r="AX1959" s="90">
        <v>0.14925377719999999</v>
      </c>
    </row>
    <row r="1960" spans="1:50" x14ac:dyDescent="0.25">
      <c r="A1960" s="102">
        <v>840000</v>
      </c>
      <c r="B1960" s="102">
        <v>2400000</v>
      </c>
      <c r="C1960" s="102">
        <v>2400000</v>
      </c>
      <c r="D1960" s="90" t="s">
        <v>374</v>
      </c>
      <c r="E1960" s="90" t="s">
        <v>68</v>
      </c>
      <c r="F1960" s="90" t="s">
        <v>375</v>
      </c>
      <c r="G1960" s="90" t="s">
        <v>376</v>
      </c>
      <c r="H1960" s="90">
        <v>0.59</v>
      </c>
      <c r="I1960" s="90">
        <v>0.64</v>
      </c>
      <c r="J1960" s="90" t="s">
        <v>244</v>
      </c>
      <c r="K1960" s="90">
        <v>7.5796626507680001E-2</v>
      </c>
      <c r="L1960" s="90">
        <v>3811.3396671840001</v>
      </c>
      <c r="M1960" s="90">
        <v>9.6314439814663295</v>
      </c>
      <c r="N1960" s="90">
        <v>1.34660469972349</v>
      </c>
      <c r="O1960" s="90">
        <v>0.73003096219288999</v>
      </c>
      <c r="P1960" s="90">
        <v>0.10206809347843</v>
      </c>
      <c r="Q1960" s="90">
        <v>288.88668924746997</v>
      </c>
      <c r="R1960" s="90">
        <v>1400</v>
      </c>
      <c r="S1960" s="90" t="s">
        <v>324</v>
      </c>
      <c r="T1960" s="90">
        <v>1400</v>
      </c>
      <c r="U1960" s="90" t="s">
        <v>378</v>
      </c>
      <c r="V1960" s="90" t="s">
        <v>244</v>
      </c>
      <c r="Z1960" s="90">
        <v>0</v>
      </c>
      <c r="AA1960" s="90">
        <v>1</v>
      </c>
      <c r="AB1960" s="90">
        <v>0.73003096219288999</v>
      </c>
      <c r="AC1960" s="90">
        <v>0.10206809347843</v>
      </c>
      <c r="AD1960" s="90">
        <v>716.31790617111596</v>
      </c>
      <c r="AF1960" s="90">
        <v>-1</v>
      </c>
      <c r="AG1960" s="90">
        <v>-1</v>
      </c>
      <c r="AH1960" s="90">
        <v>-1</v>
      </c>
      <c r="AI1960" s="90">
        <v>-1</v>
      </c>
      <c r="AJ1960" s="90">
        <v>0</v>
      </c>
      <c r="AM1960" s="90" t="s">
        <v>379</v>
      </c>
      <c r="AN1960" s="90">
        <v>-1</v>
      </c>
      <c r="AQ1960" s="90">
        <v>380</v>
      </c>
      <c r="AR1960" s="90" t="s">
        <v>291</v>
      </c>
      <c r="AS1960" s="90" t="s">
        <v>413</v>
      </c>
      <c r="AT1960" s="90" t="s">
        <v>244</v>
      </c>
      <c r="AU1960" s="90">
        <v>1.1779919999999999</v>
      </c>
      <c r="AV1960" s="90">
        <v>111.58420799756399</v>
      </c>
      <c r="AW1960" s="90">
        <v>306.73806477887803</v>
      </c>
      <c r="AX1960" s="90">
        <v>0.58095531730000005</v>
      </c>
    </row>
    <row r="1961" spans="1:50" x14ac:dyDescent="0.25">
      <c r="A1961" s="102">
        <v>840000</v>
      </c>
      <c r="B1961" s="102">
        <v>2400000</v>
      </c>
      <c r="C1961" s="102">
        <v>2400000</v>
      </c>
      <c r="D1961" s="90" t="s">
        <v>374</v>
      </c>
      <c r="E1961" s="90" t="s">
        <v>68</v>
      </c>
      <c r="F1961" s="90" t="s">
        <v>375</v>
      </c>
      <c r="G1961" s="90" t="s">
        <v>376</v>
      </c>
      <c r="H1961" s="90">
        <v>0.59</v>
      </c>
      <c r="I1961" s="90">
        <v>0.64</v>
      </c>
      <c r="J1961" s="90" t="s">
        <v>244</v>
      </c>
      <c r="K1961" s="90">
        <v>1.6394360742499999E-2</v>
      </c>
      <c r="L1961" s="90">
        <v>3811.3396671840001</v>
      </c>
      <c r="M1961" s="90">
        <v>9.6314439814663295</v>
      </c>
      <c r="N1961" s="90">
        <v>1.34660469972349</v>
      </c>
      <c r="O1961" s="90">
        <v>0.15790136710336999</v>
      </c>
      <c r="P1961" s="90">
        <v>2.207672322481E-2</v>
      </c>
      <c r="Q1961" s="90">
        <v>62.484477416029698</v>
      </c>
      <c r="R1961" s="90">
        <v>1300</v>
      </c>
      <c r="S1961" s="90" t="s">
        <v>387</v>
      </c>
      <c r="T1961" s="90">
        <v>1300</v>
      </c>
      <c r="U1961" s="90" t="s">
        <v>378</v>
      </c>
      <c r="V1961" s="90" t="s">
        <v>244</v>
      </c>
      <c r="Z1961" s="90">
        <v>0</v>
      </c>
      <c r="AA1961" s="90">
        <v>1</v>
      </c>
      <c r="AB1961" s="90">
        <v>0.15790136710336999</v>
      </c>
      <c r="AC1961" s="90">
        <v>2.207672322481E-2</v>
      </c>
      <c r="AD1961" s="90">
        <v>62.484477416030799</v>
      </c>
      <c r="AF1961" s="90">
        <v>-1</v>
      </c>
      <c r="AG1961" s="90">
        <v>-1</v>
      </c>
      <c r="AH1961" s="90">
        <v>-1</v>
      </c>
      <c r="AI1961" s="90">
        <v>-1</v>
      </c>
      <c r="AJ1961" s="90">
        <v>0</v>
      </c>
      <c r="AM1961" s="90" t="s">
        <v>379</v>
      </c>
      <c r="AN1961" s="90">
        <v>-1</v>
      </c>
      <c r="AQ1961" s="90">
        <v>380</v>
      </c>
      <c r="AR1961" s="90" t="s">
        <v>291</v>
      </c>
      <c r="AS1961" s="90" t="s">
        <v>413</v>
      </c>
      <c r="AT1961" s="90" t="s">
        <v>244</v>
      </c>
      <c r="AU1961" s="90">
        <v>1.1779919999999999</v>
      </c>
      <c r="AV1961" s="90">
        <v>102.67256190853</v>
      </c>
      <c r="AW1961" s="90">
        <v>66.345624061946097</v>
      </c>
      <c r="AX1961" s="90">
        <v>5.0676786199999997E-2</v>
      </c>
    </row>
    <row r="1962" spans="1:50" x14ac:dyDescent="0.25">
      <c r="A1962" s="102">
        <v>840000</v>
      </c>
      <c r="B1962" s="102">
        <v>2400000</v>
      </c>
      <c r="C1962" s="102">
        <v>2400000</v>
      </c>
      <c r="D1962" s="90" t="s">
        <v>374</v>
      </c>
      <c r="E1962" s="90" t="s">
        <v>68</v>
      </c>
      <c r="F1962" s="90" t="s">
        <v>375</v>
      </c>
      <c r="G1962" s="90" t="s">
        <v>376</v>
      </c>
      <c r="H1962" s="90">
        <v>0.59</v>
      </c>
      <c r="I1962" s="90">
        <v>0.64</v>
      </c>
      <c r="J1962" s="90" t="s">
        <v>244</v>
      </c>
      <c r="K1962" s="90">
        <v>1.7019980260579999E-2</v>
      </c>
      <c r="L1962" s="90">
        <v>3731.9231298561599</v>
      </c>
      <c r="M1962" s="90">
        <v>9.4700604874153598</v>
      </c>
      <c r="N1962" s="90">
        <v>1.6773109885088899</v>
      </c>
      <c r="O1962" s="90">
        <v>0.16118024256238001</v>
      </c>
      <c r="P1962" s="90">
        <v>2.854779991528E-2</v>
      </c>
      <c r="Q1962" s="90">
        <v>63.517258004183702</v>
      </c>
      <c r="R1962" s="90">
        <v>1300</v>
      </c>
      <c r="S1962" s="90" t="s">
        <v>387</v>
      </c>
      <c r="T1962" s="90">
        <v>1300</v>
      </c>
      <c r="U1962" s="90" t="s">
        <v>378</v>
      </c>
      <c r="V1962" s="90" t="s">
        <v>244</v>
      </c>
      <c r="Z1962" s="90">
        <v>0</v>
      </c>
      <c r="AA1962" s="90">
        <v>1</v>
      </c>
      <c r="AB1962" s="90">
        <v>0.16118024256238001</v>
      </c>
      <c r="AC1962" s="90">
        <v>2.854779991528E-2</v>
      </c>
      <c r="AD1962" s="90">
        <v>343.33639414929701</v>
      </c>
      <c r="AF1962" s="90">
        <v>-1</v>
      </c>
      <c r="AG1962" s="90">
        <v>-1</v>
      </c>
      <c r="AH1962" s="90">
        <v>-1</v>
      </c>
      <c r="AI1962" s="90">
        <v>-1</v>
      </c>
      <c r="AJ1962" s="90">
        <v>0</v>
      </c>
      <c r="AM1962" s="90" t="s">
        <v>379</v>
      </c>
      <c r="AN1962" s="90">
        <v>-1</v>
      </c>
      <c r="AQ1962" s="90">
        <v>380</v>
      </c>
      <c r="AR1962" s="90" t="s">
        <v>291</v>
      </c>
      <c r="AS1962" s="90" t="s">
        <v>413</v>
      </c>
      <c r="AT1962" s="90" t="s">
        <v>244</v>
      </c>
      <c r="AU1962" s="90">
        <v>1.1779919999999999</v>
      </c>
      <c r="AV1962" s="90">
        <v>50.9034400315157</v>
      </c>
      <c r="AW1962" s="90">
        <v>68.877416426680497</v>
      </c>
      <c r="AX1962" s="90">
        <v>0.27845611850000002</v>
      </c>
    </row>
    <row r="1963" spans="1:50" x14ac:dyDescent="0.25">
      <c r="A1963" s="102">
        <v>840000</v>
      </c>
      <c r="B1963" s="102">
        <v>2400000</v>
      </c>
      <c r="C1963" s="102">
        <v>2400000</v>
      </c>
      <c r="D1963" s="90" t="s">
        <v>374</v>
      </c>
      <c r="E1963" s="90" t="s">
        <v>68</v>
      </c>
      <c r="F1963" s="90" t="s">
        <v>375</v>
      </c>
      <c r="G1963" s="90" t="s">
        <v>376</v>
      </c>
      <c r="H1963" s="90">
        <v>0.59</v>
      </c>
      <c r="I1963" s="90">
        <v>0.64</v>
      </c>
      <c r="J1963" s="90" t="s">
        <v>244</v>
      </c>
      <c r="K1963" s="90">
        <v>0.20326367069576001</v>
      </c>
      <c r="L1963" s="90">
        <v>3731.9231298561599</v>
      </c>
      <c r="M1963" s="90">
        <v>9.4700604874153598</v>
      </c>
      <c r="N1963" s="90">
        <v>1.6773109885088899</v>
      </c>
      <c r="O1963" s="90">
        <v>1.92491925638295</v>
      </c>
      <c r="P1963" s="90">
        <v>0.34093638842265001</v>
      </c>
      <c r="Q1963" s="90">
        <v>758.56439412898499</v>
      </c>
      <c r="R1963" s="90">
        <v>1300</v>
      </c>
      <c r="S1963" s="90" t="s">
        <v>387</v>
      </c>
      <c r="T1963" s="90">
        <v>1300</v>
      </c>
      <c r="U1963" s="90" t="s">
        <v>378</v>
      </c>
      <c r="V1963" s="90" t="s">
        <v>244</v>
      </c>
      <c r="Z1963" s="90">
        <v>0</v>
      </c>
      <c r="AA1963" s="90">
        <v>1</v>
      </c>
      <c r="AB1963" s="90">
        <v>1.92491925638295</v>
      </c>
      <c r="AC1963" s="90">
        <v>0.34093638842265001</v>
      </c>
      <c r="AD1963" s="90">
        <v>1123.3686635310701</v>
      </c>
      <c r="AF1963" s="90">
        <v>-1</v>
      </c>
      <c r="AG1963" s="90">
        <v>-1</v>
      </c>
      <c r="AH1963" s="90">
        <v>-1</v>
      </c>
      <c r="AI1963" s="90">
        <v>-1</v>
      </c>
      <c r="AJ1963" s="90">
        <v>0</v>
      </c>
      <c r="AM1963" s="90" t="s">
        <v>379</v>
      </c>
      <c r="AN1963" s="90">
        <v>-1</v>
      </c>
      <c r="AQ1963" s="90">
        <v>380</v>
      </c>
      <c r="AR1963" s="90" t="s">
        <v>291</v>
      </c>
      <c r="AS1963" s="90" t="s">
        <v>413</v>
      </c>
      <c r="AT1963" s="90" t="s">
        <v>244</v>
      </c>
      <c r="AU1963" s="90">
        <v>1.1779919999999999</v>
      </c>
      <c r="AV1963" s="90">
        <v>117.29388473674901</v>
      </c>
      <c r="AW1963" s="90">
        <v>822.578891195746</v>
      </c>
      <c r="AX1963" s="90">
        <v>0.91108569630000003</v>
      </c>
    </row>
    <row r="1964" spans="1:50" x14ac:dyDescent="0.25">
      <c r="A1964" s="102">
        <v>840000</v>
      </c>
      <c r="B1964" s="102">
        <v>2400000</v>
      </c>
      <c r="C1964" s="102">
        <v>2400000</v>
      </c>
      <c r="D1964" s="90" t="s">
        <v>374</v>
      </c>
      <c r="E1964" s="90" t="s">
        <v>68</v>
      </c>
      <c r="F1964" s="90" t="s">
        <v>375</v>
      </c>
      <c r="G1964" s="90" t="s">
        <v>376</v>
      </c>
      <c r="H1964" s="90">
        <v>0.59</v>
      </c>
      <c r="I1964" s="90">
        <v>0.64</v>
      </c>
      <c r="J1964" s="90" t="s">
        <v>244</v>
      </c>
      <c r="K1964" s="90">
        <v>9.0627262857310001E-2</v>
      </c>
      <c r="L1964" s="90">
        <v>3739.8375652242098</v>
      </c>
      <c r="M1964" s="90">
        <v>8.9203298963218405</v>
      </c>
      <c r="N1964" s="90">
        <v>1.5047971532959199</v>
      </c>
      <c r="O1964" s="90">
        <v>0.80842508228792997</v>
      </c>
      <c r="P1964" s="90">
        <v>0.13637564715868999</v>
      </c>
      <c r="Q1964" s="90">
        <v>338.931242067239</v>
      </c>
      <c r="R1964" s="90">
        <v>1300</v>
      </c>
      <c r="S1964" s="90" t="s">
        <v>387</v>
      </c>
      <c r="T1964" s="90">
        <v>1300</v>
      </c>
      <c r="U1964" s="90" t="s">
        <v>378</v>
      </c>
      <c r="V1964" s="90" t="s">
        <v>244</v>
      </c>
      <c r="Z1964" s="90">
        <v>0</v>
      </c>
      <c r="AA1964" s="90">
        <v>1</v>
      </c>
      <c r="AB1964" s="90">
        <v>0.80842508228792997</v>
      </c>
      <c r="AC1964" s="90">
        <v>0.13637564715868999</v>
      </c>
      <c r="AD1964" s="90">
        <v>677.63142632875895</v>
      </c>
      <c r="AF1964" s="90">
        <v>-1</v>
      </c>
      <c r="AG1964" s="90">
        <v>-1</v>
      </c>
      <c r="AH1964" s="90">
        <v>-1</v>
      </c>
      <c r="AI1964" s="90">
        <v>-1</v>
      </c>
      <c r="AJ1964" s="90">
        <v>0</v>
      </c>
      <c r="AM1964" s="90" t="s">
        <v>379</v>
      </c>
      <c r="AN1964" s="90">
        <v>-1</v>
      </c>
      <c r="AQ1964" s="90">
        <v>380</v>
      </c>
      <c r="AR1964" s="90" t="s">
        <v>291</v>
      </c>
      <c r="AS1964" s="90" t="s">
        <v>413</v>
      </c>
      <c r="AT1964" s="90" t="s">
        <v>244</v>
      </c>
      <c r="AU1964" s="90">
        <v>1.1779919999999999</v>
      </c>
      <c r="AV1964" s="90">
        <v>114.690095766456</v>
      </c>
      <c r="AW1964" s="90">
        <v>366.755520738661</v>
      </c>
      <c r="AX1964" s="90">
        <v>0.54957942120000003</v>
      </c>
    </row>
    <row r="1965" spans="1:50" x14ac:dyDescent="0.25">
      <c r="A1965" s="102">
        <v>840000</v>
      </c>
      <c r="B1965" s="102">
        <v>2400000</v>
      </c>
      <c r="C1965" s="102">
        <v>2400000</v>
      </c>
      <c r="D1965" s="90" t="s">
        <v>374</v>
      </c>
      <c r="E1965" s="90" t="s">
        <v>68</v>
      </c>
      <c r="F1965" s="90" t="s">
        <v>375</v>
      </c>
      <c r="G1965" s="90" t="s">
        <v>376</v>
      </c>
      <c r="H1965" s="90">
        <v>0.59</v>
      </c>
      <c r="I1965" s="90">
        <v>0.64</v>
      </c>
      <c r="J1965" s="90" t="s">
        <v>244</v>
      </c>
      <c r="K1965" s="90">
        <v>8.6000160646750007E-2</v>
      </c>
      <c r="L1965" s="90">
        <v>3739.8375652242098</v>
      </c>
      <c r="M1965" s="90">
        <v>8.9203298963218405</v>
      </c>
      <c r="N1965" s="90">
        <v>1.5047971532959199</v>
      </c>
      <c r="O1965" s="90">
        <v>0.76714980410571998</v>
      </c>
      <c r="P1965" s="90">
        <v>0.12941279692422</v>
      </c>
      <c r="Q1965" s="90">
        <v>321.62663140204802</v>
      </c>
      <c r="R1965" s="90">
        <v>1300</v>
      </c>
      <c r="S1965" s="90" t="s">
        <v>387</v>
      </c>
      <c r="T1965" s="90">
        <v>1300</v>
      </c>
      <c r="U1965" s="90" t="s">
        <v>378</v>
      </c>
      <c r="V1965" s="90" t="s">
        <v>244</v>
      </c>
      <c r="Z1965" s="90">
        <v>0</v>
      </c>
      <c r="AA1965" s="90">
        <v>1</v>
      </c>
      <c r="AB1965" s="90">
        <v>0.76714980410571998</v>
      </c>
      <c r="AC1965" s="90">
        <v>0.12941279692422</v>
      </c>
      <c r="AD1965" s="90">
        <v>321.626631402047</v>
      </c>
      <c r="AF1965" s="90">
        <v>-1</v>
      </c>
      <c r="AG1965" s="90">
        <v>-1</v>
      </c>
      <c r="AH1965" s="90">
        <v>-1</v>
      </c>
      <c r="AI1965" s="90">
        <v>-1</v>
      </c>
      <c r="AJ1965" s="90">
        <v>0</v>
      </c>
      <c r="AM1965" s="90" t="s">
        <v>379</v>
      </c>
      <c r="AN1965" s="90">
        <v>-1</v>
      </c>
      <c r="AQ1965" s="90">
        <v>380</v>
      </c>
      <c r="AR1965" s="90" t="s">
        <v>291</v>
      </c>
      <c r="AS1965" s="90" t="s">
        <v>413</v>
      </c>
      <c r="AT1965" s="90" t="s">
        <v>244</v>
      </c>
      <c r="AU1965" s="90">
        <v>1.1779919999999999</v>
      </c>
      <c r="AV1965" s="90">
        <v>113.93962538133199</v>
      </c>
      <c r="AW1965" s="90">
        <v>348.03030244074699</v>
      </c>
      <c r="AX1965" s="90">
        <v>0.26084884949999998</v>
      </c>
    </row>
    <row r="1966" spans="1:50" x14ac:dyDescent="0.25">
      <c r="A1966" s="102">
        <v>840000</v>
      </c>
      <c r="B1966" s="102">
        <v>2400000</v>
      </c>
      <c r="C1966" s="102">
        <v>2400000</v>
      </c>
      <c r="D1966" s="90" t="s">
        <v>374</v>
      </c>
      <c r="E1966" s="90" t="s">
        <v>68</v>
      </c>
      <c r="F1966" s="90" t="s">
        <v>375</v>
      </c>
      <c r="G1966" s="90" t="s">
        <v>376</v>
      </c>
      <c r="H1966" s="90">
        <v>0.59</v>
      </c>
      <c r="I1966" s="90">
        <v>0.64</v>
      </c>
      <c r="J1966" s="90" t="s">
        <v>244</v>
      </c>
      <c r="K1966" s="90">
        <v>5.1396528467999997E-4</v>
      </c>
      <c r="L1966" s="90">
        <v>3748.94196293717</v>
      </c>
      <c r="M1966" s="90">
        <v>8.1826313582309407</v>
      </c>
      <c r="N1966" s="90">
        <v>1.2738035181559</v>
      </c>
      <c r="O1966" s="90">
        <v>4.2055884554899996E-3</v>
      </c>
      <c r="P1966" s="90">
        <v>6.5469078784000003E-4</v>
      </c>
      <c r="Q1966" s="90">
        <v>1.92682602324479</v>
      </c>
      <c r="R1966" s="90">
        <v>1300</v>
      </c>
      <c r="S1966" s="90" t="s">
        <v>387</v>
      </c>
      <c r="T1966" s="90">
        <v>1300</v>
      </c>
      <c r="U1966" s="90" t="s">
        <v>378</v>
      </c>
      <c r="V1966" s="90" t="s">
        <v>244</v>
      </c>
      <c r="Z1966" s="90">
        <v>0</v>
      </c>
      <c r="AA1966" s="90">
        <v>1</v>
      </c>
      <c r="AB1966" s="90">
        <v>4.2055884554899996E-3</v>
      </c>
      <c r="AC1966" s="90">
        <v>6.5469078784000003E-4</v>
      </c>
      <c r="AD1966" s="90">
        <v>2315.9593339344201</v>
      </c>
      <c r="AF1966" s="90">
        <v>-1</v>
      </c>
      <c r="AG1966" s="90">
        <v>-1</v>
      </c>
      <c r="AH1966" s="90">
        <v>-1</v>
      </c>
      <c r="AI1966" s="90">
        <v>-1</v>
      </c>
      <c r="AJ1966" s="90">
        <v>0</v>
      </c>
      <c r="AM1966" s="90" t="s">
        <v>379</v>
      </c>
      <c r="AN1966" s="90">
        <v>-1</v>
      </c>
      <c r="AQ1966" s="90">
        <v>380</v>
      </c>
      <c r="AR1966" s="90" t="s">
        <v>291</v>
      </c>
      <c r="AS1966" s="90" t="s">
        <v>413</v>
      </c>
      <c r="AT1966" s="90" t="s">
        <v>244</v>
      </c>
      <c r="AU1966" s="90">
        <v>1.1779919999999999</v>
      </c>
      <c r="AV1966" s="90">
        <v>6.9776346405004501</v>
      </c>
      <c r="AW1966" s="90">
        <v>2.07994371321506</v>
      </c>
      <c r="AX1966" s="90">
        <v>1.8783125173999999</v>
      </c>
    </row>
    <row r="1967" spans="1:50" x14ac:dyDescent="0.25">
      <c r="A1967" s="102">
        <v>840000</v>
      </c>
      <c r="B1967" s="102">
        <v>2400000</v>
      </c>
      <c r="C1967" s="102">
        <v>2400000</v>
      </c>
      <c r="D1967" s="90" t="s">
        <v>374</v>
      </c>
      <c r="E1967" s="90" t="s">
        <v>68</v>
      </c>
      <c r="F1967" s="90" t="s">
        <v>375</v>
      </c>
      <c r="G1967" s="90" t="s">
        <v>376</v>
      </c>
      <c r="H1967" s="90">
        <v>0.59</v>
      </c>
      <c r="I1967" s="90">
        <v>0.64</v>
      </c>
      <c r="J1967" s="90" t="s">
        <v>244</v>
      </c>
      <c r="K1967" s="90">
        <v>0.47697198181035999</v>
      </c>
      <c r="L1967" s="90">
        <v>3748.94196293717</v>
      </c>
      <c r="M1967" s="90">
        <v>8.1826313582309407</v>
      </c>
      <c r="N1967" s="90">
        <v>1.2738035181559</v>
      </c>
      <c r="O1967" s="90">
        <v>3.9028858953590602</v>
      </c>
      <c r="P1967" s="90">
        <v>0.60756858849183004</v>
      </c>
      <c r="Q1967" s="90">
        <v>1788.14027775419</v>
      </c>
      <c r="R1967" s="90">
        <v>1300</v>
      </c>
      <c r="S1967" s="90" t="s">
        <v>387</v>
      </c>
      <c r="T1967" s="90">
        <v>1300</v>
      </c>
      <c r="U1967" s="90" t="s">
        <v>378</v>
      </c>
      <c r="V1967" s="90" t="s">
        <v>244</v>
      </c>
      <c r="Z1967" s="90">
        <v>0</v>
      </c>
      <c r="AA1967" s="90">
        <v>1</v>
      </c>
      <c r="AB1967" s="90">
        <v>3.9028858953590602</v>
      </c>
      <c r="AC1967" s="90">
        <v>0.60756858849183004</v>
      </c>
      <c r="AD1967" s="90">
        <v>2315.9593344520699</v>
      </c>
      <c r="AF1967" s="90">
        <v>-1</v>
      </c>
      <c r="AG1967" s="90">
        <v>-1</v>
      </c>
      <c r="AH1967" s="90">
        <v>-1</v>
      </c>
      <c r="AI1967" s="90">
        <v>-1</v>
      </c>
      <c r="AJ1967" s="90">
        <v>0</v>
      </c>
      <c r="AM1967" s="90" t="s">
        <v>379</v>
      </c>
      <c r="AN1967" s="90">
        <v>-1</v>
      </c>
      <c r="AQ1967" s="90">
        <v>380</v>
      </c>
      <c r="AR1967" s="90" t="s">
        <v>291</v>
      </c>
      <c r="AS1967" s="90" t="s">
        <v>413</v>
      </c>
      <c r="AT1967" s="90" t="s">
        <v>244</v>
      </c>
      <c r="AU1967" s="90">
        <v>1.1779919999999999</v>
      </c>
      <c r="AV1967" s="90">
        <v>192.315805630943</v>
      </c>
      <c r="AW1967" s="90">
        <v>1930.23712789414</v>
      </c>
      <c r="AX1967" s="90">
        <v>1.8783125178</v>
      </c>
    </row>
    <row r="1968" spans="1:50" x14ac:dyDescent="0.25">
      <c r="A1968" s="102">
        <v>840000</v>
      </c>
      <c r="B1968" s="102">
        <v>2400000</v>
      </c>
      <c r="C1968" s="102">
        <v>2400000</v>
      </c>
      <c r="D1968" s="90" t="s">
        <v>374</v>
      </c>
      <c r="E1968" s="90" t="s">
        <v>68</v>
      </c>
      <c r="F1968" s="90" t="s">
        <v>375</v>
      </c>
      <c r="G1968" s="90" t="s">
        <v>376</v>
      </c>
      <c r="H1968" s="90">
        <v>0.59</v>
      </c>
      <c r="I1968" s="90">
        <v>0.64</v>
      </c>
      <c r="J1968" s="90" t="s">
        <v>244</v>
      </c>
      <c r="K1968" s="90">
        <v>6.5208599764199999E-3</v>
      </c>
      <c r="L1968" s="90">
        <v>3739.83763285445</v>
      </c>
      <c r="M1968" s="90">
        <v>8.9203248769158208</v>
      </c>
      <c r="N1968" s="90">
        <v>1.5047955796805801</v>
      </c>
      <c r="O1968" s="90">
        <v>5.8168189466599997E-2</v>
      </c>
      <c r="P1968" s="90">
        <v>9.8125612682400006E-3</v>
      </c>
      <c r="Q1968" s="90">
        <v>24.386957538415999</v>
      </c>
      <c r="R1968" s="90">
        <v>1300</v>
      </c>
      <c r="S1968" s="90" t="s">
        <v>387</v>
      </c>
      <c r="T1968" s="90">
        <v>1300</v>
      </c>
      <c r="U1968" s="90" t="s">
        <v>378</v>
      </c>
      <c r="V1968" s="90" t="s">
        <v>244</v>
      </c>
      <c r="Z1968" s="90">
        <v>0</v>
      </c>
      <c r="AA1968" s="90">
        <v>1</v>
      </c>
      <c r="AB1968" s="90">
        <v>5.8168189466599997E-2</v>
      </c>
      <c r="AC1968" s="90">
        <v>9.8125612682400006E-3</v>
      </c>
      <c r="AD1968" s="90">
        <v>677.63156387359697</v>
      </c>
      <c r="AF1968" s="90">
        <v>-1</v>
      </c>
      <c r="AG1968" s="90">
        <v>-1</v>
      </c>
      <c r="AH1968" s="90">
        <v>-1</v>
      </c>
      <c r="AI1968" s="90">
        <v>-1</v>
      </c>
      <c r="AJ1968" s="90">
        <v>0</v>
      </c>
      <c r="AM1968" s="90" t="s">
        <v>379</v>
      </c>
      <c r="AN1968" s="90">
        <v>-1</v>
      </c>
      <c r="AQ1968" s="90">
        <v>380</v>
      </c>
      <c r="AR1968" s="90" t="s">
        <v>291</v>
      </c>
      <c r="AS1968" s="90" t="s">
        <v>413</v>
      </c>
      <c r="AT1968" s="90" t="s">
        <v>244</v>
      </c>
      <c r="AU1968" s="90">
        <v>1.1779919999999999</v>
      </c>
      <c r="AV1968" s="90">
        <v>21.3804426851448</v>
      </c>
      <c r="AW1968" s="90">
        <v>26.388984075173301</v>
      </c>
      <c r="AX1968" s="90">
        <v>0.54957953270000004</v>
      </c>
    </row>
    <row r="1969" spans="1:50" x14ac:dyDescent="0.25">
      <c r="A1969" s="102">
        <v>840000</v>
      </c>
      <c r="B1969" s="102">
        <v>2400000</v>
      </c>
      <c r="C1969" s="102">
        <v>2400000</v>
      </c>
      <c r="D1969" s="90" t="s">
        <v>374</v>
      </c>
      <c r="E1969" s="90" t="s">
        <v>68</v>
      </c>
      <c r="F1969" s="90" t="s">
        <v>375</v>
      </c>
      <c r="G1969" s="90" t="s">
        <v>376</v>
      </c>
      <c r="H1969" s="90">
        <v>0.59</v>
      </c>
      <c r="I1969" s="90">
        <v>0.64</v>
      </c>
      <c r="J1969" s="90" t="s">
        <v>244</v>
      </c>
      <c r="K1969" s="90">
        <v>7.4061740328199999E-3</v>
      </c>
      <c r="L1969" s="90">
        <v>3739.83763285445</v>
      </c>
      <c r="M1969" s="90">
        <v>8.9203248769158208</v>
      </c>
      <c r="N1969" s="90">
        <v>1.5047955796805801</v>
      </c>
      <c r="O1969" s="90">
        <v>6.6065478467759994E-2</v>
      </c>
      <c r="P1969" s="90">
        <v>1.1144777946929999E-2</v>
      </c>
      <c r="Q1969" s="90">
        <v>27.6978883634246</v>
      </c>
      <c r="R1969" s="90">
        <v>1300</v>
      </c>
      <c r="S1969" s="90" t="s">
        <v>387</v>
      </c>
      <c r="T1969" s="90">
        <v>1300</v>
      </c>
      <c r="U1969" s="90" t="s">
        <v>378</v>
      </c>
      <c r="V1969" s="90" t="s">
        <v>244</v>
      </c>
      <c r="Z1969" s="90">
        <v>0</v>
      </c>
      <c r="AA1969" s="90">
        <v>1</v>
      </c>
      <c r="AB1969" s="90">
        <v>6.6065478467759994E-2</v>
      </c>
      <c r="AC1969" s="90">
        <v>1.1144777946929999E-2</v>
      </c>
      <c r="AD1969" s="90">
        <v>384.33284791123299</v>
      </c>
      <c r="AF1969" s="90">
        <v>-1</v>
      </c>
      <c r="AG1969" s="90">
        <v>-1</v>
      </c>
      <c r="AH1969" s="90">
        <v>-1</v>
      </c>
      <c r="AI1969" s="90">
        <v>-1</v>
      </c>
      <c r="AJ1969" s="90">
        <v>0</v>
      </c>
      <c r="AM1969" s="90" t="s">
        <v>379</v>
      </c>
      <c r="AN1969" s="90">
        <v>-1</v>
      </c>
      <c r="AQ1969" s="90">
        <v>380</v>
      </c>
      <c r="AR1969" s="90" t="s">
        <v>291</v>
      </c>
      <c r="AS1969" s="90" t="s">
        <v>413</v>
      </c>
      <c r="AT1969" s="90" t="s">
        <v>244</v>
      </c>
      <c r="AU1969" s="90">
        <v>1.1779919999999999</v>
      </c>
      <c r="AV1969" s="90">
        <v>22.4281222532159</v>
      </c>
      <c r="AW1969" s="90">
        <v>29.971722950144802</v>
      </c>
      <c r="AX1969" s="90">
        <v>0.31170547279999999</v>
      </c>
    </row>
    <row r="1970" spans="1:50" x14ac:dyDescent="0.25">
      <c r="A1970" s="102">
        <v>840000</v>
      </c>
      <c r="B1970" s="102">
        <v>2400000</v>
      </c>
      <c r="C1970" s="102">
        <v>2400000</v>
      </c>
      <c r="D1970" s="90" t="s">
        <v>374</v>
      </c>
      <c r="E1970" s="90" t="s">
        <v>68</v>
      </c>
      <c r="F1970" s="90" t="s">
        <v>375</v>
      </c>
      <c r="G1970" s="90" t="s">
        <v>376</v>
      </c>
      <c r="H1970" s="90">
        <v>0.59</v>
      </c>
      <c r="I1970" s="90">
        <v>0.64</v>
      </c>
      <c r="J1970" s="90" t="s">
        <v>244</v>
      </c>
      <c r="K1970" s="90">
        <v>2.5879604875090001E-2</v>
      </c>
      <c r="L1970" s="90">
        <v>3771.92855647738</v>
      </c>
      <c r="M1970" s="90">
        <v>10.655683445123801</v>
      </c>
      <c r="N1970" s="90">
        <v>1.5077989625736601</v>
      </c>
      <c r="O1970" s="90">
        <v>0.27576487723392001</v>
      </c>
      <c r="P1970" s="90">
        <v>3.9021241382479997E-2</v>
      </c>
      <c r="Q1970" s="90">
        <v>97.616020658733405</v>
      </c>
      <c r="R1970" s="90">
        <v>1300</v>
      </c>
      <c r="S1970" s="90" t="s">
        <v>387</v>
      </c>
      <c r="T1970" s="90">
        <v>1300</v>
      </c>
      <c r="U1970" s="90" t="s">
        <v>378</v>
      </c>
      <c r="V1970" s="90" t="s">
        <v>244</v>
      </c>
      <c r="Z1970" s="90">
        <v>0</v>
      </c>
      <c r="AA1970" s="90">
        <v>1</v>
      </c>
      <c r="AB1970" s="90">
        <v>0.27576487723392001</v>
      </c>
      <c r="AC1970" s="90">
        <v>3.9021241382479997E-2</v>
      </c>
      <c r="AD1970" s="90">
        <v>328.55937015040399</v>
      </c>
      <c r="AF1970" s="90">
        <v>-1</v>
      </c>
      <c r="AG1970" s="90">
        <v>-1</v>
      </c>
      <c r="AH1970" s="90">
        <v>-1</v>
      </c>
      <c r="AI1970" s="90">
        <v>-1</v>
      </c>
      <c r="AJ1970" s="90">
        <v>0</v>
      </c>
      <c r="AM1970" s="90" t="s">
        <v>379</v>
      </c>
      <c r="AN1970" s="90">
        <v>-1</v>
      </c>
      <c r="AQ1970" s="90">
        <v>380</v>
      </c>
      <c r="AR1970" s="90" t="s">
        <v>291</v>
      </c>
      <c r="AS1970" s="90" t="s">
        <v>413</v>
      </c>
      <c r="AT1970" s="90" t="s">
        <v>244</v>
      </c>
      <c r="AU1970" s="90">
        <v>1.1779919999999999</v>
      </c>
      <c r="AV1970" s="90">
        <v>64.650931612560001</v>
      </c>
      <c r="AW1970" s="90">
        <v>104.731045197966</v>
      </c>
      <c r="AX1970" s="90">
        <v>0.26647150860000002</v>
      </c>
    </row>
    <row r="1971" spans="1:50" x14ac:dyDescent="0.25">
      <c r="A1971" s="102">
        <v>840000</v>
      </c>
      <c r="B1971" s="102">
        <v>2400000</v>
      </c>
      <c r="C1971" s="102">
        <v>2400000</v>
      </c>
      <c r="D1971" s="90" t="s">
        <v>374</v>
      </c>
      <c r="E1971" s="90" t="s">
        <v>68</v>
      </c>
      <c r="F1971" s="90" t="s">
        <v>375</v>
      </c>
      <c r="G1971" s="90" t="s">
        <v>376</v>
      </c>
      <c r="H1971" s="90">
        <v>0.59</v>
      </c>
      <c r="I1971" s="90">
        <v>0.64</v>
      </c>
      <c r="J1971" s="90" t="s">
        <v>244</v>
      </c>
      <c r="K1971" s="90">
        <v>5.0305932643620002E-2</v>
      </c>
      <c r="L1971" s="90">
        <v>3771.92855647738</v>
      </c>
      <c r="M1971" s="90">
        <v>10.655683445123801</v>
      </c>
      <c r="N1971" s="90">
        <v>1.5077989625736601</v>
      </c>
      <c r="O1971" s="90">
        <v>0.53604409366215</v>
      </c>
      <c r="P1971" s="90">
        <v>7.5851233051349998E-2</v>
      </c>
      <c r="Q1971" s="90">
        <v>189.75038389870099</v>
      </c>
      <c r="R1971" s="90">
        <v>1400</v>
      </c>
      <c r="S1971" s="90" t="s">
        <v>324</v>
      </c>
      <c r="T1971" s="90">
        <v>1400</v>
      </c>
      <c r="U1971" s="90" t="s">
        <v>378</v>
      </c>
      <c r="V1971" s="90" t="s">
        <v>244</v>
      </c>
      <c r="Z1971" s="90">
        <v>0</v>
      </c>
      <c r="AA1971" s="90">
        <v>1</v>
      </c>
      <c r="AB1971" s="90">
        <v>0.53604409366215</v>
      </c>
      <c r="AC1971" s="90">
        <v>7.5851233051349998E-2</v>
      </c>
      <c r="AD1971" s="90">
        <v>1408.73713667381</v>
      </c>
      <c r="AF1971" s="90">
        <v>-1</v>
      </c>
      <c r="AG1971" s="90">
        <v>-1</v>
      </c>
      <c r="AH1971" s="90">
        <v>-1</v>
      </c>
      <c r="AI1971" s="90">
        <v>-1</v>
      </c>
      <c r="AJ1971" s="90">
        <v>0</v>
      </c>
      <c r="AM1971" s="90" t="s">
        <v>379</v>
      </c>
      <c r="AN1971" s="90">
        <v>-1</v>
      </c>
      <c r="AQ1971" s="90">
        <v>380</v>
      </c>
      <c r="AR1971" s="90" t="s">
        <v>291</v>
      </c>
      <c r="AS1971" s="90" t="s">
        <v>413</v>
      </c>
      <c r="AT1971" s="90" t="s">
        <v>244</v>
      </c>
      <c r="AU1971" s="90">
        <v>1.1779919999999999</v>
      </c>
      <c r="AV1971" s="90">
        <v>70.696124740821105</v>
      </c>
      <c r="AW1971" s="90">
        <v>203.58088660365999</v>
      </c>
      <c r="AX1971" s="90">
        <v>1.1425280914</v>
      </c>
    </row>
    <row r="1972" spans="1:50" x14ac:dyDescent="0.25">
      <c r="A1972" s="102">
        <v>840000</v>
      </c>
      <c r="B1972" s="102">
        <v>2400000</v>
      </c>
      <c r="C1972" s="102">
        <v>2400000</v>
      </c>
      <c r="D1972" s="90" t="s">
        <v>374</v>
      </c>
      <c r="E1972" s="90" t="s">
        <v>68</v>
      </c>
      <c r="F1972" s="90" t="s">
        <v>375</v>
      </c>
      <c r="G1972" s="90" t="s">
        <v>376</v>
      </c>
      <c r="H1972" s="90">
        <v>0.59</v>
      </c>
      <c r="I1972" s="90">
        <v>0.64</v>
      </c>
      <c r="J1972" s="90" t="s">
        <v>244</v>
      </c>
      <c r="K1972" s="90">
        <v>1.8624656603399999E-3</v>
      </c>
      <c r="L1972" s="90">
        <v>3771.92855647738</v>
      </c>
      <c r="M1972" s="90">
        <v>10.655683445123801</v>
      </c>
      <c r="N1972" s="90">
        <v>1.5077989625736601</v>
      </c>
      <c r="O1972" s="90">
        <v>1.984584450406E-2</v>
      </c>
      <c r="P1972" s="90">
        <v>2.8082237904900002E-3</v>
      </c>
      <c r="Q1972" s="90">
        <v>7.0250874097175799</v>
      </c>
      <c r="R1972" s="90">
        <v>1300</v>
      </c>
      <c r="S1972" s="90" t="s">
        <v>387</v>
      </c>
      <c r="T1972" s="90">
        <v>1300</v>
      </c>
      <c r="U1972" s="90" t="s">
        <v>378</v>
      </c>
      <c r="V1972" s="90" t="s">
        <v>244</v>
      </c>
      <c r="Z1972" s="90">
        <v>0</v>
      </c>
      <c r="AA1972" s="90">
        <v>1</v>
      </c>
      <c r="AB1972" s="90">
        <v>1.984584450406E-2</v>
      </c>
      <c r="AC1972" s="90">
        <v>2.8082237904900002E-3</v>
      </c>
      <c r="AD1972" s="90">
        <v>7.0250874097180001</v>
      </c>
      <c r="AF1972" s="90">
        <v>-1</v>
      </c>
      <c r="AG1972" s="90">
        <v>-1</v>
      </c>
      <c r="AH1972" s="90">
        <v>-1</v>
      </c>
      <c r="AI1972" s="90">
        <v>-1</v>
      </c>
      <c r="AJ1972" s="90">
        <v>0</v>
      </c>
      <c r="AM1972" s="90" t="s">
        <v>379</v>
      </c>
      <c r="AN1972" s="90">
        <v>-1</v>
      </c>
      <c r="AQ1972" s="90">
        <v>380</v>
      </c>
      <c r="AR1972" s="90" t="s">
        <v>291</v>
      </c>
      <c r="AS1972" s="90" t="s">
        <v>413</v>
      </c>
      <c r="AT1972" s="90" t="s">
        <v>244</v>
      </c>
      <c r="AU1972" s="90">
        <v>1.1779919999999999</v>
      </c>
      <c r="AV1972" s="90">
        <v>47.5798637872916</v>
      </c>
      <c r="AW1972" s="90">
        <v>7.5371311190710903</v>
      </c>
      <c r="AX1972" s="90">
        <v>5.6975567000000001E-3</v>
      </c>
    </row>
    <row r="1973" spans="1:50" x14ac:dyDescent="0.25">
      <c r="A1973" s="102">
        <v>840000</v>
      </c>
      <c r="B1973" s="102">
        <v>2400000</v>
      </c>
      <c r="C1973" s="102">
        <v>2400000</v>
      </c>
      <c r="D1973" s="90" t="s">
        <v>374</v>
      </c>
      <c r="E1973" s="90" t="s">
        <v>68</v>
      </c>
      <c r="F1973" s="90" t="s">
        <v>375</v>
      </c>
      <c r="G1973" s="90" t="s">
        <v>376</v>
      </c>
      <c r="H1973" s="90">
        <v>0.59</v>
      </c>
      <c r="I1973" s="90">
        <v>0.64</v>
      </c>
      <c r="J1973" s="90" t="s">
        <v>244</v>
      </c>
      <c r="K1973" s="90">
        <v>1.8729161964489999E-2</v>
      </c>
      <c r="L1973" s="90">
        <v>3764.4729522903599</v>
      </c>
      <c r="M1973" s="90">
        <v>10.8097988027918</v>
      </c>
      <c r="N1973" s="90">
        <v>1.50576525601291</v>
      </c>
      <c r="O1973" s="90">
        <v>0.20245847258103</v>
      </c>
      <c r="P1973" s="90">
        <v>2.8201721360360001E-2</v>
      </c>
      <c r="Q1973" s="90">
        <v>70.505423634387896</v>
      </c>
      <c r="R1973" s="90">
        <v>1300</v>
      </c>
      <c r="S1973" s="90" t="s">
        <v>387</v>
      </c>
      <c r="T1973" s="90">
        <v>1300</v>
      </c>
      <c r="U1973" s="90" t="s">
        <v>378</v>
      </c>
      <c r="V1973" s="90" t="s">
        <v>244</v>
      </c>
      <c r="Z1973" s="90">
        <v>0</v>
      </c>
      <c r="AA1973" s="90">
        <v>1</v>
      </c>
      <c r="AB1973" s="90">
        <v>0.20245847258103</v>
      </c>
      <c r="AC1973" s="90">
        <v>2.8201721360360001E-2</v>
      </c>
      <c r="AD1973" s="90">
        <v>238.63381948829101</v>
      </c>
      <c r="AF1973" s="90">
        <v>-1</v>
      </c>
      <c r="AG1973" s="90">
        <v>-1</v>
      </c>
      <c r="AH1973" s="90">
        <v>-1</v>
      </c>
      <c r="AI1973" s="90">
        <v>-1</v>
      </c>
      <c r="AJ1973" s="90">
        <v>0</v>
      </c>
      <c r="AM1973" s="90" t="s">
        <v>379</v>
      </c>
      <c r="AN1973" s="90">
        <v>-1</v>
      </c>
      <c r="AQ1973" s="90">
        <v>380</v>
      </c>
      <c r="AR1973" s="90" t="s">
        <v>291</v>
      </c>
      <c r="AS1973" s="90" t="s">
        <v>413</v>
      </c>
      <c r="AT1973" s="90" t="s">
        <v>244</v>
      </c>
      <c r="AU1973" s="90">
        <v>1.1779919999999999</v>
      </c>
      <c r="AV1973" s="90">
        <v>40.9097080945768</v>
      </c>
      <c r="AW1973" s="90">
        <v>75.7942293821649</v>
      </c>
      <c r="AX1973" s="90">
        <v>0.1935391886</v>
      </c>
    </row>
    <row r="1974" spans="1:50" x14ac:dyDescent="0.25">
      <c r="A1974" s="102">
        <v>840000</v>
      </c>
      <c r="B1974" s="102">
        <v>2400000</v>
      </c>
      <c r="C1974" s="102">
        <v>2400000</v>
      </c>
      <c r="D1974" s="90" t="s">
        <v>374</v>
      </c>
      <c r="E1974" s="90" t="s">
        <v>68</v>
      </c>
      <c r="F1974" s="90" t="s">
        <v>375</v>
      </c>
      <c r="G1974" s="90" t="s">
        <v>376</v>
      </c>
      <c r="H1974" s="90">
        <v>0.59</v>
      </c>
      <c r="I1974" s="90">
        <v>0.64</v>
      </c>
      <c r="J1974" s="90" t="s">
        <v>244</v>
      </c>
      <c r="K1974" s="90">
        <v>8.5051614008100004E-3</v>
      </c>
      <c r="L1974" s="90">
        <v>3764.4729522903599</v>
      </c>
      <c r="M1974" s="90">
        <v>10.8097988027918</v>
      </c>
      <c r="N1974" s="90">
        <v>1.50576525601291</v>
      </c>
      <c r="O1974" s="90">
        <v>9.193908352803E-2</v>
      </c>
      <c r="P1974" s="90">
        <v>1.2806776534120001E-2</v>
      </c>
      <c r="Q1974" s="90">
        <v>32.017450048217</v>
      </c>
      <c r="R1974" s="90">
        <v>1400</v>
      </c>
      <c r="S1974" s="90" t="s">
        <v>324</v>
      </c>
      <c r="T1974" s="90">
        <v>1400</v>
      </c>
      <c r="U1974" s="90" t="s">
        <v>378</v>
      </c>
      <c r="V1974" s="90" t="s">
        <v>244</v>
      </c>
      <c r="Z1974" s="90">
        <v>0</v>
      </c>
      <c r="AA1974" s="90">
        <v>1</v>
      </c>
      <c r="AB1974" s="90">
        <v>9.193908352803E-2</v>
      </c>
      <c r="AC1974" s="90">
        <v>1.2806776534120001E-2</v>
      </c>
      <c r="AD1974" s="90">
        <v>684.80318894117795</v>
      </c>
      <c r="AF1974" s="90">
        <v>-1</v>
      </c>
      <c r="AG1974" s="90">
        <v>-1</v>
      </c>
      <c r="AH1974" s="90">
        <v>-1</v>
      </c>
      <c r="AI1974" s="90">
        <v>-1</v>
      </c>
      <c r="AJ1974" s="90">
        <v>0</v>
      </c>
      <c r="AM1974" s="90" t="s">
        <v>379</v>
      </c>
      <c r="AN1974" s="90">
        <v>-1</v>
      </c>
      <c r="AQ1974" s="90">
        <v>380</v>
      </c>
      <c r="AR1974" s="90" t="s">
        <v>291</v>
      </c>
      <c r="AS1974" s="90" t="s">
        <v>413</v>
      </c>
      <c r="AT1974" s="90" t="s">
        <v>244</v>
      </c>
      <c r="AU1974" s="90">
        <v>1.1779919999999999</v>
      </c>
      <c r="AV1974" s="90">
        <v>33.053576118991998</v>
      </c>
      <c r="AW1974" s="90">
        <v>34.419167038418699</v>
      </c>
      <c r="AX1974" s="90">
        <v>0.55539593590000003</v>
      </c>
    </row>
    <row r="1975" spans="1:50" x14ac:dyDescent="0.25">
      <c r="A1975" s="102">
        <v>840000</v>
      </c>
      <c r="B1975" s="102">
        <v>2400000</v>
      </c>
      <c r="C1975" s="102">
        <v>2400000</v>
      </c>
      <c r="D1975" s="90" t="s">
        <v>374</v>
      </c>
      <c r="E1975" s="90" t="s">
        <v>68</v>
      </c>
      <c r="F1975" s="90" t="s">
        <v>375</v>
      </c>
      <c r="G1975" s="90" t="s">
        <v>376</v>
      </c>
      <c r="H1975" s="90">
        <v>0.59</v>
      </c>
      <c r="I1975" s="90">
        <v>0.64</v>
      </c>
      <c r="J1975" s="90" t="s">
        <v>244</v>
      </c>
      <c r="K1975" s="90">
        <v>3.2398723012300001E-3</v>
      </c>
      <c r="L1975" s="90">
        <v>3764.4729522903599</v>
      </c>
      <c r="M1975" s="90">
        <v>10.8097988027918</v>
      </c>
      <c r="N1975" s="90">
        <v>1.50576525601291</v>
      </c>
      <c r="O1975" s="90">
        <v>3.5022367723079997E-2</v>
      </c>
      <c r="P1975" s="90">
        <v>4.8784871451100003E-3</v>
      </c>
      <c r="Q1975" s="90">
        <v>12.1964116468738</v>
      </c>
      <c r="R1975" s="90">
        <v>1300</v>
      </c>
      <c r="S1975" s="90" t="s">
        <v>387</v>
      </c>
      <c r="T1975" s="90">
        <v>1300</v>
      </c>
      <c r="U1975" s="90" t="s">
        <v>378</v>
      </c>
      <c r="V1975" s="90" t="s">
        <v>244</v>
      </c>
      <c r="Z1975" s="90">
        <v>0</v>
      </c>
      <c r="AA1975" s="90">
        <v>1</v>
      </c>
      <c r="AB1975" s="90">
        <v>3.5022367723079997E-2</v>
      </c>
      <c r="AC1975" s="90">
        <v>4.8784871451100003E-3</v>
      </c>
      <c r="AD1975" s="90">
        <v>12.1964116468731</v>
      </c>
      <c r="AF1975" s="90">
        <v>-1</v>
      </c>
      <c r="AG1975" s="90">
        <v>-1</v>
      </c>
      <c r="AH1975" s="90">
        <v>-1</v>
      </c>
      <c r="AI1975" s="90">
        <v>-1</v>
      </c>
      <c r="AJ1975" s="90">
        <v>0</v>
      </c>
      <c r="AM1975" s="90" t="s">
        <v>379</v>
      </c>
      <c r="AN1975" s="90">
        <v>-1</v>
      </c>
      <c r="AQ1975" s="90">
        <v>380</v>
      </c>
      <c r="AR1975" s="90" t="s">
        <v>291</v>
      </c>
      <c r="AS1975" s="90" t="s">
        <v>413</v>
      </c>
      <c r="AT1975" s="90" t="s">
        <v>244</v>
      </c>
      <c r="AU1975" s="90">
        <v>1.1779919999999999</v>
      </c>
      <c r="AV1975" s="90">
        <v>16.701209856438499</v>
      </c>
      <c r="AW1975" s="90">
        <v>13.1112980300079</v>
      </c>
      <c r="AX1975" s="90">
        <v>9.8916557999999995E-3</v>
      </c>
    </row>
    <row r="1976" spans="1:50" x14ac:dyDescent="0.25">
      <c r="A1976" s="102">
        <v>600000</v>
      </c>
      <c r="B1976" s="102">
        <v>1200000</v>
      </c>
      <c r="C1976" s="102">
        <v>1200000</v>
      </c>
      <c r="D1976" s="90" t="s">
        <v>374</v>
      </c>
      <c r="E1976" s="90" t="s">
        <v>68</v>
      </c>
      <c r="F1976" s="90" t="s">
        <v>375</v>
      </c>
      <c r="G1976" s="90" t="s">
        <v>376</v>
      </c>
      <c r="H1976" s="90">
        <v>0.59</v>
      </c>
      <c r="I1976" s="90">
        <v>0.64</v>
      </c>
      <c r="J1976" s="90" t="s">
        <v>244</v>
      </c>
      <c r="K1976" s="90">
        <v>7.1018960731870001E-2</v>
      </c>
      <c r="L1976" s="90">
        <v>3615.9641270456</v>
      </c>
      <c r="M1976" s="90">
        <v>7.7852707861208996</v>
      </c>
      <c r="N1976" s="90">
        <v>1.0013356399748601</v>
      </c>
      <c r="O1976" s="90">
        <v>0.55290184024653999</v>
      </c>
      <c r="P1976" s="90">
        <v>7.1113816494800003E-2</v>
      </c>
      <c r="Q1976" s="90">
        <v>256.80201434652702</v>
      </c>
      <c r="R1976" s="90">
        <v>1700</v>
      </c>
      <c r="S1976" s="90" t="s">
        <v>414</v>
      </c>
      <c r="T1976" s="90">
        <v>1700</v>
      </c>
      <c r="U1976" s="90" t="s">
        <v>378</v>
      </c>
      <c r="V1976" s="90" t="s">
        <v>244</v>
      </c>
      <c r="Z1976" s="90">
        <v>0</v>
      </c>
      <c r="AA1976" s="90">
        <v>1</v>
      </c>
      <c r="AB1976" s="90">
        <v>0.55290184024653999</v>
      </c>
      <c r="AC1976" s="90">
        <v>7.1113816494800003E-2</v>
      </c>
      <c r="AD1976" s="90">
        <v>1046.9115289766601</v>
      </c>
      <c r="AF1976" s="90">
        <v>-1</v>
      </c>
      <c r="AG1976" s="90">
        <v>-1</v>
      </c>
      <c r="AH1976" s="90">
        <v>-1</v>
      </c>
      <c r="AI1976" s="90">
        <v>-1</v>
      </c>
      <c r="AJ1976" s="90">
        <v>0</v>
      </c>
      <c r="AM1976" s="90" t="s">
        <v>379</v>
      </c>
      <c r="AN1976" s="90">
        <v>-1</v>
      </c>
      <c r="AQ1976" s="90">
        <v>383</v>
      </c>
      <c r="AR1976" s="90" t="s">
        <v>293</v>
      </c>
      <c r="AS1976" s="90" t="s">
        <v>415</v>
      </c>
      <c r="AT1976" s="90" t="s">
        <v>244</v>
      </c>
      <c r="AU1976" s="90">
        <v>1.3224320000000001</v>
      </c>
      <c r="AV1976" s="90">
        <v>98.190207642051902</v>
      </c>
      <c r="AW1976" s="90">
        <v>287.40353734997001</v>
      </c>
      <c r="AX1976" s="90">
        <v>0.84907666579999996</v>
      </c>
    </row>
    <row r="1977" spans="1:50" x14ac:dyDescent="0.25">
      <c r="A1977" s="102">
        <v>610000</v>
      </c>
      <c r="B1977" s="102">
        <v>1200000</v>
      </c>
      <c r="C1977" s="102">
        <v>1200000</v>
      </c>
      <c r="D1977" s="90" t="s">
        <v>374</v>
      </c>
      <c r="E1977" s="90" t="s">
        <v>68</v>
      </c>
      <c r="F1977" s="90" t="s">
        <v>375</v>
      </c>
      <c r="G1977" s="90" t="s">
        <v>376</v>
      </c>
      <c r="H1977" s="90">
        <v>0.59</v>
      </c>
      <c r="I1977" s="90">
        <v>0.64</v>
      </c>
      <c r="J1977" s="90" t="s">
        <v>244</v>
      </c>
      <c r="K1977" s="90">
        <v>0.14423866234353</v>
      </c>
      <c r="L1977" s="90">
        <v>3696.0453521244099</v>
      </c>
      <c r="M1977" s="90">
        <v>7.5915201521356197</v>
      </c>
      <c r="N1977" s="90">
        <v>1.00922788452226</v>
      </c>
      <c r="O1977" s="90">
        <v>1.09499071189805</v>
      </c>
      <c r="P1977" s="90">
        <v>0.14556968006328999</v>
      </c>
      <c r="Q1977" s="90">
        <v>533.11263755147604</v>
      </c>
      <c r="R1977" s="90">
        <v>1700</v>
      </c>
      <c r="S1977" s="90" t="s">
        <v>414</v>
      </c>
      <c r="T1977" s="90">
        <v>1700</v>
      </c>
      <c r="U1977" s="90" t="s">
        <v>378</v>
      </c>
      <c r="V1977" s="90" t="s">
        <v>244</v>
      </c>
      <c r="Z1977" s="90">
        <v>0</v>
      </c>
      <c r="AA1977" s="90">
        <v>1</v>
      </c>
      <c r="AB1977" s="90">
        <v>1.09499071189805</v>
      </c>
      <c r="AC1977" s="90">
        <v>0.14556968006328999</v>
      </c>
      <c r="AD1977" s="90">
        <v>1126.9006039327301</v>
      </c>
      <c r="AF1977" s="90">
        <v>-1</v>
      </c>
      <c r="AG1977" s="90">
        <v>-1</v>
      </c>
      <c r="AH1977" s="90">
        <v>-1</v>
      </c>
      <c r="AI1977" s="90">
        <v>-1</v>
      </c>
      <c r="AJ1977" s="90">
        <v>0</v>
      </c>
      <c r="AM1977" s="90" t="s">
        <v>379</v>
      </c>
      <c r="AN1977" s="90">
        <v>-1</v>
      </c>
      <c r="AQ1977" s="90">
        <v>383</v>
      </c>
      <c r="AR1977" s="90" t="s">
        <v>293</v>
      </c>
      <c r="AS1977" s="90" t="s">
        <v>415</v>
      </c>
      <c r="AT1977" s="90" t="s">
        <v>244</v>
      </c>
      <c r="AU1977" s="90">
        <v>1.3224320000000001</v>
      </c>
      <c r="AV1977" s="90">
        <v>123.147364402422</v>
      </c>
      <c r="AW1977" s="90">
        <v>583.71315706333303</v>
      </c>
      <c r="AX1977" s="90">
        <v>0.91395020589999998</v>
      </c>
    </row>
    <row r="1978" spans="1:50" x14ac:dyDescent="0.25">
      <c r="A1978" s="102">
        <v>610000</v>
      </c>
      <c r="B1978" s="102">
        <v>1200000</v>
      </c>
      <c r="C1978" s="102">
        <v>1200000</v>
      </c>
      <c r="D1978" s="90" t="s">
        <v>374</v>
      </c>
      <c r="E1978" s="90" t="s">
        <v>68</v>
      </c>
      <c r="F1978" s="90" t="s">
        <v>375</v>
      </c>
      <c r="G1978" s="90" t="s">
        <v>376</v>
      </c>
      <c r="H1978" s="90">
        <v>0.59</v>
      </c>
      <c r="I1978" s="90">
        <v>0.64</v>
      </c>
      <c r="J1978" s="90" t="s">
        <v>244</v>
      </c>
      <c r="K1978" s="90">
        <v>0.15545635368797001</v>
      </c>
      <c r="L1978" s="90">
        <v>3699.4704100490799</v>
      </c>
      <c r="M1978" s="90">
        <v>7.5330192022385303</v>
      </c>
      <c r="N1978" s="90">
        <v>1.01061078421982</v>
      </c>
      <c r="O1978" s="90">
        <v>1.17105569744153</v>
      </c>
      <c r="P1978" s="90">
        <v>0.15710586751256</v>
      </c>
      <c r="Q1978" s="90">
        <v>575.10618052280302</v>
      </c>
      <c r="R1978" s="90">
        <v>1700</v>
      </c>
      <c r="S1978" s="90" t="s">
        <v>414</v>
      </c>
      <c r="T1978" s="90">
        <v>1700</v>
      </c>
      <c r="U1978" s="90" t="s">
        <v>378</v>
      </c>
      <c r="V1978" s="90" t="s">
        <v>244</v>
      </c>
      <c r="Z1978" s="90">
        <v>0</v>
      </c>
      <c r="AA1978" s="90">
        <v>1</v>
      </c>
      <c r="AB1978" s="90">
        <v>1.17105569744153</v>
      </c>
      <c r="AC1978" s="90">
        <v>0.15710586751256</v>
      </c>
      <c r="AD1978" s="90">
        <v>1160.48236464194</v>
      </c>
      <c r="AF1978" s="90">
        <v>-1</v>
      </c>
      <c r="AG1978" s="90">
        <v>-1</v>
      </c>
      <c r="AH1978" s="90">
        <v>-1</v>
      </c>
      <c r="AI1978" s="90">
        <v>-1</v>
      </c>
      <c r="AJ1978" s="90">
        <v>0</v>
      </c>
      <c r="AM1978" s="90" t="s">
        <v>379</v>
      </c>
      <c r="AN1978" s="90">
        <v>-1</v>
      </c>
      <c r="AQ1978" s="90">
        <v>383</v>
      </c>
      <c r="AR1978" s="90" t="s">
        <v>293</v>
      </c>
      <c r="AS1978" s="90" t="s">
        <v>415</v>
      </c>
      <c r="AT1978" s="90" t="s">
        <v>244</v>
      </c>
      <c r="AU1978" s="90">
        <v>1.3224320000000001</v>
      </c>
      <c r="AV1978" s="90">
        <v>125.398853166888</v>
      </c>
      <c r="AW1978" s="90">
        <v>629.10954332508197</v>
      </c>
      <c r="AX1978" s="90">
        <v>0.94118602159999998</v>
      </c>
    </row>
    <row r="1979" spans="1:50" x14ac:dyDescent="0.25">
      <c r="A1979" s="102">
        <v>610000</v>
      </c>
      <c r="B1979" s="102">
        <v>1300000</v>
      </c>
      <c r="C1979" s="102">
        <v>1300000</v>
      </c>
      <c r="D1979" s="90" t="s">
        <v>374</v>
      </c>
      <c r="E1979" s="90" t="s">
        <v>68</v>
      </c>
      <c r="F1979" s="90" t="s">
        <v>375</v>
      </c>
      <c r="G1979" s="90" t="s">
        <v>376</v>
      </c>
      <c r="H1979" s="90">
        <v>0.59</v>
      </c>
      <c r="I1979" s="90">
        <v>0.64</v>
      </c>
      <c r="J1979" s="90" t="s">
        <v>244</v>
      </c>
      <c r="K1979" s="90">
        <v>1.710685786749E-2</v>
      </c>
      <c r="L1979" s="90">
        <v>172.00812881521099</v>
      </c>
      <c r="M1979" s="90">
        <v>0.46967170090650001</v>
      </c>
      <c r="N1979" s="90">
        <v>4.5960893965409998E-2</v>
      </c>
      <c r="O1979" s="90">
        <v>8.0346070317900004E-3</v>
      </c>
      <c r="P1979" s="90">
        <v>7.8624648051999998E-4</v>
      </c>
      <c r="Q1979" s="90">
        <v>2.94251861169576</v>
      </c>
      <c r="R1979" s="90">
        <v>1700</v>
      </c>
      <c r="S1979" s="90" t="s">
        <v>414</v>
      </c>
      <c r="T1979" s="90">
        <v>1700</v>
      </c>
      <c r="U1979" s="90" t="s">
        <v>378</v>
      </c>
      <c r="V1979" s="90" t="s">
        <v>244</v>
      </c>
      <c r="Z1979" s="90">
        <v>0</v>
      </c>
      <c r="AA1979" s="90">
        <v>1</v>
      </c>
      <c r="AB1979" s="90">
        <v>8.0346070317900004E-3</v>
      </c>
      <c r="AC1979" s="90">
        <v>7.8624648051999998E-4</v>
      </c>
      <c r="AD1979" s="90">
        <v>2.9425186116958302</v>
      </c>
      <c r="AF1979" s="90">
        <v>-1</v>
      </c>
      <c r="AG1979" s="90">
        <v>-1</v>
      </c>
      <c r="AH1979" s="90">
        <v>-1</v>
      </c>
      <c r="AI1979" s="90">
        <v>-1</v>
      </c>
      <c r="AJ1979" s="90">
        <v>0</v>
      </c>
      <c r="AM1979" s="90" t="s">
        <v>379</v>
      </c>
      <c r="AN1979" s="90">
        <v>-1</v>
      </c>
      <c r="AQ1979" s="90">
        <v>383</v>
      </c>
      <c r="AR1979" s="90" t="s">
        <v>293</v>
      </c>
      <c r="AS1979" s="90" t="s">
        <v>415</v>
      </c>
      <c r="AT1979" s="90" t="s">
        <v>244</v>
      </c>
      <c r="AU1979" s="90">
        <v>1.3224320000000001</v>
      </c>
      <c r="AV1979" s="90">
        <v>103.498992542884</v>
      </c>
      <c r="AW1979" s="90">
        <v>69.228997628161693</v>
      </c>
      <c r="AX1979" s="90">
        <v>2.3864708999999998E-3</v>
      </c>
    </row>
    <row r="1980" spans="1:50" x14ac:dyDescent="0.25">
      <c r="A1980" s="102">
        <v>620000</v>
      </c>
      <c r="B1980" s="102">
        <v>1300000</v>
      </c>
      <c r="C1980" s="102">
        <v>1300000</v>
      </c>
      <c r="D1980" s="90" t="s">
        <v>374</v>
      </c>
      <c r="E1980" s="90" t="s">
        <v>68</v>
      </c>
      <c r="F1980" s="90" t="s">
        <v>375</v>
      </c>
      <c r="G1980" s="90" t="s">
        <v>376</v>
      </c>
      <c r="H1980" s="90">
        <v>0.59</v>
      </c>
      <c r="I1980" s="90">
        <v>0.64</v>
      </c>
      <c r="J1980" s="90" t="s">
        <v>244</v>
      </c>
      <c r="K1980" s="90">
        <v>0.17607186041285</v>
      </c>
      <c r="L1980" s="90">
        <v>3700.9519182005101</v>
      </c>
      <c r="M1980" s="90">
        <v>7.5889673422057298</v>
      </c>
      <c r="N1980" s="90">
        <v>1.0172545875457799</v>
      </c>
      <c r="O1980" s="90">
        <v>1.33620359855454</v>
      </c>
      <c r="P1980" s="90">
        <v>0.17910990774269001</v>
      </c>
      <c r="Q1980" s="90">
        <v>651.63348953608102</v>
      </c>
      <c r="R1980" s="90">
        <v>1700</v>
      </c>
      <c r="S1980" s="90" t="s">
        <v>414</v>
      </c>
      <c r="T1980" s="90">
        <v>1700</v>
      </c>
      <c r="U1980" s="90" t="s">
        <v>378</v>
      </c>
      <c r="V1980" s="90" t="s">
        <v>244</v>
      </c>
      <c r="Z1980" s="90">
        <v>0</v>
      </c>
      <c r="AA1980" s="90">
        <v>1</v>
      </c>
      <c r="AB1980" s="90">
        <v>1.33620359855454</v>
      </c>
      <c r="AC1980" s="90">
        <v>0.17910990774269001</v>
      </c>
      <c r="AD1980" s="90">
        <v>1284.15850196939</v>
      </c>
      <c r="AF1980" s="90">
        <v>-1</v>
      </c>
      <c r="AG1980" s="90">
        <v>-1</v>
      </c>
      <c r="AH1980" s="90">
        <v>-1</v>
      </c>
      <c r="AI1980" s="90">
        <v>-1</v>
      </c>
      <c r="AJ1980" s="90">
        <v>0</v>
      </c>
      <c r="AM1980" s="90" t="s">
        <v>379</v>
      </c>
      <c r="AN1980" s="90">
        <v>-1</v>
      </c>
      <c r="AQ1980" s="90">
        <v>383</v>
      </c>
      <c r="AR1980" s="90" t="s">
        <v>293</v>
      </c>
      <c r="AS1980" s="90" t="s">
        <v>415</v>
      </c>
      <c r="AT1980" s="90" t="s">
        <v>244</v>
      </c>
      <c r="AU1980" s="90">
        <v>1.3224320000000001</v>
      </c>
      <c r="AV1980" s="90">
        <v>128.53206921314799</v>
      </c>
      <c r="AW1980" s="90">
        <v>712.53753911567105</v>
      </c>
      <c r="AX1980" s="90">
        <v>1.0414910802999999</v>
      </c>
    </row>
    <row r="1981" spans="1:50" x14ac:dyDescent="0.25">
      <c r="A1981" s="102">
        <v>620000</v>
      </c>
      <c r="B1981" s="102">
        <v>1300000</v>
      </c>
      <c r="C1981" s="102">
        <v>1300000</v>
      </c>
      <c r="D1981" s="90" t="s">
        <v>374</v>
      </c>
      <c r="E1981" s="90" t="s">
        <v>68</v>
      </c>
      <c r="F1981" s="90" t="s">
        <v>375</v>
      </c>
      <c r="G1981" s="90" t="s">
        <v>376</v>
      </c>
      <c r="H1981" s="90">
        <v>0.59</v>
      </c>
      <c r="I1981" s="90">
        <v>0.64</v>
      </c>
      <c r="J1981" s="90" t="s">
        <v>244</v>
      </c>
      <c r="K1981" s="90">
        <v>0.16453992408008999</v>
      </c>
      <c r="L1981" s="90">
        <v>3700.0036194665799</v>
      </c>
      <c r="M1981" s="90">
        <v>7.5612447266174003</v>
      </c>
      <c r="N1981" s="90">
        <v>1.0137849002107</v>
      </c>
      <c r="O1981" s="90">
        <v>1.2441266332686201</v>
      </c>
      <c r="P1981" s="90">
        <v>0.16680809051421</v>
      </c>
      <c r="Q1981" s="90">
        <v>608.79831464309598</v>
      </c>
      <c r="R1981" s="90">
        <v>1700</v>
      </c>
      <c r="S1981" s="90" t="s">
        <v>414</v>
      </c>
      <c r="T1981" s="90">
        <v>1700</v>
      </c>
      <c r="U1981" s="90" t="s">
        <v>378</v>
      </c>
      <c r="V1981" s="90" t="s">
        <v>244</v>
      </c>
      <c r="Z1981" s="90">
        <v>0</v>
      </c>
      <c r="AA1981" s="90">
        <v>1</v>
      </c>
      <c r="AB1981" s="90">
        <v>1.2441266332686201</v>
      </c>
      <c r="AC1981" s="90">
        <v>0.16680809051421</v>
      </c>
      <c r="AD1981" s="90">
        <v>1220.47218312361</v>
      </c>
      <c r="AF1981" s="90">
        <v>-1</v>
      </c>
      <c r="AG1981" s="90">
        <v>-1</v>
      </c>
      <c r="AH1981" s="90">
        <v>-1</v>
      </c>
      <c r="AI1981" s="90">
        <v>-1</v>
      </c>
      <c r="AJ1981" s="90">
        <v>0</v>
      </c>
      <c r="AM1981" s="90" t="s">
        <v>379</v>
      </c>
      <c r="AN1981" s="90">
        <v>-1</v>
      </c>
      <c r="AQ1981" s="90">
        <v>383</v>
      </c>
      <c r="AR1981" s="90" t="s">
        <v>293</v>
      </c>
      <c r="AS1981" s="90" t="s">
        <v>415</v>
      </c>
      <c r="AT1981" s="90" t="s">
        <v>244</v>
      </c>
      <c r="AU1981" s="90">
        <v>1.3224320000000001</v>
      </c>
      <c r="AV1981" s="90">
        <v>126.76219748160899</v>
      </c>
      <c r="AW1981" s="90">
        <v>665.86944850472798</v>
      </c>
      <c r="AX1981" s="90">
        <v>0.9898395646</v>
      </c>
    </row>
    <row r="1982" spans="1:50" x14ac:dyDescent="0.25">
      <c r="A1982" s="102">
        <v>620000</v>
      </c>
      <c r="B1982" s="102">
        <v>1300000</v>
      </c>
      <c r="C1982" s="102">
        <v>1300000</v>
      </c>
      <c r="D1982" s="90" t="s">
        <v>374</v>
      </c>
      <c r="E1982" s="90" t="s">
        <v>68</v>
      </c>
      <c r="F1982" s="90" t="s">
        <v>375</v>
      </c>
      <c r="G1982" s="90" t="s">
        <v>376</v>
      </c>
      <c r="H1982" s="90">
        <v>0.59</v>
      </c>
      <c r="I1982" s="90">
        <v>0.64</v>
      </c>
      <c r="J1982" s="90" t="s">
        <v>244</v>
      </c>
      <c r="K1982" s="90">
        <v>1.217772858168E-2</v>
      </c>
      <c r="L1982" s="90">
        <v>163.49487833045799</v>
      </c>
      <c r="M1982" s="90">
        <v>0.43839453028429998</v>
      </c>
      <c r="N1982" s="90">
        <v>5.2552348246160001E-2</v>
      </c>
      <c r="O1982" s="90">
        <v>5.3386496014900002E-3</v>
      </c>
      <c r="P1982" s="90">
        <v>6.3996823326999998E-4</v>
      </c>
      <c r="Q1982" s="90">
        <v>1.9909962528044201</v>
      </c>
      <c r="R1982" s="90">
        <v>1700</v>
      </c>
      <c r="S1982" s="90" t="s">
        <v>414</v>
      </c>
      <c r="T1982" s="90">
        <v>1700</v>
      </c>
      <c r="U1982" s="90" t="s">
        <v>378</v>
      </c>
      <c r="V1982" s="90" t="s">
        <v>244</v>
      </c>
      <c r="Z1982" s="90">
        <v>0</v>
      </c>
      <c r="AA1982" s="90">
        <v>1</v>
      </c>
      <c r="AB1982" s="90">
        <v>5.3386496014900002E-3</v>
      </c>
      <c r="AC1982" s="90">
        <v>6.3996823326999998E-4</v>
      </c>
      <c r="AD1982" s="90">
        <v>6.8261397359957501</v>
      </c>
      <c r="AF1982" s="90">
        <v>-1</v>
      </c>
      <c r="AG1982" s="90">
        <v>-1</v>
      </c>
      <c r="AH1982" s="90">
        <v>-1</v>
      </c>
      <c r="AI1982" s="90">
        <v>-1</v>
      </c>
      <c r="AJ1982" s="90">
        <v>0</v>
      </c>
      <c r="AM1982" s="90" t="s">
        <v>379</v>
      </c>
      <c r="AN1982" s="90">
        <v>-1</v>
      </c>
      <c r="AQ1982" s="90">
        <v>383</v>
      </c>
      <c r="AR1982" s="90" t="s">
        <v>293</v>
      </c>
      <c r="AS1982" s="90" t="s">
        <v>415</v>
      </c>
      <c r="AT1982" s="90" t="s">
        <v>244</v>
      </c>
      <c r="AU1982" s="90">
        <v>1.3224320000000001</v>
      </c>
      <c r="AV1982" s="90">
        <v>86.520423544480806</v>
      </c>
      <c r="AW1982" s="90">
        <v>49.281519121049101</v>
      </c>
      <c r="AX1982" s="90">
        <v>5.5362042000000004E-3</v>
      </c>
    </row>
    <row r="1983" spans="1:50" x14ac:dyDescent="0.25">
      <c r="A1983" s="102">
        <v>620000</v>
      </c>
      <c r="B1983" s="102">
        <v>1300000</v>
      </c>
      <c r="C1983" s="102">
        <v>1300000</v>
      </c>
      <c r="D1983" s="90" t="s">
        <v>374</v>
      </c>
      <c r="E1983" s="90" t="s">
        <v>68</v>
      </c>
      <c r="F1983" s="90" t="s">
        <v>375</v>
      </c>
      <c r="G1983" s="90" t="s">
        <v>376</v>
      </c>
      <c r="H1983" s="90">
        <v>0.59</v>
      </c>
      <c r="I1983" s="90">
        <v>0.64</v>
      </c>
      <c r="J1983" s="90" t="s">
        <v>244</v>
      </c>
      <c r="K1983" s="90">
        <v>2.2031029614779998E-2</v>
      </c>
      <c r="L1983" s="90">
        <v>96.274815351284801</v>
      </c>
      <c r="M1983" s="90">
        <v>0.26734586412140998</v>
      </c>
      <c r="N1983" s="90">
        <v>3.2999704581229999E-2</v>
      </c>
      <c r="O1983" s="90">
        <v>5.88990464984E-3</v>
      </c>
      <c r="P1983" s="90">
        <v>7.2701746890000004E-4</v>
      </c>
      <c r="Q1983" s="90">
        <v>2.1210333081616302</v>
      </c>
      <c r="R1983" s="90">
        <v>1700</v>
      </c>
      <c r="S1983" s="90" t="s">
        <v>414</v>
      </c>
      <c r="T1983" s="90">
        <v>1700</v>
      </c>
      <c r="U1983" s="90" t="s">
        <v>378</v>
      </c>
      <c r="V1983" s="90" t="s">
        <v>244</v>
      </c>
      <c r="Z1983" s="90">
        <v>0</v>
      </c>
      <c r="AA1983" s="90">
        <v>1</v>
      </c>
      <c r="AB1983" s="90">
        <v>5.88990464984E-3</v>
      </c>
      <c r="AC1983" s="90">
        <v>7.2701746890000004E-4</v>
      </c>
      <c r="AD1983" s="90">
        <v>3.22159650878499</v>
      </c>
      <c r="AF1983" s="90">
        <v>-1</v>
      </c>
      <c r="AG1983" s="90">
        <v>-1</v>
      </c>
      <c r="AH1983" s="90">
        <v>-1</v>
      </c>
      <c r="AI1983" s="90">
        <v>-1</v>
      </c>
      <c r="AJ1983" s="90">
        <v>0</v>
      </c>
      <c r="AM1983" s="90" t="s">
        <v>379</v>
      </c>
      <c r="AN1983" s="90">
        <v>-1</v>
      </c>
      <c r="AQ1983" s="90">
        <v>383</v>
      </c>
      <c r="AR1983" s="90" t="s">
        <v>293</v>
      </c>
      <c r="AS1983" s="90" t="s">
        <v>415</v>
      </c>
      <c r="AT1983" s="90" t="s">
        <v>244</v>
      </c>
      <c r="AU1983" s="90">
        <v>1.3224320000000001</v>
      </c>
      <c r="AV1983" s="90">
        <v>103.36988123558</v>
      </c>
      <c r="AW1983" s="90">
        <v>89.156413688658802</v>
      </c>
      <c r="AX1983" s="90">
        <v>2.6128114000000002E-3</v>
      </c>
    </row>
    <row r="1984" spans="1:50" x14ac:dyDescent="0.25">
      <c r="A1984" s="102">
        <v>620000</v>
      </c>
      <c r="B1984" s="102">
        <v>1300000</v>
      </c>
      <c r="C1984" s="102">
        <v>1300000</v>
      </c>
      <c r="D1984" s="90" t="s">
        <v>374</v>
      </c>
      <c r="E1984" s="90" t="s">
        <v>68</v>
      </c>
      <c r="F1984" s="90" t="s">
        <v>375</v>
      </c>
      <c r="G1984" s="90" t="s">
        <v>376</v>
      </c>
      <c r="H1984" s="90">
        <v>0.59</v>
      </c>
      <c r="I1984" s="90">
        <v>0.64</v>
      </c>
      <c r="J1984" s="90" t="s">
        <v>244</v>
      </c>
      <c r="K1984" s="90">
        <v>0.19346775963162</v>
      </c>
      <c r="L1984" s="90">
        <v>3700.64450707691</v>
      </c>
      <c r="M1984" s="90">
        <v>7.6760752633011604</v>
      </c>
      <c r="N1984" s="90">
        <v>1.0263134964453</v>
      </c>
      <c r="O1984" s="90">
        <v>1.48507308395463</v>
      </c>
      <c r="P1984" s="90">
        <v>0.19855857283697001</v>
      </c>
      <c r="Q1984" s="90">
        <v>715.95540197725995</v>
      </c>
      <c r="R1984" s="90">
        <v>1700</v>
      </c>
      <c r="S1984" s="90" t="s">
        <v>414</v>
      </c>
      <c r="T1984" s="90">
        <v>1700</v>
      </c>
      <c r="U1984" s="90" t="s">
        <v>378</v>
      </c>
      <c r="V1984" s="90" t="s">
        <v>244</v>
      </c>
      <c r="Z1984" s="90">
        <v>0</v>
      </c>
      <c r="AA1984" s="90">
        <v>1</v>
      </c>
      <c r="AB1984" s="90">
        <v>1.48507308395463</v>
      </c>
      <c r="AC1984" s="90">
        <v>0.19855857283697001</v>
      </c>
      <c r="AD1984" s="90">
        <v>1351.45525728245</v>
      </c>
      <c r="AF1984" s="90">
        <v>-1</v>
      </c>
      <c r="AG1984" s="90">
        <v>-1</v>
      </c>
      <c r="AH1984" s="90">
        <v>-1</v>
      </c>
      <c r="AI1984" s="90">
        <v>-1</v>
      </c>
      <c r="AJ1984" s="90">
        <v>0</v>
      </c>
      <c r="AM1984" s="90" t="s">
        <v>379</v>
      </c>
      <c r="AN1984" s="90">
        <v>-1</v>
      </c>
      <c r="AQ1984" s="90">
        <v>383</v>
      </c>
      <c r="AR1984" s="90" t="s">
        <v>293</v>
      </c>
      <c r="AS1984" s="90" t="s">
        <v>415</v>
      </c>
      <c r="AT1984" s="90" t="s">
        <v>244</v>
      </c>
      <c r="AU1984" s="90">
        <v>1.3224320000000001</v>
      </c>
      <c r="AV1984" s="90">
        <v>131.40800947477899</v>
      </c>
      <c r="AW1984" s="90">
        <v>782.93624559259194</v>
      </c>
      <c r="AX1984" s="90">
        <v>1.0960707682999999</v>
      </c>
    </row>
    <row r="1985" spans="1:50" x14ac:dyDescent="0.25">
      <c r="A1985" s="102">
        <v>630000</v>
      </c>
      <c r="B1985" s="102">
        <v>1300000</v>
      </c>
      <c r="C1985" s="102">
        <v>1300000</v>
      </c>
      <c r="D1985" s="90" t="s">
        <v>374</v>
      </c>
      <c r="E1985" s="90" t="s">
        <v>68</v>
      </c>
      <c r="F1985" s="90" t="s">
        <v>375</v>
      </c>
      <c r="G1985" s="90" t="s">
        <v>376</v>
      </c>
      <c r="H1985" s="90">
        <v>0.59</v>
      </c>
      <c r="I1985" s="90">
        <v>0.64</v>
      </c>
      <c r="J1985" s="90" t="s">
        <v>244</v>
      </c>
      <c r="K1985" s="90">
        <v>5.8651439415640001E-2</v>
      </c>
      <c r="L1985" s="90">
        <v>3727.10644852821</v>
      </c>
      <c r="M1985" s="90">
        <v>8.5466419355632208</v>
      </c>
      <c r="N1985" s="90">
        <v>1.33808495204</v>
      </c>
      <c r="O1985" s="90">
        <v>0.50127285169087998</v>
      </c>
      <c r="P1985" s="90">
        <v>7.8480608497549995E-2</v>
      </c>
      <c r="Q1985" s="90">
        <v>218.60015806150801</v>
      </c>
      <c r="R1985" s="90">
        <v>1700</v>
      </c>
      <c r="S1985" s="90" t="s">
        <v>414</v>
      </c>
      <c r="T1985" s="90">
        <v>1700</v>
      </c>
      <c r="U1985" s="90" t="s">
        <v>378</v>
      </c>
      <c r="V1985" s="90" t="s">
        <v>244</v>
      </c>
      <c r="Z1985" s="90">
        <v>0</v>
      </c>
      <c r="AA1985" s="90">
        <v>1</v>
      </c>
      <c r="AB1985" s="90">
        <v>0.50127285169087998</v>
      </c>
      <c r="AC1985" s="90">
        <v>7.8480608497549995E-2</v>
      </c>
      <c r="AD1985" s="90">
        <v>764.52157006410903</v>
      </c>
      <c r="AF1985" s="90">
        <v>-1</v>
      </c>
      <c r="AG1985" s="90">
        <v>-1</v>
      </c>
      <c r="AH1985" s="90">
        <v>-1</v>
      </c>
      <c r="AI1985" s="90">
        <v>-1</v>
      </c>
      <c r="AJ1985" s="90">
        <v>0</v>
      </c>
      <c r="AM1985" s="90" t="s">
        <v>379</v>
      </c>
      <c r="AN1985" s="90">
        <v>-1</v>
      </c>
      <c r="AQ1985" s="90">
        <v>383</v>
      </c>
      <c r="AR1985" s="90" t="s">
        <v>293</v>
      </c>
      <c r="AS1985" s="90" t="s">
        <v>415</v>
      </c>
      <c r="AT1985" s="90" t="s">
        <v>244</v>
      </c>
      <c r="AU1985" s="90">
        <v>1.3224320000000001</v>
      </c>
      <c r="AV1985" s="90">
        <v>60.235908570370903</v>
      </c>
      <c r="AW1985" s="90">
        <v>237.35395428220301</v>
      </c>
      <c r="AX1985" s="90">
        <v>0.62004993519999996</v>
      </c>
    </row>
    <row r="1986" spans="1:50" x14ac:dyDescent="0.25">
      <c r="A1986" s="102">
        <v>630000</v>
      </c>
      <c r="B1986" s="102">
        <v>1300000</v>
      </c>
      <c r="C1986" s="102">
        <v>1300000</v>
      </c>
      <c r="D1986" s="90" t="s">
        <v>374</v>
      </c>
      <c r="E1986" s="90" t="s">
        <v>68</v>
      </c>
      <c r="F1986" s="90" t="s">
        <v>375</v>
      </c>
      <c r="G1986" s="90" t="s">
        <v>376</v>
      </c>
      <c r="H1986" s="90">
        <v>0.59</v>
      </c>
      <c r="I1986" s="90">
        <v>0.64</v>
      </c>
      <c r="J1986" s="90" t="s">
        <v>244</v>
      </c>
      <c r="K1986" s="90">
        <v>0.12427325175499</v>
      </c>
      <c r="L1986" s="90">
        <v>3687.7741029260701</v>
      </c>
      <c r="M1986" s="90">
        <v>7.7174886658628203</v>
      </c>
      <c r="N1986" s="90">
        <v>1.0155538805715301</v>
      </c>
      <c r="O1986" s="90">
        <v>0.95907741188909001</v>
      </c>
      <c r="P1986" s="90">
        <v>0.12620618307102</v>
      </c>
      <c r="Q1986" s="90">
        <v>458.29167950848603</v>
      </c>
      <c r="R1986" s="90">
        <v>1700</v>
      </c>
      <c r="S1986" s="90" t="s">
        <v>414</v>
      </c>
      <c r="T1986" s="90">
        <v>1700</v>
      </c>
      <c r="U1986" s="90" t="s">
        <v>378</v>
      </c>
      <c r="V1986" s="90" t="s">
        <v>244</v>
      </c>
      <c r="Z1986" s="90">
        <v>0</v>
      </c>
      <c r="AA1986" s="90">
        <v>1</v>
      </c>
      <c r="AB1986" s="90">
        <v>0.95907741188909001</v>
      </c>
      <c r="AC1986" s="90">
        <v>0.12620618307102</v>
      </c>
      <c r="AD1986" s="90">
        <v>1066.53242765808</v>
      </c>
      <c r="AF1986" s="90">
        <v>-1</v>
      </c>
      <c r="AG1986" s="90">
        <v>-1</v>
      </c>
      <c r="AH1986" s="90">
        <v>-1</v>
      </c>
      <c r="AI1986" s="90">
        <v>-1</v>
      </c>
      <c r="AJ1986" s="90">
        <v>0</v>
      </c>
      <c r="AM1986" s="90" t="s">
        <v>379</v>
      </c>
      <c r="AN1986" s="90">
        <v>-1</v>
      </c>
      <c r="AQ1986" s="90">
        <v>383</v>
      </c>
      <c r="AR1986" s="90" t="s">
        <v>293</v>
      </c>
      <c r="AS1986" s="90" t="s">
        <v>415</v>
      </c>
      <c r="AT1986" s="90" t="s">
        <v>244</v>
      </c>
      <c r="AU1986" s="90">
        <v>1.3224320000000001</v>
      </c>
      <c r="AV1986" s="90">
        <v>120.14580194788699</v>
      </c>
      <c r="AW1986" s="90">
        <v>502.91600699723602</v>
      </c>
      <c r="AX1986" s="90">
        <v>0.86498980349999999</v>
      </c>
    </row>
    <row r="1987" spans="1:50" x14ac:dyDescent="0.25">
      <c r="A1987" s="102">
        <v>630000</v>
      </c>
      <c r="B1987" s="102">
        <v>1300000</v>
      </c>
      <c r="C1987" s="102">
        <v>1300000</v>
      </c>
      <c r="D1987" s="90" t="s">
        <v>374</v>
      </c>
      <c r="E1987" s="90" t="s">
        <v>68</v>
      </c>
      <c r="F1987" s="90" t="s">
        <v>375</v>
      </c>
      <c r="G1987" s="90" t="s">
        <v>376</v>
      </c>
      <c r="H1987" s="90">
        <v>0.59</v>
      </c>
      <c r="I1987" s="90">
        <v>0.64</v>
      </c>
      <c r="J1987" s="90" t="s">
        <v>244</v>
      </c>
      <c r="K1987" s="90">
        <v>0.10317137902404</v>
      </c>
      <c r="L1987" s="90">
        <v>3687.9678875810901</v>
      </c>
      <c r="M1987" s="90">
        <v>7.6729893274814103</v>
      </c>
      <c r="N1987" s="90">
        <v>1.0104979127068501</v>
      </c>
      <c r="O1987" s="90">
        <v>0.79163289015301996</v>
      </c>
      <c r="P1987" s="90">
        <v>0.10425446315488</v>
      </c>
      <c r="Q1987" s="90">
        <v>380.49273275812698</v>
      </c>
      <c r="R1987" s="90">
        <v>1700</v>
      </c>
      <c r="S1987" s="90" t="s">
        <v>414</v>
      </c>
      <c r="T1987" s="90">
        <v>1700</v>
      </c>
      <c r="U1987" s="90" t="s">
        <v>378</v>
      </c>
      <c r="V1987" s="90" t="s">
        <v>244</v>
      </c>
      <c r="Z1987" s="90">
        <v>0</v>
      </c>
      <c r="AA1987" s="90">
        <v>1</v>
      </c>
      <c r="AB1987" s="90">
        <v>0.79163289015301996</v>
      </c>
      <c r="AC1987" s="90">
        <v>0.10425446315488</v>
      </c>
      <c r="AD1987" s="90">
        <v>1007.8846641226399</v>
      </c>
      <c r="AF1987" s="90">
        <v>-1</v>
      </c>
      <c r="AG1987" s="90">
        <v>-1</v>
      </c>
      <c r="AH1987" s="90">
        <v>-1</v>
      </c>
      <c r="AI1987" s="90">
        <v>-1</v>
      </c>
      <c r="AJ1987" s="90">
        <v>0</v>
      </c>
      <c r="AM1987" s="90" t="s">
        <v>379</v>
      </c>
      <c r="AN1987" s="90">
        <v>-1</v>
      </c>
      <c r="AQ1987" s="90">
        <v>383</v>
      </c>
      <c r="AR1987" s="90" t="s">
        <v>293</v>
      </c>
      <c r="AS1987" s="90" t="s">
        <v>415</v>
      </c>
      <c r="AT1987" s="90" t="s">
        <v>244</v>
      </c>
      <c r="AU1987" s="90">
        <v>1.3224320000000001</v>
      </c>
      <c r="AV1987" s="90">
        <v>116.729952102062</v>
      </c>
      <c r="AW1987" s="90">
        <v>417.51975781131398</v>
      </c>
      <c r="AX1987" s="90">
        <v>0.81742470730000005</v>
      </c>
    </row>
    <row r="1988" spans="1:50" x14ac:dyDescent="0.25">
      <c r="A1988" s="102">
        <v>630000</v>
      </c>
      <c r="B1988" s="102">
        <v>1300000</v>
      </c>
      <c r="C1988" s="102">
        <v>1300000</v>
      </c>
      <c r="D1988" s="90" t="s">
        <v>374</v>
      </c>
      <c r="E1988" s="90" t="s">
        <v>68</v>
      </c>
      <c r="F1988" s="90" t="s">
        <v>375</v>
      </c>
      <c r="G1988" s="90" t="s">
        <v>376</v>
      </c>
      <c r="H1988" s="90">
        <v>0.59</v>
      </c>
      <c r="I1988" s="90">
        <v>0.64</v>
      </c>
      <c r="J1988" s="90" t="s">
        <v>244</v>
      </c>
      <c r="K1988" s="90">
        <v>6.2850313798000004E-3</v>
      </c>
      <c r="L1988" s="90">
        <v>2325.45760771288</v>
      </c>
      <c r="M1988" s="90">
        <v>5.7188830695948596</v>
      </c>
      <c r="N1988" s="90">
        <v>0.58394739872160994</v>
      </c>
      <c r="O1988" s="90">
        <v>3.594335954985E-2</v>
      </c>
      <c r="P1988" s="90">
        <v>3.6701277251200001E-3</v>
      </c>
      <c r="Q1988" s="90">
        <v>14.615574036888701</v>
      </c>
      <c r="R1988" s="90">
        <v>1700</v>
      </c>
      <c r="S1988" s="90" t="s">
        <v>414</v>
      </c>
      <c r="T1988" s="90">
        <v>1700</v>
      </c>
      <c r="U1988" s="90" t="s">
        <v>378</v>
      </c>
      <c r="V1988" s="90" t="s">
        <v>244</v>
      </c>
      <c r="Z1988" s="90">
        <v>0</v>
      </c>
      <c r="AA1988" s="90">
        <v>1</v>
      </c>
      <c r="AB1988" s="90">
        <v>3.594335954985E-2</v>
      </c>
      <c r="AC1988" s="90">
        <v>3.6701277251200001E-3</v>
      </c>
      <c r="AD1988" s="90">
        <v>14.6155740368895</v>
      </c>
      <c r="AF1988" s="90">
        <v>-1</v>
      </c>
      <c r="AG1988" s="90">
        <v>-1</v>
      </c>
      <c r="AH1988" s="90">
        <v>-1</v>
      </c>
      <c r="AI1988" s="90">
        <v>-1</v>
      </c>
      <c r="AJ1988" s="90">
        <v>0</v>
      </c>
      <c r="AM1988" s="90" t="s">
        <v>379</v>
      </c>
      <c r="AN1988" s="90">
        <v>-1</v>
      </c>
      <c r="AQ1988" s="90">
        <v>383</v>
      </c>
      <c r="AR1988" s="90" t="s">
        <v>293</v>
      </c>
      <c r="AS1988" s="90" t="s">
        <v>415</v>
      </c>
      <c r="AT1988" s="90" t="s">
        <v>244</v>
      </c>
      <c r="AU1988" s="90">
        <v>1.3224320000000001</v>
      </c>
      <c r="AV1988" s="90">
        <v>85.124539355816793</v>
      </c>
      <c r="AW1988" s="90">
        <v>25.434619604362901</v>
      </c>
      <c r="AX1988" s="90">
        <v>1.18536691E-2</v>
      </c>
    </row>
    <row r="1989" spans="1:50" x14ac:dyDescent="0.25">
      <c r="A1989" s="102">
        <v>650000</v>
      </c>
      <c r="B1989" s="102">
        <v>2200000</v>
      </c>
      <c r="C1989" s="102">
        <v>2200000</v>
      </c>
      <c r="D1989" s="90" t="s">
        <v>374</v>
      </c>
      <c r="E1989" s="90" t="s">
        <v>68</v>
      </c>
      <c r="F1989" s="90" t="s">
        <v>375</v>
      </c>
      <c r="G1989" s="90" t="s">
        <v>376</v>
      </c>
      <c r="H1989" s="90">
        <v>0.59</v>
      </c>
      <c r="I1989" s="90">
        <v>0.64</v>
      </c>
      <c r="J1989" s="90" t="s">
        <v>389</v>
      </c>
      <c r="K1989" s="90">
        <v>1.178752808036E-2</v>
      </c>
      <c r="L1989" s="90">
        <v>3615.9641270456</v>
      </c>
      <c r="M1989" s="90">
        <v>7.7852707861208996</v>
      </c>
      <c r="N1989" s="90">
        <v>1.0013356399748601</v>
      </c>
      <c r="O1989" s="90">
        <v>9.176909800461E-2</v>
      </c>
      <c r="P1989" s="90">
        <v>1.1803271974070001E-2</v>
      </c>
      <c r="Q1989" s="90">
        <v>42.623278685128</v>
      </c>
      <c r="R1989" s="90">
        <v>3100</v>
      </c>
      <c r="S1989" s="90" t="s">
        <v>416</v>
      </c>
      <c r="T1989" s="90">
        <v>3100</v>
      </c>
      <c r="U1989" s="90" t="s">
        <v>378</v>
      </c>
      <c r="V1989" s="90" t="s">
        <v>244</v>
      </c>
      <c r="Y1989" s="90" t="s">
        <v>389</v>
      </c>
      <c r="Z1989" s="90">
        <v>0</v>
      </c>
      <c r="AA1989" s="90">
        <v>1</v>
      </c>
      <c r="AB1989" s="90">
        <v>9.176909800461E-2</v>
      </c>
      <c r="AC1989" s="90">
        <v>1.1803271974070001E-2</v>
      </c>
      <c r="AD1989" s="90">
        <v>179.36201153089701</v>
      </c>
      <c r="AF1989" s="90">
        <v>-1</v>
      </c>
      <c r="AG1989" s="90">
        <v>-1</v>
      </c>
      <c r="AH1989" s="90">
        <v>-1</v>
      </c>
      <c r="AI1989" s="90">
        <v>-1</v>
      </c>
      <c r="AJ1989" s="90">
        <v>0</v>
      </c>
      <c r="AM1989" s="90" t="s">
        <v>379</v>
      </c>
      <c r="AN1989" s="90">
        <v>-1</v>
      </c>
      <c r="AQ1989" s="90">
        <v>383</v>
      </c>
      <c r="AR1989" s="90" t="s">
        <v>293</v>
      </c>
      <c r="AS1989" s="90" t="s">
        <v>415</v>
      </c>
      <c r="AT1989" s="90" t="s">
        <v>244</v>
      </c>
      <c r="AU1989" s="90">
        <v>1.3224320000000001</v>
      </c>
      <c r="AV1989" s="90">
        <v>27.856096901183601</v>
      </c>
      <c r="AW1989" s="90">
        <v>47.702433716229798</v>
      </c>
      <c r="AX1989" s="90">
        <v>0.1454679737</v>
      </c>
    </row>
    <row r="1990" spans="1:50" x14ac:dyDescent="0.25">
      <c r="A1990" s="102">
        <v>650000</v>
      </c>
      <c r="B1990" s="102">
        <v>2300000</v>
      </c>
      <c r="C1990" s="102">
        <v>2300000</v>
      </c>
      <c r="D1990" s="90" t="s">
        <v>374</v>
      </c>
      <c r="E1990" s="90" t="s">
        <v>68</v>
      </c>
      <c r="F1990" s="90" t="s">
        <v>375</v>
      </c>
      <c r="G1990" s="90" t="s">
        <v>376</v>
      </c>
      <c r="H1990" s="90">
        <v>0.59</v>
      </c>
      <c r="I1990" s="90">
        <v>0.64</v>
      </c>
      <c r="J1990" s="90" t="s">
        <v>389</v>
      </c>
      <c r="K1990" s="90">
        <v>2.3164312776E-4</v>
      </c>
      <c r="L1990" s="90">
        <v>3696.0453521244099</v>
      </c>
      <c r="M1990" s="90">
        <v>7.5915201521356197</v>
      </c>
      <c r="N1990" s="90">
        <v>1.00922788452226</v>
      </c>
      <c r="O1990" s="90">
        <v>1.7585234725E-3</v>
      </c>
      <c r="P1990" s="90">
        <v>2.3378070378999999E-4</v>
      </c>
      <c r="Q1990" s="90">
        <v>0.85616350571629996</v>
      </c>
      <c r="R1990" s="90">
        <v>6120</v>
      </c>
      <c r="S1990" s="90" t="s">
        <v>417</v>
      </c>
      <c r="T1990" s="90">
        <v>6120</v>
      </c>
      <c r="U1990" s="90" t="s">
        <v>378</v>
      </c>
      <c r="V1990" s="90" t="s">
        <v>244</v>
      </c>
      <c r="Y1990" s="90" t="s">
        <v>389</v>
      </c>
      <c r="Z1990" s="90">
        <v>0</v>
      </c>
      <c r="AA1990" s="90">
        <v>1</v>
      </c>
      <c r="AB1990" s="90">
        <v>1.7585234725E-3</v>
      </c>
      <c r="AC1990" s="90">
        <v>2.3378070378999999E-4</v>
      </c>
      <c r="AD1990" s="90">
        <v>0.85616350571737998</v>
      </c>
      <c r="AF1990" s="90">
        <v>-1</v>
      </c>
      <c r="AG1990" s="90">
        <v>-1</v>
      </c>
      <c r="AH1990" s="90">
        <v>-1</v>
      </c>
      <c r="AI1990" s="90">
        <v>-1</v>
      </c>
      <c r="AJ1990" s="90">
        <v>0</v>
      </c>
      <c r="AM1990" s="90" t="s">
        <v>379</v>
      </c>
      <c r="AN1990" s="90">
        <v>-1</v>
      </c>
      <c r="AQ1990" s="90">
        <v>383</v>
      </c>
      <c r="AR1990" s="90" t="s">
        <v>293</v>
      </c>
      <c r="AS1990" s="90" t="s">
        <v>415</v>
      </c>
      <c r="AT1990" s="90" t="s">
        <v>244</v>
      </c>
      <c r="AU1990" s="90">
        <v>1.3224320000000001</v>
      </c>
      <c r="AV1990" s="90">
        <v>16.341872742115001</v>
      </c>
      <c r="AW1990" s="90">
        <v>0.93742647928966005</v>
      </c>
      <c r="AX1990" s="90">
        <v>6.9437429999999998E-4</v>
      </c>
    </row>
    <row r="1991" spans="1:50" x14ac:dyDescent="0.25">
      <c r="A1991" s="102">
        <v>650000</v>
      </c>
      <c r="B1991" s="102">
        <v>2300000</v>
      </c>
      <c r="C1991" s="102">
        <v>2300000</v>
      </c>
      <c r="D1991" s="90" t="s">
        <v>374</v>
      </c>
      <c r="E1991" s="90" t="s">
        <v>68</v>
      </c>
      <c r="F1991" s="90" t="s">
        <v>375</v>
      </c>
      <c r="G1991" s="90" t="s">
        <v>376</v>
      </c>
      <c r="H1991" s="90">
        <v>0.59</v>
      </c>
      <c r="I1991" s="90">
        <v>0.64</v>
      </c>
      <c r="J1991" s="90" t="s">
        <v>389</v>
      </c>
      <c r="K1991" s="90">
        <v>4.4355884786200003E-3</v>
      </c>
      <c r="L1991" s="90">
        <v>3699.4704100490799</v>
      </c>
      <c r="M1991" s="90">
        <v>7.5330192022385303</v>
      </c>
      <c r="N1991" s="90">
        <v>1.01061078421982</v>
      </c>
      <c r="O1991" s="90">
        <v>3.3413373182730001E-2</v>
      </c>
      <c r="P1991" s="90">
        <v>4.4826535508599996E-3</v>
      </c>
      <c r="Q1991" s="90">
        <v>16.409328327838899</v>
      </c>
      <c r="R1991" s="90">
        <v>6120</v>
      </c>
      <c r="S1991" s="90" t="s">
        <v>417</v>
      </c>
      <c r="T1991" s="90">
        <v>6120</v>
      </c>
      <c r="U1991" s="90" t="s">
        <v>378</v>
      </c>
      <c r="V1991" s="90" t="s">
        <v>244</v>
      </c>
      <c r="Y1991" s="90" t="s">
        <v>389</v>
      </c>
      <c r="Z1991" s="90">
        <v>0</v>
      </c>
      <c r="AA1991" s="90">
        <v>1</v>
      </c>
      <c r="AB1991" s="90">
        <v>3.3413373182730001E-2</v>
      </c>
      <c r="AC1991" s="90">
        <v>4.4826535508599996E-3</v>
      </c>
      <c r="AD1991" s="90">
        <v>27.206119041753698</v>
      </c>
      <c r="AF1991" s="90">
        <v>-1</v>
      </c>
      <c r="AG1991" s="90">
        <v>-1</v>
      </c>
      <c r="AH1991" s="90">
        <v>-1</v>
      </c>
      <c r="AI1991" s="90">
        <v>-1</v>
      </c>
      <c r="AJ1991" s="90">
        <v>0</v>
      </c>
      <c r="AM1991" s="90" t="s">
        <v>379</v>
      </c>
      <c r="AN1991" s="90">
        <v>-1</v>
      </c>
      <c r="AQ1991" s="90">
        <v>383</v>
      </c>
      <c r="AR1991" s="90" t="s">
        <v>293</v>
      </c>
      <c r="AS1991" s="90" t="s">
        <v>415</v>
      </c>
      <c r="AT1991" s="90" t="s">
        <v>244</v>
      </c>
      <c r="AU1991" s="90">
        <v>1.3224320000000001</v>
      </c>
      <c r="AV1991" s="90">
        <v>89.094354425700701</v>
      </c>
      <c r="AW1991" s="90">
        <v>17.950189721860401</v>
      </c>
      <c r="AX1991" s="90">
        <v>2.2064978900000001E-2</v>
      </c>
    </row>
    <row r="1992" spans="1:50" x14ac:dyDescent="0.25">
      <c r="A1992" s="102">
        <v>650000</v>
      </c>
      <c r="B1992" s="102">
        <v>2300000</v>
      </c>
      <c r="C1992" s="102">
        <v>2300000</v>
      </c>
      <c r="D1992" s="90" t="s">
        <v>374</v>
      </c>
      <c r="E1992" s="90" t="s">
        <v>68</v>
      </c>
      <c r="F1992" s="90" t="s">
        <v>375</v>
      </c>
      <c r="G1992" s="90" t="s">
        <v>376</v>
      </c>
      <c r="H1992" s="90">
        <v>0.59</v>
      </c>
      <c r="I1992" s="90">
        <v>0.64</v>
      </c>
      <c r="J1992" s="90" t="s">
        <v>389</v>
      </c>
      <c r="K1992" s="90">
        <v>7.4995593855900003E-3</v>
      </c>
      <c r="L1992" s="90">
        <v>172.00812881521099</v>
      </c>
      <c r="M1992" s="90">
        <v>0.46967170090650001</v>
      </c>
      <c r="N1992" s="90">
        <v>4.5960893965409998E-2</v>
      </c>
      <c r="O1992" s="90">
        <v>3.5223308126799999E-3</v>
      </c>
      <c r="P1992" s="90">
        <v>3.4468645370000001E-4</v>
      </c>
      <c r="Q1992" s="90">
        <v>1.28998517685544</v>
      </c>
      <c r="R1992" s="90">
        <v>5400</v>
      </c>
      <c r="S1992" s="90" t="s">
        <v>392</v>
      </c>
      <c r="T1992" s="90">
        <v>5400</v>
      </c>
      <c r="U1992" s="90" t="s">
        <v>378</v>
      </c>
      <c r="V1992" s="90" t="s">
        <v>244</v>
      </c>
      <c r="Y1992" s="90" t="s">
        <v>389</v>
      </c>
      <c r="Z1992" s="90">
        <v>0</v>
      </c>
      <c r="AA1992" s="90">
        <v>1</v>
      </c>
      <c r="AB1992" s="90">
        <v>3.5223308126799999E-3</v>
      </c>
      <c r="AC1992" s="90">
        <v>3.4468645370000001E-4</v>
      </c>
      <c r="AD1992" s="90">
        <v>96.595248377372599</v>
      </c>
      <c r="AF1992" s="90">
        <v>-1</v>
      </c>
      <c r="AG1992" s="90">
        <v>-1</v>
      </c>
      <c r="AH1992" s="90">
        <v>-1</v>
      </c>
      <c r="AI1992" s="90">
        <v>-1</v>
      </c>
      <c r="AJ1992" s="90">
        <v>0</v>
      </c>
      <c r="AM1992" s="90" t="s">
        <v>379</v>
      </c>
      <c r="AN1992" s="90">
        <v>-1</v>
      </c>
      <c r="AQ1992" s="90">
        <v>383</v>
      </c>
      <c r="AR1992" s="90" t="s">
        <v>293</v>
      </c>
      <c r="AS1992" s="90" t="s">
        <v>415</v>
      </c>
      <c r="AT1992" s="90" t="s">
        <v>244</v>
      </c>
      <c r="AU1992" s="90">
        <v>1.3224320000000001</v>
      </c>
      <c r="AV1992" s="90">
        <v>67.714818938789904</v>
      </c>
      <c r="AW1992" s="90">
        <v>30.349640064781301</v>
      </c>
      <c r="AX1992" s="90">
        <v>7.8341645099999996E-2</v>
      </c>
    </row>
    <row r="1993" spans="1:50" x14ac:dyDescent="0.25">
      <c r="A1993" s="102">
        <v>650000</v>
      </c>
      <c r="B1993" s="102">
        <v>2300000</v>
      </c>
      <c r="C1993" s="102">
        <v>2300000</v>
      </c>
      <c r="D1993" s="90" t="s">
        <v>374</v>
      </c>
      <c r="E1993" s="90" t="s">
        <v>68</v>
      </c>
      <c r="F1993" s="90" t="s">
        <v>375</v>
      </c>
      <c r="G1993" s="90" t="s">
        <v>376</v>
      </c>
      <c r="H1993" s="90">
        <v>0.59</v>
      </c>
      <c r="I1993" s="90">
        <v>0.64</v>
      </c>
      <c r="J1993" s="90" t="s">
        <v>389</v>
      </c>
      <c r="K1993" s="90">
        <v>2.8385402800100001E-3</v>
      </c>
      <c r="L1993" s="90">
        <v>172.00812881521099</v>
      </c>
      <c r="M1993" s="90">
        <v>0.46967170090650001</v>
      </c>
      <c r="N1993" s="90">
        <v>4.5960893965409998E-2</v>
      </c>
      <c r="O1993" s="90">
        <v>1.3331820414E-3</v>
      </c>
      <c r="P1993" s="90">
        <v>1.3046184882E-4</v>
      </c>
      <c r="Q1993" s="90">
        <v>0.48825200213181003</v>
      </c>
      <c r="R1993" s="90">
        <v>6120</v>
      </c>
      <c r="S1993" s="90" t="s">
        <v>417</v>
      </c>
      <c r="T1993" s="90">
        <v>6120</v>
      </c>
      <c r="U1993" s="90" t="s">
        <v>378</v>
      </c>
      <c r="V1993" s="90" t="s">
        <v>244</v>
      </c>
      <c r="Y1993" s="90" t="s">
        <v>389</v>
      </c>
      <c r="Z1993" s="90">
        <v>0</v>
      </c>
      <c r="AA1993" s="90">
        <v>1</v>
      </c>
      <c r="AB1993" s="90">
        <v>1.3331820414E-3</v>
      </c>
      <c r="AC1993" s="90">
        <v>1.3046184882E-4</v>
      </c>
      <c r="AD1993" s="90">
        <v>6.7225859306620404</v>
      </c>
      <c r="AF1993" s="90">
        <v>-1</v>
      </c>
      <c r="AG1993" s="90">
        <v>-1</v>
      </c>
      <c r="AH1993" s="90">
        <v>-1</v>
      </c>
      <c r="AI1993" s="90">
        <v>-1</v>
      </c>
      <c r="AJ1993" s="90">
        <v>0</v>
      </c>
      <c r="AM1993" s="90" t="s">
        <v>379</v>
      </c>
      <c r="AN1993" s="90">
        <v>-1</v>
      </c>
      <c r="AQ1993" s="90">
        <v>383</v>
      </c>
      <c r="AR1993" s="90" t="s">
        <v>293</v>
      </c>
      <c r="AS1993" s="90" t="s">
        <v>415</v>
      </c>
      <c r="AT1993" s="90" t="s">
        <v>244</v>
      </c>
      <c r="AU1993" s="90">
        <v>1.3224320000000001</v>
      </c>
      <c r="AV1993" s="90">
        <v>36.270119217163</v>
      </c>
      <c r="AW1993" s="90">
        <v>11.487164962416699</v>
      </c>
      <c r="AX1993" s="90">
        <v>5.4522188999999999E-3</v>
      </c>
    </row>
    <row r="1994" spans="1:50" x14ac:dyDescent="0.25">
      <c r="A1994" s="102">
        <v>660000</v>
      </c>
      <c r="B1994" s="102">
        <v>2300000</v>
      </c>
      <c r="C1994" s="102">
        <v>2300000</v>
      </c>
      <c r="D1994" s="90" t="s">
        <v>374</v>
      </c>
      <c r="E1994" s="90" t="s">
        <v>68</v>
      </c>
      <c r="F1994" s="90" t="s">
        <v>375</v>
      </c>
      <c r="G1994" s="90" t="s">
        <v>376</v>
      </c>
      <c r="H1994" s="90">
        <v>0.59</v>
      </c>
      <c r="I1994" s="90">
        <v>0.64</v>
      </c>
      <c r="J1994" s="90" t="s">
        <v>389</v>
      </c>
      <c r="K1994" s="90">
        <v>3.8356919568100002E-3</v>
      </c>
      <c r="L1994" s="90">
        <v>163.49487833045799</v>
      </c>
      <c r="M1994" s="90">
        <v>0.43839453028429998</v>
      </c>
      <c r="N1994" s="90">
        <v>5.2552348246160001E-2</v>
      </c>
      <c r="O1994" s="90">
        <v>1.68154637372E-3</v>
      </c>
      <c r="P1994" s="90">
        <v>2.0157461947E-4</v>
      </c>
      <c r="Q1994" s="90">
        <v>0.62711598979192995</v>
      </c>
      <c r="R1994" s="90">
        <v>3100</v>
      </c>
      <c r="S1994" s="90" t="s">
        <v>416</v>
      </c>
      <c r="T1994" s="90">
        <v>3100</v>
      </c>
      <c r="U1994" s="90" t="s">
        <v>378</v>
      </c>
      <c r="V1994" s="90" t="s">
        <v>244</v>
      </c>
      <c r="Y1994" s="90" t="s">
        <v>389</v>
      </c>
      <c r="Z1994" s="90">
        <v>0</v>
      </c>
      <c r="AA1994" s="90">
        <v>1</v>
      </c>
      <c r="AB1994" s="90">
        <v>1.68154637372E-3</v>
      </c>
      <c r="AC1994" s="90">
        <v>2.0157461947E-4</v>
      </c>
      <c r="AD1994" s="90">
        <v>1.62270070442325</v>
      </c>
      <c r="AF1994" s="90">
        <v>-1</v>
      </c>
      <c r="AG1994" s="90">
        <v>-1</v>
      </c>
      <c r="AH1994" s="90">
        <v>-1</v>
      </c>
      <c r="AI1994" s="90">
        <v>-1</v>
      </c>
      <c r="AJ1994" s="90">
        <v>0</v>
      </c>
      <c r="AM1994" s="90" t="s">
        <v>379</v>
      </c>
      <c r="AN1994" s="90">
        <v>-1</v>
      </c>
      <c r="AQ1994" s="90">
        <v>383</v>
      </c>
      <c r="AR1994" s="90" t="s">
        <v>293</v>
      </c>
      <c r="AS1994" s="90" t="s">
        <v>415</v>
      </c>
      <c r="AT1994" s="90" t="s">
        <v>244</v>
      </c>
      <c r="AU1994" s="90">
        <v>1.3224320000000001</v>
      </c>
      <c r="AV1994" s="90">
        <v>20.225902741531701</v>
      </c>
      <c r="AW1994" s="90">
        <v>15.5224946297675</v>
      </c>
      <c r="AX1994" s="90">
        <v>1.3160590000000001E-3</v>
      </c>
    </row>
    <row r="1995" spans="1:50" x14ac:dyDescent="0.25">
      <c r="A1995" s="102">
        <v>660000</v>
      </c>
      <c r="B1995" s="102">
        <v>2300000</v>
      </c>
      <c r="C1995" s="102">
        <v>2300000</v>
      </c>
      <c r="D1995" s="90" t="s">
        <v>374</v>
      </c>
      <c r="E1995" s="90" t="s">
        <v>68</v>
      </c>
      <c r="F1995" s="90" t="s">
        <v>375</v>
      </c>
      <c r="G1995" s="90" t="s">
        <v>376</v>
      </c>
      <c r="H1995" s="90">
        <v>0.59</v>
      </c>
      <c r="I1995" s="90">
        <v>0.64</v>
      </c>
      <c r="J1995" s="90" t="s">
        <v>389</v>
      </c>
      <c r="K1995" s="90">
        <v>4.4050811165999998E-4</v>
      </c>
      <c r="L1995" s="90">
        <v>96.274815351284801</v>
      </c>
      <c r="M1995" s="90">
        <v>0.26734586412140998</v>
      </c>
      <c r="N1995" s="90">
        <v>3.2999704581229999E-2</v>
      </c>
      <c r="O1995" s="90">
        <v>1.1776802176E-4</v>
      </c>
      <c r="P1995" s="90">
        <v>1.4536637550000001E-5</v>
      </c>
      <c r="Q1995" s="90">
        <v>4.2409837111479998E-2</v>
      </c>
      <c r="R1995" s="90">
        <v>5400</v>
      </c>
      <c r="S1995" s="90" t="s">
        <v>392</v>
      </c>
      <c r="T1995" s="90">
        <v>5400</v>
      </c>
      <c r="U1995" s="90" t="s">
        <v>378</v>
      </c>
      <c r="V1995" s="90" t="s">
        <v>244</v>
      </c>
      <c r="Y1995" s="90" t="s">
        <v>389</v>
      </c>
      <c r="Z1995" s="90">
        <v>0</v>
      </c>
      <c r="AA1995" s="90">
        <v>1</v>
      </c>
      <c r="AB1995" s="90">
        <v>1.1776802176E-4</v>
      </c>
      <c r="AC1995" s="90">
        <v>1.4536637550000001E-5</v>
      </c>
      <c r="AD1995" s="90">
        <v>56.2534576972729</v>
      </c>
      <c r="AF1995" s="90">
        <v>-1</v>
      </c>
      <c r="AG1995" s="90">
        <v>-1</v>
      </c>
      <c r="AH1995" s="90">
        <v>-1</v>
      </c>
      <c r="AI1995" s="90">
        <v>-1</v>
      </c>
      <c r="AJ1995" s="90">
        <v>0</v>
      </c>
      <c r="AM1995" s="90" t="s">
        <v>379</v>
      </c>
      <c r="AN1995" s="90">
        <v>-1</v>
      </c>
      <c r="AQ1995" s="90">
        <v>383</v>
      </c>
      <c r="AR1995" s="90" t="s">
        <v>293</v>
      </c>
      <c r="AS1995" s="90" t="s">
        <v>415</v>
      </c>
      <c r="AT1995" s="90" t="s">
        <v>244</v>
      </c>
      <c r="AU1995" s="90">
        <v>1.3224320000000001</v>
      </c>
      <c r="AV1995" s="90">
        <v>16.493089797575301</v>
      </c>
      <c r="AW1995" s="90">
        <v>1.7826730808175599</v>
      </c>
      <c r="AX1995" s="90">
        <v>4.5623242299999998E-2</v>
      </c>
    </row>
    <row r="1996" spans="1:50" x14ac:dyDescent="0.25">
      <c r="A1996" s="102">
        <v>660000</v>
      </c>
      <c r="B1996" s="102">
        <v>2300000</v>
      </c>
      <c r="C1996" s="102">
        <v>2300000</v>
      </c>
      <c r="D1996" s="90" t="s">
        <v>374</v>
      </c>
      <c r="E1996" s="90" t="s">
        <v>68</v>
      </c>
      <c r="F1996" s="90" t="s">
        <v>375</v>
      </c>
      <c r="G1996" s="90" t="s">
        <v>376</v>
      </c>
      <c r="H1996" s="90">
        <v>0.59</v>
      </c>
      <c r="I1996" s="90">
        <v>0.64</v>
      </c>
      <c r="J1996" s="90" t="s">
        <v>389</v>
      </c>
      <c r="K1996" s="90">
        <v>4.2874279459999996E-3</v>
      </c>
      <c r="L1996" s="90">
        <v>197.94314488733701</v>
      </c>
      <c r="M1996" s="90">
        <v>0.52851531486476</v>
      </c>
      <c r="N1996" s="90">
        <v>5.120870240968E-2</v>
      </c>
      <c r="O1996" s="90">
        <v>2.2659713308399998E-3</v>
      </c>
      <c r="P1996" s="90">
        <v>2.1955362179000001E-4</v>
      </c>
      <c r="Q1996" s="90">
        <v>0.84866697111047995</v>
      </c>
      <c r="R1996" s="90">
        <v>3100</v>
      </c>
      <c r="S1996" s="90" t="s">
        <v>416</v>
      </c>
      <c r="T1996" s="90">
        <v>3100</v>
      </c>
      <c r="U1996" s="90" t="s">
        <v>378</v>
      </c>
      <c r="V1996" s="90" t="s">
        <v>244</v>
      </c>
      <c r="Y1996" s="90" t="s">
        <v>389</v>
      </c>
      <c r="Z1996" s="90">
        <v>0</v>
      </c>
      <c r="AA1996" s="90">
        <v>1</v>
      </c>
      <c r="AB1996" s="90">
        <v>2.2659713308399998E-3</v>
      </c>
      <c r="AC1996" s="90">
        <v>2.1955362179000001E-4</v>
      </c>
      <c r="AD1996" s="90">
        <v>13.866879011156501</v>
      </c>
      <c r="AF1996" s="90">
        <v>-1</v>
      </c>
      <c r="AG1996" s="90">
        <v>-1</v>
      </c>
      <c r="AH1996" s="90">
        <v>-1</v>
      </c>
      <c r="AI1996" s="90">
        <v>-1</v>
      </c>
      <c r="AJ1996" s="90">
        <v>0</v>
      </c>
      <c r="AM1996" s="90" t="s">
        <v>379</v>
      </c>
      <c r="AN1996" s="90">
        <v>-1</v>
      </c>
      <c r="AQ1996" s="90">
        <v>383</v>
      </c>
      <c r="AR1996" s="90" t="s">
        <v>293</v>
      </c>
      <c r="AS1996" s="90" t="s">
        <v>415</v>
      </c>
      <c r="AT1996" s="90" t="s">
        <v>244</v>
      </c>
      <c r="AU1996" s="90">
        <v>1.3224320000000001</v>
      </c>
      <c r="AV1996" s="90">
        <v>20.098519560173202</v>
      </c>
      <c r="AW1996" s="90">
        <v>17.3506053188744</v>
      </c>
      <c r="AX1996" s="90">
        <v>1.1246455000000001E-2</v>
      </c>
    </row>
    <row r="1997" spans="1:50" x14ac:dyDescent="0.25">
      <c r="A1997" s="102">
        <v>660000</v>
      </c>
      <c r="B1997" s="102">
        <v>2300000</v>
      </c>
      <c r="C1997" s="102">
        <v>2300000</v>
      </c>
      <c r="D1997" s="90" t="s">
        <v>374</v>
      </c>
      <c r="E1997" s="90" t="s">
        <v>68</v>
      </c>
      <c r="F1997" s="90" t="s">
        <v>375</v>
      </c>
      <c r="G1997" s="90" t="s">
        <v>376</v>
      </c>
      <c r="H1997" s="90">
        <v>0.59</v>
      </c>
      <c r="I1997" s="90">
        <v>0.64</v>
      </c>
      <c r="J1997" s="90" t="s">
        <v>389</v>
      </c>
      <c r="K1997" s="90">
        <v>9.9932281923E-4</v>
      </c>
      <c r="L1997" s="90">
        <v>3097.4731421759202</v>
      </c>
      <c r="M1997" s="90">
        <v>7.5926117121321397</v>
      </c>
      <c r="N1997" s="90">
        <v>0.77714566194051005</v>
      </c>
      <c r="O1997" s="90">
        <v>7.5874701414800003E-3</v>
      </c>
      <c r="P1997" s="90">
        <v>7.7661939383999999E-4</v>
      </c>
      <c r="Q1997" s="90">
        <v>3.0953755929284501</v>
      </c>
      <c r="R1997" s="90">
        <v>6120</v>
      </c>
      <c r="S1997" s="90" t="s">
        <v>417</v>
      </c>
      <c r="T1997" s="90">
        <v>6120</v>
      </c>
      <c r="U1997" s="90" t="s">
        <v>378</v>
      </c>
      <c r="V1997" s="90" t="s">
        <v>244</v>
      </c>
      <c r="Y1997" s="90" t="s">
        <v>389</v>
      </c>
      <c r="Z1997" s="90">
        <v>0</v>
      </c>
      <c r="AA1997" s="90">
        <v>1</v>
      </c>
      <c r="AB1997" s="90">
        <v>7.5874701414800003E-3</v>
      </c>
      <c r="AC1997" s="90">
        <v>7.7661939383999999E-4</v>
      </c>
      <c r="AD1997" s="90">
        <v>1913.5057054552101</v>
      </c>
      <c r="AF1997" s="90">
        <v>-1</v>
      </c>
      <c r="AG1997" s="90">
        <v>-1</v>
      </c>
      <c r="AH1997" s="90">
        <v>-1</v>
      </c>
      <c r="AI1997" s="90">
        <v>-1</v>
      </c>
      <c r="AJ1997" s="90">
        <v>0</v>
      </c>
      <c r="AM1997" s="90" t="s">
        <v>379</v>
      </c>
      <c r="AN1997" s="90">
        <v>-1</v>
      </c>
      <c r="AQ1997" s="90">
        <v>383</v>
      </c>
      <c r="AR1997" s="90" t="s">
        <v>293</v>
      </c>
      <c r="AS1997" s="90" t="s">
        <v>415</v>
      </c>
      <c r="AT1997" s="90" t="s">
        <v>244</v>
      </c>
      <c r="AU1997" s="90">
        <v>1.3224320000000001</v>
      </c>
      <c r="AV1997" s="90">
        <v>36.969137827483202</v>
      </c>
      <c r="AW1997" s="90">
        <v>4.0441159690531299</v>
      </c>
      <c r="AX1997" s="90">
        <v>1.5519105477999999</v>
      </c>
    </row>
    <row r="1998" spans="1:50" x14ac:dyDescent="0.25">
      <c r="A1998" s="102">
        <v>660000</v>
      </c>
      <c r="B1998" s="102">
        <v>2300000</v>
      </c>
      <c r="C1998" s="102">
        <v>2300000</v>
      </c>
      <c r="D1998" s="90" t="s">
        <v>374</v>
      </c>
      <c r="E1998" s="90" t="s">
        <v>68</v>
      </c>
      <c r="F1998" s="90" t="s">
        <v>375</v>
      </c>
      <c r="G1998" s="90" t="s">
        <v>376</v>
      </c>
      <c r="H1998" s="90">
        <v>0.59</v>
      </c>
      <c r="I1998" s="90">
        <v>0.64</v>
      </c>
      <c r="J1998" s="90" t="s">
        <v>244</v>
      </c>
      <c r="K1998" s="90">
        <v>1.367192262983E-2</v>
      </c>
      <c r="L1998" s="90">
        <v>3727.10644852821</v>
      </c>
      <c r="M1998" s="90">
        <v>8.5466419355632208</v>
      </c>
      <c r="N1998" s="90">
        <v>1.33808495204</v>
      </c>
      <c r="O1998" s="90">
        <v>0.11684902728788001</v>
      </c>
      <c r="P1998" s="90">
        <v>1.829419393643E-2</v>
      </c>
      <c r="Q1998" s="90">
        <v>50.956710997418199</v>
      </c>
      <c r="R1998" s="90">
        <v>1300</v>
      </c>
      <c r="S1998" s="90" t="s">
        <v>387</v>
      </c>
      <c r="T1998" s="90">
        <v>1300</v>
      </c>
      <c r="U1998" s="90" t="s">
        <v>378</v>
      </c>
      <c r="V1998" s="90" t="s">
        <v>244</v>
      </c>
      <c r="Z1998" s="90">
        <v>0</v>
      </c>
      <c r="AA1998" s="90">
        <v>1</v>
      </c>
      <c r="AB1998" s="90">
        <v>0.11684902728788001</v>
      </c>
      <c r="AC1998" s="90">
        <v>1.829419393643E-2</v>
      </c>
      <c r="AD1998" s="90">
        <v>638.69599265723696</v>
      </c>
      <c r="AF1998" s="90">
        <v>-1</v>
      </c>
      <c r="AG1998" s="90">
        <v>-1</v>
      </c>
      <c r="AH1998" s="90">
        <v>-1</v>
      </c>
      <c r="AI1998" s="90">
        <v>-1</v>
      </c>
      <c r="AJ1998" s="90">
        <v>0</v>
      </c>
      <c r="AM1998" s="90" t="s">
        <v>379</v>
      </c>
      <c r="AN1998" s="90">
        <v>-1</v>
      </c>
      <c r="AQ1998" s="90">
        <v>383</v>
      </c>
      <c r="AR1998" s="90" t="s">
        <v>293</v>
      </c>
      <c r="AS1998" s="90" t="s">
        <v>415</v>
      </c>
      <c r="AT1998" s="90" t="s">
        <v>244</v>
      </c>
      <c r="AU1998" s="90">
        <v>1.3224320000000001</v>
      </c>
      <c r="AV1998" s="90">
        <v>33.570098326711403</v>
      </c>
      <c r="AW1998" s="90">
        <v>55.3283079010831</v>
      </c>
      <c r="AX1998" s="90">
        <v>0.51800161609999995</v>
      </c>
    </row>
    <row r="1999" spans="1:50" x14ac:dyDescent="0.25">
      <c r="A1999" s="102">
        <v>660000</v>
      </c>
      <c r="B1999" s="102">
        <v>2300000</v>
      </c>
      <c r="C1999" s="102">
        <v>2300000</v>
      </c>
      <c r="D1999" s="90" t="s">
        <v>374</v>
      </c>
      <c r="E1999" s="90" t="s">
        <v>68</v>
      </c>
      <c r="F1999" s="90" t="s">
        <v>375</v>
      </c>
      <c r="G1999" s="90" t="s">
        <v>376</v>
      </c>
      <c r="H1999" s="90">
        <v>0.59</v>
      </c>
      <c r="I1999" s="90">
        <v>0.64</v>
      </c>
      <c r="J1999" s="90" t="s">
        <v>389</v>
      </c>
      <c r="K1999" s="90">
        <v>1.7233897434969999E-2</v>
      </c>
      <c r="L1999" s="90">
        <v>2142.6439465982398</v>
      </c>
      <c r="M1999" s="90">
        <v>5.1077422316491896</v>
      </c>
      <c r="N1999" s="90">
        <v>0.55909253642366996</v>
      </c>
      <c r="O1999" s="90">
        <v>8.8026305744539998E-2</v>
      </c>
      <c r="P1999" s="90">
        <v>9.6353434293799996E-3</v>
      </c>
      <c r="Q1999" s="90">
        <v>36.926106015350697</v>
      </c>
      <c r="R1999" s="90">
        <v>3100</v>
      </c>
      <c r="S1999" s="90" t="s">
        <v>416</v>
      </c>
      <c r="T1999" s="90">
        <v>3100</v>
      </c>
      <c r="U1999" s="90" t="s">
        <v>378</v>
      </c>
      <c r="V1999" s="90" t="s">
        <v>244</v>
      </c>
      <c r="Y1999" s="90" t="s">
        <v>389</v>
      </c>
      <c r="Z1999" s="90">
        <v>0</v>
      </c>
      <c r="AA1999" s="90">
        <v>1</v>
      </c>
      <c r="AB1999" s="90">
        <v>8.8026305744539998E-2</v>
      </c>
      <c r="AC1999" s="90">
        <v>9.6353434293799996E-3</v>
      </c>
      <c r="AD1999" s="90">
        <v>781.65673443558603</v>
      </c>
      <c r="AF1999" s="90">
        <v>-1</v>
      </c>
      <c r="AG1999" s="90">
        <v>-1</v>
      </c>
      <c r="AH1999" s="90">
        <v>-1</v>
      </c>
      <c r="AI1999" s="90">
        <v>-1</v>
      </c>
      <c r="AJ1999" s="90">
        <v>0</v>
      </c>
      <c r="AM1999" s="90" t="s">
        <v>379</v>
      </c>
      <c r="AN1999" s="90">
        <v>-1</v>
      </c>
      <c r="AQ1999" s="90">
        <v>383</v>
      </c>
      <c r="AR1999" s="90" t="s">
        <v>293</v>
      </c>
      <c r="AS1999" s="90" t="s">
        <v>415</v>
      </c>
      <c r="AT1999" s="90" t="s">
        <v>244</v>
      </c>
      <c r="AU1999" s="90">
        <v>1.3224320000000001</v>
      </c>
      <c r="AV1999" s="90">
        <v>38.551542541767802</v>
      </c>
      <c r="AW1999" s="90">
        <v>69.743108517722106</v>
      </c>
      <c r="AX1999" s="90">
        <v>0.63394706769999998</v>
      </c>
    </row>
    <row r="2000" spans="1:50" x14ac:dyDescent="0.25">
      <c r="A2000" s="102">
        <v>660000</v>
      </c>
      <c r="B2000" s="102">
        <v>2400000</v>
      </c>
      <c r="C2000" s="102">
        <v>2400000</v>
      </c>
      <c r="D2000" s="90" t="s">
        <v>374</v>
      </c>
      <c r="E2000" s="90" t="s">
        <v>68</v>
      </c>
      <c r="F2000" s="90" t="s">
        <v>375</v>
      </c>
      <c r="G2000" s="90" t="s">
        <v>376</v>
      </c>
      <c r="H2000" s="90">
        <v>0.59</v>
      </c>
      <c r="I2000" s="90">
        <v>0.64</v>
      </c>
      <c r="J2000" s="90" t="s">
        <v>389</v>
      </c>
      <c r="K2000" s="90">
        <v>6.6801379561600002E-3</v>
      </c>
      <c r="L2000" s="90">
        <v>2325.45760771288</v>
      </c>
      <c r="M2000" s="90">
        <v>5.7188830695948596</v>
      </c>
      <c r="N2000" s="90">
        <v>0.58394739872160994</v>
      </c>
      <c r="O2000" s="90">
        <v>3.8202927860040002E-2</v>
      </c>
      <c r="P2000" s="90">
        <v>3.9008491825999999E-3</v>
      </c>
      <c r="Q2000" s="90">
        <v>15.5343776307238</v>
      </c>
      <c r="R2000" s="90">
        <v>6120</v>
      </c>
      <c r="S2000" s="90" t="s">
        <v>417</v>
      </c>
      <c r="T2000" s="90">
        <v>6120</v>
      </c>
      <c r="U2000" s="90" t="s">
        <v>378</v>
      </c>
      <c r="V2000" s="90" t="s">
        <v>244</v>
      </c>
      <c r="Y2000" s="90" t="s">
        <v>389</v>
      </c>
      <c r="Z2000" s="90">
        <v>0</v>
      </c>
      <c r="AA2000" s="90">
        <v>1</v>
      </c>
      <c r="AB2000" s="90">
        <v>3.8202927860040002E-2</v>
      </c>
      <c r="AC2000" s="90">
        <v>3.9008491825999999E-3</v>
      </c>
      <c r="AD2000" s="90">
        <v>1087.42810554325</v>
      </c>
      <c r="AF2000" s="90">
        <v>-1</v>
      </c>
      <c r="AG2000" s="90">
        <v>-1</v>
      </c>
      <c r="AH2000" s="90">
        <v>-1</v>
      </c>
      <c r="AI2000" s="90">
        <v>-1</v>
      </c>
      <c r="AJ2000" s="90">
        <v>0</v>
      </c>
      <c r="AM2000" s="90" t="s">
        <v>379</v>
      </c>
      <c r="AN2000" s="90">
        <v>-1</v>
      </c>
      <c r="AQ2000" s="90">
        <v>383</v>
      </c>
      <c r="AR2000" s="90" t="s">
        <v>293</v>
      </c>
      <c r="AS2000" s="90" t="s">
        <v>415</v>
      </c>
      <c r="AT2000" s="90" t="s">
        <v>244</v>
      </c>
      <c r="AU2000" s="90">
        <v>1.3224320000000001</v>
      </c>
      <c r="AV2000" s="90">
        <v>100.918281794203</v>
      </c>
      <c r="AW2000" s="90">
        <v>27.033559190404301</v>
      </c>
      <c r="AX2000" s="90">
        <v>0.88193682529999995</v>
      </c>
    </row>
    <row r="2001" spans="1:50" x14ac:dyDescent="0.25">
      <c r="A2001" s="102">
        <v>610000</v>
      </c>
      <c r="B2001" s="102">
        <v>1200000</v>
      </c>
      <c r="C2001" s="102">
        <v>1200000</v>
      </c>
      <c r="D2001" s="90" t="s">
        <v>374</v>
      </c>
      <c r="E2001" s="90" t="s">
        <v>68</v>
      </c>
      <c r="F2001" s="90" t="s">
        <v>375</v>
      </c>
      <c r="G2001" s="90" t="s">
        <v>376</v>
      </c>
      <c r="H2001" s="90">
        <v>0.59</v>
      </c>
      <c r="I2001" s="90">
        <v>0.64</v>
      </c>
      <c r="J2001" s="90" t="s">
        <v>244</v>
      </c>
      <c r="K2001" s="90">
        <v>0.11558633629822999</v>
      </c>
      <c r="L2001" s="90">
        <v>3680.6896524417998</v>
      </c>
      <c r="M2001" s="90">
        <v>7.3752864780072001</v>
      </c>
      <c r="N2001" s="90">
        <v>1.01979072947466</v>
      </c>
      <c r="O2001" s="90">
        <v>0.85248234314271998</v>
      </c>
      <c r="P2001" s="90">
        <v>0.11787387421087001</v>
      </c>
      <c r="Q2001" s="90">
        <v>425.437431976553</v>
      </c>
      <c r="R2001" s="90">
        <v>1750</v>
      </c>
      <c r="S2001" s="90" t="s">
        <v>377</v>
      </c>
      <c r="T2001" s="90">
        <v>1750</v>
      </c>
      <c r="U2001" s="90" t="s">
        <v>378</v>
      </c>
      <c r="V2001" s="90" t="s">
        <v>244</v>
      </c>
      <c r="Z2001" s="90">
        <v>0</v>
      </c>
      <c r="AA2001" s="90">
        <v>1</v>
      </c>
      <c r="AB2001" s="90">
        <v>0.85248234314271998</v>
      </c>
      <c r="AC2001" s="90">
        <v>0.11787387421087001</v>
      </c>
      <c r="AD2001" s="90">
        <v>577.33746838928596</v>
      </c>
      <c r="AF2001" s="90">
        <v>-1</v>
      </c>
      <c r="AG2001" s="90">
        <v>-1</v>
      </c>
      <c r="AH2001" s="90">
        <v>-1</v>
      </c>
      <c r="AI2001" s="90">
        <v>-1</v>
      </c>
      <c r="AJ2001" s="90">
        <v>0</v>
      </c>
      <c r="AM2001" s="90" t="s">
        <v>379</v>
      </c>
      <c r="AN2001" s="90">
        <v>-1</v>
      </c>
      <c r="AQ2001" s="90">
        <v>382</v>
      </c>
      <c r="AR2001" s="90" t="s">
        <v>295</v>
      </c>
      <c r="AS2001" s="90" t="s">
        <v>418</v>
      </c>
      <c r="AT2001" s="90" t="s">
        <v>244</v>
      </c>
      <c r="AU2001" s="90">
        <v>1.931305</v>
      </c>
      <c r="AV2001" s="90">
        <v>100.82037280413201</v>
      </c>
      <c r="AW2001" s="90">
        <v>467.76130739017901</v>
      </c>
      <c r="AX2001" s="90">
        <v>0.46823801170000001</v>
      </c>
    </row>
    <row r="2002" spans="1:50" x14ac:dyDescent="0.25">
      <c r="A2002" s="102">
        <v>610000</v>
      </c>
      <c r="B2002" s="102">
        <v>1300000</v>
      </c>
      <c r="C2002" s="102">
        <v>1300000</v>
      </c>
      <c r="D2002" s="90" t="s">
        <v>374</v>
      </c>
      <c r="E2002" s="90" t="s">
        <v>68</v>
      </c>
      <c r="F2002" s="90" t="s">
        <v>375</v>
      </c>
      <c r="G2002" s="90" t="s">
        <v>376</v>
      </c>
      <c r="H2002" s="90">
        <v>0.59</v>
      </c>
      <c r="I2002" s="90">
        <v>0.64</v>
      </c>
      <c r="J2002" s="90" t="s">
        <v>244</v>
      </c>
      <c r="K2002" s="90">
        <v>8.1091292323279995E-2</v>
      </c>
      <c r="L2002" s="90">
        <v>3715.2158704025601</v>
      </c>
      <c r="M2002" s="90">
        <v>7.3283850586095101</v>
      </c>
      <c r="N2002" s="90">
        <v>0.99933468914297996</v>
      </c>
      <c r="O2002" s="90">
        <v>0.59426821504531002</v>
      </c>
      <c r="P2002" s="90">
        <v>8.1037341406089994E-2</v>
      </c>
      <c r="Q2002" s="90">
        <v>301.27165619092898</v>
      </c>
      <c r="R2002" s="90">
        <v>1710</v>
      </c>
      <c r="S2002" s="90" t="s">
        <v>419</v>
      </c>
      <c r="T2002" s="90">
        <v>1710</v>
      </c>
      <c r="U2002" s="90" t="s">
        <v>378</v>
      </c>
      <c r="V2002" s="90" t="s">
        <v>244</v>
      </c>
      <c r="Z2002" s="90">
        <v>0</v>
      </c>
      <c r="AA2002" s="90">
        <v>1</v>
      </c>
      <c r="AB2002" s="90">
        <v>0.59426821504531002</v>
      </c>
      <c r="AC2002" s="90">
        <v>8.1037341406089994E-2</v>
      </c>
      <c r="AD2002" s="90">
        <v>729.232629092504</v>
      </c>
      <c r="AF2002" s="90">
        <v>-1</v>
      </c>
      <c r="AG2002" s="90">
        <v>-1</v>
      </c>
      <c r="AH2002" s="90">
        <v>-1</v>
      </c>
      <c r="AI2002" s="90">
        <v>-1</v>
      </c>
      <c r="AJ2002" s="90">
        <v>0</v>
      </c>
      <c r="AM2002" s="90" t="s">
        <v>379</v>
      </c>
      <c r="AN2002" s="90">
        <v>-1</v>
      </c>
      <c r="AQ2002" s="90">
        <v>382</v>
      </c>
      <c r="AR2002" s="90" t="s">
        <v>295</v>
      </c>
      <c r="AS2002" s="90" t="s">
        <v>418</v>
      </c>
      <c r="AT2002" s="90" t="s">
        <v>244</v>
      </c>
      <c r="AU2002" s="90">
        <v>1.931305</v>
      </c>
      <c r="AV2002" s="90">
        <v>113.12809690452799</v>
      </c>
      <c r="AW2002" s="90">
        <v>328.16481713920803</v>
      </c>
      <c r="AX2002" s="90">
        <v>0.59142954510000001</v>
      </c>
    </row>
    <row r="2003" spans="1:50" x14ac:dyDescent="0.25">
      <c r="A2003" s="102">
        <v>610000</v>
      </c>
      <c r="B2003" s="102">
        <v>1300000</v>
      </c>
      <c r="C2003" s="102">
        <v>1300000</v>
      </c>
      <c r="D2003" s="90" t="s">
        <v>374</v>
      </c>
      <c r="E2003" s="90" t="s">
        <v>68</v>
      </c>
      <c r="F2003" s="90" t="s">
        <v>375</v>
      </c>
      <c r="G2003" s="90" t="s">
        <v>376</v>
      </c>
      <c r="H2003" s="90">
        <v>0.59</v>
      </c>
      <c r="I2003" s="90">
        <v>0.64</v>
      </c>
      <c r="J2003" s="90" t="s">
        <v>244</v>
      </c>
      <c r="K2003" s="90">
        <v>0.18389267639717</v>
      </c>
      <c r="L2003" s="90">
        <v>3715.2158704025601</v>
      </c>
      <c r="M2003" s="90">
        <v>7.3283850586095101</v>
      </c>
      <c r="N2003" s="90">
        <v>0.99933468914297996</v>
      </c>
      <c r="O2003" s="90">
        <v>1.3476363420967801</v>
      </c>
      <c r="P2003" s="90">
        <v>0.18377033060303999</v>
      </c>
      <c r="Q2003" s="90">
        <v>683.20098980159105</v>
      </c>
      <c r="R2003" s="90">
        <v>1750</v>
      </c>
      <c r="S2003" s="90" t="s">
        <v>377</v>
      </c>
      <c r="T2003" s="90">
        <v>1750</v>
      </c>
      <c r="U2003" s="90" t="s">
        <v>378</v>
      </c>
      <c r="V2003" s="90" t="s">
        <v>244</v>
      </c>
      <c r="Z2003" s="90">
        <v>0</v>
      </c>
      <c r="AA2003" s="90">
        <v>1</v>
      </c>
      <c r="AB2003" s="90">
        <v>1.3476363420967801</v>
      </c>
      <c r="AC2003" s="90">
        <v>0.18377033060303999</v>
      </c>
      <c r="AD2003" s="90">
        <v>1565.8919457744601</v>
      </c>
      <c r="AF2003" s="90">
        <v>-1</v>
      </c>
      <c r="AG2003" s="90">
        <v>-1</v>
      </c>
      <c r="AH2003" s="90">
        <v>-1</v>
      </c>
      <c r="AI2003" s="90">
        <v>-1</v>
      </c>
      <c r="AJ2003" s="90">
        <v>0</v>
      </c>
      <c r="AM2003" s="90" t="s">
        <v>379</v>
      </c>
      <c r="AN2003" s="90">
        <v>-1</v>
      </c>
      <c r="AQ2003" s="90">
        <v>382</v>
      </c>
      <c r="AR2003" s="90" t="s">
        <v>295</v>
      </c>
      <c r="AS2003" s="90" t="s">
        <v>418</v>
      </c>
      <c r="AT2003" s="90" t="s">
        <v>244</v>
      </c>
      <c r="AU2003" s="90">
        <v>1.931305</v>
      </c>
      <c r="AV2003" s="90">
        <v>172.04581770507301</v>
      </c>
      <c r="AW2003" s="90">
        <v>744.18725851023601</v>
      </c>
      <c r="AX2003" s="90">
        <v>1.2699853575</v>
      </c>
    </row>
    <row r="2004" spans="1:50" x14ac:dyDescent="0.25">
      <c r="A2004" s="102">
        <v>630000</v>
      </c>
      <c r="B2004" s="102">
        <v>1300000</v>
      </c>
      <c r="C2004" s="102">
        <v>1300000</v>
      </c>
      <c r="D2004" s="90" t="s">
        <v>374</v>
      </c>
      <c r="E2004" s="90" t="s">
        <v>68</v>
      </c>
      <c r="F2004" s="90" t="s">
        <v>375</v>
      </c>
      <c r="G2004" s="90" t="s">
        <v>376</v>
      </c>
      <c r="H2004" s="90">
        <v>0.59</v>
      </c>
      <c r="I2004" s="90">
        <v>0.64</v>
      </c>
      <c r="J2004" s="90" t="s">
        <v>244</v>
      </c>
      <c r="K2004" s="90">
        <v>8.7836412271020001E-2</v>
      </c>
      <c r="L2004" s="90">
        <v>3715.1706244669299</v>
      </c>
      <c r="M2004" s="90">
        <v>7.3263291874813401</v>
      </c>
      <c r="N2004" s="90">
        <v>0.99902539971393001</v>
      </c>
      <c r="O2004" s="90">
        <v>0.64351847094487002</v>
      </c>
      <c r="P2004" s="90">
        <v>8.7750806878499996E-2</v>
      </c>
      <c r="Q2004" s="90">
        <v>326.32725862788999</v>
      </c>
      <c r="R2004" s="90">
        <v>1710</v>
      </c>
      <c r="S2004" s="90" t="s">
        <v>419</v>
      </c>
      <c r="T2004" s="90">
        <v>1710</v>
      </c>
      <c r="U2004" s="90" t="s">
        <v>378</v>
      </c>
      <c r="V2004" s="90" t="s">
        <v>244</v>
      </c>
      <c r="Z2004" s="90">
        <v>0</v>
      </c>
      <c r="AA2004" s="90">
        <v>1</v>
      </c>
      <c r="AB2004" s="90">
        <v>0.64351847094487002</v>
      </c>
      <c r="AC2004" s="90">
        <v>8.7750806878499996E-2</v>
      </c>
      <c r="AD2004" s="90">
        <v>743.02197389463197</v>
      </c>
      <c r="AF2004" s="90">
        <v>-1</v>
      </c>
      <c r="AG2004" s="90">
        <v>-1</v>
      </c>
      <c r="AH2004" s="90">
        <v>-1</v>
      </c>
      <c r="AI2004" s="90">
        <v>-1</v>
      </c>
      <c r="AJ2004" s="90">
        <v>0</v>
      </c>
      <c r="AM2004" s="90" t="s">
        <v>379</v>
      </c>
      <c r="AN2004" s="90">
        <v>-1</v>
      </c>
      <c r="AQ2004" s="90">
        <v>382</v>
      </c>
      <c r="AR2004" s="90" t="s">
        <v>295</v>
      </c>
      <c r="AS2004" s="90" t="s">
        <v>418</v>
      </c>
      <c r="AT2004" s="90" t="s">
        <v>244</v>
      </c>
      <c r="AU2004" s="90">
        <v>1.931305</v>
      </c>
      <c r="AV2004" s="90">
        <v>114.219958192617</v>
      </c>
      <c r="AW2004" s="90">
        <v>355.461349119582</v>
      </c>
      <c r="AX2004" s="90">
        <v>0.60261311750000002</v>
      </c>
    </row>
    <row r="2005" spans="1:50" x14ac:dyDescent="0.25">
      <c r="A2005" s="102">
        <v>630000</v>
      </c>
      <c r="B2005" s="102">
        <v>1300000</v>
      </c>
      <c r="C2005" s="102">
        <v>1300000</v>
      </c>
      <c r="D2005" s="90" t="s">
        <v>374</v>
      </c>
      <c r="E2005" s="90" t="s">
        <v>68</v>
      </c>
      <c r="F2005" s="90" t="s">
        <v>375</v>
      </c>
      <c r="G2005" s="90" t="s">
        <v>376</v>
      </c>
      <c r="H2005" s="90">
        <v>0.59</v>
      </c>
      <c r="I2005" s="90">
        <v>0.64</v>
      </c>
      <c r="J2005" s="90" t="s">
        <v>244</v>
      </c>
      <c r="K2005" s="90">
        <v>0.15597728496362001</v>
      </c>
      <c r="L2005" s="90">
        <v>3715.1706244669299</v>
      </c>
      <c r="M2005" s="90">
        <v>7.3263291874813401</v>
      </c>
      <c r="N2005" s="90">
        <v>0.99902539971393001</v>
      </c>
      <c r="O2005" s="90">
        <v>1.1427409354131299</v>
      </c>
      <c r="P2005" s="90">
        <v>0.15582526945708</v>
      </c>
      <c r="Q2005" s="90">
        <v>579.48222718098202</v>
      </c>
      <c r="R2005" s="90">
        <v>1750</v>
      </c>
      <c r="S2005" s="90" t="s">
        <v>377</v>
      </c>
      <c r="T2005" s="90">
        <v>1750</v>
      </c>
      <c r="U2005" s="90" t="s">
        <v>378</v>
      </c>
      <c r="V2005" s="90" t="s">
        <v>244</v>
      </c>
      <c r="Z2005" s="90">
        <v>0</v>
      </c>
      <c r="AA2005" s="90">
        <v>1</v>
      </c>
      <c r="AB2005" s="90">
        <v>1.1427409354131299</v>
      </c>
      <c r="AC2005" s="90">
        <v>0.15582526945708</v>
      </c>
      <c r="AD2005" s="90">
        <v>1552.0746486610401</v>
      </c>
      <c r="AF2005" s="90">
        <v>-1</v>
      </c>
      <c r="AG2005" s="90">
        <v>-1</v>
      </c>
      <c r="AH2005" s="90">
        <v>-1</v>
      </c>
      <c r="AI2005" s="90">
        <v>-1</v>
      </c>
      <c r="AJ2005" s="90">
        <v>0</v>
      </c>
      <c r="AM2005" s="90" t="s">
        <v>379</v>
      </c>
      <c r="AN2005" s="90">
        <v>-1</v>
      </c>
      <c r="AQ2005" s="90">
        <v>382</v>
      </c>
      <c r="AR2005" s="90" t="s">
        <v>295</v>
      </c>
      <c r="AS2005" s="90" t="s">
        <v>418</v>
      </c>
      <c r="AT2005" s="90" t="s">
        <v>244</v>
      </c>
      <c r="AU2005" s="90">
        <v>1.931305</v>
      </c>
      <c r="AV2005" s="90">
        <v>125.25483046686</v>
      </c>
      <c r="AW2005" s="90">
        <v>631.21767740357495</v>
      </c>
      <c r="AX2005" s="90">
        <v>1.2587791149000001</v>
      </c>
    </row>
    <row r="2006" spans="1:50" x14ac:dyDescent="0.25">
      <c r="A2006" s="102">
        <v>630000</v>
      </c>
      <c r="B2006" s="102">
        <v>1300000</v>
      </c>
      <c r="C2006" s="102">
        <v>1300000</v>
      </c>
      <c r="D2006" s="90" t="s">
        <v>374</v>
      </c>
      <c r="E2006" s="90" t="s">
        <v>68</v>
      </c>
      <c r="F2006" s="90" t="s">
        <v>375</v>
      </c>
      <c r="G2006" s="90" t="s">
        <v>376</v>
      </c>
      <c r="H2006" s="90">
        <v>0.59</v>
      </c>
      <c r="I2006" s="90">
        <v>0.64</v>
      </c>
      <c r="J2006" s="90" t="s">
        <v>244</v>
      </c>
      <c r="K2006" s="90">
        <v>3.4528833064109997E-2</v>
      </c>
      <c r="L2006" s="90">
        <v>3690.33356124593</v>
      </c>
      <c r="M2006" s="90">
        <v>7.42431668633788</v>
      </c>
      <c r="N2006" s="90">
        <v>1.0135499821043801</v>
      </c>
      <c r="O2006" s="90">
        <v>0.25635299147770002</v>
      </c>
      <c r="P2006" s="90">
        <v>3.4996698134220003E-2</v>
      </c>
      <c r="Q2006" s="90">
        <v>127.422911487172</v>
      </c>
      <c r="R2006" s="90">
        <v>1700</v>
      </c>
      <c r="S2006" s="90" t="s">
        <v>414</v>
      </c>
      <c r="T2006" s="90">
        <v>1700</v>
      </c>
      <c r="U2006" s="90" t="s">
        <v>378</v>
      </c>
      <c r="V2006" s="90" t="s">
        <v>244</v>
      </c>
      <c r="Z2006" s="90">
        <v>0</v>
      </c>
      <c r="AA2006" s="90">
        <v>1</v>
      </c>
      <c r="AB2006" s="90">
        <v>0.25635299147770002</v>
      </c>
      <c r="AC2006" s="90">
        <v>3.4996698134220003E-2</v>
      </c>
      <c r="AD2006" s="90">
        <v>580.90112592125695</v>
      </c>
      <c r="AF2006" s="90">
        <v>-1</v>
      </c>
      <c r="AG2006" s="90">
        <v>-1</v>
      </c>
      <c r="AH2006" s="90">
        <v>-1</v>
      </c>
      <c r="AI2006" s="90">
        <v>-1</v>
      </c>
      <c r="AJ2006" s="90">
        <v>0</v>
      </c>
      <c r="AM2006" s="90" t="s">
        <v>379</v>
      </c>
      <c r="AN2006" s="90">
        <v>-1</v>
      </c>
      <c r="AQ2006" s="90">
        <v>382</v>
      </c>
      <c r="AR2006" s="90" t="s">
        <v>295</v>
      </c>
      <c r="AS2006" s="90" t="s">
        <v>418</v>
      </c>
      <c r="AT2006" s="90" t="s">
        <v>244</v>
      </c>
      <c r="AU2006" s="90">
        <v>1.931305</v>
      </c>
      <c r="AV2006" s="90">
        <v>105.357014517804</v>
      </c>
      <c r="AW2006" s="90">
        <v>139.73322984350301</v>
      </c>
      <c r="AX2006" s="90">
        <v>0.47112824489999999</v>
      </c>
    </row>
    <row r="2007" spans="1:50" x14ac:dyDescent="0.25">
      <c r="A2007" s="102">
        <v>630000</v>
      </c>
      <c r="B2007" s="102">
        <v>1300000</v>
      </c>
      <c r="C2007" s="102">
        <v>1300000</v>
      </c>
      <c r="D2007" s="90" t="s">
        <v>374</v>
      </c>
      <c r="E2007" s="90" t="s">
        <v>68</v>
      </c>
      <c r="F2007" s="90" t="s">
        <v>375</v>
      </c>
      <c r="G2007" s="90" t="s">
        <v>376</v>
      </c>
      <c r="H2007" s="90">
        <v>0.59</v>
      </c>
      <c r="I2007" s="90">
        <v>0.64</v>
      </c>
      <c r="J2007" s="90" t="s">
        <v>244</v>
      </c>
      <c r="K2007" s="90">
        <v>1.8206248770399999E-3</v>
      </c>
      <c r="L2007" s="90">
        <v>3704.1730400013398</v>
      </c>
      <c r="M2007" s="90">
        <v>7.80162774903871</v>
      </c>
      <c r="N2007" s="90">
        <v>1.1285722691151201</v>
      </c>
      <c r="O2007" s="90">
        <v>1.420383756133E-2</v>
      </c>
      <c r="P2007" s="90">
        <v>2.0547067486900001E-3</v>
      </c>
      <c r="Q2007" s="90">
        <v>6.7439095855021396</v>
      </c>
      <c r="R2007" s="90">
        <v>1700</v>
      </c>
      <c r="S2007" s="90" t="s">
        <v>414</v>
      </c>
      <c r="T2007" s="90">
        <v>1700</v>
      </c>
      <c r="U2007" s="90" t="s">
        <v>378</v>
      </c>
      <c r="V2007" s="90" t="s">
        <v>244</v>
      </c>
      <c r="Z2007" s="90">
        <v>0</v>
      </c>
      <c r="AA2007" s="90">
        <v>1</v>
      </c>
      <c r="AB2007" s="90">
        <v>1.420383756133E-2</v>
      </c>
      <c r="AC2007" s="90">
        <v>2.0547067486900001E-3</v>
      </c>
      <c r="AD2007" s="90">
        <v>591.68721576991504</v>
      </c>
      <c r="AF2007" s="90">
        <v>-1</v>
      </c>
      <c r="AG2007" s="90">
        <v>-1</v>
      </c>
      <c r="AH2007" s="90">
        <v>-1</v>
      </c>
      <c r="AI2007" s="90">
        <v>-1</v>
      </c>
      <c r="AJ2007" s="90">
        <v>0</v>
      </c>
      <c r="AM2007" s="90" t="s">
        <v>379</v>
      </c>
      <c r="AN2007" s="90">
        <v>-1</v>
      </c>
      <c r="AQ2007" s="90">
        <v>382</v>
      </c>
      <c r="AR2007" s="90" t="s">
        <v>295</v>
      </c>
      <c r="AS2007" s="90" t="s">
        <v>418</v>
      </c>
      <c r="AT2007" s="90" t="s">
        <v>244</v>
      </c>
      <c r="AU2007" s="90">
        <v>1.931305</v>
      </c>
      <c r="AV2007" s="90">
        <v>12.380050121925301</v>
      </c>
      <c r="AW2007" s="90">
        <v>7.3678074764468899</v>
      </c>
      <c r="AX2007" s="90">
        <v>0.47987608739999998</v>
      </c>
    </row>
    <row r="2008" spans="1:50" x14ac:dyDescent="0.25">
      <c r="A2008" s="102">
        <v>630000</v>
      </c>
      <c r="B2008" s="102">
        <v>1300000</v>
      </c>
      <c r="C2008" s="102">
        <v>1300000</v>
      </c>
      <c r="D2008" s="90" t="s">
        <v>374</v>
      </c>
      <c r="E2008" s="90" t="s">
        <v>68</v>
      </c>
      <c r="F2008" s="90" t="s">
        <v>375</v>
      </c>
      <c r="G2008" s="90" t="s">
        <v>376</v>
      </c>
      <c r="H2008" s="90">
        <v>0.59</v>
      </c>
      <c r="I2008" s="90">
        <v>0.64</v>
      </c>
      <c r="J2008" s="90" t="s">
        <v>244</v>
      </c>
      <c r="K2008" s="90">
        <v>4.1315404141849997E-2</v>
      </c>
      <c r="L2008" s="90">
        <v>3717.5474665925999</v>
      </c>
      <c r="M2008" s="90">
        <v>7.4369205916838297</v>
      </c>
      <c r="N2008" s="90">
        <v>1.01566447989894</v>
      </c>
      <c r="O2008" s="90">
        <v>0.30725937981633</v>
      </c>
      <c r="P2008" s="90">
        <v>4.1962588459549997E-2</v>
      </c>
      <c r="Q2008" s="90">
        <v>153.59197599881699</v>
      </c>
      <c r="R2008" s="90">
        <v>1750</v>
      </c>
      <c r="S2008" s="90" t="s">
        <v>377</v>
      </c>
      <c r="T2008" s="90">
        <v>1750</v>
      </c>
      <c r="U2008" s="90" t="s">
        <v>378</v>
      </c>
      <c r="V2008" s="90" t="s">
        <v>244</v>
      </c>
      <c r="Z2008" s="90">
        <v>0</v>
      </c>
      <c r="AA2008" s="90">
        <v>1</v>
      </c>
      <c r="AB2008" s="90">
        <v>0.30725937981633</v>
      </c>
      <c r="AC2008" s="90">
        <v>4.1962588459549997E-2</v>
      </c>
      <c r="AD2008" s="90">
        <v>2296.5649618799798</v>
      </c>
      <c r="AF2008" s="90">
        <v>-1</v>
      </c>
      <c r="AG2008" s="90">
        <v>-1</v>
      </c>
      <c r="AH2008" s="90">
        <v>-1</v>
      </c>
      <c r="AI2008" s="90">
        <v>-1</v>
      </c>
      <c r="AJ2008" s="90">
        <v>0</v>
      </c>
      <c r="AM2008" s="90" t="s">
        <v>379</v>
      </c>
      <c r="AN2008" s="90">
        <v>-1</v>
      </c>
      <c r="AQ2008" s="90">
        <v>382</v>
      </c>
      <c r="AR2008" s="90" t="s">
        <v>295</v>
      </c>
      <c r="AS2008" s="90" t="s">
        <v>418</v>
      </c>
      <c r="AT2008" s="90" t="s">
        <v>244</v>
      </c>
      <c r="AU2008" s="90">
        <v>1.931305</v>
      </c>
      <c r="AV2008" s="90">
        <v>72.144650131639295</v>
      </c>
      <c r="AW2008" s="90">
        <v>167.19750859553201</v>
      </c>
      <c r="AX2008" s="90">
        <v>1.8625830996999999</v>
      </c>
    </row>
    <row r="2009" spans="1:50" x14ac:dyDescent="0.25">
      <c r="A2009" s="102">
        <v>630000</v>
      </c>
      <c r="B2009" s="102">
        <v>1300000</v>
      </c>
      <c r="C2009" s="102">
        <v>1300000</v>
      </c>
      <c r="D2009" s="90" t="s">
        <v>374</v>
      </c>
      <c r="E2009" s="90" t="s">
        <v>68</v>
      </c>
      <c r="F2009" s="90" t="s">
        <v>375</v>
      </c>
      <c r="G2009" s="90" t="s">
        <v>376</v>
      </c>
      <c r="H2009" s="90">
        <v>0.59</v>
      </c>
      <c r="I2009" s="90">
        <v>0.64</v>
      </c>
      <c r="J2009" s="90" t="s">
        <v>244</v>
      </c>
      <c r="K2009" s="90">
        <v>8.482099628749E-2</v>
      </c>
      <c r="L2009" s="90">
        <v>3715.1253345607602</v>
      </c>
      <c r="M2009" s="90">
        <v>7.3242732304254199</v>
      </c>
      <c r="N2009" s="90">
        <v>0.99871609845649001</v>
      </c>
      <c r="O2009" s="90">
        <v>0.62125215248652998</v>
      </c>
      <c r="P2009" s="90">
        <v>8.4712094479440003E-2</v>
      </c>
      <c r="Q2009" s="90">
        <v>315.120632210368</v>
      </c>
      <c r="R2009" s="90">
        <v>1710</v>
      </c>
      <c r="S2009" s="90" t="s">
        <v>419</v>
      </c>
      <c r="T2009" s="90">
        <v>1710</v>
      </c>
      <c r="U2009" s="90" t="s">
        <v>378</v>
      </c>
      <c r="V2009" s="90" t="s">
        <v>244</v>
      </c>
      <c r="Z2009" s="90">
        <v>0</v>
      </c>
      <c r="AA2009" s="90">
        <v>1</v>
      </c>
      <c r="AB2009" s="90">
        <v>0.62125215248652998</v>
      </c>
      <c r="AC2009" s="90">
        <v>8.4712094479440003E-2</v>
      </c>
      <c r="AD2009" s="90">
        <v>756.81096679791494</v>
      </c>
      <c r="AF2009" s="90">
        <v>-1</v>
      </c>
      <c r="AG2009" s="90">
        <v>-1</v>
      </c>
      <c r="AH2009" s="90">
        <v>-1</v>
      </c>
      <c r="AI2009" s="90">
        <v>-1</v>
      </c>
      <c r="AJ2009" s="90">
        <v>0</v>
      </c>
      <c r="AM2009" s="90" t="s">
        <v>379</v>
      </c>
      <c r="AN2009" s="90">
        <v>-1</v>
      </c>
      <c r="AQ2009" s="90">
        <v>382</v>
      </c>
      <c r="AR2009" s="90" t="s">
        <v>295</v>
      </c>
      <c r="AS2009" s="90" t="s">
        <v>418</v>
      </c>
      <c r="AT2009" s="90" t="s">
        <v>244</v>
      </c>
      <c r="AU2009" s="90">
        <v>1.931305</v>
      </c>
      <c r="AV2009" s="90">
        <v>101.62199308691</v>
      </c>
      <c r="AW2009" s="90">
        <v>343.25839358042901</v>
      </c>
      <c r="AX2009" s="90">
        <v>0.61379640449999995</v>
      </c>
    </row>
    <row r="2010" spans="1:50" x14ac:dyDescent="0.25">
      <c r="A2010" s="102">
        <v>630000</v>
      </c>
      <c r="B2010" s="102">
        <v>1300000</v>
      </c>
      <c r="C2010" s="102">
        <v>1300000</v>
      </c>
      <c r="D2010" s="90" t="s">
        <v>374</v>
      </c>
      <c r="E2010" s="90" t="s">
        <v>68</v>
      </c>
      <c r="F2010" s="90" t="s">
        <v>375</v>
      </c>
      <c r="G2010" s="90" t="s">
        <v>376</v>
      </c>
      <c r="H2010" s="90">
        <v>0.59</v>
      </c>
      <c r="I2010" s="90">
        <v>0.64</v>
      </c>
      <c r="J2010" s="90" t="s">
        <v>244</v>
      </c>
      <c r="K2010" s="90">
        <v>0.13220194623661999</v>
      </c>
      <c r="L2010" s="90">
        <v>3715.1253345607602</v>
      </c>
      <c r="M2010" s="90">
        <v>7.3242732304254199</v>
      </c>
      <c r="N2010" s="90">
        <v>0.99871609845649001</v>
      </c>
      <c r="O2010" s="90">
        <v>0.96828317583101997</v>
      </c>
      <c r="P2010" s="90">
        <v>0.13203221195379</v>
      </c>
      <c r="Q2010" s="90">
        <v>491.14679974191102</v>
      </c>
      <c r="R2010" s="90">
        <v>1750</v>
      </c>
      <c r="S2010" s="90" t="s">
        <v>377</v>
      </c>
      <c r="T2010" s="90">
        <v>1750</v>
      </c>
      <c r="U2010" s="90" t="s">
        <v>378</v>
      </c>
      <c r="V2010" s="90" t="s">
        <v>244</v>
      </c>
      <c r="Z2010" s="90">
        <v>0</v>
      </c>
      <c r="AA2010" s="90">
        <v>1</v>
      </c>
      <c r="AB2010" s="90">
        <v>0.96828317583101997</v>
      </c>
      <c r="AC2010" s="90">
        <v>0.13203221195379</v>
      </c>
      <c r="AD2010" s="90">
        <v>1538.25767730907</v>
      </c>
      <c r="AF2010" s="90">
        <v>-1</v>
      </c>
      <c r="AG2010" s="90">
        <v>-1</v>
      </c>
      <c r="AH2010" s="90">
        <v>-1</v>
      </c>
      <c r="AI2010" s="90">
        <v>-1</v>
      </c>
      <c r="AJ2010" s="90">
        <v>0</v>
      </c>
      <c r="AM2010" s="90" t="s">
        <v>379</v>
      </c>
      <c r="AN2010" s="90">
        <v>-1</v>
      </c>
      <c r="AQ2010" s="90">
        <v>382</v>
      </c>
      <c r="AR2010" s="90" t="s">
        <v>295</v>
      </c>
      <c r="AS2010" s="90" t="s">
        <v>418</v>
      </c>
      <c r="AT2010" s="90" t="s">
        <v>244</v>
      </c>
      <c r="AU2010" s="90">
        <v>1.931305</v>
      </c>
      <c r="AV2010" s="90">
        <v>108.27470214864699</v>
      </c>
      <c r="AW2010" s="90">
        <v>535.00229518145102</v>
      </c>
      <c r="AX2010" s="90">
        <v>1.2475731365</v>
      </c>
    </row>
    <row r="2011" spans="1:50" x14ac:dyDescent="0.25">
      <c r="A2011" s="102">
        <v>630000</v>
      </c>
      <c r="B2011" s="102">
        <v>1300000</v>
      </c>
      <c r="C2011" s="102">
        <v>1300000</v>
      </c>
      <c r="D2011" s="90" t="s">
        <v>374</v>
      </c>
      <c r="E2011" s="90" t="s">
        <v>68</v>
      </c>
      <c r="F2011" s="90" t="s">
        <v>375</v>
      </c>
      <c r="G2011" s="90" t="s">
        <v>376</v>
      </c>
      <c r="H2011" s="90">
        <v>0.59</v>
      </c>
      <c r="I2011" s="90">
        <v>0.64</v>
      </c>
      <c r="J2011" s="90" t="s">
        <v>244</v>
      </c>
      <c r="K2011" s="90">
        <v>3.6210743630770002E-2</v>
      </c>
      <c r="L2011" s="90">
        <v>3686.9096400429898</v>
      </c>
      <c r="M2011" s="90">
        <v>7.4079107349732398</v>
      </c>
      <c r="N2011" s="90">
        <v>1.02139727347795</v>
      </c>
      <c r="O2011" s="90">
        <v>0.26824595646374</v>
      </c>
      <c r="P2011" s="90">
        <v>3.6985554815070001E-2</v>
      </c>
      <c r="Q2011" s="90">
        <v>133.50573976541099</v>
      </c>
      <c r="R2011" s="90">
        <v>1700</v>
      </c>
      <c r="S2011" s="90" t="s">
        <v>414</v>
      </c>
      <c r="T2011" s="90">
        <v>1700</v>
      </c>
      <c r="U2011" s="90" t="s">
        <v>378</v>
      </c>
      <c r="V2011" s="90" t="s">
        <v>244</v>
      </c>
      <c r="Z2011" s="90">
        <v>0</v>
      </c>
      <c r="AA2011" s="90">
        <v>1</v>
      </c>
      <c r="AB2011" s="90">
        <v>0.26824595646374</v>
      </c>
      <c r="AC2011" s="90">
        <v>3.6985554815070001E-2</v>
      </c>
      <c r="AD2011" s="90">
        <v>200.04477466677599</v>
      </c>
      <c r="AF2011" s="90">
        <v>-1</v>
      </c>
      <c r="AG2011" s="90">
        <v>-1</v>
      </c>
      <c r="AH2011" s="90">
        <v>-1</v>
      </c>
      <c r="AI2011" s="90">
        <v>-1</v>
      </c>
      <c r="AJ2011" s="90">
        <v>0</v>
      </c>
      <c r="AM2011" s="90" t="s">
        <v>379</v>
      </c>
      <c r="AN2011" s="90">
        <v>-1</v>
      </c>
      <c r="AQ2011" s="90">
        <v>382</v>
      </c>
      <c r="AR2011" s="90" t="s">
        <v>295</v>
      </c>
      <c r="AS2011" s="90" t="s">
        <v>418</v>
      </c>
      <c r="AT2011" s="90" t="s">
        <v>244</v>
      </c>
      <c r="AU2011" s="90">
        <v>1.931305</v>
      </c>
      <c r="AV2011" s="90">
        <v>57.130930988161801</v>
      </c>
      <c r="AW2011" s="90">
        <v>146.539680422061</v>
      </c>
      <c r="AX2011" s="90">
        <v>0.16224231519999999</v>
      </c>
    </row>
    <row r="2012" spans="1:50" x14ac:dyDescent="0.25">
      <c r="A2012" s="102">
        <v>630000</v>
      </c>
      <c r="B2012" s="102">
        <v>1300000</v>
      </c>
      <c r="C2012" s="102">
        <v>1300000</v>
      </c>
      <c r="D2012" s="90" t="s">
        <v>374</v>
      </c>
      <c r="E2012" s="90" t="s">
        <v>68</v>
      </c>
      <c r="F2012" s="90" t="s">
        <v>375</v>
      </c>
      <c r="G2012" s="90" t="s">
        <v>376</v>
      </c>
      <c r="H2012" s="90">
        <v>0.59</v>
      </c>
      <c r="I2012" s="90">
        <v>0.64</v>
      </c>
      <c r="J2012" s="90" t="s">
        <v>244</v>
      </c>
      <c r="K2012" s="90">
        <v>2.1960468427879999E-2</v>
      </c>
      <c r="L2012" s="90">
        <v>3686.9096400429898</v>
      </c>
      <c r="M2012" s="90">
        <v>7.4079107349732398</v>
      </c>
      <c r="N2012" s="90">
        <v>1.02139727347795</v>
      </c>
      <c r="O2012" s="90">
        <v>0.16268118981193999</v>
      </c>
      <c r="P2012" s="90">
        <v>2.243036257653E-2</v>
      </c>
      <c r="Q2012" s="90">
        <v>80.9662627466179</v>
      </c>
      <c r="R2012" s="90">
        <v>1710</v>
      </c>
      <c r="S2012" s="90" t="s">
        <v>419</v>
      </c>
      <c r="T2012" s="90">
        <v>1710</v>
      </c>
      <c r="U2012" s="90" t="s">
        <v>378</v>
      </c>
      <c r="V2012" s="90" t="s">
        <v>244</v>
      </c>
      <c r="Z2012" s="90">
        <v>0</v>
      </c>
      <c r="AA2012" s="90">
        <v>1</v>
      </c>
      <c r="AB2012" s="90">
        <v>0.16268118981193999</v>
      </c>
      <c r="AC2012" s="90">
        <v>2.243036257653E-2</v>
      </c>
      <c r="AD2012" s="90">
        <v>202.337547317385</v>
      </c>
      <c r="AF2012" s="90">
        <v>-1</v>
      </c>
      <c r="AG2012" s="90">
        <v>-1</v>
      </c>
      <c r="AH2012" s="90">
        <v>-1</v>
      </c>
      <c r="AI2012" s="90">
        <v>-1</v>
      </c>
      <c r="AJ2012" s="90">
        <v>0</v>
      </c>
      <c r="AM2012" s="90" t="s">
        <v>379</v>
      </c>
      <c r="AN2012" s="90">
        <v>-1</v>
      </c>
      <c r="AQ2012" s="90">
        <v>382</v>
      </c>
      <c r="AR2012" s="90" t="s">
        <v>295</v>
      </c>
      <c r="AS2012" s="90" t="s">
        <v>418</v>
      </c>
      <c r="AT2012" s="90" t="s">
        <v>244</v>
      </c>
      <c r="AU2012" s="90">
        <v>1.931305</v>
      </c>
      <c r="AV2012" s="90">
        <v>40.991905038903802</v>
      </c>
      <c r="AW2012" s="90">
        <v>88.870862696287304</v>
      </c>
      <c r="AX2012" s="90">
        <v>0.1641018226</v>
      </c>
    </row>
    <row r="2013" spans="1:50" x14ac:dyDescent="0.25">
      <c r="A2013" s="102">
        <v>630000</v>
      </c>
      <c r="B2013" s="102">
        <v>1300000</v>
      </c>
      <c r="C2013" s="102">
        <v>1300000</v>
      </c>
      <c r="D2013" s="90" t="s">
        <v>374</v>
      </c>
      <c r="E2013" s="90" t="s">
        <v>68</v>
      </c>
      <c r="F2013" s="90" t="s">
        <v>375</v>
      </c>
      <c r="G2013" s="90" t="s">
        <v>376</v>
      </c>
      <c r="H2013" s="90">
        <v>0.59</v>
      </c>
      <c r="I2013" s="90">
        <v>0.64</v>
      </c>
      <c r="J2013" s="90" t="s">
        <v>244</v>
      </c>
      <c r="K2013" s="90">
        <v>0.11517556548864</v>
      </c>
      <c r="L2013" s="90">
        <v>3686.9096400429898</v>
      </c>
      <c r="M2013" s="90">
        <v>7.4079107349732398</v>
      </c>
      <c r="N2013" s="90">
        <v>1.02139727347795</v>
      </c>
      <c r="O2013" s="90">
        <v>0.85321030798996</v>
      </c>
      <c r="P2013" s="90">
        <v>0.11764000856138</v>
      </c>
      <c r="Q2013" s="90">
        <v>424.64190269749901</v>
      </c>
      <c r="R2013" s="90">
        <v>1750</v>
      </c>
      <c r="S2013" s="90" t="s">
        <v>377</v>
      </c>
      <c r="T2013" s="90">
        <v>1750</v>
      </c>
      <c r="U2013" s="90" t="s">
        <v>378</v>
      </c>
      <c r="V2013" s="90" t="s">
        <v>244</v>
      </c>
      <c r="Z2013" s="90">
        <v>0</v>
      </c>
      <c r="AA2013" s="90">
        <v>1</v>
      </c>
      <c r="AB2013" s="90">
        <v>0.85321030798996</v>
      </c>
      <c r="AC2013" s="90">
        <v>0.11764000856138</v>
      </c>
      <c r="AD2013" s="90">
        <v>424.64190269749901</v>
      </c>
      <c r="AF2013" s="90">
        <v>-1</v>
      </c>
      <c r="AG2013" s="90">
        <v>-1</v>
      </c>
      <c r="AH2013" s="90">
        <v>-1</v>
      </c>
      <c r="AI2013" s="90">
        <v>-1</v>
      </c>
      <c r="AJ2013" s="90">
        <v>0</v>
      </c>
      <c r="AM2013" s="90" t="s">
        <v>379</v>
      </c>
      <c r="AN2013" s="90">
        <v>-1</v>
      </c>
      <c r="AQ2013" s="90">
        <v>382</v>
      </c>
      <c r="AR2013" s="90" t="s">
        <v>295</v>
      </c>
      <c r="AS2013" s="90" t="s">
        <v>418</v>
      </c>
      <c r="AT2013" s="90" t="s">
        <v>244</v>
      </c>
      <c r="AU2013" s="90">
        <v>1.931305</v>
      </c>
      <c r="AV2013" s="90">
        <v>95.793404876016197</v>
      </c>
      <c r="AW2013" s="90">
        <v>466.09897690128503</v>
      </c>
      <c r="AX2013" s="90">
        <v>0.34439732579999999</v>
      </c>
    </row>
    <row r="2014" spans="1:50" x14ac:dyDescent="0.25">
      <c r="A2014" s="102">
        <v>640000</v>
      </c>
      <c r="B2014" s="102">
        <v>2200000</v>
      </c>
      <c r="C2014" s="102">
        <v>2200000</v>
      </c>
      <c r="D2014" s="90" t="s">
        <v>374</v>
      </c>
      <c r="E2014" s="90" t="s">
        <v>68</v>
      </c>
      <c r="F2014" s="90" t="s">
        <v>375</v>
      </c>
      <c r="G2014" s="90" t="s">
        <v>376</v>
      </c>
      <c r="H2014" s="90">
        <v>0.59</v>
      </c>
      <c r="I2014" s="90">
        <v>0.64</v>
      </c>
      <c r="J2014" s="90" t="s">
        <v>244</v>
      </c>
      <c r="K2014" s="90">
        <v>1.0481984025440001E-2</v>
      </c>
      <c r="L2014" s="90">
        <v>3676.42587990948</v>
      </c>
      <c r="M2014" s="90">
        <v>7.6181684152992197</v>
      </c>
      <c r="N2014" s="90">
        <v>1.10156969718746</v>
      </c>
      <c r="O2014" s="90">
        <v>7.9853519632330006E-2</v>
      </c>
      <c r="P2014" s="90">
        <v>1.154663596883E-2</v>
      </c>
      <c r="Q2014" s="90">
        <v>38.536237343954802</v>
      </c>
      <c r="R2014" s="90">
        <v>1820</v>
      </c>
      <c r="S2014" s="90" t="s">
        <v>412</v>
      </c>
      <c r="T2014" s="90">
        <v>1820</v>
      </c>
      <c r="U2014" s="90" t="s">
        <v>378</v>
      </c>
      <c r="V2014" s="90" t="s">
        <v>244</v>
      </c>
      <c r="Z2014" s="90">
        <v>0</v>
      </c>
      <c r="AA2014" s="90">
        <v>1</v>
      </c>
      <c r="AB2014" s="90">
        <v>7.9853519632330006E-2</v>
      </c>
      <c r="AC2014" s="90">
        <v>1.154663596883E-2</v>
      </c>
      <c r="AD2014" s="90">
        <v>2099.5083180889201</v>
      </c>
      <c r="AF2014" s="90">
        <v>-1</v>
      </c>
      <c r="AG2014" s="90">
        <v>-1</v>
      </c>
      <c r="AH2014" s="90">
        <v>-1</v>
      </c>
      <c r="AI2014" s="90">
        <v>-1</v>
      </c>
      <c r="AJ2014" s="90">
        <v>0</v>
      </c>
      <c r="AM2014" s="90" t="s">
        <v>379</v>
      </c>
      <c r="AN2014" s="90">
        <v>-1</v>
      </c>
      <c r="AQ2014" s="90">
        <v>382</v>
      </c>
      <c r="AR2014" s="90" t="s">
        <v>295</v>
      </c>
      <c r="AS2014" s="90" t="s">
        <v>418</v>
      </c>
      <c r="AT2014" s="90" t="s">
        <v>244</v>
      </c>
      <c r="AU2014" s="90">
        <v>1.931305</v>
      </c>
      <c r="AV2014" s="90">
        <v>57.981482640019998</v>
      </c>
      <c r="AW2014" s="90">
        <v>42.419084372879702</v>
      </c>
      <c r="AX2014" s="90">
        <v>1.7027642482000001</v>
      </c>
    </row>
    <row r="2015" spans="1:50" x14ac:dyDescent="0.25">
      <c r="A2015" s="102">
        <v>650000</v>
      </c>
      <c r="B2015" s="102">
        <v>2300000</v>
      </c>
      <c r="C2015" s="102">
        <v>2300000</v>
      </c>
      <c r="D2015" s="90" t="s">
        <v>374</v>
      </c>
      <c r="E2015" s="90" t="s">
        <v>68</v>
      </c>
      <c r="F2015" s="90" t="s">
        <v>375</v>
      </c>
      <c r="G2015" s="90" t="s">
        <v>376</v>
      </c>
      <c r="H2015" s="90">
        <v>0.59</v>
      </c>
      <c r="I2015" s="90">
        <v>0.64</v>
      </c>
      <c r="J2015" s="90" t="s">
        <v>244</v>
      </c>
      <c r="K2015" s="90">
        <v>0.25091433559849002</v>
      </c>
      <c r="L2015" s="90">
        <v>3680.6896524417998</v>
      </c>
      <c r="M2015" s="90">
        <v>7.3752864780072001</v>
      </c>
      <c r="N2015" s="90">
        <v>1.01979072947466</v>
      </c>
      <c r="O2015" s="90">
        <v>1.8505651064777</v>
      </c>
      <c r="P2015" s="90">
        <v>0.25588011333562999</v>
      </c>
      <c r="Q2015" s="90">
        <v>923.537798686673</v>
      </c>
      <c r="R2015" s="90">
        <v>1820</v>
      </c>
      <c r="S2015" s="90" t="s">
        <v>412</v>
      </c>
      <c r="T2015" s="90">
        <v>1820</v>
      </c>
      <c r="U2015" s="90" t="s">
        <v>378</v>
      </c>
      <c r="V2015" s="90" t="s">
        <v>244</v>
      </c>
      <c r="Z2015" s="90">
        <v>0</v>
      </c>
      <c r="AA2015" s="90">
        <v>1</v>
      </c>
      <c r="AB2015" s="90">
        <v>1.8505651064777</v>
      </c>
      <c r="AC2015" s="90">
        <v>0.25588011333562999</v>
      </c>
      <c r="AD2015" s="90">
        <v>1681.3571087436601</v>
      </c>
      <c r="AF2015" s="90">
        <v>-1</v>
      </c>
      <c r="AG2015" s="90">
        <v>-1</v>
      </c>
      <c r="AH2015" s="90">
        <v>-1</v>
      </c>
      <c r="AI2015" s="90">
        <v>-1</v>
      </c>
      <c r="AJ2015" s="90">
        <v>0</v>
      </c>
      <c r="AM2015" s="90" t="s">
        <v>379</v>
      </c>
      <c r="AN2015" s="90">
        <v>-1</v>
      </c>
      <c r="AQ2015" s="90">
        <v>382</v>
      </c>
      <c r="AR2015" s="90" t="s">
        <v>295</v>
      </c>
      <c r="AS2015" s="90" t="s">
        <v>418</v>
      </c>
      <c r="AT2015" s="90" t="s">
        <v>244</v>
      </c>
      <c r="AU2015" s="90">
        <v>1.931305</v>
      </c>
      <c r="AV2015" s="90">
        <v>140.98432332236601</v>
      </c>
      <c r="AW2015" s="90">
        <v>1015.41429048897</v>
      </c>
      <c r="AX2015" s="90">
        <v>1.3636310695</v>
      </c>
    </row>
    <row r="2016" spans="1:50" x14ac:dyDescent="0.25">
      <c r="A2016" s="102">
        <v>650000</v>
      </c>
      <c r="B2016" s="102">
        <v>2300000</v>
      </c>
      <c r="C2016" s="102">
        <v>2300000</v>
      </c>
      <c r="D2016" s="90" t="s">
        <v>374</v>
      </c>
      <c r="E2016" s="90" t="s">
        <v>68</v>
      </c>
      <c r="F2016" s="90" t="s">
        <v>375</v>
      </c>
      <c r="G2016" s="90" t="s">
        <v>376</v>
      </c>
      <c r="H2016" s="90">
        <v>0.59</v>
      </c>
      <c r="I2016" s="90">
        <v>0.64</v>
      </c>
      <c r="J2016" s="90" t="s">
        <v>244</v>
      </c>
      <c r="K2016" s="90">
        <v>4.1027456374399997E-3</v>
      </c>
      <c r="L2016" s="90">
        <v>3680.6896524417998</v>
      </c>
      <c r="M2016" s="90">
        <v>7.3752864780072001</v>
      </c>
      <c r="N2016" s="90">
        <v>1.01979072947466</v>
      </c>
      <c r="O2016" s="90">
        <v>3.0258924422550001E-2</v>
      </c>
      <c r="P2016" s="90">
        <v>4.1839419664599998E-3</v>
      </c>
      <c r="Q2016" s="90">
        <v>15.1009334143482</v>
      </c>
      <c r="R2016" s="90">
        <v>8340</v>
      </c>
      <c r="S2016" s="90" t="s">
        <v>420</v>
      </c>
      <c r="T2016" s="90">
        <v>8340</v>
      </c>
      <c r="U2016" s="90" t="s">
        <v>378</v>
      </c>
      <c r="V2016" s="90" t="s">
        <v>244</v>
      </c>
      <c r="Z2016" s="90">
        <v>0</v>
      </c>
      <c r="AA2016" s="90">
        <v>1</v>
      </c>
      <c r="AB2016" s="90">
        <v>3.0258924422550001E-2</v>
      </c>
      <c r="AC2016" s="90">
        <v>4.1839419664599998E-3</v>
      </c>
      <c r="AD2016" s="90">
        <v>15.1009334143468</v>
      </c>
      <c r="AF2016" s="90">
        <v>-1</v>
      </c>
      <c r="AG2016" s="90">
        <v>-1</v>
      </c>
      <c r="AH2016" s="90">
        <v>-1</v>
      </c>
      <c r="AI2016" s="90">
        <v>-1</v>
      </c>
      <c r="AJ2016" s="90">
        <v>0</v>
      </c>
      <c r="AM2016" s="90" t="s">
        <v>379</v>
      </c>
      <c r="AN2016" s="90">
        <v>-1</v>
      </c>
      <c r="AQ2016" s="90">
        <v>382</v>
      </c>
      <c r="AR2016" s="90" t="s">
        <v>295</v>
      </c>
      <c r="AS2016" s="90" t="s">
        <v>418</v>
      </c>
      <c r="AT2016" s="90" t="s">
        <v>244</v>
      </c>
      <c r="AU2016" s="90">
        <v>1.931305</v>
      </c>
      <c r="AV2016" s="90">
        <v>42.825877829028698</v>
      </c>
      <c r="AW2016" s="90">
        <v>16.603222532370399</v>
      </c>
      <c r="AX2016" s="90">
        <v>1.22473101E-2</v>
      </c>
    </row>
    <row r="2017" spans="1:50" x14ac:dyDescent="0.25">
      <c r="A2017" s="102">
        <v>660000</v>
      </c>
      <c r="B2017" s="102">
        <v>2300000</v>
      </c>
      <c r="C2017" s="102">
        <v>2300000</v>
      </c>
      <c r="D2017" s="90" t="s">
        <v>374</v>
      </c>
      <c r="E2017" s="90" t="s">
        <v>68</v>
      </c>
      <c r="F2017" s="90" t="s">
        <v>375</v>
      </c>
      <c r="G2017" s="90" t="s">
        <v>376</v>
      </c>
      <c r="H2017" s="90">
        <v>0.59</v>
      </c>
      <c r="I2017" s="90">
        <v>0.64</v>
      </c>
      <c r="J2017" s="90" t="s">
        <v>244</v>
      </c>
      <c r="K2017" s="90">
        <v>1.8651050566900001E-3</v>
      </c>
      <c r="L2017" s="90">
        <v>3675.1773709372301</v>
      </c>
      <c r="M2017" s="90">
        <v>7.3148523381731101</v>
      </c>
      <c r="N2017" s="90">
        <v>1.0173787836619399</v>
      </c>
      <c r="O2017" s="90">
        <v>1.3642968084880001E-2</v>
      </c>
      <c r="P2017" s="90">
        <v>1.8975183139799999E-3</v>
      </c>
      <c r="Q2017" s="90">
        <v>6.8545918987787102</v>
      </c>
      <c r="R2017" s="90">
        <v>1820</v>
      </c>
      <c r="S2017" s="90" t="s">
        <v>412</v>
      </c>
      <c r="T2017" s="90">
        <v>1820</v>
      </c>
      <c r="U2017" s="90" t="s">
        <v>378</v>
      </c>
      <c r="V2017" s="90" t="s">
        <v>244</v>
      </c>
      <c r="Z2017" s="90">
        <v>0</v>
      </c>
      <c r="AA2017" s="90">
        <v>1</v>
      </c>
      <c r="AB2017" s="90">
        <v>1.3642968084880001E-2</v>
      </c>
      <c r="AC2017" s="90">
        <v>1.8975183139799999E-3</v>
      </c>
      <c r="AD2017" s="90">
        <v>2008.86444164008</v>
      </c>
      <c r="AF2017" s="90">
        <v>-1</v>
      </c>
      <c r="AG2017" s="90">
        <v>-1</v>
      </c>
      <c r="AH2017" s="90">
        <v>-1</v>
      </c>
      <c r="AI2017" s="90">
        <v>-1</v>
      </c>
      <c r="AJ2017" s="90">
        <v>0</v>
      </c>
      <c r="AM2017" s="90" t="s">
        <v>379</v>
      </c>
      <c r="AN2017" s="90">
        <v>-1</v>
      </c>
      <c r="AQ2017" s="90">
        <v>382</v>
      </c>
      <c r="AR2017" s="90" t="s">
        <v>295</v>
      </c>
      <c r="AS2017" s="90" t="s">
        <v>418</v>
      </c>
      <c r="AT2017" s="90" t="s">
        <v>244</v>
      </c>
      <c r="AU2017" s="90">
        <v>1.931305</v>
      </c>
      <c r="AV2017" s="90">
        <v>15.663805752974501</v>
      </c>
      <c r="AW2017" s="90">
        <v>7.5478123771295396</v>
      </c>
      <c r="AX2017" s="90">
        <v>1.6292493444</v>
      </c>
    </row>
    <row r="2018" spans="1:50" x14ac:dyDescent="0.25">
      <c r="A2018" s="102">
        <v>660000</v>
      </c>
      <c r="B2018" s="102">
        <v>2300000</v>
      </c>
      <c r="C2018" s="102">
        <v>2300000</v>
      </c>
      <c r="D2018" s="90" t="s">
        <v>374</v>
      </c>
      <c r="E2018" s="90" t="s">
        <v>68</v>
      </c>
      <c r="F2018" s="90" t="s">
        <v>375</v>
      </c>
      <c r="G2018" s="90" t="s">
        <v>376</v>
      </c>
      <c r="H2018" s="90">
        <v>0.59</v>
      </c>
      <c r="I2018" s="90">
        <v>0.64</v>
      </c>
      <c r="J2018" s="90" t="s">
        <v>244</v>
      </c>
      <c r="K2018" s="90">
        <v>0.16438237423077001</v>
      </c>
      <c r="L2018" s="90">
        <v>3690.33356124593</v>
      </c>
      <c r="M2018" s="90">
        <v>7.42431668633788</v>
      </c>
      <c r="N2018" s="90">
        <v>1.0135499821043801</v>
      </c>
      <c r="O2018" s="90">
        <v>1.2204268039413899</v>
      </c>
      <c r="P2018" s="90">
        <v>0.16660975245988</v>
      </c>
      <c r="Q2018" s="90">
        <v>606.62579250112503</v>
      </c>
      <c r="R2018" s="90">
        <v>1820</v>
      </c>
      <c r="S2018" s="90" t="s">
        <v>412</v>
      </c>
      <c r="T2018" s="90">
        <v>1820</v>
      </c>
      <c r="U2018" s="90" t="s">
        <v>378</v>
      </c>
      <c r="V2018" s="90" t="s">
        <v>244</v>
      </c>
      <c r="Z2018" s="90">
        <v>0</v>
      </c>
      <c r="AA2018" s="90">
        <v>1</v>
      </c>
      <c r="AB2018" s="90">
        <v>1.2204268039413899</v>
      </c>
      <c r="AC2018" s="90">
        <v>0.16660975245988</v>
      </c>
      <c r="AD2018" s="90">
        <v>1015.04382166656</v>
      </c>
      <c r="AF2018" s="90">
        <v>-1</v>
      </c>
      <c r="AG2018" s="90">
        <v>-1</v>
      </c>
      <c r="AH2018" s="90">
        <v>-1</v>
      </c>
      <c r="AI2018" s="90">
        <v>-1</v>
      </c>
      <c r="AJ2018" s="90">
        <v>0</v>
      </c>
      <c r="AM2018" s="90" t="s">
        <v>379</v>
      </c>
      <c r="AN2018" s="90">
        <v>-1</v>
      </c>
      <c r="AQ2018" s="90">
        <v>382</v>
      </c>
      <c r="AR2018" s="90" t="s">
        <v>295</v>
      </c>
      <c r="AS2018" s="90" t="s">
        <v>418</v>
      </c>
      <c r="AT2018" s="90" t="s">
        <v>244</v>
      </c>
      <c r="AU2018" s="90">
        <v>1.931305</v>
      </c>
      <c r="AV2018" s="90">
        <v>134.49621928131401</v>
      </c>
      <c r="AW2018" s="90">
        <v>665.23186688518103</v>
      </c>
      <c r="AX2018" s="90">
        <v>0.82323099889999996</v>
      </c>
    </row>
    <row r="2019" spans="1:50" x14ac:dyDescent="0.25">
      <c r="A2019" s="102">
        <v>660000</v>
      </c>
      <c r="B2019" s="102">
        <v>2300000</v>
      </c>
      <c r="C2019" s="102">
        <v>2300000</v>
      </c>
      <c r="D2019" s="90" t="s">
        <v>374</v>
      </c>
      <c r="E2019" s="90" t="s">
        <v>68</v>
      </c>
      <c r="F2019" s="90" t="s">
        <v>375</v>
      </c>
      <c r="G2019" s="90" t="s">
        <v>376</v>
      </c>
      <c r="H2019" s="90">
        <v>0.59</v>
      </c>
      <c r="I2019" s="90">
        <v>0.64</v>
      </c>
      <c r="J2019" s="90" t="s">
        <v>244</v>
      </c>
      <c r="K2019" s="90">
        <v>2.035884889006E-2</v>
      </c>
      <c r="L2019" s="90">
        <v>3704.1730400013398</v>
      </c>
      <c r="M2019" s="90">
        <v>7.80162774903871</v>
      </c>
      <c r="N2019" s="90">
        <v>1.1285722691151201</v>
      </c>
      <c r="O2019" s="90">
        <v>0.15883216043924001</v>
      </c>
      <c r="P2019" s="90">
        <v>2.297643228843E-2</v>
      </c>
      <c r="Q2019" s="90">
        <v>75.412699184051107</v>
      </c>
      <c r="R2019" s="90">
        <v>1820</v>
      </c>
      <c r="S2019" s="90" t="s">
        <v>412</v>
      </c>
      <c r="T2019" s="90">
        <v>1820</v>
      </c>
      <c r="U2019" s="90" t="s">
        <v>378</v>
      </c>
      <c r="V2019" s="90" t="s">
        <v>244</v>
      </c>
      <c r="Z2019" s="90">
        <v>0</v>
      </c>
      <c r="AA2019" s="90">
        <v>1</v>
      </c>
      <c r="AB2019" s="90">
        <v>0.15883216043924001</v>
      </c>
      <c r="AC2019" s="90">
        <v>2.297643228843E-2</v>
      </c>
      <c r="AD2019" s="90">
        <v>703.32269128388805</v>
      </c>
      <c r="AF2019" s="90">
        <v>-1</v>
      </c>
      <c r="AG2019" s="90">
        <v>-1</v>
      </c>
      <c r="AH2019" s="90">
        <v>-1</v>
      </c>
      <c r="AI2019" s="90">
        <v>-1</v>
      </c>
      <c r="AJ2019" s="90">
        <v>0</v>
      </c>
      <c r="AM2019" s="90" t="s">
        <v>379</v>
      </c>
      <c r="AN2019" s="90">
        <v>-1</v>
      </c>
      <c r="AQ2019" s="90">
        <v>382</v>
      </c>
      <c r="AR2019" s="90" t="s">
        <v>295</v>
      </c>
      <c r="AS2019" s="90" t="s">
        <v>418</v>
      </c>
      <c r="AT2019" s="90" t="s">
        <v>244</v>
      </c>
      <c r="AU2019" s="90">
        <v>1.931305</v>
      </c>
      <c r="AV2019" s="90">
        <v>35.962860775143596</v>
      </c>
      <c r="AW2019" s="90">
        <v>82.389338383444496</v>
      </c>
      <c r="AX2019" s="90">
        <v>0.57041580800000002</v>
      </c>
    </row>
    <row r="2020" spans="1:50" x14ac:dyDescent="0.25">
      <c r="A2020" s="102">
        <v>660000</v>
      </c>
      <c r="B2020" s="102">
        <v>2400000</v>
      </c>
      <c r="C2020" s="102">
        <v>2400000</v>
      </c>
      <c r="D2020" s="90" t="s">
        <v>374</v>
      </c>
      <c r="E2020" s="90" t="s">
        <v>68</v>
      </c>
      <c r="F2020" s="90" t="s">
        <v>375</v>
      </c>
      <c r="G2020" s="90" t="s">
        <v>376</v>
      </c>
      <c r="H2020" s="90">
        <v>0.59</v>
      </c>
      <c r="I2020" s="90">
        <v>0.64</v>
      </c>
      <c r="J2020" s="90" t="s">
        <v>244</v>
      </c>
      <c r="K2020" s="90">
        <v>0.36342676041146998</v>
      </c>
      <c r="L2020" s="90">
        <v>3686.9096400429898</v>
      </c>
      <c r="M2020" s="90">
        <v>7.4079107349732398</v>
      </c>
      <c r="N2020" s="90">
        <v>1.02139727347795</v>
      </c>
      <c r="O2020" s="90">
        <v>2.6922329998287302</v>
      </c>
      <c r="P2020" s="90">
        <v>0.37120310219321001</v>
      </c>
      <c r="Q2020" s="90">
        <v>1339.9216264106699</v>
      </c>
      <c r="R2020" s="90">
        <v>1820</v>
      </c>
      <c r="S2020" s="90" t="s">
        <v>412</v>
      </c>
      <c r="T2020" s="90">
        <v>1820</v>
      </c>
      <c r="U2020" s="90" t="s">
        <v>378</v>
      </c>
      <c r="V2020" s="90" t="s">
        <v>244</v>
      </c>
      <c r="Z2020" s="90">
        <v>0</v>
      </c>
      <c r="AA2020" s="90">
        <v>1</v>
      </c>
      <c r="AB2020" s="90">
        <v>2.6922329998287302</v>
      </c>
      <c r="AC2020" s="90">
        <v>0.37120310219321001</v>
      </c>
      <c r="AD2020" s="90">
        <v>1364.5095552074299</v>
      </c>
      <c r="AF2020" s="90">
        <v>-1</v>
      </c>
      <c r="AG2020" s="90">
        <v>-1</v>
      </c>
      <c r="AH2020" s="90">
        <v>-1</v>
      </c>
      <c r="AI2020" s="90">
        <v>-1</v>
      </c>
      <c r="AJ2020" s="90">
        <v>0</v>
      </c>
      <c r="AM2020" s="90" t="s">
        <v>379</v>
      </c>
      <c r="AN2020" s="90">
        <v>-1</v>
      </c>
      <c r="AQ2020" s="90">
        <v>382</v>
      </c>
      <c r="AR2020" s="90" t="s">
        <v>295</v>
      </c>
      <c r="AS2020" s="90" t="s">
        <v>418</v>
      </c>
      <c r="AT2020" s="90" t="s">
        <v>244</v>
      </c>
      <c r="AU2020" s="90">
        <v>1.931305</v>
      </c>
      <c r="AV2020" s="90">
        <v>166.80381220096501</v>
      </c>
      <c r="AW2020" s="90">
        <v>1470.7359194432099</v>
      </c>
      <c r="AX2020" s="90">
        <v>1.1066581955999999</v>
      </c>
    </row>
    <row r="2021" spans="1:50" x14ac:dyDescent="0.25">
      <c r="A2021" s="102">
        <v>660000</v>
      </c>
      <c r="B2021" s="102">
        <v>2400000</v>
      </c>
      <c r="C2021" s="102">
        <v>2400000</v>
      </c>
      <c r="D2021" s="90" t="s">
        <v>374</v>
      </c>
      <c r="E2021" s="90" t="s">
        <v>68</v>
      </c>
      <c r="F2021" s="90" t="s">
        <v>375</v>
      </c>
      <c r="G2021" s="90" t="s">
        <v>376</v>
      </c>
      <c r="H2021" s="90">
        <v>0.59</v>
      </c>
      <c r="I2021" s="90">
        <v>0.64</v>
      </c>
      <c r="J2021" s="90" t="s">
        <v>244</v>
      </c>
      <c r="K2021" s="90">
        <v>2.3354183428439999E-2</v>
      </c>
      <c r="L2021" s="90">
        <v>3686.9096400429898</v>
      </c>
      <c r="M2021" s="90">
        <v>7.4079107349732398</v>
      </c>
      <c r="N2021" s="90">
        <v>1.02139727347795</v>
      </c>
      <c r="O2021" s="90">
        <v>0.17300570612610999</v>
      </c>
      <c r="P2021" s="90">
        <v>2.3853899278110002E-2</v>
      </c>
      <c r="Q2021" s="90">
        <v>86.104764017666099</v>
      </c>
      <c r="R2021" s="90">
        <v>8340</v>
      </c>
      <c r="S2021" s="90" t="s">
        <v>420</v>
      </c>
      <c r="T2021" s="90">
        <v>8340</v>
      </c>
      <c r="U2021" s="90" t="s">
        <v>378</v>
      </c>
      <c r="V2021" s="90" t="s">
        <v>244</v>
      </c>
      <c r="Z2021" s="90">
        <v>0</v>
      </c>
      <c r="AA2021" s="90">
        <v>1</v>
      </c>
      <c r="AB2021" s="90">
        <v>0.17300570612610999</v>
      </c>
      <c r="AC2021" s="90">
        <v>2.3853899278110002E-2</v>
      </c>
      <c r="AD2021" s="90">
        <v>86.104764017665104</v>
      </c>
      <c r="AF2021" s="90">
        <v>-1</v>
      </c>
      <c r="AG2021" s="90">
        <v>-1</v>
      </c>
      <c r="AH2021" s="90">
        <v>-1</v>
      </c>
      <c r="AI2021" s="90">
        <v>-1</v>
      </c>
      <c r="AJ2021" s="90">
        <v>0</v>
      </c>
      <c r="AM2021" s="90" t="s">
        <v>379</v>
      </c>
      <c r="AN2021" s="90">
        <v>-1</v>
      </c>
      <c r="AQ2021" s="90">
        <v>382</v>
      </c>
      <c r="AR2021" s="90" t="s">
        <v>295</v>
      </c>
      <c r="AS2021" s="90" t="s">
        <v>418</v>
      </c>
      <c r="AT2021" s="90" t="s">
        <v>244</v>
      </c>
      <c r="AU2021" s="90">
        <v>1.931305</v>
      </c>
      <c r="AV2021" s="90">
        <v>71.192653621720595</v>
      </c>
      <c r="AW2021" s="90">
        <v>94.511027197309105</v>
      </c>
      <c r="AX2021" s="90">
        <v>6.9833547499999996E-2</v>
      </c>
    </row>
    <row r="2022" spans="1:50" x14ac:dyDescent="0.25">
      <c r="A2022" s="102">
        <v>610000</v>
      </c>
      <c r="B2022" s="102">
        <v>1200000</v>
      </c>
      <c r="C2022" s="102">
        <v>1200000</v>
      </c>
      <c r="D2022" s="90" t="s">
        <v>374</v>
      </c>
      <c r="E2022" s="90" t="s">
        <v>68</v>
      </c>
      <c r="F2022" s="90" t="s">
        <v>375</v>
      </c>
      <c r="G2022" s="90" t="s">
        <v>376</v>
      </c>
      <c r="H2022" s="90">
        <v>0.59</v>
      </c>
      <c r="I2022" s="90">
        <v>0.64</v>
      </c>
      <c r="J2022" s="90" t="s">
        <v>244</v>
      </c>
      <c r="K2022" s="90">
        <v>4.1269449694629999E-2</v>
      </c>
      <c r="L2022" s="90">
        <v>3680.6896524417998</v>
      </c>
      <c r="M2022" s="90">
        <v>7.3752864780072001</v>
      </c>
      <c r="N2022" s="90">
        <v>1.01979072947466</v>
      </c>
      <c r="O2022" s="90">
        <v>0.30437401428763999</v>
      </c>
      <c r="P2022" s="90">
        <v>4.2086202209110003E-2</v>
      </c>
      <c r="Q2022" s="90">
        <v>151.900036453014</v>
      </c>
      <c r="R2022" s="90">
        <v>1750</v>
      </c>
      <c r="S2022" s="90" t="s">
        <v>377</v>
      </c>
      <c r="T2022" s="90">
        <v>1750</v>
      </c>
      <c r="U2022" s="90" t="s">
        <v>378</v>
      </c>
      <c r="V2022" s="90" t="s">
        <v>244</v>
      </c>
      <c r="Z2022" s="90">
        <v>0</v>
      </c>
      <c r="AA2022" s="90">
        <v>1</v>
      </c>
      <c r="AB2022" s="90">
        <v>0.30437401428763999</v>
      </c>
      <c r="AC2022" s="90">
        <v>4.2086202209110003E-2</v>
      </c>
      <c r="AD2022" s="90">
        <v>577.33746838928596</v>
      </c>
      <c r="AF2022" s="90">
        <v>-1</v>
      </c>
      <c r="AG2022" s="90">
        <v>-1</v>
      </c>
      <c r="AH2022" s="90">
        <v>-1</v>
      </c>
      <c r="AI2022" s="90">
        <v>-1</v>
      </c>
      <c r="AJ2022" s="90">
        <v>0</v>
      </c>
      <c r="AM2022" s="90" t="s">
        <v>379</v>
      </c>
      <c r="AN2022" s="90">
        <v>-1</v>
      </c>
      <c r="AQ2022" s="90">
        <v>381</v>
      </c>
      <c r="AR2022" s="90" t="s">
        <v>297</v>
      </c>
      <c r="AS2022" s="90" t="s">
        <v>421</v>
      </c>
      <c r="AT2022" s="90" t="s">
        <v>244</v>
      </c>
      <c r="AU2022" s="90">
        <v>0.91311399999999998</v>
      </c>
      <c r="AV2022" s="90">
        <v>54.782272226669903</v>
      </c>
      <c r="AW2022" s="90">
        <v>167.01153754564899</v>
      </c>
      <c r="AX2022" s="90">
        <v>0.46823801170000001</v>
      </c>
    </row>
    <row r="2023" spans="1:50" x14ac:dyDescent="0.25">
      <c r="A2023" s="102">
        <v>610000</v>
      </c>
      <c r="B2023" s="102">
        <v>1300000</v>
      </c>
      <c r="C2023" s="102">
        <v>1300000</v>
      </c>
      <c r="D2023" s="90" t="s">
        <v>374</v>
      </c>
      <c r="E2023" s="90" t="s">
        <v>68</v>
      </c>
      <c r="F2023" s="90" t="s">
        <v>375</v>
      </c>
      <c r="G2023" s="90" t="s">
        <v>376</v>
      </c>
      <c r="H2023" s="90">
        <v>0.59</v>
      </c>
      <c r="I2023" s="90">
        <v>0.64</v>
      </c>
      <c r="J2023" s="90" t="s">
        <v>244</v>
      </c>
      <c r="K2023" s="90">
        <v>0.19935477586382999</v>
      </c>
      <c r="L2023" s="90">
        <v>3715.1148271556499</v>
      </c>
      <c r="M2023" s="90">
        <v>7.4331420370538703</v>
      </c>
      <c r="N2023" s="90">
        <v>1.0163822678559</v>
      </c>
      <c r="O2023" s="90">
        <v>1.48183236476092</v>
      </c>
      <c r="P2023" s="90">
        <v>0.20262065920038999</v>
      </c>
      <c r="Q2023" s="90">
        <v>740.62588367602496</v>
      </c>
      <c r="R2023" s="90">
        <v>1750</v>
      </c>
      <c r="S2023" s="90" t="s">
        <v>377</v>
      </c>
      <c r="T2023" s="90">
        <v>1750</v>
      </c>
      <c r="U2023" s="90" t="s">
        <v>378</v>
      </c>
      <c r="V2023" s="90" t="s">
        <v>244</v>
      </c>
      <c r="Z2023" s="90">
        <v>0</v>
      </c>
      <c r="AA2023" s="90">
        <v>1</v>
      </c>
      <c r="AB2023" s="90">
        <v>1.48183236476092</v>
      </c>
      <c r="AC2023" s="90">
        <v>0.20262065920038999</v>
      </c>
      <c r="AD2023" s="90">
        <v>2122.3291195653901</v>
      </c>
      <c r="AF2023" s="90">
        <v>-1</v>
      </c>
      <c r="AG2023" s="90">
        <v>-1</v>
      </c>
      <c r="AH2023" s="90">
        <v>-1</v>
      </c>
      <c r="AI2023" s="90">
        <v>-1</v>
      </c>
      <c r="AJ2023" s="90">
        <v>0</v>
      </c>
      <c r="AM2023" s="90" t="s">
        <v>379</v>
      </c>
      <c r="AN2023" s="90">
        <v>-1</v>
      </c>
      <c r="AQ2023" s="90">
        <v>381</v>
      </c>
      <c r="AR2023" s="90" t="s">
        <v>297</v>
      </c>
      <c r="AS2023" s="90" t="s">
        <v>421</v>
      </c>
      <c r="AT2023" s="90" t="s">
        <v>244</v>
      </c>
      <c r="AU2023" s="90">
        <v>0.91311399999999998</v>
      </c>
      <c r="AV2023" s="90">
        <v>151.19566942639801</v>
      </c>
      <c r="AW2023" s="90">
        <v>806.76015504067402</v>
      </c>
      <c r="AX2023" s="90">
        <v>1.7212726031000001</v>
      </c>
    </row>
    <row r="2024" spans="1:50" x14ac:dyDescent="0.25">
      <c r="A2024" s="102">
        <v>620000</v>
      </c>
      <c r="B2024" s="102">
        <v>1300000</v>
      </c>
      <c r="C2024" s="102">
        <v>1300000</v>
      </c>
      <c r="D2024" s="90" t="s">
        <v>374</v>
      </c>
      <c r="E2024" s="90" t="s">
        <v>68</v>
      </c>
      <c r="F2024" s="90" t="s">
        <v>375</v>
      </c>
      <c r="G2024" s="90" t="s">
        <v>376</v>
      </c>
      <c r="H2024" s="90">
        <v>0.59</v>
      </c>
      <c r="I2024" s="90">
        <v>0.64</v>
      </c>
      <c r="J2024" s="90" t="s">
        <v>244</v>
      </c>
      <c r="K2024" s="90">
        <v>0.19774795211848001</v>
      </c>
      <c r="L2024" s="90">
        <v>3713.3526205113899</v>
      </c>
      <c r="M2024" s="90">
        <v>7.43038198462434</v>
      </c>
      <c r="N2024" s="90">
        <v>1.01687541390026</v>
      </c>
      <c r="O2024" s="90">
        <v>1.4693428209175401</v>
      </c>
      <c r="P2024" s="90">
        <v>0.20108503065840999</v>
      </c>
      <c r="Q2024" s="90">
        <v>734.30787619993498</v>
      </c>
      <c r="R2024" s="90">
        <v>1750</v>
      </c>
      <c r="S2024" s="90" t="s">
        <v>377</v>
      </c>
      <c r="T2024" s="90">
        <v>1750</v>
      </c>
      <c r="U2024" s="90" t="s">
        <v>378</v>
      </c>
      <c r="V2024" s="90" t="s">
        <v>244</v>
      </c>
      <c r="Z2024" s="90">
        <v>0</v>
      </c>
      <c r="AA2024" s="90">
        <v>1</v>
      </c>
      <c r="AB2024" s="90">
        <v>1.4693428209175401</v>
      </c>
      <c r="AC2024" s="90">
        <v>0.20108503065840999</v>
      </c>
      <c r="AD2024" s="90">
        <v>1999.5924009907201</v>
      </c>
      <c r="AF2024" s="90">
        <v>-1</v>
      </c>
      <c r="AG2024" s="90">
        <v>-1</v>
      </c>
      <c r="AH2024" s="90">
        <v>-1</v>
      </c>
      <c r="AI2024" s="90">
        <v>-1</v>
      </c>
      <c r="AJ2024" s="90">
        <v>0</v>
      </c>
      <c r="AM2024" s="90" t="s">
        <v>379</v>
      </c>
      <c r="AN2024" s="90">
        <v>-1</v>
      </c>
      <c r="AQ2024" s="90">
        <v>381</v>
      </c>
      <c r="AR2024" s="90" t="s">
        <v>297</v>
      </c>
      <c r="AS2024" s="90" t="s">
        <v>421</v>
      </c>
      <c r="AT2024" s="90" t="s">
        <v>244</v>
      </c>
      <c r="AU2024" s="90">
        <v>0.91311399999999998</v>
      </c>
      <c r="AV2024" s="90">
        <v>151.351227277362</v>
      </c>
      <c r="AW2024" s="90">
        <v>800.257570047135</v>
      </c>
      <c r="AX2024" s="90">
        <v>1.6217294412000001</v>
      </c>
    </row>
    <row r="2025" spans="1:50" x14ac:dyDescent="0.25">
      <c r="A2025" s="102">
        <v>620000</v>
      </c>
      <c r="B2025" s="102">
        <v>1300000</v>
      </c>
      <c r="C2025" s="102">
        <v>1300000</v>
      </c>
      <c r="D2025" s="90" t="s">
        <v>374</v>
      </c>
      <c r="E2025" s="90" t="s">
        <v>68</v>
      </c>
      <c r="F2025" s="90" t="s">
        <v>375</v>
      </c>
      <c r="G2025" s="90" t="s">
        <v>376</v>
      </c>
      <c r="H2025" s="90">
        <v>0.59</v>
      </c>
      <c r="I2025" s="90">
        <v>0.64</v>
      </c>
      <c r="J2025" s="90" t="s">
        <v>244</v>
      </c>
      <c r="K2025" s="90">
        <v>7.6724149886360005E-2</v>
      </c>
      <c r="L2025" s="90">
        <v>3718.51530162672</v>
      </c>
      <c r="M2025" s="90">
        <v>7.4391836521730097</v>
      </c>
      <c r="N2025" s="90">
        <v>1.0163804134016701</v>
      </c>
      <c r="O2025" s="90">
        <v>0.57076504156148999</v>
      </c>
      <c r="P2025" s="90">
        <v>7.7980923179389997E-2</v>
      </c>
      <c r="Q2025" s="90">
        <v>285.29992535673898</v>
      </c>
      <c r="R2025" s="90">
        <v>1750</v>
      </c>
      <c r="S2025" s="90" t="s">
        <v>377</v>
      </c>
      <c r="T2025" s="90">
        <v>1750</v>
      </c>
      <c r="U2025" s="90" t="s">
        <v>378</v>
      </c>
      <c r="V2025" s="90" t="s">
        <v>244</v>
      </c>
      <c r="Z2025" s="90">
        <v>0</v>
      </c>
      <c r="AA2025" s="90">
        <v>1</v>
      </c>
      <c r="AB2025" s="90">
        <v>0.57076504156148999</v>
      </c>
      <c r="AC2025" s="90">
        <v>7.7980923179389997E-2</v>
      </c>
      <c r="AD2025" s="90">
        <v>2240.35244038566</v>
      </c>
      <c r="AF2025" s="90">
        <v>-1</v>
      </c>
      <c r="AG2025" s="90">
        <v>-1</v>
      </c>
      <c r="AH2025" s="90">
        <v>-1</v>
      </c>
      <c r="AI2025" s="90">
        <v>-1</v>
      </c>
      <c r="AJ2025" s="90">
        <v>0</v>
      </c>
      <c r="AM2025" s="90" t="s">
        <v>379</v>
      </c>
      <c r="AN2025" s="90">
        <v>-1</v>
      </c>
      <c r="AQ2025" s="90">
        <v>381</v>
      </c>
      <c r="AR2025" s="90" t="s">
        <v>297</v>
      </c>
      <c r="AS2025" s="90" t="s">
        <v>421</v>
      </c>
      <c r="AT2025" s="90" t="s">
        <v>244</v>
      </c>
      <c r="AU2025" s="90">
        <v>0.91311399999999998</v>
      </c>
      <c r="AV2025" s="90">
        <v>77.495297330910105</v>
      </c>
      <c r="AW2025" s="90">
        <v>310.49161872080498</v>
      </c>
      <c r="AX2025" s="90">
        <v>1.8169930579</v>
      </c>
    </row>
    <row r="2026" spans="1:50" x14ac:dyDescent="0.25">
      <c r="A2026" s="102">
        <v>630000</v>
      </c>
      <c r="B2026" s="102">
        <v>1300000</v>
      </c>
      <c r="C2026" s="102">
        <v>1300000</v>
      </c>
      <c r="D2026" s="90" t="s">
        <v>374</v>
      </c>
      <c r="E2026" s="90" t="s">
        <v>68</v>
      </c>
      <c r="F2026" s="90" t="s">
        <v>375</v>
      </c>
      <c r="G2026" s="90" t="s">
        <v>376</v>
      </c>
      <c r="H2026" s="90">
        <v>0.59</v>
      </c>
      <c r="I2026" s="90">
        <v>0.64</v>
      </c>
      <c r="J2026" s="90" t="s">
        <v>244</v>
      </c>
      <c r="K2026" s="90">
        <v>0.14168937359554001</v>
      </c>
      <c r="L2026" s="90">
        <v>3710.0535729364801</v>
      </c>
      <c r="M2026" s="90">
        <v>7.4247575533859296</v>
      </c>
      <c r="N2026" s="90">
        <v>1.01719172125013</v>
      </c>
      <c r="O2026" s="90">
        <v>1.05200924683802</v>
      </c>
      <c r="P2026" s="90">
        <v>0.14412525781050001</v>
      </c>
      <c r="Q2026" s="90">
        <v>525.67516675527304</v>
      </c>
      <c r="R2026" s="90">
        <v>1750</v>
      </c>
      <c r="S2026" s="90" t="s">
        <v>377</v>
      </c>
      <c r="T2026" s="90">
        <v>1750</v>
      </c>
      <c r="U2026" s="90" t="s">
        <v>378</v>
      </c>
      <c r="V2026" s="90" t="s">
        <v>244</v>
      </c>
      <c r="Z2026" s="90">
        <v>0</v>
      </c>
      <c r="AA2026" s="90">
        <v>1</v>
      </c>
      <c r="AB2026" s="90">
        <v>1.05200924683802</v>
      </c>
      <c r="AC2026" s="90">
        <v>0.14412525781050001</v>
      </c>
      <c r="AD2026" s="90">
        <v>1846.0950526444999</v>
      </c>
      <c r="AF2026" s="90">
        <v>-1</v>
      </c>
      <c r="AG2026" s="90">
        <v>-1</v>
      </c>
      <c r="AH2026" s="90">
        <v>-1</v>
      </c>
      <c r="AI2026" s="90">
        <v>-1</v>
      </c>
      <c r="AJ2026" s="90">
        <v>0</v>
      </c>
      <c r="AM2026" s="90" t="s">
        <v>379</v>
      </c>
      <c r="AN2026" s="90">
        <v>-1</v>
      </c>
      <c r="AQ2026" s="90">
        <v>381</v>
      </c>
      <c r="AR2026" s="90" t="s">
        <v>297</v>
      </c>
      <c r="AS2026" s="90" t="s">
        <v>421</v>
      </c>
      <c r="AT2026" s="90" t="s">
        <v>244</v>
      </c>
      <c r="AU2026" s="90">
        <v>0.91311399999999998</v>
      </c>
      <c r="AV2026" s="90">
        <v>105.622157148787</v>
      </c>
      <c r="AW2026" s="90">
        <v>573.39655152095202</v>
      </c>
      <c r="AX2026" s="90">
        <v>1.4972384855</v>
      </c>
    </row>
    <row r="2027" spans="1:50" x14ac:dyDescent="0.25">
      <c r="A2027" s="102">
        <v>630000</v>
      </c>
      <c r="B2027" s="102">
        <v>1300000</v>
      </c>
      <c r="C2027" s="102">
        <v>1300000</v>
      </c>
      <c r="D2027" s="90" t="s">
        <v>374</v>
      </c>
      <c r="E2027" s="90" t="s">
        <v>68</v>
      </c>
      <c r="F2027" s="90" t="s">
        <v>375</v>
      </c>
      <c r="G2027" s="90" t="s">
        <v>376</v>
      </c>
      <c r="H2027" s="90">
        <v>0.59</v>
      </c>
      <c r="I2027" s="90">
        <v>0.64</v>
      </c>
      <c r="J2027" s="90" t="s">
        <v>244</v>
      </c>
      <c r="K2027" s="90">
        <v>6.1876157197520001E-2</v>
      </c>
      <c r="L2027" s="90">
        <v>3683.4750397530302</v>
      </c>
      <c r="M2027" s="90">
        <v>7.3209833546697904</v>
      </c>
      <c r="N2027" s="90">
        <v>1.00983813406475</v>
      </c>
      <c r="O2027" s="90">
        <v>0.45299431689399</v>
      </c>
      <c r="P2027" s="90">
        <v>6.2484903127439997E-2</v>
      </c>
      <c r="Q2027" s="90">
        <v>227.91928059291001</v>
      </c>
      <c r="R2027" s="90">
        <v>1750</v>
      </c>
      <c r="S2027" s="90" t="s">
        <v>377</v>
      </c>
      <c r="T2027" s="90">
        <v>1750</v>
      </c>
      <c r="U2027" s="90" t="s">
        <v>378</v>
      </c>
      <c r="V2027" s="90" t="s">
        <v>244</v>
      </c>
      <c r="Z2027" s="90">
        <v>0</v>
      </c>
      <c r="AA2027" s="90">
        <v>1</v>
      </c>
      <c r="AB2027" s="90">
        <v>0.45299431689399</v>
      </c>
      <c r="AC2027" s="90">
        <v>6.2484903127439997E-2</v>
      </c>
      <c r="AD2027" s="90">
        <v>658.63273464351596</v>
      </c>
      <c r="AF2027" s="90">
        <v>-1</v>
      </c>
      <c r="AG2027" s="90">
        <v>-1</v>
      </c>
      <c r="AH2027" s="90">
        <v>-1</v>
      </c>
      <c r="AI2027" s="90">
        <v>-1</v>
      </c>
      <c r="AJ2027" s="90">
        <v>0</v>
      </c>
      <c r="AM2027" s="90" t="s">
        <v>379</v>
      </c>
      <c r="AN2027" s="90">
        <v>-1</v>
      </c>
      <c r="AQ2027" s="90">
        <v>381</v>
      </c>
      <c r="AR2027" s="90" t="s">
        <v>297</v>
      </c>
      <c r="AS2027" s="90" t="s">
        <v>421</v>
      </c>
      <c r="AT2027" s="90" t="s">
        <v>244</v>
      </c>
      <c r="AU2027" s="90">
        <v>0.91311399999999998</v>
      </c>
      <c r="AV2027" s="90">
        <v>72.180977289183602</v>
      </c>
      <c r="AW2027" s="90">
        <v>250.403924148226</v>
      </c>
      <c r="AX2027" s="90">
        <v>0.53417091210000001</v>
      </c>
    </row>
    <row r="2028" spans="1:50" x14ac:dyDescent="0.25">
      <c r="A2028" s="102">
        <v>630000</v>
      </c>
      <c r="B2028" s="102">
        <v>1300000</v>
      </c>
      <c r="C2028" s="102">
        <v>1300000</v>
      </c>
      <c r="D2028" s="90" t="s">
        <v>374</v>
      </c>
      <c r="E2028" s="90" t="s">
        <v>68</v>
      </c>
      <c r="F2028" s="90" t="s">
        <v>375</v>
      </c>
      <c r="G2028" s="90" t="s">
        <v>376</v>
      </c>
      <c r="H2028" s="90">
        <v>0.59</v>
      </c>
      <c r="I2028" s="90">
        <v>0.64</v>
      </c>
      <c r="J2028" s="90" t="s">
        <v>244</v>
      </c>
      <c r="K2028" s="90">
        <v>2.2300826335210001E-2</v>
      </c>
      <c r="L2028" s="90">
        <v>3717.5474665925999</v>
      </c>
      <c r="M2028" s="90">
        <v>7.4369205916838297</v>
      </c>
      <c r="N2028" s="90">
        <v>1.01566447989894</v>
      </c>
      <c r="O2028" s="90">
        <v>0.16584947458393001</v>
      </c>
      <c r="P2028" s="90">
        <v>2.265015718107E-2</v>
      </c>
      <c r="Q2028" s="90">
        <v>82.904380445403703</v>
      </c>
      <c r="R2028" s="90">
        <v>1750</v>
      </c>
      <c r="S2028" s="90" t="s">
        <v>377</v>
      </c>
      <c r="T2028" s="90">
        <v>1750</v>
      </c>
      <c r="U2028" s="90" t="s">
        <v>378</v>
      </c>
      <c r="V2028" s="90" t="s">
        <v>244</v>
      </c>
      <c r="Z2028" s="90">
        <v>0</v>
      </c>
      <c r="AA2028" s="90">
        <v>1</v>
      </c>
      <c r="AB2028" s="90">
        <v>0.16584947458393001</v>
      </c>
      <c r="AC2028" s="90">
        <v>2.265015718107E-2</v>
      </c>
      <c r="AD2028" s="90">
        <v>2296.5649618799798</v>
      </c>
      <c r="AF2028" s="90">
        <v>-1</v>
      </c>
      <c r="AG2028" s="90">
        <v>-1</v>
      </c>
      <c r="AH2028" s="90">
        <v>-1</v>
      </c>
      <c r="AI2028" s="90">
        <v>-1</v>
      </c>
      <c r="AJ2028" s="90">
        <v>0</v>
      </c>
      <c r="AM2028" s="90" t="s">
        <v>379</v>
      </c>
      <c r="AN2028" s="90">
        <v>-1</v>
      </c>
      <c r="AQ2028" s="90">
        <v>381</v>
      </c>
      <c r="AR2028" s="90" t="s">
        <v>297</v>
      </c>
      <c r="AS2028" s="90" t="s">
        <v>421</v>
      </c>
      <c r="AT2028" s="90" t="s">
        <v>244</v>
      </c>
      <c r="AU2028" s="90">
        <v>0.91311399999999998</v>
      </c>
      <c r="AV2028" s="90">
        <v>52.088784465844299</v>
      </c>
      <c r="AW2028" s="90">
        <v>90.248242279496196</v>
      </c>
      <c r="AX2028" s="90">
        <v>1.8625830996999999</v>
      </c>
    </row>
    <row r="2029" spans="1:50" x14ac:dyDescent="0.25">
      <c r="A2029" s="102">
        <v>650000</v>
      </c>
      <c r="B2029" s="102">
        <v>2300000</v>
      </c>
      <c r="C2029" s="102">
        <v>2300000</v>
      </c>
      <c r="D2029" s="90" t="s">
        <v>374</v>
      </c>
      <c r="E2029" s="90" t="s">
        <v>68</v>
      </c>
      <c r="F2029" s="90" t="s">
        <v>375</v>
      </c>
      <c r="G2029" s="90" t="s">
        <v>376</v>
      </c>
      <c r="H2029" s="90">
        <v>0.59</v>
      </c>
      <c r="I2029" s="90">
        <v>0.64</v>
      </c>
      <c r="J2029" s="90" t="s">
        <v>244</v>
      </c>
      <c r="K2029" s="90">
        <v>1.7769028980290001E-2</v>
      </c>
      <c r="L2029" s="90">
        <v>3680.6896524417998</v>
      </c>
      <c r="M2029" s="90">
        <v>7.3752864780072001</v>
      </c>
      <c r="N2029" s="90">
        <v>1.01979072947466</v>
      </c>
      <c r="O2029" s="90">
        <v>0.13105167916568999</v>
      </c>
      <c r="P2029" s="90">
        <v>1.8120691025869998E-2</v>
      </c>
      <c r="Q2029" s="90">
        <v>65.402281101713996</v>
      </c>
      <c r="R2029" s="90">
        <v>1820</v>
      </c>
      <c r="S2029" s="90" t="s">
        <v>412</v>
      </c>
      <c r="T2029" s="90">
        <v>1820</v>
      </c>
      <c r="U2029" s="90" t="s">
        <v>378</v>
      </c>
      <c r="V2029" s="90" t="s">
        <v>244</v>
      </c>
      <c r="Z2029" s="90">
        <v>0</v>
      </c>
      <c r="AA2029" s="90">
        <v>1</v>
      </c>
      <c r="AB2029" s="90">
        <v>0.13105167916568999</v>
      </c>
      <c r="AC2029" s="90">
        <v>1.8120691025869998E-2</v>
      </c>
      <c r="AD2029" s="90">
        <v>1681.3571087436601</v>
      </c>
      <c r="AF2029" s="90">
        <v>-1</v>
      </c>
      <c r="AG2029" s="90">
        <v>-1</v>
      </c>
      <c r="AH2029" s="90">
        <v>-1</v>
      </c>
      <c r="AI2029" s="90">
        <v>-1</v>
      </c>
      <c r="AJ2029" s="90">
        <v>0</v>
      </c>
      <c r="AM2029" s="90" t="s">
        <v>379</v>
      </c>
      <c r="AN2029" s="90">
        <v>-1</v>
      </c>
      <c r="AQ2029" s="90">
        <v>381</v>
      </c>
      <c r="AR2029" s="90" t="s">
        <v>297</v>
      </c>
      <c r="AS2029" s="90" t="s">
        <v>421</v>
      </c>
      <c r="AT2029" s="90" t="s">
        <v>244</v>
      </c>
      <c r="AU2029" s="90">
        <v>0.91311399999999998</v>
      </c>
      <c r="AV2029" s="90">
        <v>37.794803120731501</v>
      </c>
      <c r="AW2029" s="90">
        <v>71.908709048723793</v>
      </c>
      <c r="AX2029" s="90">
        <v>1.3636310695</v>
      </c>
    </row>
    <row r="2030" spans="1:50" x14ac:dyDescent="0.25">
      <c r="A2030" s="102">
        <v>650000</v>
      </c>
      <c r="B2030" s="102">
        <v>2300000</v>
      </c>
      <c r="C2030" s="102">
        <v>2300000</v>
      </c>
      <c r="D2030" s="90" t="s">
        <v>374</v>
      </c>
      <c r="E2030" s="90" t="s">
        <v>68</v>
      </c>
      <c r="F2030" s="90" t="s">
        <v>375</v>
      </c>
      <c r="G2030" s="90" t="s">
        <v>376</v>
      </c>
      <c r="H2030" s="90">
        <v>0.59</v>
      </c>
      <c r="I2030" s="90">
        <v>0.64</v>
      </c>
      <c r="J2030" s="90" t="s">
        <v>244</v>
      </c>
      <c r="K2030" s="90">
        <v>9.0857712175399993E-3</v>
      </c>
      <c r="L2030" s="90">
        <v>3716.5796068137602</v>
      </c>
      <c r="M2030" s="90">
        <v>7.4358835574097402</v>
      </c>
      <c r="N2030" s="90">
        <v>1.0165660103107601</v>
      </c>
      <c r="O2030" s="90">
        <v>6.7560736802929997E-2</v>
      </c>
      <c r="P2030" s="90">
        <v>9.2362861972099999E-3</v>
      </c>
      <c r="Q2030" s="90">
        <v>33.7679920193032</v>
      </c>
      <c r="R2030" s="90">
        <v>1820</v>
      </c>
      <c r="S2030" s="90" t="s">
        <v>412</v>
      </c>
      <c r="T2030" s="90">
        <v>1820</v>
      </c>
      <c r="U2030" s="90" t="s">
        <v>378</v>
      </c>
      <c r="V2030" s="90" t="s">
        <v>244</v>
      </c>
      <c r="Z2030" s="90">
        <v>0</v>
      </c>
      <c r="AA2030" s="90">
        <v>1</v>
      </c>
      <c r="AB2030" s="90">
        <v>6.7560736802929997E-2</v>
      </c>
      <c r="AC2030" s="90">
        <v>9.2362861972099999E-3</v>
      </c>
      <c r="AD2030" s="90">
        <v>145.95866014950599</v>
      </c>
      <c r="AF2030" s="90">
        <v>-1</v>
      </c>
      <c r="AG2030" s="90">
        <v>-1</v>
      </c>
      <c r="AH2030" s="90">
        <v>-1</v>
      </c>
      <c r="AI2030" s="90">
        <v>-1</v>
      </c>
      <c r="AJ2030" s="90">
        <v>0</v>
      </c>
      <c r="AM2030" s="90" t="s">
        <v>379</v>
      </c>
      <c r="AN2030" s="90">
        <v>-1</v>
      </c>
      <c r="AQ2030" s="90">
        <v>381</v>
      </c>
      <c r="AR2030" s="90" t="s">
        <v>297</v>
      </c>
      <c r="AS2030" s="90" t="s">
        <v>421</v>
      </c>
      <c r="AT2030" s="90" t="s">
        <v>244</v>
      </c>
      <c r="AU2030" s="90">
        <v>0.91311399999999998</v>
      </c>
      <c r="AV2030" s="90">
        <v>39.815501229127698</v>
      </c>
      <c r="AW2030" s="90">
        <v>36.768811604179703</v>
      </c>
      <c r="AX2030" s="90">
        <v>0.1183768533</v>
      </c>
    </row>
    <row r="2031" spans="1:50" x14ac:dyDescent="0.25">
      <c r="A2031" s="102">
        <v>650000</v>
      </c>
      <c r="B2031" s="102">
        <v>2300000</v>
      </c>
      <c r="C2031" s="102">
        <v>2300000</v>
      </c>
      <c r="D2031" s="90" t="s">
        <v>374</v>
      </c>
      <c r="E2031" s="90" t="s">
        <v>68</v>
      </c>
      <c r="F2031" s="90" t="s">
        <v>375</v>
      </c>
      <c r="G2031" s="90" t="s">
        <v>376</v>
      </c>
      <c r="H2031" s="90">
        <v>0.59</v>
      </c>
      <c r="I2031" s="90">
        <v>0.64</v>
      </c>
      <c r="J2031" s="90" t="s">
        <v>244</v>
      </c>
      <c r="K2031" s="90">
        <v>1.094803122967E-2</v>
      </c>
      <c r="L2031" s="90">
        <v>3715.1148271556499</v>
      </c>
      <c r="M2031" s="90">
        <v>7.4331420370538703</v>
      </c>
      <c r="N2031" s="90">
        <v>1.0163822678559</v>
      </c>
      <c r="O2031" s="90">
        <v>8.1378271156300003E-2</v>
      </c>
      <c r="P2031" s="90">
        <v>1.112738480977E-2</v>
      </c>
      <c r="Q2031" s="90">
        <v>40.6731931495436</v>
      </c>
      <c r="R2031" s="90">
        <v>1820</v>
      </c>
      <c r="S2031" s="90" t="s">
        <v>412</v>
      </c>
      <c r="T2031" s="90">
        <v>1820</v>
      </c>
      <c r="U2031" s="90" t="s">
        <v>378</v>
      </c>
      <c r="V2031" s="90" t="s">
        <v>244</v>
      </c>
      <c r="Z2031" s="90">
        <v>0</v>
      </c>
      <c r="AA2031" s="90">
        <v>1</v>
      </c>
      <c r="AB2031" s="90">
        <v>8.1378271156300003E-2</v>
      </c>
      <c r="AC2031" s="90">
        <v>1.112738480977E-2</v>
      </c>
      <c r="AD2031" s="90">
        <v>172.732444192646</v>
      </c>
      <c r="AF2031" s="90">
        <v>-1</v>
      </c>
      <c r="AG2031" s="90">
        <v>-1</v>
      </c>
      <c r="AH2031" s="90">
        <v>-1</v>
      </c>
      <c r="AI2031" s="90">
        <v>-1</v>
      </c>
      <c r="AJ2031" s="90">
        <v>0</v>
      </c>
      <c r="AM2031" s="90" t="s">
        <v>379</v>
      </c>
      <c r="AN2031" s="90">
        <v>-1</v>
      </c>
      <c r="AQ2031" s="90">
        <v>381</v>
      </c>
      <c r="AR2031" s="90" t="s">
        <v>297</v>
      </c>
      <c r="AS2031" s="90" t="s">
        <v>421</v>
      </c>
      <c r="AT2031" s="90" t="s">
        <v>244</v>
      </c>
      <c r="AU2031" s="90">
        <v>0.91311399999999998</v>
      </c>
      <c r="AV2031" s="90">
        <v>59.760185954288403</v>
      </c>
      <c r="AW2031" s="90">
        <v>44.305110494460799</v>
      </c>
      <c r="AX2031" s="90">
        <v>0.1400911956</v>
      </c>
    </row>
    <row r="2032" spans="1:50" x14ac:dyDescent="0.25">
      <c r="A2032" s="102">
        <v>660000</v>
      </c>
      <c r="B2032" s="102">
        <v>2300000</v>
      </c>
      <c r="C2032" s="102">
        <v>2300000</v>
      </c>
      <c r="D2032" s="90" t="s">
        <v>374</v>
      </c>
      <c r="E2032" s="90" t="s">
        <v>68</v>
      </c>
      <c r="F2032" s="90" t="s">
        <v>375</v>
      </c>
      <c r="G2032" s="90" t="s">
        <v>376</v>
      </c>
      <c r="H2032" s="90">
        <v>0.59</v>
      </c>
      <c r="I2032" s="90">
        <v>0.64</v>
      </c>
      <c r="J2032" s="90" t="s">
        <v>244</v>
      </c>
      <c r="K2032" s="90">
        <v>4.4953966913840002E-2</v>
      </c>
      <c r="L2032" s="90">
        <v>3713.3526205113899</v>
      </c>
      <c r="M2032" s="90">
        <v>7.43038198462434</v>
      </c>
      <c r="N2032" s="90">
        <v>1.01687541390026</v>
      </c>
      <c r="O2032" s="90">
        <v>0.33402514589402998</v>
      </c>
      <c r="P2032" s="90">
        <v>4.5712583711969998E-2</v>
      </c>
      <c r="Q2032" s="90">
        <v>166.929930841909</v>
      </c>
      <c r="R2032" s="90">
        <v>1820</v>
      </c>
      <c r="S2032" s="90" t="s">
        <v>412</v>
      </c>
      <c r="T2032" s="90">
        <v>1820</v>
      </c>
      <c r="U2032" s="90" t="s">
        <v>378</v>
      </c>
      <c r="V2032" s="90" t="s">
        <v>244</v>
      </c>
      <c r="Z2032" s="90">
        <v>0</v>
      </c>
      <c r="AA2032" s="90">
        <v>1</v>
      </c>
      <c r="AB2032" s="90">
        <v>0.33402514589402998</v>
      </c>
      <c r="AC2032" s="90">
        <v>4.5712583711969998E-2</v>
      </c>
      <c r="AD2032" s="90">
        <v>294.38101029613898</v>
      </c>
      <c r="AF2032" s="90">
        <v>-1</v>
      </c>
      <c r="AG2032" s="90">
        <v>-1</v>
      </c>
      <c r="AH2032" s="90">
        <v>-1</v>
      </c>
      <c r="AI2032" s="90">
        <v>-1</v>
      </c>
      <c r="AJ2032" s="90">
        <v>0</v>
      </c>
      <c r="AM2032" s="90" t="s">
        <v>379</v>
      </c>
      <c r="AN2032" s="90">
        <v>-1</v>
      </c>
      <c r="AQ2032" s="90">
        <v>381</v>
      </c>
      <c r="AR2032" s="90" t="s">
        <v>297</v>
      </c>
      <c r="AS2032" s="90" t="s">
        <v>421</v>
      </c>
      <c r="AT2032" s="90" t="s">
        <v>244</v>
      </c>
      <c r="AU2032" s="90">
        <v>0.91311399999999998</v>
      </c>
      <c r="AV2032" s="90">
        <v>111.076075153042</v>
      </c>
      <c r="AW2032" s="90">
        <v>181.92224971765199</v>
      </c>
      <c r="AX2032" s="90">
        <v>0.23875183320000001</v>
      </c>
    </row>
    <row r="2033" spans="1:50" x14ac:dyDescent="0.25">
      <c r="A2033" s="102">
        <v>660000</v>
      </c>
      <c r="B2033" s="102">
        <v>2300000</v>
      </c>
      <c r="C2033" s="102">
        <v>2300000</v>
      </c>
      <c r="D2033" s="90" t="s">
        <v>374</v>
      </c>
      <c r="E2033" s="90" t="s">
        <v>68</v>
      </c>
      <c r="F2033" s="90" t="s">
        <v>375</v>
      </c>
      <c r="G2033" s="90" t="s">
        <v>376</v>
      </c>
      <c r="H2033" s="90">
        <v>0.59</v>
      </c>
      <c r="I2033" s="90">
        <v>0.64</v>
      </c>
      <c r="J2033" s="90" t="s">
        <v>244</v>
      </c>
      <c r="K2033" s="90">
        <v>1.0001873956969999E-2</v>
      </c>
      <c r="L2033" s="90">
        <v>3718.51530162672</v>
      </c>
      <c r="M2033" s="90">
        <v>7.4391836521730097</v>
      </c>
      <c r="N2033" s="90">
        <v>1.0163804134016701</v>
      </c>
      <c r="O2033" s="90">
        <v>7.4405777231809994E-2</v>
      </c>
      <c r="P2033" s="90">
        <v>1.0165708787180001E-2</v>
      </c>
      <c r="Q2033" s="90">
        <v>37.192121353949602</v>
      </c>
      <c r="R2033" s="90">
        <v>1820</v>
      </c>
      <c r="S2033" s="90" t="s">
        <v>412</v>
      </c>
      <c r="T2033" s="90">
        <v>1820</v>
      </c>
      <c r="U2033" s="90" t="s">
        <v>378</v>
      </c>
      <c r="V2033" s="90" t="s">
        <v>244</v>
      </c>
      <c r="Z2033" s="90">
        <v>0</v>
      </c>
      <c r="AA2033" s="90">
        <v>1</v>
      </c>
      <c r="AB2033" s="90">
        <v>7.4405777231809994E-2</v>
      </c>
      <c r="AC2033" s="90">
        <v>1.0165708787180001E-2</v>
      </c>
      <c r="AD2033" s="90">
        <v>56.810403696577097</v>
      </c>
      <c r="AF2033" s="90">
        <v>-1</v>
      </c>
      <c r="AG2033" s="90">
        <v>-1</v>
      </c>
      <c r="AH2033" s="90">
        <v>-1</v>
      </c>
      <c r="AI2033" s="90">
        <v>-1</v>
      </c>
      <c r="AJ2033" s="90">
        <v>0</v>
      </c>
      <c r="AM2033" s="90" t="s">
        <v>379</v>
      </c>
      <c r="AN2033" s="90">
        <v>-1</v>
      </c>
      <c r="AQ2033" s="90">
        <v>381</v>
      </c>
      <c r="AR2033" s="90" t="s">
        <v>297</v>
      </c>
      <c r="AS2033" s="90" t="s">
        <v>421</v>
      </c>
      <c r="AT2033" s="90" t="s">
        <v>244</v>
      </c>
      <c r="AU2033" s="90">
        <v>0.91311399999999998</v>
      </c>
      <c r="AV2033" s="90">
        <v>61.509801681884802</v>
      </c>
      <c r="AW2033" s="90">
        <v>40.476147858813903</v>
      </c>
      <c r="AX2033" s="90">
        <v>4.6074942200000003E-2</v>
      </c>
    </row>
    <row r="2034" spans="1:50" x14ac:dyDescent="0.25">
      <c r="A2034" s="102">
        <v>660000</v>
      </c>
      <c r="B2034" s="102">
        <v>2300000</v>
      </c>
      <c r="C2034" s="102">
        <v>2300000</v>
      </c>
      <c r="D2034" s="90" t="s">
        <v>374</v>
      </c>
      <c r="E2034" s="90" t="s">
        <v>68</v>
      </c>
      <c r="F2034" s="90" t="s">
        <v>375</v>
      </c>
      <c r="G2034" s="90" t="s">
        <v>376</v>
      </c>
      <c r="H2034" s="90">
        <v>0.59</v>
      </c>
      <c r="I2034" s="90">
        <v>0.64</v>
      </c>
      <c r="J2034" s="90" t="s">
        <v>244</v>
      </c>
      <c r="K2034" s="90">
        <v>2.80471033988E-2</v>
      </c>
      <c r="L2034" s="90">
        <v>3710.0535729364801</v>
      </c>
      <c r="M2034" s="90">
        <v>7.4247575533859296</v>
      </c>
      <c r="N2034" s="90">
        <v>1.01719172125013</v>
      </c>
      <c r="O2034" s="90">
        <v>0.20824294281089001</v>
      </c>
      <c r="P2034" s="90">
        <v>2.852928138231E-2</v>
      </c>
      <c r="Q2034" s="90">
        <v>104.056256175266</v>
      </c>
      <c r="R2034" s="90">
        <v>1820</v>
      </c>
      <c r="S2034" s="90" t="s">
        <v>412</v>
      </c>
      <c r="T2034" s="90">
        <v>1820</v>
      </c>
      <c r="U2034" s="90" t="s">
        <v>378</v>
      </c>
      <c r="V2034" s="90" t="s">
        <v>244</v>
      </c>
      <c r="Z2034" s="90">
        <v>0</v>
      </c>
      <c r="AA2034" s="90">
        <v>1</v>
      </c>
      <c r="AB2034" s="90">
        <v>0.20824294281089001</v>
      </c>
      <c r="AC2034" s="90">
        <v>2.852928138231E-2</v>
      </c>
      <c r="AD2034" s="90">
        <v>445.84110348693503</v>
      </c>
      <c r="AF2034" s="90">
        <v>-1</v>
      </c>
      <c r="AG2034" s="90">
        <v>-1</v>
      </c>
      <c r="AH2034" s="90">
        <v>-1</v>
      </c>
      <c r="AI2034" s="90">
        <v>-1</v>
      </c>
      <c r="AJ2034" s="90">
        <v>0</v>
      </c>
      <c r="AM2034" s="90" t="s">
        <v>379</v>
      </c>
      <c r="AN2034" s="90">
        <v>-1</v>
      </c>
      <c r="AQ2034" s="90">
        <v>381</v>
      </c>
      <c r="AR2034" s="90" t="s">
        <v>297</v>
      </c>
      <c r="AS2034" s="90" t="s">
        <v>421</v>
      </c>
      <c r="AT2034" s="90" t="s">
        <v>244</v>
      </c>
      <c r="AU2034" s="90">
        <v>0.91311399999999998</v>
      </c>
      <c r="AV2034" s="90">
        <v>102.066684150922</v>
      </c>
      <c r="AW2034" s="90">
        <v>113.50260051918301</v>
      </c>
      <c r="AX2034" s="90">
        <v>0.36159051380000001</v>
      </c>
    </row>
    <row r="2035" spans="1:50" x14ac:dyDescent="0.25">
      <c r="A2035" s="102">
        <v>660000</v>
      </c>
      <c r="B2035" s="102">
        <v>2300000</v>
      </c>
      <c r="C2035" s="102">
        <v>2300000</v>
      </c>
      <c r="D2035" s="90" t="s">
        <v>374</v>
      </c>
      <c r="E2035" s="90" t="s">
        <v>68</v>
      </c>
      <c r="F2035" s="90" t="s">
        <v>375</v>
      </c>
      <c r="G2035" s="90" t="s">
        <v>376</v>
      </c>
      <c r="H2035" s="90">
        <v>0.59</v>
      </c>
      <c r="I2035" s="90">
        <v>0.64</v>
      </c>
      <c r="J2035" s="90" t="s">
        <v>244</v>
      </c>
      <c r="K2035" s="90">
        <v>2.6335418341340001E-2</v>
      </c>
      <c r="L2035" s="90">
        <v>3683.4750397530302</v>
      </c>
      <c r="M2035" s="90">
        <v>7.3209833546697904</v>
      </c>
      <c r="N2035" s="90">
        <v>1.00983813406475</v>
      </c>
      <c r="O2035" s="90">
        <v>0.19280115931524</v>
      </c>
      <c r="P2035" s="90">
        <v>2.6594509717629999E-2</v>
      </c>
      <c r="Q2035" s="90">
        <v>97.005856121794807</v>
      </c>
      <c r="R2035" s="90">
        <v>1820</v>
      </c>
      <c r="S2035" s="90" t="s">
        <v>412</v>
      </c>
      <c r="T2035" s="90">
        <v>1820</v>
      </c>
      <c r="U2035" s="90" t="s">
        <v>378</v>
      </c>
      <c r="V2035" s="90" t="s">
        <v>244</v>
      </c>
      <c r="Z2035" s="90">
        <v>0</v>
      </c>
      <c r="AA2035" s="90">
        <v>1</v>
      </c>
      <c r="AB2035" s="90">
        <v>0.19280115931524</v>
      </c>
      <c r="AC2035" s="90">
        <v>2.6594509717629999E-2</v>
      </c>
      <c r="AD2035" s="90">
        <v>1616.8838443043101</v>
      </c>
      <c r="AF2035" s="90">
        <v>-1</v>
      </c>
      <c r="AG2035" s="90">
        <v>-1</v>
      </c>
      <c r="AH2035" s="90">
        <v>-1</v>
      </c>
      <c r="AI2035" s="90">
        <v>-1</v>
      </c>
      <c r="AJ2035" s="90">
        <v>0</v>
      </c>
      <c r="AM2035" s="90" t="s">
        <v>379</v>
      </c>
      <c r="AN2035" s="90">
        <v>-1</v>
      </c>
      <c r="AQ2035" s="90">
        <v>381</v>
      </c>
      <c r="AR2035" s="90" t="s">
        <v>297</v>
      </c>
      <c r="AS2035" s="90" t="s">
        <v>421</v>
      </c>
      <c r="AT2035" s="90" t="s">
        <v>244</v>
      </c>
      <c r="AU2035" s="90">
        <v>0.91311399999999998</v>
      </c>
      <c r="AV2035" s="90">
        <v>67.144786224014695</v>
      </c>
      <c r="AW2035" s="90">
        <v>106.57565685125699</v>
      </c>
      <c r="AX2035" s="90">
        <v>1.3113413173999999</v>
      </c>
    </row>
    <row r="2036" spans="1:50" x14ac:dyDescent="0.25">
      <c r="A2036" s="102">
        <v>660000</v>
      </c>
      <c r="B2036" s="102">
        <v>2400000</v>
      </c>
      <c r="C2036" s="102">
        <v>2400000</v>
      </c>
      <c r="D2036" s="90" t="s">
        <v>374</v>
      </c>
      <c r="E2036" s="90" t="s">
        <v>68</v>
      </c>
      <c r="F2036" s="90" t="s">
        <v>375</v>
      </c>
      <c r="G2036" s="90" t="s">
        <v>376</v>
      </c>
      <c r="H2036" s="90">
        <v>0.59</v>
      </c>
      <c r="I2036" s="90">
        <v>0.64</v>
      </c>
      <c r="J2036" s="90" t="s">
        <v>244</v>
      </c>
      <c r="K2036" s="90">
        <v>2.501018304755E-2</v>
      </c>
      <c r="L2036" s="90">
        <v>3711.67387540969</v>
      </c>
      <c r="M2036" s="90">
        <v>7.4275199509244496</v>
      </c>
      <c r="N2036" s="90">
        <v>1.01703636976274</v>
      </c>
      <c r="O2036" s="90">
        <v>0.18576363356195</v>
      </c>
      <c r="P2036" s="90">
        <v>2.5436265773780001E-2</v>
      </c>
      <c r="Q2036" s="90">
        <v>92.8296430368095</v>
      </c>
      <c r="R2036" s="90">
        <v>1820</v>
      </c>
      <c r="S2036" s="90" t="s">
        <v>412</v>
      </c>
      <c r="T2036" s="90">
        <v>1820</v>
      </c>
      <c r="U2036" s="90" t="s">
        <v>378</v>
      </c>
      <c r="V2036" s="90" t="s">
        <v>244</v>
      </c>
      <c r="Z2036" s="90">
        <v>0</v>
      </c>
      <c r="AA2036" s="90">
        <v>1</v>
      </c>
      <c r="AB2036" s="90">
        <v>0.18576363356195</v>
      </c>
      <c r="AC2036" s="90">
        <v>2.5436265773780001E-2</v>
      </c>
      <c r="AD2036" s="90">
        <v>371.48490258846903</v>
      </c>
      <c r="AF2036" s="90">
        <v>-1</v>
      </c>
      <c r="AG2036" s="90">
        <v>-1</v>
      </c>
      <c r="AH2036" s="90">
        <v>-1</v>
      </c>
      <c r="AI2036" s="90">
        <v>-1</v>
      </c>
      <c r="AJ2036" s="90">
        <v>0</v>
      </c>
      <c r="AM2036" s="90" t="s">
        <v>379</v>
      </c>
      <c r="AN2036" s="90">
        <v>-1</v>
      </c>
      <c r="AQ2036" s="90">
        <v>381</v>
      </c>
      <c r="AR2036" s="90" t="s">
        <v>297</v>
      </c>
      <c r="AS2036" s="90" t="s">
        <v>421</v>
      </c>
      <c r="AT2036" s="90" t="s">
        <v>244</v>
      </c>
      <c r="AU2036" s="90">
        <v>0.91311399999999998</v>
      </c>
      <c r="AV2036" s="90">
        <v>66.306876830894893</v>
      </c>
      <c r="AW2036" s="90">
        <v>101.21261989137901</v>
      </c>
      <c r="AX2036" s="90">
        <v>0.3012854036</v>
      </c>
    </row>
    <row r="2037" spans="1:50" x14ac:dyDescent="0.25">
      <c r="A2037" s="102">
        <v>830000</v>
      </c>
      <c r="B2037" s="102">
        <v>2400000</v>
      </c>
      <c r="C2037" s="102">
        <v>2400000</v>
      </c>
      <c r="D2037" s="90" t="s">
        <v>374</v>
      </c>
      <c r="E2037" s="90" t="s">
        <v>68</v>
      </c>
      <c r="F2037" s="90" t="s">
        <v>375</v>
      </c>
      <c r="G2037" s="90" t="s">
        <v>376</v>
      </c>
      <c r="H2037" s="90">
        <v>0.59</v>
      </c>
      <c r="I2037" s="90">
        <v>0.64</v>
      </c>
      <c r="J2037" s="90" t="s">
        <v>244</v>
      </c>
      <c r="K2037" s="90">
        <v>1.141926888449E-2</v>
      </c>
      <c r="L2037" s="90">
        <v>3680.3107570770098</v>
      </c>
      <c r="M2037" s="90">
        <v>9.4514290477657497</v>
      </c>
      <c r="N2037" s="90">
        <v>1.3753687498487099</v>
      </c>
      <c r="O2037" s="90">
        <v>0.10792840963915</v>
      </c>
      <c r="P2037" s="90">
        <v>1.5705705569850001E-2</v>
      </c>
      <c r="Q2037" s="90">
        <v>42.026458113558</v>
      </c>
      <c r="R2037" s="90">
        <v>1400</v>
      </c>
      <c r="S2037" s="90" t="s">
        <v>324</v>
      </c>
      <c r="T2037" s="90">
        <v>1400</v>
      </c>
      <c r="U2037" s="90" t="s">
        <v>378</v>
      </c>
      <c r="V2037" s="90" t="s">
        <v>244</v>
      </c>
      <c r="Z2037" s="90">
        <v>0</v>
      </c>
      <c r="AA2037" s="90">
        <v>1</v>
      </c>
      <c r="AB2037" s="90">
        <v>0.10792840963915</v>
      </c>
      <c r="AC2037" s="90">
        <v>1.5705705569850001E-2</v>
      </c>
      <c r="AD2037" s="90">
        <v>265.15828202729</v>
      </c>
      <c r="AF2037" s="90">
        <v>-1</v>
      </c>
      <c r="AG2037" s="90">
        <v>-1</v>
      </c>
      <c r="AH2037" s="90">
        <v>-1</v>
      </c>
      <c r="AI2037" s="90">
        <v>-1</v>
      </c>
      <c r="AJ2037" s="90">
        <v>0</v>
      </c>
      <c r="AM2037" s="90" t="s">
        <v>379</v>
      </c>
      <c r="AN2037" s="90">
        <v>-1</v>
      </c>
      <c r="AQ2037" s="90">
        <v>384</v>
      </c>
      <c r="AR2037" s="90" t="s">
        <v>299</v>
      </c>
      <c r="AS2037" s="90" t="s">
        <v>300</v>
      </c>
      <c r="AT2037" s="90" t="s">
        <v>244</v>
      </c>
      <c r="AU2037" s="90">
        <v>3.1595430000000002</v>
      </c>
      <c r="AV2037" s="90">
        <v>43.310880939348898</v>
      </c>
      <c r="AW2037" s="90">
        <v>46.212141624325398</v>
      </c>
      <c r="AX2037" s="90">
        <v>0.21505132360000001</v>
      </c>
    </row>
    <row r="2038" spans="1:50" x14ac:dyDescent="0.25">
      <c r="A2038" s="102">
        <v>830000</v>
      </c>
      <c r="B2038" s="102">
        <v>2400000</v>
      </c>
      <c r="C2038" s="102">
        <v>2400000</v>
      </c>
      <c r="D2038" s="90" t="s">
        <v>374</v>
      </c>
      <c r="E2038" s="90" t="s">
        <v>68</v>
      </c>
      <c r="F2038" s="90" t="s">
        <v>375</v>
      </c>
      <c r="G2038" s="90" t="s">
        <v>376</v>
      </c>
      <c r="H2038" s="90">
        <v>0.59</v>
      </c>
      <c r="I2038" s="90">
        <v>0.64</v>
      </c>
      <c r="J2038" s="90" t="s">
        <v>244</v>
      </c>
      <c r="K2038" s="90">
        <v>0.18441408319809999</v>
      </c>
      <c r="L2038" s="90">
        <v>3727.4170305191101</v>
      </c>
      <c r="M2038" s="90">
        <v>10.9461150020689</v>
      </c>
      <c r="N2038" s="90">
        <v>1.9008747929865899</v>
      </c>
      <c r="O2038" s="90">
        <v>2.0186177626875299</v>
      </c>
      <c r="P2038" s="90">
        <v>0.35054808222299999</v>
      </c>
      <c r="Q2038" s="90">
        <v>687.38819438017299</v>
      </c>
      <c r="R2038" s="90">
        <v>1400</v>
      </c>
      <c r="S2038" s="90" t="s">
        <v>324</v>
      </c>
      <c r="T2038" s="90">
        <v>1400</v>
      </c>
      <c r="U2038" s="90" t="s">
        <v>378</v>
      </c>
      <c r="V2038" s="90" t="s">
        <v>244</v>
      </c>
      <c r="Z2038" s="90">
        <v>0</v>
      </c>
      <c r="AA2038" s="90">
        <v>1</v>
      </c>
      <c r="AB2038" s="90">
        <v>2.0186177626875299</v>
      </c>
      <c r="AC2038" s="90">
        <v>0.35054808222299999</v>
      </c>
      <c r="AD2038" s="90">
        <v>687.38819438017299</v>
      </c>
      <c r="AF2038" s="90">
        <v>-1</v>
      </c>
      <c r="AG2038" s="90">
        <v>-1</v>
      </c>
      <c r="AH2038" s="90">
        <v>-1</v>
      </c>
      <c r="AI2038" s="90">
        <v>-1</v>
      </c>
      <c r="AJ2038" s="90">
        <v>0</v>
      </c>
      <c r="AM2038" s="90" t="s">
        <v>379</v>
      </c>
      <c r="AN2038" s="90">
        <v>-1</v>
      </c>
      <c r="AQ2038" s="90">
        <v>384</v>
      </c>
      <c r="AR2038" s="90" t="s">
        <v>299</v>
      </c>
      <c r="AS2038" s="90" t="s">
        <v>300</v>
      </c>
      <c r="AT2038" s="90" t="s">
        <v>244</v>
      </c>
      <c r="AU2038" s="90">
        <v>3.1595430000000002</v>
      </c>
      <c r="AV2038" s="90">
        <v>196.684563353827</v>
      </c>
      <c r="AW2038" s="90">
        <v>746.29731697124805</v>
      </c>
      <c r="AX2038" s="90">
        <v>0.55749245290000005</v>
      </c>
    </row>
    <row r="2039" spans="1:50" x14ac:dyDescent="0.25">
      <c r="A2039" s="102">
        <v>830000</v>
      </c>
      <c r="B2039" s="102">
        <v>2400000</v>
      </c>
      <c r="C2039" s="102">
        <v>2400000</v>
      </c>
      <c r="D2039" s="90" t="s">
        <v>374</v>
      </c>
      <c r="E2039" s="90" t="s">
        <v>68</v>
      </c>
      <c r="F2039" s="90" t="s">
        <v>375</v>
      </c>
      <c r="G2039" s="90" t="s">
        <v>376</v>
      </c>
      <c r="H2039" s="90">
        <v>0.59</v>
      </c>
      <c r="I2039" s="90">
        <v>0.64</v>
      </c>
      <c r="J2039" s="90" t="s">
        <v>244</v>
      </c>
      <c r="K2039" s="90">
        <v>0.31349619631310999</v>
      </c>
      <c r="L2039" s="90">
        <v>3727.4170305191101</v>
      </c>
      <c r="M2039" s="90">
        <v>10.9461150020689</v>
      </c>
      <c r="N2039" s="90">
        <v>1.9008747929865899</v>
      </c>
      <c r="O2039" s="90">
        <v>3.4315654175545598</v>
      </c>
      <c r="P2039" s="90">
        <v>0.59591701726877999</v>
      </c>
      <c r="Q2039" s="90">
        <v>1168.53106114047</v>
      </c>
      <c r="R2039" s="90">
        <v>1300</v>
      </c>
      <c r="S2039" s="90" t="s">
        <v>387</v>
      </c>
      <c r="T2039" s="90">
        <v>1300</v>
      </c>
      <c r="U2039" s="90" t="s">
        <v>378</v>
      </c>
      <c r="V2039" s="90" t="s">
        <v>244</v>
      </c>
      <c r="Z2039" s="90">
        <v>0</v>
      </c>
      <c r="AA2039" s="90">
        <v>1</v>
      </c>
      <c r="AB2039" s="90">
        <v>3.4315654175545598</v>
      </c>
      <c r="AC2039" s="90">
        <v>0.59591701726877999</v>
      </c>
      <c r="AD2039" s="90">
        <v>1615.2738233965599</v>
      </c>
      <c r="AF2039" s="90">
        <v>-1</v>
      </c>
      <c r="AG2039" s="90">
        <v>-1</v>
      </c>
      <c r="AH2039" s="90">
        <v>-1</v>
      </c>
      <c r="AI2039" s="90">
        <v>-1</v>
      </c>
      <c r="AJ2039" s="90">
        <v>0</v>
      </c>
      <c r="AM2039" s="90" t="s">
        <v>379</v>
      </c>
      <c r="AN2039" s="90">
        <v>-1</v>
      </c>
      <c r="AQ2039" s="90">
        <v>384</v>
      </c>
      <c r="AR2039" s="90" t="s">
        <v>299</v>
      </c>
      <c r="AS2039" s="90" t="s">
        <v>300</v>
      </c>
      <c r="AT2039" s="90" t="s">
        <v>244</v>
      </c>
      <c r="AU2039" s="90">
        <v>3.1595430000000002</v>
      </c>
      <c r="AV2039" s="90">
        <v>158.56055731448299</v>
      </c>
      <c r="AW2039" s="90">
        <v>1268.6740954477</v>
      </c>
      <c r="AX2039" s="90">
        <v>1.3100355421000001</v>
      </c>
    </row>
    <row r="2040" spans="1:50" x14ac:dyDescent="0.25">
      <c r="A2040" s="102">
        <v>830000</v>
      </c>
      <c r="B2040" s="102">
        <v>2400000</v>
      </c>
      <c r="C2040" s="102">
        <v>2400000</v>
      </c>
      <c r="D2040" s="90" t="s">
        <v>374</v>
      </c>
      <c r="E2040" s="90" t="s">
        <v>68</v>
      </c>
      <c r="F2040" s="90" t="s">
        <v>375</v>
      </c>
      <c r="G2040" s="90" t="s">
        <v>376</v>
      </c>
      <c r="H2040" s="90">
        <v>0.59</v>
      </c>
      <c r="I2040" s="90">
        <v>0.64</v>
      </c>
      <c r="J2040" s="90" t="s">
        <v>244</v>
      </c>
      <c r="K2040" s="90">
        <v>6.0481601283390002E-2</v>
      </c>
      <c r="L2040" s="90">
        <v>3827.9816825064099</v>
      </c>
      <c r="M2040" s="90">
        <v>9.4399913936842701</v>
      </c>
      <c r="N2040" s="90">
        <v>1.26946749418379</v>
      </c>
      <c r="O2040" s="90">
        <v>0.57094579559152003</v>
      </c>
      <c r="P2040" s="90">
        <v>7.6779426825449998E-2</v>
      </c>
      <c r="Q2040" s="90">
        <v>231.522461841504</v>
      </c>
      <c r="R2040" s="90">
        <v>1400</v>
      </c>
      <c r="S2040" s="90" t="s">
        <v>324</v>
      </c>
      <c r="T2040" s="90">
        <v>1400</v>
      </c>
      <c r="U2040" s="90" t="s">
        <v>378</v>
      </c>
      <c r="V2040" s="90" t="s">
        <v>244</v>
      </c>
      <c r="Z2040" s="90">
        <v>0</v>
      </c>
      <c r="AA2040" s="90">
        <v>1</v>
      </c>
      <c r="AB2040" s="90">
        <v>0.57094579559152003</v>
      </c>
      <c r="AC2040" s="90">
        <v>7.6779426825449998E-2</v>
      </c>
      <c r="AD2040" s="90">
        <v>686.43400865086005</v>
      </c>
      <c r="AF2040" s="90">
        <v>-1</v>
      </c>
      <c r="AG2040" s="90">
        <v>-1</v>
      </c>
      <c r="AH2040" s="90">
        <v>-1</v>
      </c>
      <c r="AI2040" s="90">
        <v>-1</v>
      </c>
      <c r="AJ2040" s="90">
        <v>0</v>
      </c>
      <c r="AM2040" s="90" t="s">
        <v>379</v>
      </c>
      <c r="AN2040" s="90">
        <v>-1</v>
      </c>
      <c r="AQ2040" s="90">
        <v>384</v>
      </c>
      <c r="AR2040" s="90" t="s">
        <v>299</v>
      </c>
      <c r="AS2040" s="90" t="s">
        <v>300</v>
      </c>
      <c r="AT2040" s="90" t="s">
        <v>244</v>
      </c>
      <c r="AU2040" s="90">
        <v>3.1595430000000002</v>
      </c>
      <c r="AV2040" s="90">
        <v>64.575681417129303</v>
      </c>
      <c r="AW2040" s="90">
        <v>244.760356590756</v>
      </c>
      <c r="AX2040" s="90">
        <v>0.55671857960000004</v>
      </c>
    </row>
    <row r="2041" spans="1:50" x14ac:dyDescent="0.25">
      <c r="A2041" s="102">
        <v>830000</v>
      </c>
      <c r="B2041" s="102">
        <v>2400000</v>
      </c>
      <c r="C2041" s="102">
        <v>2400000</v>
      </c>
      <c r="D2041" s="90" t="s">
        <v>374</v>
      </c>
      <c r="E2041" s="90" t="s">
        <v>68</v>
      </c>
      <c r="F2041" s="90" t="s">
        <v>375</v>
      </c>
      <c r="G2041" s="90" t="s">
        <v>376</v>
      </c>
      <c r="H2041" s="90">
        <v>0.59</v>
      </c>
      <c r="I2041" s="90">
        <v>0.64</v>
      </c>
      <c r="J2041" s="90" t="s">
        <v>244</v>
      </c>
      <c r="K2041" s="90">
        <v>1.3175852718529999E-2</v>
      </c>
      <c r="L2041" s="90">
        <v>3827.9816825064099</v>
      </c>
      <c r="M2041" s="90">
        <v>9.4399913936842701</v>
      </c>
      <c r="N2041" s="90">
        <v>1.26946749418379</v>
      </c>
      <c r="O2041" s="90">
        <v>0.12437993626739</v>
      </c>
      <c r="P2041" s="90">
        <v>1.6726316734330001E-2</v>
      </c>
      <c r="Q2041" s="90">
        <v>50.436922857942797</v>
      </c>
      <c r="R2041" s="90">
        <v>1410</v>
      </c>
      <c r="S2041" s="90" t="s">
        <v>325</v>
      </c>
      <c r="T2041" s="90">
        <v>1410</v>
      </c>
      <c r="U2041" s="90" t="s">
        <v>378</v>
      </c>
      <c r="V2041" s="90" t="s">
        <v>244</v>
      </c>
      <c r="Z2041" s="90">
        <v>0</v>
      </c>
      <c r="AA2041" s="90">
        <v>1</v>
      </c>
      <c r="AB2041" s="90">
        <v>0.12437993626739</v>
      </c>
      <c r="AC2041" s="90">
        <v>1.6726316734330001E-2</v>
      </c>
      <c r="AD2041" s="90">
        <v>251.38707389337799</v>
      </c>
      <c r="AF2041" s="90">
        <v>-1</v>
      </c>
      <c r="AG2041" s="90">
        <v>-1</v>
      </c>
      <c r="AH2041" s="90">
        <v>-1</v>
      </c>
      <c r="AI2041" s="90">
        <v>-1</v>
      </c>
      <c r="AJ2041" s="90">
        <v>0</v>
      </c>
      <c r="AM2041" s="90" t="s">
        <v>379</v>
      </c>
      <c r="AN2041" s="90">
        <v>-1</v>
      </c>
      <c r="AQ2041" s="90">
        <v>384</v>
      </c>
      <c r="AR2041" s="90" t="s">
        <v>299</v>
      </c>
      <c r="AS2041" s="90" t="s">
        <v>300</v>
      </c>
      <c r="AT2041" s="90" t="s">
        <v>244</v>
      </c>
      <c r="AU2041" s="90">
        <v>3.1595430000000002</v>
      </c>
      <c r="AV2041" s="90">
        <v>32.521477185422903</v>
      </c>
      <c r="AW2041" s="90">
        <v>53.320784194588903</v>
      </c>
      <c r="AX2041" s="90">
        <v>0.20388246060000001</v>
      </c>
    </row>
    <row r="2042" spans="1:50" x14ac:dyDescent="0.25">
      <c r="A2042" s="102">
        <v>830000</v>
      </c>
      <c r="B2042" s="102">
        <v>2400000</v>
      </c>
      <c r="C2042" s="102">
        <v>2400000</v>
      </c>
      <c r="D2042" s="90" t="s">
        <v>374</v>
      </c>
      <c r="E2042" s="90" t="s">
        <v>68</v>
      </c>
      <c r="F2042" s="90" t="s">
        <v>375</v>
      </c>
      <c r="G2042" s="90" t="s">
        <v>376</v>
      </c>
      <c r="H2042" s="90">
        <v>0.59</v>
      </c>
      <c r="I2042" s="90">
        <v>0.64</v>
      </c>
      <c r="J2042" s="90" t="s">
        <v>244</v>
      </c>
      <c r="K2042" s="90">
        <v>4.7248112086899999E-3</v>
      </c>
      <c r="L2042" s="90">
        <v>3154.21484539635</v>
      </c>
      <c r="M2042" s="90">
        <v>6.2677532949262798</v>
      </c>
      <c r="N2042" s="90">
        <v>0.85137594893183999</v>
      </c>
      <c r="O2042" s="90">
        <v>2.9613951021190001E-2</v>
      </c>
      <c r="P2042" s="90">
        <v>4.0225906263199997E-3</v>
      </c>
      <c r="Q2042" s="90">
        <v>14.903069656157699</v>
      </c>
      <c r="R2042" s="90">
        <v>1400</v>
      </c>
      <c r="S2042" s="90" t="s">
        <v>324</v>
      </c>
      <c r="T2042" s="90">
        <v>1400</v>
      </c>
      <c r="U2042" s="90" t="s">
        <v>378</v>
      </c>
      <c r="V2042" s="90" t="s">
        <v>244</v>
      </c>
      <c r="Z2042" s="90">
        <v>0</v>
      </c>
      <c r="AA2042" s="90">
        <v>1</v>
      </c>
      <c r="AB2042" s="90">
        <v>2.9613951021190001E-2</v>
      </c>
      <c r="AC2042" s="90">
        <v>4.0225906263199997E-3</v>
      </c>
      <c r="AD2042" s="90">
        <v>14.9030696561586</v>
      </c>
      <c r="AF2042" s="90">
        <v>-1</v>
      </c>
      <c r="AG2042" s="90">
        <v>-1</v>
      </c>
      <c r="AH2042" s="90">
        <v>-1</v>
      </c>
      <c r="AI2042" s="90">
        <v>-1</v>
      </c>
      <c r="AJ2042" s="90">
        <v>0</v>
      </c>
      <c r="AM2042" s="90" t="s">
        <v>379</v>
      </c>
      <c r="AN2042" s="90">
        <v>-1</v>
      </c>
      <c r="AQ2042" s="90">
        <v>384</v>
      </c>
      <c r="AR2042" s="90" t="s">
        <v>299</v>
      </c>
      <c r="AS2042" s="90" t="s">
        <v>300</v>
      </c>
      <c r="AT2042" s="90" t="s">
        <v>244</v>
      </c>
      <c r="AU2042" s="90">
        <v>3.1595430000000002</v>
      </c>
      <c r="AV2042" s="90">
        <v>94.027922317008006</v>
      </c>
      <c r="AW2042" s="90">
        <v>19.120632584532</v>
      </c>
      <c r="AX2042" s="90">
        <v>1.2086836700000001E-2</v>
      </c>
    </row>
    <row r="2043" spans="1:50" x14ac:dyDescent="0.25">
      <c r="A2043" s="102">
        <v>830000</v>
      </c>
      <c r="B2043" s="102">
        <v>2400000</v>
      </c>
      <c r="C2043" s="102">
        <v>2400000</v>
      </c>
      <c r="D2043" s="90" t="s">
        <v>374</v>
      </c>
      <c r="E2043" s="90" t="s">
        <v>68</v>
      </c>
      <c r="F2043" s="90" t="s">
        <v>375</v>
      </c>
      <c r="G2043" s="90" t="s">
        <v>376</v>
      </c>
      <c r="H2043" s="90">
        <v>0.59</v>
      </c>
      <c r="I2043" s="90">
        <v>0.64</v>
      </c>
      <c r="J2043" s="90" t="s">
        <v>389</v>
      </c>
      <c r="K2043" s="90">
        <v>0.40956310268030999</v>
      </c>
      <c r="L2043" s="90">
        <v>3154.21484539635</v>
      </c>
      <c r="M2043" s="90">
        <v>6.2677532949262798</v>
      </c>
      <c r="N2043" s="90">
        <v>0.85137594893183999</v>
      </c>
      <c r="O2043" s="90">
        <v>2.5670404863047902</v>
      </c>
      <c r="P2043" s="90">
        <v>0.34869217519191997</v>
      </c>
      <c r="Q2043" s="90">
        <v>1291.85001860085</v>
      </c>
      <c r="R2043" s="90">
        <v>3100</v>
      </c>
      <c r="S2043" s="90" t="s">
        <v>416</v>
      </c>
      <c r="T2043" s="90">
        <v>3100</v>
      </c>
      <c r="U2043" s="90" t="s">
        <v>378</v>
      </c>
      <c r="V2043" s="90" t="s">
        <v>244</v>
      </c>
      <c r="Y2043" s="90" t="s">
        <v>389</v>
      </c>
      <c r="Z2043" s="90">
        <v>0</v>
      </c>
      <c r="AA2043" s="90">
        <v>1</v>
      </c>
      <c r="AB2043" s="90">
        <v>2.5670404863047902</v>
      </c>
      <c r="AC2043" s="90">
        <v>0.34869217519191997</v>
      </c>
      <c r="AD2043" s="90">
        <v>1933.6555869916699</v>
      </c>
      <c r="AF2043" s="90">
        <v>-1</v>
      </c>
      <c r="AG2043" s="90">
        <v>-1</v>
      </c>
      <c r="AH2043" s="90">
        <v>-1</v>
      </c>
      <c r="AI2043" s="90">
        <v>-1</v>
      </c>
      <c r="AJ2043" s="90">
        <v>0</v>
      </c>
      <c r="AM2043" s="90" t="s">
        <v>379</v>
      </c>
      <c r="AN2043" s="90">
        <v>-1</v>
      </c>
      <c r="AQ2043" s="90">
        <v>384</v>
      </c>
      <c r="AR2043" s="90" t="s">
        <v>299</v>
      </c>
      <c r="AS2043" s="90" t="s">
        <v>300</v>
      </c>
      <c r="AT2043" s="90" t="s">
        <v>244</v>
      </c>
      <c r="AU2043" s="90">
        <v>3.1595430000000002</v>
      </c>
      <c r="AV2043" s="90">
        <v>165.70510152446101</v>
      </c>
      <c r="AW2043" s="90">
        <v>1657.4430724599099</v>
      </c>
      <c r="AX2043" s="90">
        <v>1.5682527064</v>
      </c>
    </row>
    <row r="2044" spans="1:50" x14ac:dyDescent="0.25">
      <c r="A2044" s="102">
        <v>830000</v>
      </c>
      <c r="B2044" s="102">
        <v>2400000</v>
      </c>
      <c r="C2044" s="102">
        <v>2400000</v>
      </c>
      <c r="D2044" s="90" t="s">
        <v>374</v>
      </c>
      <c r="E2044" s="90" t="s">
        <v>68</v>
      </c>
      <c r="F2044" s="90" t="s">
        <v>375</v>
      </c>
      <c r="G2044" s="90" t="s">
        <v>376</v>
      </c>
      <c r="H2044" s="90">
        <v>0.59</v>
      </c>
      <c r="I2044" s="90">
        <v>0.64</v>
      </c>
      <c r="J2044" s="90" t="s">
        <v>244</v>
      </c>
      <c r="K2044" s="90">
        <v>3.976534699308E-2</v>
      </c>
      <c r="L2044" s="90">
        <v>3709.5246221340299</v>
      </c>
      <c r="M2044" s="90">
        <v>10.6846795340232</v>
      </c>
      <c r="N2044" s="90">
        <v>2.0041620728937501</v>
      </c>
      <c r="O2044" s="90">
        <v>0.42487998918031999</v>
      </c>
      <c r="P2044" s="90">
        <v>7.9696200258990005E-2</v>
      </c>
      <c r="Q2044" s="90">
        <v>147.51053377854501</v>
      </c>
      <c r="R2044" s="90">
        <v>1400</v>
      </c>
      <c r="S2044" s="90" t="s">
        <v>324</v>
      </c>
      <c r="T2044" s="90">
        <v>1400</v>
      </c>
      <c r="U2044" s="90" t="s">
        <v>378</v>
      </c>
      <c r="V2044" s="90" t="s">
        <v>244</v>
      </c>
      <c r="Z2044" s="90">
        <v>0</v>
      </c>
      <c r="AA2044" s="90">
        <v>1</v>
      </c>
      <c r="AB2044" s="90">
        <v>0.42487998918031999</v>
      </c>
      <c r="AC2044" s="90">
        <v>7.9696200258990005E-2</v>
      </c>
      <c r="AD2044" s="90">
        <v>162.44148873869301</v>
      </c>
      <c r="AF2044" s="90">
        <v>-1</v>
      </c>
      <c r="AG2044" s="90">
        <v>-1</v>
      </c>
      <c r="AH2044" s="90">
        <v>-1</v>
      </c>
      <c r="AI2044" s="90">
        <v>-1</v>
      </c>
      <c r="AJ2044" s="90">
        <v>0</v>
      </c>
      <c r="AM2044" s="90" t="s">
        <v>379</v>
      </c>
      <c r="AN2044" s="90">
        <v>-1</v>
      </c>
      <c r="AQ2044" s="90">
        <v>384</v>
      </c>
      <c r="AR2044" s="90" t="s">
        <v>299</v>
      </c>
      <c r="AS2044" s="90" t="s">
        <v>300</v>
      </c>
      <c r="AT2044" s="90" t="s">
        <v>244</v>
      </c>
      <c r="AU2044" s="90">
        <v>3.1595430000000002</v>
      </c>
      <c r="AV2044" s="90">
        <v>120.70323996443599</v>
      </c>
      <c r="AW2044" s="90">
        <v>160.92464986792299</v>
      </c>
      <c r="AX2044" s="90">
        <v>0.13174492190000001</v>
      </c>
    </row>
    <row r="2045" spans="1:50" x14ac:dyDescent="0.25">
      <c r="A2045" s="102">
        <v>830000</v>
      </c>
      <c r="B2045" s="102">
        <v>2400000</v>
      </c>
      <c r="C2045" s="102">
        <v>2400000</v>
      </c>
      <c r="D2045" s="90" t="s">
        <v>374</v>
      </c>
      <c r="E2045" s="90" t="s">
        <v>68</v>
      </c>
      <c r="F2045" s="90" t="s">
        <v>375</v>
      </c>
      <c r="G2045" s="90" t="s">
        <v>376</v>
      </c>
      <c r="H2045" s="90">
        <v>0.59</v>
      </c>
      <c r="I2045" s="90">
        <v>0.64</v>
      </c>
      <c r="J2045" s="90" t="s">
        <v>389</v>
      </c>
      <c r="K2045" s="90">
        <v>2.5463569534000001E-4</v>
      </c>
      <c r="L2045" s="90">
        <v>3709.5246221340299</v>
      </c>
      <c r="M2045" s="90">
        <v>10.6846795340232</v>
      </c>
      <c r="N2045" s="90">
        <v>2.0041620728937501</v>
      </c>
      <c r="O2045" s="90">
        <v>2.72070080271E-3</v>
      </c>
      <c r="P2045" s="90">
        <v>5.1033120302000005E-4</v>
      </c>
      <c r="Q2045" s="90">
        <v>0.94457738156761994</v>
      </c>
      <c r="R2045" s="90">
        <v>3100</v>
      </c>
      <c r="S2045" s="90" t="s">
        <v>416</v>
      </c>
      <c r="T2045" s="90">
        <v>3100</v>
      </c>
      <c r="U2045" s="90" t="s">
        <v>378</v>
      </c>
      <c r="V2045" s="90" t="s">
        <v>244</v>
      </c>
      <c r="Y2045" s="90" t="s">
        <v>389</v>
      </c>
      <c r="Z2045" s="90">
        <v>0</v>
      </c>
      <c r="AA2045" s="90">
        <v>1</v>
      </c>
      <c r="AB2045" s="90">
        <v>2.72070080271E-3</v>
      </c>
      <c r="AC2045" s="90">
        <v>5.1033120302000005E-4</v>
      </c>
      <c r="AD2045" s="90">
        <v>36.8572049879362</v>
      </c>
      <c r="AF2045" s="90">
        <v>-1</v>
      </c>
      <c r="AG2045" s="90">
        <v>-1</v>
      </c>
      <c r="AH2045" s="90">
        <v>-1</v>
      </c>
      <c r="AI2045" s="90">
        <v>-1</v>
      </c>
      <c r="AJ2045" s="90">
        <v>0</v>
      </c>
      <c r="AM2045" s="90" t="s">
        <v>379</v>
      </c>
      <c r="AN2045" s="90">
        <v>-1</v>
      </c>
      <c r="AQ2045" s="90">
        <v>384</v>
      </c>
      <c r="AR2045" s="90" t="s">
        <v>299</v>
      </c>
      <c r="AS2045" s="90" t="s">
        <v>300</v>
      </c>
      <c r="AT2045" s="90" t="s">
        <v>244</v>
      </c>
      <c r="AU2045" s="90">
        <v>3.1595430000000002</v>
      </c>
      <c r="AV2045" s="90">
        <v>30.107938874808799</v>
      </c>
      <c r="AW2045" s="90">
        <v>1.0304740990901899</v>
      </c>
      <c r="AX2045" s="90">
        <v>2.9892299300000001E-2</v>
      </c>
    </row>
    <row r="2046" spans="1:50" x14ac:dyDescent="0.25">
      <c r="A2046" s="102">
        <v>830000</v>
      </c>
      <c r="B2046" s="102">
        <v>2400000</v>
      </c>
      <c r="C2046" s="102">
        <v>2400000</v>
      </c>
      <c r="D2046" s="90" t="s">
        <v>374</v>
      </c>
      <c r="E2046" s="90" t="s">
        <v>68</v>
      </c>
      <c r="F2046" s="90" t="s">
        <v>375</v>
      </c>
      <c r="G2046" s="90" t="s">
        <v>376</v>
      </c>
      <c r="H2046" s="90">
        <v>0.59</v>
      </c>
      <c r="I2046" s="90">
        <v>0.64</v>
      </c>
      <c r="J2046" s="90" t="s">
        <v>244</v>
      </c>
      <c r="K2046" s="90">
        <v>1.5589643164149999E-2</v>
      </c>
      <c r="L2046" s="90">
        <v>3709.5246221340299</v>
      </c>
      <c r="M2046" s="90">
        <v>10.6846795340232</v>
      </c>
      <c r="N2046" s="90">
        <v>2.0041620728937501</v>
      </c>
      <c r="O2046" s="90">
        <v>0.16657034125879999</v>
      </c>
      <c r="P2046" s="90">
        <v>3.1244171559550001E-2</v>
      </c>
      <c r="Q2046" s="90">
        <v>57.8301651677276</v>
      </c>
      <c r="R2046" s="90">
        <v>1300</v>
      </c>
      <c r="S2046" s="90" t="s">
        <v>387</v>
      </c>
      <c r="T2046" s="90">
        <v>1300</v>
      </c>
      <c r="U2046" s="90" t="s">
        <v>378</v>
      </c>
      <c r="V2046" s="90" t="s">
        <v>244</v>
      </c>
      <c r="Z2046" s="90">
        <v>0</v>
      </c>
      <c r="AA2046" s="90">
        <v>1</v>
      </c>
      <c r="AB2046" s="90">
        <v>0.16657034125879999</v>
      </c>
      <c r="AC2046" s="90">
        <v>3.1244171559550001E-2</v>
      </c>
      <c r="AD2046" s="90">
        <v>2092.3100483090502</v>
      </c>
      <c r="AF2046" s="90">
        <v>-1</v>
      </c>
      <c r="AG2046" s="90">
        <v>-1</v>
      </c>
      <c r="AH2046" s="90">
        <v>-1</v>
      </c>
      <c r="AI2046" s="90">
        <v>-1</v>
      </c>
      <c r="AJ2046" s="90">
        <v>0</v>
      </c>
      <c r="AM2046" s="90" t="s">
        <v>379</v>
      </c>
      <c r="AN2046" s="90">
        <v>-1</v>
      </c>
      <c r="AQ2046" s="90">
        <v>384</v>
      </c>
      <c r="AR2046" s="90" t="s">
        <v>299</v>
      </c>
      <c r="AS2046" s="90" t="s">
        <v>300</v>
      </c>
      <c r="AT2046" s="90" t="s">
        <v>244</v>
      </c>
      <c r="AU2046" s="90">
        <v>3.1595430000000002</v>
      </c>
      <c r="AV2046" s="90">
        <v>95.929032665234203</v>
      </c>
      <c r="AW2046" s="90">
        <v>63.089047561797798</v>
      </c>
      <c r="AX2046" s="90">
        <v>1.6969262354000001</v>
      </c>
    </row>
    <row r="2047" spans="1:50" x14ac:dyDescent="0.25">
      <c r="A2047" s="102">
        <v>830000</v>
      </c>
      <c r="B2047" s="102">
        <v>2400000</v>
      </c>
      <c r="C2047" s="102">
        <v>2400000</v>
      </c>
      <c r="D2047" s="90" t="s">
        <v>374</v>
      </c>
      <c r="E2047" s="90" t="s">
        <v>68</v>
      </c>
      <c r="F2047" s="90" t="s">
        <v>375</v>
      </c>
      <c r="G2047" s="90" t="s">
        <v>376</v>
      </c>
      <c r="H2047" s="90">
        <v>0.59</v>
      </c>
      <c r="I2047" s="90">
        <v>0.64</v>
      </c>
      <c r="J2047" s="90" t="s">
        <v>244</v>
      </c>
      <c r="K2047" s="90">
        <v>1.8825528061249999E-2</v>
      </c>
      <c r="L2047" s="90">
        <v>3168.9879080915698</v>
      </c>
      <c r="M2047" s="90">
        <v>6.3906807529597502</v>
      </c>
      <c r="N2047" s="90">
        <v>0.86706830527921996</v>
      </c>
      <c r="O2047" s="90">
        <v>0.12030793984535</v>
      </c>
      <c r="P2047" s="90">
        <v>1.632301871205E-2</v>
      </c>
      <c r="Q2047" s="90">
        <v>59.657870789549399</v>
      </c>
      <c r="R2047" s="90">
        <v>1400</v>
      </c>
      <c r="S2047" s="90" t="s">
        <v>324</v>
      </c>
      <c r="T2047" s="90">
        <v>1400</v>
      </c>
      <c r="U2047" s="90" t="s">
        <v>378</v>
      </c>
      <c r="V2047" s="90" t="s">
        <v>244</v>
      </c>
      <c r="Z2047" s="90">
        <v>0</v>
      </c>
      <c r="AA2047" s="90">
        <v>1</v>
      </c>
      <c r="AB2047" s="90">
        <v>0.12030793984535</v>
      </c>
      <c r="AC2047" s="90">
        <v>1.632301871205E-2</v>
      </c>
      <c r="AD2047" s="90">
        <v>59.657870789549399</v>
      </c>
      <c r="AF2047" s="90">
        <v>-1</v>
      </c>
      <c r="AG2047" s="90">
        <v>-1</v>
      </c>
      <c r="AH2047" s="90">
        <v>-1</v>
      </c>
      <c r="AI2047" s="90">
        <v>-1</v>
      </c>
      <c r="AJ2047" s="90">
        <v>0</v>
      </c>
      <c r="AM2047" s="90" t="s">
        <v>379</v>
      </c>
      <c r="AN2047" s="90">
        <v>-1</v>
      </c>
      <c r="AQ2047" s="90">
        <v>384</v>
      </c>
      <c r="AR2047" s="90" t="s">
        <v>299</v>
      </c>
      <c r="AS2047" s="90" t="s">
        <v>300</v>
      </c>
      <c r="AT2047" s="90" t="s">
        <v>244</v>
      </c>
      <c r="AU2047" s="90">
        <v>3.1595430000000002</v>
      </c>
      <c r="AV2047" s="90">
        <v>103.06194951755199</v>
      </c>
      <c r="AW2047" s="90">
        <v>76.184209139752895</v>
      </c>
      <c r="AX2047" s="90">
        <v>4.8384323399999998E-2</v>
      </c>
    </row>
    <row r="2048" spans="1:50" x14ac:dyDescent="0.25">
      <c r="A2048" s="102">
        <v>830000</v>
      </c>
      <c r="B2048" s="102">
        <v>2400000</v>
      </c>
      <c r="C2048" s="102">
        <v>2400000</v>
      </c>
      <c r="D2048" s="90" t="s">
        <v>374</v>
      </c>
      <c r="E2048" s="90" t="s">
        <v>68</v>
      </c>
      <c r="F2048" s="90" t="s">
        <v>375</v>
      </c>
      <c r="G2048" s="90" t="s">
        <v>376</v>
      </c>
      <c r="H2048" s="90">
        <v>0.59</v>
      </c>
      <c r="I2048" s="90">
        <v>0.64</v>
      </c>
      <c r="J2048" s="90" t="s">
        <v>389</v>
      </c>
      <c r="K2048" s="90">
        <v>0.41041673941939999</v>
      </c>
      <c r="L2048" s="90">
        <v>3168.9879080915698</v>
      </c>
      <c r="M2048" s="90">
        <v>6.3906807529597502</v>
      </c>
      <c r="N2048" s="90">
        <v>0.86706830527921996</v>
      </c>
      <c r="O2048" s="90">
        <v>2.6228423573000801</v>
      </c>
      <c r="P2048" s="90">
        <v>0.35585934670660002</v>
      </c>
      <c r="Q2048" s="90">
        <v>1300.6056844984601</v>
      </c>
      <c r="R2048" s="90">
        <v>3100</v>
      </c>
      <c r="S2048" s="90" t="s">
        <v>416</v>
      </c>
      <c r="T2048" s="90">
        <v>3100</v>
      </c>
      <c r="U2048" s="90" t="s">
        <v>378</v>
      </c>
      <c r="V2048" s="90" t="s">
        <v>244</v>
      </c>
      <c r="Y2048" s="90" t="s">
        <v>389</v>
      </c>
      <c r="Z2048" s="90">
        <v>0</v>
      </c>
      <c r="AA2048" s="90">
        <v>1</v>
      </c>
      <c r="AB2048" s="90">
        <v>2.6228423573000801</v>
      </c>
      <c r="AC2048" s="90">
        <v>0.35585934670660002</v>
      </c>
      <c r="AD2048" s="90">
        <v>1898.0270435073801</v>
      </c>
      <c r="AF2048" s="90">
        <v>-1</v>
      </c>
      <c r="AG2048" s="90">
        <v>-1</v>
      </c>
      <c r="AH2048" s="90">
        <v>-1</v>
      </c>
      <c r="AI2048" s="90">
        <v>-1</v>
      </c>
      <c r="AJ2048" s="90">
        <v>0</v>
      </c>
      <c r="AM2048" s="90" t="s">
        <v>379</v>
      </c>
      <c r="AN2048" s="90">
        <v>-1</v>
      </c>
      <c r="AQ2048" s="90">
        <v>384</v>
      </c>
      <c r="AR2048" s="90" t="s">
        <v>299</v>
      </c>
      <c r="AS2048" s="90" t="s">
        <v>300</v>
      </c>
      <c r="AT2048" s="90" t="s">
        <v>244</v>
      </c>
      <c r="AU2048" s="90">
        <v>3.1595430000000002</v>
      </c>
      <c r="AV2048" s="90">
        <v>165.83659883626399</v>
      </c>
      <c r="AW2048" s="90">
        <v>1660.89761777988</v>
      </c>
      <c r="AX2048" s="90">
        <v>1.5393568885</v>
      </c>
    </row>
    <row r="2049" spans="1:50" x14ac:dyDescent="0.25">
      <c r="A2049" s="102">
        <v>830000</v>
      </c>
      <c r="B2049" s="102">
        <v>2400000</v>
      </c>
      <c r="C2049" s="102">
        <v>2400000</v>
      </c>
      <c r="D2049" s="90" t="s">
        <v>374</v>
      </c>
      <c r="E2049" s="90" t="s">
        <v>68</v>
      </c>
      <c r="F2049" s="90" t="s">
        <v>375</v>
      </c>
      <c r="G2049" s="90" t="s">
        <v>376</v>
      </c>
      <c r="H2049" s="90">
        <v>0.59</v>
      </c>
      <c r="I2049" s="90">
        <v>0.64</v>
      </c>
      <c r="J2049" s="90" t="s">
        <v>244</v>
      </c>
      <c r="K2049" s="90">
        <v>4.5802875041900002E-3</v>
      </c>
      <c r="L2049" s="90">
        <v>3712.06764069561</v>
      </c>
      <c r="M2049" s="90">
        <v>10.6500961765539</v>
      </c>
      <c r="N2049" s="90">
        <v>2.0409906917150198</v>
      </c>
      <c r="O2049" s="90">
        <v>4.8780502435960001E-2</v>
      </c>
      <c r="P2049" s="90">
        <v>9.3483241614400001E-3</v>
      </c>
      <c r="Q2049" s="90">
        <v>17.0023370294121</v>
      </c>
      <c r="R2049" s="90">
        <v>1400</v>
      </c>
      <c r="S2049" s="90" t="s">
        <v>324</v>
      </c>
      <c r="T2049" s="90">
        <v>1400</v>
      </c>
      <c r="U2049" s="90" t="s">
        <v>378</v>
      </c>
      <c r="V2049" s="90" t="s">
        <v>244</v>
      </c>
      <c r="Z2049" s="90">
        <v>0</v>
      </c>
      <c r="AA2049" s="90">
        <v>1</v>
      </c>
      <c r="AB2049" s="90">
        <v>4.8780502435960001E-2</v>
      </c>
      <c r="AC2049" s="90">
        <v>9.3483241614400001E-3</v>
      </c>
      <c r="AD2049" s="90">
        <v>22.715594514587199</v>
      </c>
      <c r="AF2049" s="90">
        <v>-1</v>
      </c>
      <c r="AG2049" s="90">
        <v>-1</v>
      </c>
      <c r="AH2049" s="90">
        <v>-1</v>
      </c>
      <c r="AI2049" s="90">
        <v>-1</v>
      </c>
      <c r="AJ2049" s="90">
        <v>0</v>
      </c>
      <c r="AM2049" s="90" t="s">
        <v>379</v>
      </c>
      <c r="AN2049" s="90">
        <v>-1</v>
      </c>
      <c r="AQ2049" s="90">
        <v>384</v>
      </c>
      <c r="AR2049" s="90" t="s">
        <v>299</v>
      </c>
      <c r="AS2049" s="90" t="s">
        <v>300</v>
      </c>
      <c r="AT2049" s="90" t="s">
        <v>244</v>
      </c>
      <c r="AU2049" s="90">
        <v>3.1595430000000002</v>
      </c>
      <c r="AV2049" s="90">
        <v>44.869679139963402</v>
      </c>
      <c r="AW2049" s="90">
        <v>18.535765902798499</v>
      </c>
      <c r="AX2049" s="90">
        <v>1.8423028800000001E-2</v>
      </c>
    </row>
    <row r="2050" spans="1:50" x14ac:dyDescent="0.25">
      <c r="A2050" s="102">
        <v>830000</v>
      </c>
      <c r="B2050" s="102">
        <v>2400000</v>
      </c>
      <c r="C2050" s="102">
        <v>2400000</v>
      </c>
      <c r="D2050" s="90" t="s">
        <v>374</v>
      </c>
      <c r="E2050" s="90" t="s">
        <v>68</v>
      </c>
      <c r="F2050" s="90" t="s">
        <v>375</v>
      </c>
      <c r="G2050" s="90" t="s">
        <v>376</v>
      </c>
      <c r="H2050" s="90">
        <v>0.59</v>
      </c>
      <c r="I2050" s="90">
        <v>0.64</v>
      </c>
      <c r="J2050" s="90" t="s">
        <v>244</v>
      </c>
      <c r="K2050" s="90">
        <v>0.17808182607344</v>
      </c>
      <c r="L2050" s="90">
        <v>3712.06764069561</v>
      </c>
      <c r="M2050" s="90">
        <v>10.6500961765539</v>
      </c>
      <c r="N2050" s="90">
        <v>2.0409906917150198</v>
      </c>
      <c r="O2050" s="90">
        <v>1.89658857497855</v>
      </c>
      <c r="P2050" s="90">
        <v>0.36346334937951003</v>
      </c>
      <c r="Q2050" s="90">
        <v>661.05178396322401</v>
      </c>
      <c r="R2050" s="90">
        <v>1300</v>
      </c>
      <c r="S2050" s="90" t="s">
        <v>387</v>
      </c>
      <c r="T2050" s="90">
        <v>1300</v>
      </c>
      <c r="U2050" s="90" t="s">
        <v>378</v>
      </c>
      <c r="V2050" s="90" t="s">
        <v>244</v>
      </c>
      <c r="Z2050" s="90">
        <v>0</v>
      </c>
      <c r="AA2050" s="90">
        <v>1</v>
      </c>
      <c r="AB2050" s="90">
        <v>1.89658857497855</v>
      </c>
      <c r="AC2050" s="90">
        <v>0.36346334937951003</v>
      </c>
      <c r="AD2050" s="90">
        <v>2241.4673530106802</v>
      </c>
      <c r="AF2050" s="90">
        <v>-1</v>
      </c>
      <c r="AG2050" s="90">
        <v>-1</v>
      </c>
      <c r="AH2050" s="90">
        <v>-1</v>
      </c>
      <c r="AI2050" s="90">
        <v>-1</v>
      </c>
      <c r="AJ2050" s="90">
        <v>0</v>
      </c>
      <c r="AM2050" s="90" t="s">
        <v>379</v>
      </c>
      <c r="AN2050" s="90">
        <v>-1</v>
      </c>
      <c r="AQ2050" s="90">
        <v>384</v>
      </c>
      <c r="AR2050" s="90" t="s">
        <v>299</v>
      </c>
      <c r="AS2050" s="90" t="s">
        <v>300</v>
      </c>
      <c r="AT2050" s="90" t="s">
        <v>244</v>
      </c>
      <c r="AU2050" s="90">
        <v>3.1595430000000002</v>
      </c>
      <c r="AV2050" s="90">
        <v>103.8954051556</v>
      </c>
      <c r="AW2050" s="90">
        <v>720.671581558046</v>
      </c>
      <c r="AX2050" s="90">
        <v>1.8178972855</v>
      </c>
    </row>
    <row r="2051" spans="1:50" x14ac:dyDescent="0.25">
      <c r="A2051" s="102">
        <v>830000</v>
      </c>
      <c r="B2051" s="102">
        <v>2400000</v>
      </c>
      <c r="C2051" s="102">
        <v>2400000</v>
      </c>
      <c r="D2051" s="90" t="s">
        <v>374</v>
      </c>
      <c r="E2051" s="90" t="s">
        <v>68</v>
      </c>
      <c r="F2051" s="90" t="s">
        <v>375</v>
      </c>
      <c r="G2051" s="90" t="s">
        <v>376</v>
      </c>
      <c r="H2051" s="90">
        <v>0.59</v>
      </c>
      <c r="I2051" s="90">
        <v>0.64</v>
      </c>
      <c r="J2051" s="90" t="s">
        <v>244</v>
      </c>
      <c r="K2051" s="90">
        <v>0.14901547997426001</v>
      </c>
      <c r="L2051" s="90">
        <v>3728.1702516338401</v>
      </c>
      <c r="M2051" s="90">
        <v>10.316633501461901</v>
      </c>
      <c r="N2051" s="90">
        <v>1.7843931991009501</v>
      </c>
      <c r="O2051" s="90">
        <v>1.53733809293896</v>
      </c>
      <c r="P2051" s="90">
        <v>0.26590220902683998</v>
      </c>
      <c r="Q2051" s="90">
        <v>555.55507947300396</v>
      </c>
      <c r="R2051" s="90">
        <v>1400</v>
      </c>
      <c r="S2051" s="90" t="s">
        <v>324</v>
      </c>
      <c r="T2051" s="90">
        <v>1400</v>
      </c>
      <c r="U2051" s="90" t="s">
        <v>378</v>
      </c>
      <c r="V2051" s="90" t="s">
        <v>244</v>
      </c>
      <c r="Z2051" s="90">
        <v>0</v>
      </c>
      <c r="AA2051" s="90">
        <v>1</v>
      </c>
      <c r="AB2051" s="90">
        <v>1.53733809293896</v>
      </c>
      <c r="AC2051" s="90">
        <v>0.26590220902683998</v>
      </c>
      <c r="AD2051" s="90">
        <v>555.55507947300396</v>
      </c>
      <c r="AF2051" s="90">
        <v>-1</v>
      </c>
      <c r="AG2051" s="90">
        <v>-1</v>
      </c>
      <c r="AH2051" s="90">
        <v>-1</v>
      </c>
      <c r="AI2051" s="90">
        <v>-1</v>
      </c>
      <c r="AJ2051" s="90">
        <v>0</v>
      </c>
      <c r="AM2051" s="90" t="s">
        <v>379</v>
      </c>
      <c r="AN2051" s="90">
        <v>-1</v>
      </c>
      <c r="AQ2051" s="90">
        <v>384</v>
      </c>
      <c r="AR2051" s="90" t="s">
        <v>299</v>
      </c>
      <c r="AS2051" s="90" t="s">
        <v>300</v>
      </c>
      <c r="AT2051" s="90" t="s">
        <v>244</v>
      </c>
      <c r="AU2051" s="90">
        <v>3.1595430000000002</v>
      </c>
      <c r="AV2051" s="90">
        <v>124.154485657775</v>
      </c>
      <c r="AW2051" s="90">
        <v>603.04425217088396</v>
      </c>
      <c r="AX2051" s="90">
        <v>0.4505718406</v>
      </c>
    </row>
    <row r="2052" spans="1:50" x14ac:dyDescent="0.25">
      <c r="A2052" s="102">
        <v>830000</v>
      </c>
      <c r="B2052" s="102">
        <v>2400000</v>
      </c>
      <c r="C2052" s="102">
        <v>2400000</v>
      </c>
      <c r="D2052" s="90" t="s">
        <v>374</v>
      </c>
      <c r="E2052" s="90" t="s">
        <v>68</v>
      </c>
      <c r="F2052" s="90" t="s">
        <v>375</v>
      </c>
      <c r="G2052" s="90" t="s">
        <v>376</v>
      </c>
      <c r="H2052" s="90">
        <v>0.59</v>
      </c>
      <c r="I2052" s="90">
        <v>0.64</v>
      </c>
      <c r="J2052" s="90" t="s">
        <v>244</v>
      </c>
      <c r="K2052" s="90">
        <v>0.10144316794823</v>
      </c>
      <c r="L2052" s="90">
        <v>3728.1702516338401</v>
      </c>
      <c r="M2052" s="90">
        <v>10.316633501461901</v>
      </c>
      <c r="N2052" s="90">
        <v>1.7843931991009501</v>
      </c>
      <c r="O2052" s="90">
        <v>1.04655198494918</v>
      </c>
      <c r="P2052" s="90">
        <v>0.18101449898208</v>
      </c>
      <c r="Q2052" s="90">
        <v>378.19740097610099</v>
      </c>
      <c r="R2052" s="90">
        <v>1300</v>
      </c>
      <c r="S2052" s="90" t="s">
        <v>387</v>
      </c>
      <c r="T2052" s="90">
        <v>1300</v>
      </c>
      <c r="U2052" s="90" t="s">
        <v>378</v>
      </c>
      <c r="V2052" s="90" t="s">
        <v>244</v>
      </c>
      <c r="Z2052" s="90">
        <v>0</v>
      </c>
      <c r="AA2052" s="90">
        <v>1</v>
      </c>
      <c r="AB2052" s="90">
        <v>1.04655198494918</v>
      </c>
      <c r="AC2052" s="90">
        <v>0.18101449898208</v>
      </c>
      <c r="AD2052" s="90">
        <v>649.27508216403305</v>
      </c>
      <c r="AF2052" s="90">
        <v>-1</v>
      </c>
      <c r="AG2052" s="90">
        <v>-1</v>
      </c>
      <c r="AH2052" s="90">
        <v>-1</v>
      </c>
      <c r="AI2052" s="90">
        <v>-1</v>
      </c>
      <c r="AJ2052" s="90">
        <v>0</v>
      </c>
      <c r="AM2052" s="90" t="s">
        <v>379</v>
      </c>
      <c r="AN2052" s="90">
        <v>-1</v>
      </c>
      <c r="AQ2052" s="90">
        <v>384</v>
      </c>
      <c r="AR2052" s="90" t="s">
        <v>299</v>
      </c>
      <c r="AS2052" s="90" t="s">
        <v>300</v>
      </c>
      <c r="AT2052" s="90" t="s">
        <v>244</v>
      </c>
      <c r="AU2052" s="90">
        <v>3.1595430000000002</v>
      </c>
      <c r="AV2052" s="90">
        <v>82.211987048014905</v>
      </c>
      <c r="AW2052" s="90">
        <v>410.52593571991099</v>
      </c>
      <c r="AX2052" s="90">
        <v>0.52658157520000004</v>
      </c>
    </row>
    <row r="2053" spans="1:50" x14ac:dyDescent="0.25">
      <c r="A2053" s="102">
        <v>830000</v>
      </c>
      <c r="B2053" s="102">
        <v>2400000</v>
      </c>
      <c r="C2053" s="102">
        <v>2400000</v>
      </c>
      <c r="D2053" s="90" t="s">
        <v>374</v>
      </c>
      <c r="E2053" s="90" t="s">
        <v>68</v>
      </c>
      <c r="F2053" s="90" t="s">
        <v>375</v>
      </c>
      <c r="G2053" s="90" t="s">
        <v>376</v>
      </c>
      <c r="H2053" s="90">
        <v>0.59</v>
      </c>
      <c r="I2053" s="90">
        <v>0.64</v>
      </c>
      <c r="J2053" s="90" t="s">
        <v>244</v>
      </c>
      <c r="K2053" s="90">
        <v>1.832374162547E-2</v>
      </c>
      <c r="L2053" s="90">
        <v>3728.1702516338401</v>
      </c>
      <c r="M2053" s="90">
        <v>10.316633501461901</v>
      </c>
      <c r="N2053" s="90">
        <v>1.7843931991009501</v>
      </c>
      <c r="O2053" s="90">
        <v>0.18903932672552001</v>
      </c>
      <c r="P2053" s="90">
        <v>3.2696759938579997E-2</v>
      </c>
      <c r="Q2053" s="90">
        <v>68.3140284267281</v>
      </c>
      <c r="R2053" s="90">
        <v>1300</v>
      </c>
      <c r="S2053" s="90" t="s">
        <v>387</v>
      </c>
      <c r="T2053" s="90">
        <v>1300</v>
      </c>
      <c r="U2053" s="90" t="s">
        <v>378</v>
      </c>
      <c r="V2053" s="90" t="s">
        <v>244</v>
      </c>
      <c r="Z2053" s="90">
        <v>0</v>
      </c>
      <c r="AA2053" s="90">
        <v>1</v>
      </c>
      <c r="AB2053" s="90">
        <v>0.18903932672552001</v>
      </c>
      <c r="AC2053" s="90">
        <v>3.2696759938579997E-2</v>
      </c>
      <c r="AD2053" s="90">
        <v>424.46271923789402</v>
      </c>
      <c r="AF2053" s="90">
        <v>-1</v>
      </c>
      <c r="AG2053" s="90">
        <v>-1</v>
      </c>
      <c r="AH2053" s="90">
        <v>-1</v>
      </c>
      <c r="AI2053" s="90">
        <v>-1</v>
      </c>
      <c r="AJ2053" s="90">
        <v>0</v>
      </c>
      <c r="AM2053" s="90" t="s">
        <v>379</v>
      </c>
      <c r="AN2053" s="90">
        <v>-1</v>
      </c>
      <c r="AQ2053" s="90">
        <v>384</v>
      </c>
      <c r="AR2053" s="90" t="s">
        <v>299</v>
      </c>
      <c r="AS2053" s="90" t="s">
        <v>300</v>
      </c>
      <c r="AT2053" s="90" t="s">
        <v>244</v>
      </c>
      <c r="AU2053" s="90">
        <v>3.1595430000000002</v>
      </c>
      <c r="AV2053" s="90">
        <v>64.900445723076302</v>
      </c>
      <c r="AW2053" s="90">
        <v>74.153551479460901</v>
      </c>
      <c r="AX2053" s="90">
        <v>0.3442520026</v>
      </c>
    </row>
    <row r="2054" spans="1:50" x14ac:dyDescent="0.25">
      <c r="A2054" s="102">
        <v>830000</v>
      </c>
      <c r="B2054" s="102">
        <v>2400000</v>
      </c>
      <c r="C2054" s="102">
        <v>2400000</v>
      </c>
      <c r="D2054" s="90" t="s">
        <v>374</v>
      </c>
      <c r="E2054" s="90" t="s">
        <v>68</v>
      </c>
      <c r="F2054" s="90" t="s">
        <v>375</v>
      </c>
      <c r="G2054" s="90" t="s">
        <v>376</v>
      </c>
      <c r="H2054" s="90">
        <v>0.59</v>
      </c>
      <c r="I2054" s="90">
        <v>0.64</v>
      </c>
      <c r="J2054" s="90" t="s">
        <v>244</v>
      </c>
      <c r="K2054" s="90">
        <v>0.17628575282525999</v>
      </c>
      <c r="L2054" s="90">
        <v>3728.1702516338401</v>
      </c>
      <c r="M2054" s="90">
        <v>10.316633501461901</v>
      </c>
      <c r="N2054" s="90">
        <v>1.7843931991009501</v>
      </c>
      <c r="O2054" s="90">
        <v>1.8186755034276101</v>
      </c>
      <c r="P2054" s="90">
        <v>0.31456309843980002</v>
      </c>
      <c r="Q2054" s="90">
        <v>657.22329947004403</v>
      </c>
      <c r="R2054" s="90">
        <v>1300</v>
      </c>
      <c r="S2054" s="90" t="s">
        <v>387</v>
      </c>
      <c r="T2054" s="90">
        <v>1300</v>
      </c>
      <c r="U2054" s="90" t="s">
        <v>378</v>
      </c>
      <c r="V2054" s="90" t="s">
        <v>244</v>
      </c>
      <c r="Z2054" s="90">
        <v>0</v>
      </c>
      <c r="AA2054" s="90">
        <v>1</v>
      </c>
      <c r="AB2054" s="90">
        <v>1.8186755034276101</v>
      </c>
      <c r="AC2054" s="90">
        <v>0.31456309843980002</v>
      </c>
      <c r="AD2054" s="90">
        <v>657.22329947004403</v>
      </c>
      <c r="AF2054" s="90">
        <v>-1</v>
      </c>
      <c r="AG2054" s="90">
        <v>-1</v>
      </c>
      <c r="AH2054" s="90">
        <v>-1</v>
      </c>
      <c r="AI2054" s="90">
        <v>-1</v>
      </c>
      <c r="AJ2054" s="90">
        <v>0</v>
      </c>
      <c r="AM2054" s="90" t="s">
        <v>379</v>
      </c>
      <c r="AN2054" s="90">
        <v>-1</v>
      </c>
      <c r="AQ2054" s="90">
        <v>384</v>
      </c>
      <c r="AR2054" s="90" t="s">
        <v>299</v>
      </c>
      <c r="AS2054" s="90" t="s">
        <v>300</v>
      </c>
      <c r="AT2054" s="90" t="s">
        <v>244</v>
      </c>
      <c r="AU2054" s="90">
        <v>3.1595430000000002</v>
      </c>
      <c r="AV2054" s="90">
        <v>108.016352759828</v>
      </c>
      <c r="AW2054" s="90">
        <v>713.403130998557</v>
      </c>
      <c r="AX2054" s="90">
        <v>0.53302781789999998</v>
      </c>
    </row>
    <row r="2055" spans="1:50" x14ac:dyDescent="0.25">
      <c r="A2055" s="102">
        <v>830000</v>
      </c>
      <c r="B2055" s="102">
        <v>2400000</v>
      </c>
      <c r="C2055" s="102">
        <v>2400000</v>
      </c>
      <c r="D2055" s="90" t="s">
        <v>374</v>
      </c>
      <c r="E2055" s="90" t="s">
        <v>68</v>
      </c>
      <c r="F2055" s="90" t="s">
        <v>375</v>
      </c>
      <c r="G2055" s="90" t="s">
        <v>376</v>
      </c>
      <c r="H2055" s="90">
        <v>0.59</v>
      </c>
      <c r="I2055" s="90">
        <v>0.64</v>
      </c>
      <c r="J2055" s="90" t="s">
        <v>244</v>
      </c>
      <c r="K2055" s="90">
        <v>2.1582764820010002E-2</v>
      </c>
      <c r="L2055" s="90">
        <v>3716.95001769685</v>
      </c>
      <c r="M2055" s="90">
        <v>10.7270278505581</v>
      </c>
      <c r="N2055" s="90">
        <v>2.04233713088608</v>
      </c>
      <c r="O2055" s="90">
        <v>0.23151891931631</v>
      </c>
      <c r="P2055" s="90">
        <v>4.4079281979090001E-2</v>
      </c>
      <c r="Q2055" s="90">
        <v>80.222058079690697</v>
      </c>
      <c r="R2055" s="90">
        <v>1400</v>
      </c>
      <c r="S2055" s="90" t="s">
        <v>324</v>
      </c>
      <c r="T2055" s="90">
        <v>1400</v>
      </c>
      <c r="U2055" s="90" t="s">
        <v>378</v>
      </c>
      <c r="V2055" s="90" t="s">
        <v>244</v>
      </c>
      <c r="Z2055" s="90">
        <v>0</v>
      </c>
      <c r="AA2055" s="90">
        <v>1</v>
      </c>
      <c r="AB2055" s="90">
        <v>0.23151891931631</v>
      </c>
      <c r="AC2055" s="90">
        <v>4.4079281979090001E-2</v>
      </c>
      <c r="AD2055" s="90">
        <v>83.133599496977894</v>
      </c>
      <c r="AF2055" s="90">
        <v>-1</v>
      </c>
      <c r="AG2055" s="90">
        <v>-1</v>
      </c>
      <c r="AH2055" s="90">
        <v>-1</v>
      </c>
      <c r="AI2055" s="90">
        <v>-1</v>
      </c>
      <c r="AJ2055" s="90">
        <v>0</v>
      </c>
      <c r="AM2055" s="90" t="s">
        <v>379</v>
      </c>
      <c r="AN2055" s="90">
        <v>-1</v>
      </c>
      <c r="AQ2055" s="90">
        <v>384</v>
      </c>
      <c r="AR2055" s="90" t="s">
        <v>299</v>
      </c>
      <c r="AS2055" s="90" t="s">
        <v>300</v>
      </c>
      <c r="AT2055" s="90" t="s">
        <v>244</v>
      </c>
      <c r="AU2055" s="90">
        <v>3.1595430000000002</v>
      </c>
      <c r="AV2055" s="90">
        <v>103.7367518594</v>
      </c>
      <c r="AW2055" s="90">
        <v>87.342350425013393</v>
      </c>
      <c r="AX2055" s="90">
        <v>6.7423843900000002E-2</v>
      </c>
    </row>
    <row r="2056" spans="1:50" x14ac:dyDescent="0.25">
      <c r="A2056" s="102">
        <v>830000</v>
      </c>
      <c r="B2056" s="102">
        <v>2400000</v>
      </c>
      <c r="C2056" s="102">
        <v>2400000</v>
      </c>
      <c r="D2056" s="90" t="s">
        <v>374</v>
      </c>
      <c r="E2056" s="90" t="s">
        <v>68</v>
      </c>
      <c r="F2056" s="90" t="s">
        <v>375</v>
      </c>
      <c r="G2056" s="90" t="s">
        <v>376</v>
      </c>
      <c r="H2056" s="90">
        <v>0.59</v>
      </c>
      <c r="I2056" s="90">
        <v>0.64</v>
      </c>
      <c r="J2056" s="90" t="s">
        <v>244</v>
      </c>
      <c r="K2056" s="90">
        <v>0.18956702565012001</v>
      </c>
      <c r="L2056" s="90">
        <v>3716.95001769685</v>
      </c>
      <c r="M2056" s="90">
        <v>10.7270278505581</v>
      </c>
      <c r="N2056" s="90">
        <v>2.04233713088608</v>
      </c>
      <c r="O2056" s="90">
        <v>2.0334907636963502</v>
      </c>
      <c r="P2056" s="90">
        <v>0.38715977527688</v>
      </c>
      <c r="Q2056" s="90">
        <v>704.61115934497195</v>
      </c>
      <c r="R2056" s="90">
        <v>1300</v>
      </c>
      <c r="S2056" s="90" t="s">
        <v>387</v>
      </c>
      <c r="T2056" s="90">
        <v>1300</v>
      </c>
      <c r="U2056" s="90" t="s">
        <v>378</v>
      </c>
      <c r="V2056" s="90" t="s">
        <v>244</v>
      </c>
      <c r="Z2056" s="90">
        <v>0</v>
      </c>
      <c r="AA2056" s="90">
        <v>1</v>
      </c>
      <c r="AB2056" s="90">
        <v>2.0334907636963502</v>
      </c>
      <c r="AC2056" s="90">
        <v>0.38715977527688</v>
      </c>
      <c r="AD2056" s="90">
        <v>2213.0622810596801</v>
      </c>
      <c r="AF2056" s="90">
        <v>-1</v>
      </c>
      <c r="AG2056" s="90">
        <v>-1</v>
      </c>
      <c r="AH2056" s="90">
        <v>-1</v>
      </c>
      <c r="AI2056" s="90">
        <v>-1</v>
      </c>
      <c r="AJ2056" s="90">
        <v>0</v>
      </c>
      <c r="AM2056" s="90" t="s">
        <v>379</v>
      </c>
      <c r="AN2056" s="90">
        <v>-1</v>
      </c>
      <c r="AQ2056" s="90">
        <v>384</v>
      </c>
      <c r="AR2056" s="90" t="s">
        <v>299</v>
      </c>
      <c r="AS2056" s="90" t="s">
        <v>300</v>
      </c>
      <c r="AT2056" s="90" t="s">
        <v>244</v>
      </c>
      <c r="AU2056" s="90">
        <v>3.1595430000000002</v>
      </c>
      <c r="AV2056" s="90">
        <v>119.338783657194</v>
      </c>
      <c r="AW2056" s="90">
        <v>767.15053522747303</v>
      </c>
      <c r="AX2056" s="90">
        <v>1.7948599197999999</v>
      </c>
    </row>
    <row r="2057" spans="1:50" x14ac:dyDescent="0.25">
      <c r="A2057" s="102">
        <v>830000</v>
      </c>
      <c r="B2057" s="102">
        <v>2400000</v>
      </c>
      <c r="C2057" s="102">
        <v>2400000</v>
      </c>
      <c r="D2057" s="90" t="s">
        <v>374</v>
      </c>
      <c r="E2057" s="90" t="s">
        <v>68</v>
      </c>
      <c r="F2057" s="90" t="s">
        <v>375</v>
      </c>
      <c r="G2057" s="90" t="s">
        <v>376</v>
      </c>
      <c r="H2057" s="90">
        <v>0.59</v>
      </c>
      <c r="I2057" s="90">
        <v>0.64</v>
      </c>
      <c r="J2057" s="90" t="s">
        <v>244</v>
      </c>
      <c r="K2057" s="90">
        <v>3.7534791961320001E-2</v>
      </c>
      <c r="L2057" s="90">
        <v>3678.6124716397198</v>
      </c>
      <c r="M2057" s="90">
        <v>9.4568743075524804</v>
      </c>
      <c r="N2057" s="90">
        <v>1.3727246577533101</v>
      </c>
      <c r="O2057" s="90">
        <v>0.35496180973838998</v>
      </c>
      <c r="P2057" s="90">
        <v>5.1524934448949997E-2</v>
      </c>
      <c r="Q2057" s="90">
        <v>138.07595382933599</v>
      </c>
      <c r="R2057" s="90">
        <v>1400</v>
      </c>
      <c r="S2057" s="90" t="s">
        <v>324</v>
      </c>
      <c r="T2057" s="90">
        <v>1400</v>
      </c>
      <c r="U2057" s="90" t="s">
        <v>378</v>
      </c>
      <c r="V2057" s="90" t="s">
        <v>244</v>
      </c>
      <c r="Z2057" s="90">
        <v>0</v>
      </c>
      <c r="AA2057" s="90">
        <v>1</v>
      </c>
      <c r="AB2057" s="90">
        <v>0.35496180973838998</v>
      </c>
      <c r="AC2057" s="90">
        <v>5.1524934448949997E-2</v>
      </c>
      <c r="AD2057" s="90">
        <v>255.973034273043</v>
      </c>
      <c r="AF2057" s="90">
        <v>-1</v>
      </c>
      <c r="AG2057" s="90">
        <v>-1</v>
      </c>
      <c r="AH2057" s="90">
        <v>-1</v>
      </c>
      <c r="AI2057" s="90">
        <v>-1</v>
      </c>
      <c r="AJ2057" s="90">
        <v>0</v>
      </c>
      <c r="AM2057" s="90" t="s">
        <v>379</v>
      </c>
      <c r="AN2057" s="90">
        <v>-1</v>
      </c>
      <c r="AQ2057" s="90">
        <v>384</v>
      </c>
      <c r="AR2057" s="90" t="s">
        <v>299</v>
      </c>
      <c r="AS2057" s="90" t="s">
        <v>300</v>
      </c>
      <c r="AT2057" s="90" t="s">
        <v>244</v>
      </c>
      <c r="AU2057" s="90">
        <v>3.1595430000000002</v>
      </c>
      <c r="AV2057" s="90">
        <v>105.395083400678</v>
      </c>
      <c r="AW2057" s="90">
        <v>151.89791391213899</v>
      </c>
      <c r="AX2057" s="90">
        <v>0.2076018121</v>
      </c>
    </row>
    <row r="2058" spans="1:50" x14ac:dyDescent="0.25">
      <c r="A2058" s="102">
        <v>830000</v>
      </c>
      <c r="B2058" s="102">
        <v>2400000</v>
      </c>
      <c r="C2058" s="102">
        <v>2400000</v>
      </c>
      <c r="D2058" s="90" t="s">
        <v>374</v>
      </c>
      <c r="E2058" s="90" t="s">
        <v>68</v>
      </c>
      <c r="F2058" s="90" t="s">
        <v>375</v>
      </c>
      <c r="G2058" s="90" t="s">
        <v>376</v>
      </c>
      <c r="H2058" s="90">
        <v>0.59</v>
      </c>
      <c r="I2058" s="90">
        <v>0.64</v>
      </c>
      <c r="J2058" s="90" t="s">
        <v>244</v>
      </c>
      <c r="K2058" s="90">
        <v>2.2323082756120001E-2</v>
      </c>
      <c r="L2058" s="90">
        <v>3723.77006709128</v>
      </c>
      <c r="M2058" s="90">
        <v>10.5610853279089</v>
      </c>
      <c r="N2058" s="90">
        <v>1.94635099170262</v>
      </c>
      <c r="O2058" s="90">
        <v>0.23575598176943</v>
      </c>
      <c r="P2058" s="90">
        <v>4.3448554260239997E-2</v>
      </c>
      <c r="Q2058" s="90">
        <v>83.126027372467306</v>
      </c>
      <c r="R2058" s="90">
        <v>1400</v>
      </c>
      <c r="S2058" s="90" t="s">
        <v>324</v>
      </c>
      <c r="T2058" s="90">
        <v>1400</v>
      </c>
      <c r="U2058" s="90" t="s">
        <v>378</v>
      </c>
      <c r="V2058" s="90" t="s">
        <v>244</v>
      </c>
      <c r="Z2058" s="90">
        <v>0</v>
      </c>
      <c r="AA2058" s="90">
        <v>1</v>
      </c>
      <c r="AB2058" s="90">
        <v>0.23575598176943</v>
      </c>
      <c r="AC2058" s="90">
        <v>4.3448554260239997E-2</v>
      </c>
      <c r="AD2058" s="90">
        <v>207.77573048288301</v>
      </c>
      <c r="AF2058" s="90">
        <v>-1</v>
      </c>
      <c r="AG2058" s="90">
        <v>-1</v>
      </c>
      <c r="AH2058" s="90">
        <v>-1</v>
      </c>
      <c r="AI2058" s="90">
        <v>-1</v>
      </c>
      <c r="AJ2058" s="90">
        <v>0</v>
      </c>
      <c r="AM2058" s="90" t="s">
        <v>379</v>
      </c>
      <c r="AN2058" s="90">
        <v>-1</v>
      </c>
      <c r="AQ2058" s="90">
        <v>384</v>
      </c>
      <c r="AR2058" s="90" t="s">
        <v>299</v>
      </c>
      <c r="AS2058" s="90" t="s">
        <v>300</v>
      </c>
      <c r="AT2058" s="90" t="s">
        <v>244</v>
      </c>
      <c r="AU2058" s="90">
        <v>3.1595430000000002</v>
      </c>
      <c r="AV2058" s="90">
        <v>45.562420965274299</v>
      </c>
      <c r="AW2058" s="90">
        <v>90.338310819398004</v>
      </c>
      <c r="AX2058" s="90">
        <v>0.16851235240000001</v>
      </c>
    </row>
    <row r="2059" spans="1:50" x14ac:dyDescent="0.25">
      <c r="A2059" s="102">
        <v>830000</v>
      </c>
      <c r="B2059" s="102">
        <v>2400000</v>
      </c>
      <c r="C2059" s="102">
        <v>2400000</v>
      </c>
      <c r="D2059" s="90" t="s">
        <v>374</v>
      </c>
      <c r="E2059" s="90" t="s">
        <v>68</v>
      </c>
      <c r="F2059" s="90" t="s">
        <v>375</v>
      </c>
      <c r="G2059" s="90" t="s">
        <v>376</v>
      </c>
      <c r="H2059" s="90">
        <v>0.59</v>
      </c>
      <c r="I2059" s="90">
        <v>0.64</v>
      </c>
      <c r="J2059" s="90" t="s">
        <v>244</v>
      </c>
      <c r="K2059" s="90">
        <v>2.9144205963530002E-2</v>
      </c>
      <c r="L2059" s="90">
        <v>3723.77006709128</v>
      </c>
      <c r="M2059" s="90">
        <v>10.5610853279089</v>
      </c>
      <c r="N2059" s="90">
        <v>1.94635099170262</v>
      </c>
      <c r="O2059" s="90">
        <v>0.30779444599501998</v>
      </c>
      <c r="P2059" s="90">
        <v>5.6724854179500003E-2</v>
      </c>
      <c r="Q2059" s="90">
        <v>108.526321796147</v>
      </c>
      <c r="R2059" s="90">
        <v>1300</v>
      </c>
      <c r="S2059" s="90" t="s">
        <v>387</v>
      </c>
      <c r="T2059" s="90">
        <v>1300</v>
      </c>
      <c r="U2059" s="90" t="s">
        <v>378</v>
      </c>
      <c r="V2059" s="90" t="s">
        <v>244</v>
      </c>
      <c r="Z2059" s="90">
        <v>0</v>
      </c>
      <c r="AA2059" s="90">
        <v>1</v>
      </c>
      <c r="AB2059" s="90">
        <v>0.30779444599501998</v>
      </c>
      <c r="AC2059" s="90">
        <v>5.6724854179500003E-2</v>
      </c>
      <c r="AD2059" s="90">
        <v>1880.5118061420901</v>
      </c>
      <c r="AF2059" s="90">
        <v>-1</v>
      </c>
      <c r="AG2059" s="90">
        <v>-1</v>
      </c>
      <c r="AH2059" s="90">
        <v>-1</v>
      </c>
      <c r="AI2059" s="90">
        <v>-1</v>
      </c>
      <c r="AJ2059" s="90">
        <v>0</v>
      </c>
      <c r="AM2059" s="90" t="s">
        <v>379</v>
      </c>
      <c r="AN2059" s="90">
        <v>-1</v>
      </c>
      <c r="AQ2059" s="90">
        <v>384</v>
      </c>
      <c r="AR2059" s="90" t="s">
        <v>299</v>
      </c>
      <c r="AS2059" s="90" t="s">
        <v>300</v>
      </c>
      <c r="AT2059" s="90" t="s">
        <v>244</v>
      </c>
      <c r="AU2059" s="90">
        <v>3.1595430000000002</v>
      </c>
      <c r="AV2059" s="90">
        <v>47.871625679585797</v>
      </c>
      <c r="AW2059" s="90">
        <v>117.942417079273</v>
      </c>
      <c r="AX2059" s="90">
        <v>1.5251515054</v>
      </c>
    </row>
    <row r="2060" spans="1:50" x14ac:dyDescent="0.25">
      <c r="A2060" s="102">
        <v>830000</v>
      </c>
      <c r="B2060" s="102">
        <v>2400000</v>
      </c>
      <c r="C2060" s="102">
        <v>2400000</v>
      </c>
      <c r="D2060" s="90" t="s">
        <v>374</v>
      </c>
      <c r="E2060" s="90" t="s">
        <v>68</v>
      </c>
      <c r="F2060" s="90" t="s">
        <v>375</v>
      </c>
      <c r="G2060" s="90" t="s">
        <v>376</v>
      </c>
      <c r="H2060" s="90">
        <v>0.59</v>
      </c>
      <c r="I2060" s="90">
        <v>0.64</v>
      </c>
      <c r="J2060" s="90" t="s">
        <v>244</v>
      </c>
      <c r="K2060" s="90">
        <v>0.19775769463303999</v>
      </c>
      <c r="L2060" s="90">
        <v>3809.54365992574</v>
      </c>
      <c r="M2060" s="90">
        <v>9.72479848294366</v>
      </c>
      <c r="N2060" s="90">
        <v>1.41041245697254</v>
      </c>
      <c r="O2060" s="90">
        <v>1.9231537287578599</v>
      </c>
      <c r="P2060" s="90">
        <v>0.27891991597261001</v>
      </c>
      <c r="Q2060" s="90">
        <v>753.36657179084398</v>
      </c>
      <c r="R2060" s="90">
        <v>1400</v>
      </c>
      <c r="S2060" s="90" t="s">
        <v>324</v>
      </c>
      <c r="T2060" s="90">
        <v>1400</v>
      </c>
      <c r="U2060" s="90" t="s">
        <v>378</v>
      </c>
      <c r="V2060" s="90" t="s">
        <v>244</v>
      </c>
      <c r="Z2060" s="90">
        <v>0</v>
      </c>
      <c r="AA2060" s="90">
        <v>1</v>
      </c>
      <c r="AB2060" s="90">
        <v>1.9231537287578599</v>
      </c>
      <c r="AC2060" s="90">
        <v>0.27891991597261001</v>
      </c>
      <c r="AD2060" s="90">
        <v>1675.64397517215</v>
      </c>
      <c r="AF2060" s="90">
        <v>-1</v>
      </c>
      <c r="AG2060" s="90">
        <v>-1</v>
      </c>
      <c r="AH2060" s="90">
        <v>-1</v>
      </c>
      <c r="AI2060" s="90">
        <v>-1</v>
      </c>
      <c r="AJ2060" s="90">
        <v>0</v>
      </c>
      <c r="AM2060" s="90" t="s">
        <v>379</v>
      </c>
      <c r="AN2060" s="90">
        <v>-1</v>
      </c>
      <c r="AQ2060" s="90">
        <v>384</v>
      </c>
      <c r="AR2060" s="90" t="s">
        <v>299</v>
      </c>
      <c r="AS2060" s="90" t="s">
        <v>300</v>
      </c>
      <c r="AT2060" s="90" t="s">
        <v>244</v>
      </c>
      <c r="AU2060" s="90">
        <v>3.1595430000000002</v>
      </c>
      <c r="AV2060" s="90">
        <v>141.658752909979</v>
      </c>
      <c r="AW2060" s="90">
        <v>800.29699660475296</v>
      </c>
      <c r="AX2060" s="90">
        <v>1.3589975468</v>
      </c>
    </row>
    <row r="2061" spans="1:50" x14ac:dyDescent="0.25">
      <c r="A2061" s="102">
        <v>830000</v>
      </c>
      <c r="B2061" s="102">
        <v>2400000</v>
      </c>
      <c r="C2061" s="102">
        <v>2400000</v>
      </c>
      <c r="D2061" s="90" t="s">
        <v>374</v>
      </c>
      <c r="E2061" s="90" t="s">
        <v>68</v>
      </c>
      <c r="F2061" s="90" t="s">
        <v>375</v>
      </c>
      <c r="G2061" s="90" t="s">
        <v>376</v>
      </c>
      <c r="H2061" s="90">
        <v>0.59</v>
      </c>
      <c r="I2061" s="90">
        <v>0.64</v>
      </c>
      <c r="J2061" s="90" t="s">
        <v>244</v>
      </c>
      <c r="K2061" s="90">
        <v>5.0718602054089998E-2</v>
      </c>
      <c r="L2061" s="90">
        <v>3809.54365992574</v>
      </c>
      <c r="M2061" s="90">
        <v>9.72479848294366</v>
      </c>
      <c r="N2061" s="90">
        <v>1.41041245697254</v>
      </c>
      <c r="O2061" s="90">
        <v>0.49322818431269</v>
      </c>
      <c r="P2061" s="90">
        <v>7.153414813733E-2</v>
      </c>
      <c r="Q2061" s="90">
        <v>193.214728895478</v>
      </c>
      <c r="R2061" s="90">
        <v>1300</v>
      </c>
      <c r="S2061" s="90" t="s">
        <v>387</v>
      </c>
      <c r="T2061" s="90">
        <v>1300</v>
      </c>
      <c r="U2061" s="90" t="s">
        <v>378</v>
      </c>
      <c r="V2061" s="90" t="s">
        <v>244</v>
      </c>
      <c r="Z2061" s="90">
        <v>0</v>
      </c>
      <c r="AA2061" s="90">
        <v>1</v>
      </c>
      <c r="AB2061" s="90">
        <v>0.49322818431269</v>
      </c>
      <c r="AC2061" s="90">
        <v>7.153414813733E-2</v>
      </c>
      <c r="AD2061" s="90">
        <v>386.10174969521103</v>
      </c>
      <c r="AF2061" s="90">
        <v>-1</v>
      </c>
      <c r="AG2061" s="90">
        <v>-1</v>
      </c>
      <c r="AH2061" s="90">
        <v>-1</v>
      </c>
      <c r="AI2061" s="90">
        <v>-1</v>
      </c>
      <c r="AJ2061" s="90">
        <v>0</v>
      </c>
      <c r="AM2061" s="90" t="s">
        <v>379</v>
      </c>
      <c r="AN2061" s="90">
        <v>-1</v>
      </c>
      <c r="AQ2061" s="90">
        <v>384</v>
      </c>
      <c r="AR2061" s="90" t="s">
        <v>299</v>
      </c>
      <c r="AS2061" s="90" t="s">
        <v>300</v>
      </c>
      <c r="AT2061" s="90" t="s">
        <v>244</v>
      </c>
      <c r="AU2061" s="90">
        <v>3.1595430000000002</v>
      </c>
      <c r="AV2061" s="90">
        <v>59.992067388719299</v>
      </c>
      <c r="AW2061" s="90">
        <v>205.25090045776599</v>
      </c>
      <c r="AX2061" s="90">
        <v>0.31314010520000002</v>
      </c>
    </row>
    <row r="2062" spans="1:50" x14ac:dyDescent="0.25">
      <c r="A2062" s="102">
        <v>830000</v>
      </c>
      <c r="B2062" s="102">
        <v>2400000</v>
      </c>
      <c r="C2062" s="102">
        <v>2400000</v>
      </c>
      <c r="D2062" s="90" t="s">
        <v>374</v>
      </c>
      <c r="E2062" s="90" t="s">
        <v>68</v>
      </c>
      <c r="F2062" s="90" t="s">
        <v>375</v>
      </c>
      <c r="G2062" s="90" t="s">
        <v>376</v>
      </c>
      <c r="H2062" s="90">
        <v>0.59</v>
      </c>
      <c r="I2062" s="90">
        <v>0.64</v>
      </c>
      <c r="J2062" s="90" t="s">
        <v>244</v>
      </c>
      <c r="K2062" s="90">
        <v>1.1118799705930001E-2</v>
      </c>
      <c r="L2062" s="90">
        <v>3809.54365992574</v>
      </c>
      <c r="M2062" s="90">
        <v>9.72479848294366</v>
      </c>
      <c r="N2062" s="90">
        <v>1.41041245697254</v>
      </c>
      <c r="O2062" s="90">
        <v>0.10812808651247</v>
      </c>
      <c r="P2062" s="90">
        <v>1.5682093611830001E-2</v>
      </c>
      <c r="Q2062" s="90">
        <v>42.357552925744102</v>
      </c>
      <c r="R2062" s="90">
        <v>1410</v>
      </c>
      <c r="S2062" s="90" t="s">
        <v>325</v>
      </c>
      <c r="T2062" s="90">
        <v>1410</v>
      </c>
      <c r="U2062" s="90" t="s">
        <v>378</v>
      </c>
      <c r="V2062" s="90" t="s">
        <v>244</v>
      </c>
      <c r="Z2062" s="90">
        <v>0</v>
      </c>
      <c r="AA2062" s="90">
        <v>1</v>
      </c>
      <c r="AB2062" s="90">
        <v>0.10812808651247</v>
      </c>
      <c r="AC2062" s="90">
        <v>1.5682093611830001E-2</v>
      </c>
      <c r="AD2062" s="90">
        <v>286.24793418922798</v>
      </c>
      <c r="AF2062" s="90">
        <v>-1</v>
      </c>
      <c r="AG2062" s="90">
        <v>-1</v>
      </c>
      <c r="AH2062" s="90">
        <v>-1</v>
      </c>
      <c r="AI2062" s="90">
        <v>-1</v>
      </c>
      <c r="AJ2062" s="90">
        <v>0</v>
      </c>
      <c r="AM2062" s="90" t="s">
        <v>379</v>
      </c>
      <c r="AN2062" s="90">
        <v>-1</v>
      </c>
      <c r="AQ2062" s="90">
        <v>384</v>
      </c>
      <c r="AR2062" s="90" t="s">
        <v>299</v>
      </c>
      <c r="AS2062" s="90" t="s">
        <v>300</v>
      </c>
      <c r="AT2062" s="90" t="s">
        <v>244</v>
      </c>
      <c r="AU2062" s="90">
        <v>3.1595430000000002</v>
      </c>
      <c r="AV2062" s="90">
        <v>27.283793605622598</v>
      </c>
      <c r="AW2062" s="90">
        <v>44.996185999358701</v>
      </c>
      <c r="AX2062" s="90">
        <v>0.23215566439999999</v>
      </c>
    </row>
    <row r="2063" spans="1:50" x14ac:dyDescent="0.25">
      <c r="A2063" s="102">
        <v>830000</v>
      </c>
      <c r="B2063" s="102">
        <v>2400000</v>
      </c>
      <c r="C2063" s="102">
        <v>2400000</v>
      </c>
      <c r="D2063" s="90" t="s">
        <v>374</v>
      </c>
      <c r="E2063" s="90" t="s">
        <v>68</v>
      </c>
      <c r="F2063" s="90" t="s">
        <v>375</v>
      </c>
      <c r="G2063" s="90" t="s">
        <v>376</v>
      </c>
      <c r="H2063" s="90">
        <v>0.59</v>
      </c>
      <c r="I2063" s="90">
        <v>0.64</v>
      </c>
      <c r="J2063" s="90" t="s">
        <v>244</v>
      </c>
      <c r="K2063" s="90">
        <v>0.13419930964169999</v>
      </c>
      <c r="L2063" s="90">
        <v>3726.0521091268702</v>
      </c>
      <c r="M2063" s="90">
        <v>10.4691651002166</v>
      </c>
      <c r="N2063" s="90">
        <v>1.8409298235926601</v>
      </c>
      <c r="O2063" s="90">
        <v>1.40495472897409</v>
      </c>
      <c r="P2063" s="90">
        <v>0.24705151142496001</v>
      </c>
      <c r="Q2063" s="90">
        <v>500.03362073384199</v>
      </c>
      <c r="R2063" s="90">
        <v>1400</v>
      </c>
      <c r="S2063" s="90" t="s">
        <v>324</v>
      </c>
      <c r="T2063" s="90">
        <v>1400</v>
      </c>
      <c r="U2063" s="90" t="s">
        <v>378</v>
      </c>
      <c r="V2063" s="90" t="s">
        <v>244</v>
      </c>
      <c r="Z2063" s="90">
        <v>0</v>
      </c>
      <c r="AA2063" s="90">
        <v>1</v>
      </c>
      <c r="AB2063" s="90">
        <v>1.40495472897409</v>
      </c>
      <c r="AC2063" s="90">
        <v>0.24705151142496001</v>
      </c>
      <c r="AD2063" s="90">
        <v>500.03362073384199</v>
      </c>
      <c r="AF2063" s="90">
        <v>-1</v>
      </c>
      <c r="AG2063" s="90">
        <v>-1</v>
      </c>
      <c r="AH2063" s="90">
        <v>-1</v>
      </c>
      <c r="AI2063" s="90">
        <v>-1</v>
      </c>
      <c r="AJ2063" s="90">
        <v>0</v>
      </c>
      <c r="AM2063" s="90" t="s">
        <v>379</v>
      </c>
      <c r="AN2063" s="90">
        <v>-1</v>
      </c>
      <c r="AQ2063" s="90">
        <v>384</v>
      </c>
      <c r="AR2063" s="90" t="s">
        <v>299</v>
      </c>
      <c r="AS2063" s="90" t="s">
        <v>300</v>
      </c>
      <c r="AT2063" s="90" t="s">
        <v>244</v>
      </c>
      <c r="AU2063" s="90">
        <v>3.1595430000000002</v>
      </c>
      <c r="AV2063" s="90">
        <v>122.06813960887899</v>
      </c>
      <c r="AW2063" s="90">
        <v>543.08533810517702</v>
      </c>
      <c r="AX2063" s="90">
        <v>0.4055422715</v>
      </c>
    </row>
    <row r="2064" spans="1:50" x14ac:dyDescent="0.25">
      <c r="A2064" s="102">
        <v>830000</v>
      </c>
      <c r="B2064" s="102">
        <v>2400000</v>
      </c>
      <c r="C2064" s="102">
        <v>2400000</v>
      </c>
      <c r="D2064" s="90" t="s">
        <v>374</v>
      </c>
      <c r="E2064" s="90" t="s">
        <v>68</v>
      </c>
      <c r="F2064" s="90" t="s">
        <v>375</v>
      </c>
      <c r="G2064" s="90" t="s">
        <v>376</v>
      </c>
      <c r="H2064" s="90">
        <v>0.59</v>
      </c>
      <c r="I2064" s="90">
        <v>0.64</v>
      </c>
      <c r="J2064" s="90" t="s">
        <v>389</v>
      </c>
      <c r="K2064" s="90">
        <v>3.9594021561000002E-4</v>
      </c>
      <c r="L2064" s="90">
        <v>3726.0521091268702</v>
      </c>
      <c r="M2064" s="90">
        <v>10.4691651002166</v>
      </c>
      <c r="N2064" s="90">
        <v>1.8409298235926601</v>
      </c>
      <c r="O2064" s="90">
        <v>4.14516348703E-3</v>
      </c>
      <c r="P2064" s="90">
        <v>7.2889815126999996E-4</v>
      </c>
      <c r="Q2064" s="90">
        <v>1.4752938754617899</v>
      </c>
      <c r="R2064" s="90">
        <v>3100</v>
      </c>
      <c r="S2064" s="90" t="s">
        <v>416</v>
      </c>
      <c r="T2064" s="90">
        <v>3100</v>
      </c>
      <c r="U2064" s="90" t="s">
        <v>378</v>
      </c>
      <c r="V2064" s="90" t="s">
        <v>244</v>
      </c>
      <c r="Y2064" s="90" t="s">
        <v>389</v>
      </c>
      <c r="Z2064" s="90">
        <v>0</v>
      </c>
      <c r="AA2064" s="90">
        <v>1</v>
      </c>
      <c r="AB2064" s="90">
        <v>4.14516348703E-3</v>
      </c>
      <c r="AC2064" s="90">
        <v>7.2889815126999996E-4</v>
      </c>
      <c r="AD2064" s="90">
        <v>1.4752938754632801</v>
      </c>
      <c r="AF2064" s="90">
        <v>-1</v>
      </c>
      <c r="AG2064" s="90">
        <v>-1</v>
      </c>
      <c r="AH2064" s="90">
        <v>-1</v>
      </c>
      <c r="AI2064" s="90">
        <v>-1</v>
      </c>
      <c r="AJ2064" s="90">
        <v>0</v>
      </c>
      <c r="AM2064" s="90" t="s">
        <v>379</v>
      </c>
      <c r="AN2064" s="90">
        <v>-1</v>
      </c>
      <c r="AQ2064" s="90">
        <v>384</v>
      </c>
      <c r="AR2064" s="90" t="s">
        <v>299</v>
      </c>
      <c r="AS2064" s="90" t="s">
        <v>300</v>
      </c>
      <c r="AT2064" s="90" t="s">
        <v>244</v>
      </c>
      <c r="AU2064" s="90">
        <v>3.1595430000000002</v>
      </c>
      <c r="AV2064" s="90">
        <v>23.319450019699801</v>
      </c>
      <c r="AW2064" s="90">
        <v>1.60231320442939</v>
      </c>
      <c r="AX2064" s="90">
        <v>1.1965076000000001E-3</v>
      </c>
    </row>
    <row r="2065" spans="1:50" x14ac:dyDescent="0.25">
      <c r="A2065" s="102">
        <v>830000</v>
      </c>
      <c r="B2065" s="102">
        <v>2400000</v>
      </c>
      <c r="C2065" s="102">
        <v>2400000</v>
      </c>
      <c r="D2065" s="90" t="s">
        <v>374</v>
      </c>
      <c r="E2065" s="90" t="s">
        <v>68</v>
      </c>
      <c r="F2065" s="90" t="s">
        <v>375</v>
      </c>
      <c r="G2065" s="90" t="s">
        <v>376</v>
      </c>
      <c r="H2065" s="90">
        <v>0.59</v>
      </c>
      <c r="I2065" s="90">
        <v>0.64</v>
      </c>
      <c r="J2065" s="90" t="s">
        <v>244</v>
      </c>
      <c r="K2065" s="90">
        <v>2.4984461951279999E-2</v>
      </c>
      <c r="L2065" s="90">
        <v>3726.0521091268702</v>
      </c>
      <c r="M2065" s="90">
        <v>10.4691651002166</v>
      </c>
      <c r="N2065" s="90">
        <v>1.8409298235926601</v>
      </c>
      <c r="O2065" s="90">
        <v>0.26156645710809001</v>
      </c>
      <c r="P2065" s="90">
        <v>4.5994641132529997E-2</v>
      </c>
      <c r="Q2065" s="90">
        <v>93.0934071489894</v>
      </c>
      <c r="R2065" s="90">
        <v>1300</v>
      </c>
      <c r="S2065" s="90" t="s">
        <v>387</v>
      </c>
      <c r="T2065" s="90">
        <v>1300</v>
      </c>
      <c r="U2065" s="90" t="s">
        <v>378</v>
      </c>
      <c r="V2065" s="90" t="s">
        <v>244</v>
      </c>
      <c r="Z2065" s="90">
        <v>0</v>
      </c>
      <c r="AA2065" s="90">
        <v>1</v>
      </c>
      <c r="AB2065" s="90">
        <v>0.26156645710809001</v>
      </c>
      <c r="AC2065" s="90">
        <v>4.5994641132529997E-2</v>
      </c>
      <c r="AD2065" s="90">
        <v>295.86218632987999</v>
      </c>
      <c r="AF2065" s="90">
        <v>-1</v>
      </c>
      <c r="AG2065" s="90">
        <v>-1</v>
      </c>
      <c r="AH2065" s="90">
        <v>-1</v>
      </c>
      <c r="AI2065" s="90">
        <v>-1</v>
      </c>
      <c r="AJ2065" s="90">
        <v>0</v>
      </c>
      <c r="AM2065" s="90" t="s">
        <v>379</v>
      </c>
      <c r="AN2065" s="90">
        <v>-1</v>
      </c>
      <c r="AQ2065" s="90">
        <v>384</v>
      </c>
      <c r="AR2065" s="90" t="s">
        <v>299</v>
      </c>
      <c r="AS2065" s="90" t="s">
        <v>300</v>
      </c>
      <c r="AT2065" s="90" t="s">
        <v>244</v>
      </c>
      <c r="AU2065" s="90">
        <v>3.1595430000000002</v>
      </c>
      <c r="AV2065" s="90">
        <v>49.977817676364303</v>
      </c>
      <c r="AW2065" s="90">
        <v>101.10853030777101</v>
      </c>
      <c r="AX2065" s="90">
        <v>0.2399531114</v>
      </c>
    </row>
    <row r="2066" spans="1:50" x14ac:dyDescent="0.25">
      <c r="A2066" s="102">
        <v>830000</v>
      </c>
      <c r="B2066" s="102">
        <v>2400000</v>
      </c>
      <c r="C2066" s="102">
        <v>2400000</v>
      </c>
      <c r="D2066" s="90" t="s">
        <v>374</v>
      </c>
      <c r="E2066" s="90" t="s">
        <v>68</v>
      </c>
      <c r="F2066" s="90" t="s">
        <v>375</v>
      </c>
      <c r="G2066" s="90" t="s">
        <v>376</v>
      </c>
      <c r="H2066" s="90">
        <v>0.59</v>
      </c>
      <c r="I2066" s="90">
        <v>0.64</v>
      </c>
      <c r="J2066" s="90" t="s">
        <v>244</v>
      </c>
      <c r="K2066" s="90">
        <v>0.18226547009019001</v>
      </c>
      <c r="L2066" s="90">
        <v>3726.0521091268702</v>
      </c>
      <c r="M2066" s="90">
        <v>10.4691651002166</v>
      </c>
      <c r="N2066" s="90">
        <v>1.8409298235926601</v>
      </c>
      <c r="O2066" s="90">
        <v>1.9081672984428</v>
      </c>
      <c r="P2066" s="90">
        <v>0.33553793970015999</v>
      </c>
      <c r="Q2066" s="90">
        <v>679.13063925055405</v>
      </c>
      <c r="R2066" s="90">
        <v>1300</v>
      </c>
      <c r="S2066" s="90" t="s">
        <v>387</v>
      </c>
      <c r="T2066" s="90">
        <v>1300</v>
      </c>
      <c r="U2066" s="90" t="s">
        <v>378</v>
      </c>
      <c r="V2066" s="90" t="s">
        <v>244</v>
      </c>
      <c r="Z2066" s="90">
        <v>0</v>
      </c>
      <c r="AA2066" s="90">
        <v>1</v>
      </c>
      <c r="AB2066" s="90">
        <v>1.9081672984428</v>
      </c>
      <c r="AC2066" s="90">
        <v>0.33553793970015999</v>
      </c>
      <c r="AD2066" s="90">
        <v>779.953986317606</v>
      </c>
      <c r="AF2066" s="90">
        <v>-1</v>
      </c>
      <c r="AG2066" s="90">
        <v>-1</v>
      </c>
      <c r="AH2066" s="90">
        <v>-1</v>
      </c>
      <c r="AI2066" s="90">
        <v>-1</v>
      </c>
      <c r="AJ2066" s="90">
        <v>0</v>
      </c>
      <c r="AM2066" s="90" t="s">
        <v>379</v>
      </c>
      <c r="AN2066" s="90">
        <v>-1</v>
      </c>
      <c r="AQ2066" s="90">
        <v>384</v>
      </c>
      <c r="AR2066" s="90" t="s">
        <v>299</v>
      </c>
      <c r="AS2066" s="90" t="s">
        <v>300</v>
      </c>
      <c r="AT2066" s="90" t="s">
        <v>244</v>
      </c>
      <c r="AU2066" s="90">
        <v>3.1595430000000002</v>
      </c>
      <c r="AV2066" s="90">
        <v>116.208789084277</v>
      </c>
      <c r="AW2066" s="90">
        <v>737.60218821624198</v>
      </c>
      <c r="AX2066" s="90">
        <v>0.63256608780000001</v>
      </c>
    </row>
    <row r="2067" spans="1:50" x14ac:dyDescent="0.25">
      <c r="A2067" s="102">
        <v>830000</v>
      </c>
      <c r="B2067" s="102">
        <v>2400000</v>
      </c>
      <c r="C2067" s="102">
        <v>2400000</v>
      </c>
      <c r="D2067" s="90" t="s">
        <v>374</v>
      </c>
      <c r="E2067" s="90" t="s">
        <v>68</v>
      </c>
      <c r="F2067" s="90" t="s">
        <v>375</v>
      </c>
      <c r="G2067" s="90" t="s">
        <v>376</v>
      </c>
      <c r="H2067" s="90">
        <v>0.59</v>
      </c>
      <c r="I2067" s="90">
        <v>0.64</v>
      </c>
      <c r="J2067" s="90" t="s">
        <v>244</v>
      </c>
      <c r="K2067" s="90">
        <v>0.13151318540494</v>
      </c>
      <c r="L2067" s="90">
        <v>3726.0521091268702</v>
      </c>
      <c r="M2067" s="90">
        <v>10.4691651002166</v>
      </c>
      <c r="N2067" s="90">
        <v>1.8409298235926601</v>
      </c>
      <c r="O2067" s="90">
        <v>1.3768332508597201</v>
      </c>
      <c r="P2067" s="90">
        <v>0.24210654520762001</v>
      </c>
      <c r="Q2067" s="90">
        <v>490.02498185606999</v>
      </c>
      <c r="R2067" s="90">
        <v>1300</v>
      </c>
      <c r="S2067" s="90" t="s">
        <v>387</v>
      </c>
      <c r="T2067" s="90">
        <v>1300</v>
      </c>
      <c r="U2067" s="90" t="s">
        <v>378</v>
      </c>
      <c r="V2067" s="90" t="s">
        <v>244</v>
      </c>
      <c r="Z2067" s="90">
        <v>0</v>
      </c>
      <c r="AA2067" s="90">
        <v>1</v>
      </c>
      <c r="AB2067" s="90">
        <v>1.3768332508597201</v>
      </c>
      <c r="AC2067" s="90">
        <v>0.24210654520762001</v>
      </c>
      <c r="AD2067" s="90">
        <v>723.78702555227301</v>
      </c>
      <c r="AF2067" s="90">
        <v>-1</v>
      </c>
      <c r="AG2067" s="90">
        <v>-1</v>
      </c>
      <c r="AH2067" s="90">
        <v>-1</v>
      </c>
      <c r="AI2067" s="90">
        <v>-1</v>
      </c>
      <c r="AJ2067" s="90">
        <v>0</v>
      </c>
      <c r="AM2067" s="90" t="s">
        <v>379</v>
      </c>
      <c r="AN2067" s="90">
        <v>-1</v>
      </c>
      <c r="AQ2067" s="90">
        <v>384</v>
      </c>
      <c r="AR2067" s="90" t="s">
        <v>299</v>
      </c>
      <c r="AS2067" s="90" t="s">
        <v>300</v>
      </c>
      <c r="AT2067" s="90" t="s">
        <v>244</v>
      </c>
      <c r="AU2067" s="90">
        <v>3.1595430000000002</v>
      </c>
      <c r="AV2067" s="90">
        <v>92.446067691147704</v>
      </c>
      <c r="AW2067" s="90">
        <v>532.21497898626501</v>
      </c>
      <c r="AX2067" s="90">
        <v>0.5870129972</v>
      </c>
    </row>
    <row r="2068" spans="1:50" x14ac:dyDescent="0.25">
      <c r="A2068" s="102">
        <v>830000</v>
      </c>
      <c r="B2068" s="102">
        <v>2400000</v>
      </c>
      <c r="C2068" s="102">
        <v>2400000</v>
      </c>
      <c r="D2068" s="90" t="s">
        <v>374</v>
      </c>
      <c r="E2068" s="90" t="s">
        <v>68</v>
      </c>
      <c r="F2068" s="90" t="s">
        <v>375</v>
      </c>
      <c r="G2068" s="90" t="s">
        <v>376</v>
      </c>
      <c r="H2068" s="90">
        <v>0.59</v>
      </c>
      <c r="I2068" s="90">
        <v>0.64</v>
      </c>
      <c r="J2068" s="90" t="s">
        <v>244</v>
      </c>
      <c r="K2068" s="90">
        <v>1.4038651445099999E-3</v>
      </c>
      <c r="L2068" s="90">
        <v>3613.21810978137</v>
      </c>
      <c r="M2068" s="90">
        <v>8.8455341181885494</v>
      </c>
      <c r="N2068" s="90">
        <v>1.2927688336509899</v>
      </c>
      <c r="O2068" s="90">
        <v>1.2417937033129999E-2</v>
      </c>
      <c r="P2068" s="90">
        <v>1.81487310547E-3</v>
      </c>
      <c r="Q2068" s="90">
        <v>5.0724709638488203</v>
      </c>
      <c r="R2068" s="90">
        <v>1400</v>
      </c>
      <c r="S2068" s="90" t="s">
        <v>324</v>
      </c>
      <c r="T2068" s="90">
        <v>1400</v>
      </c>
      <c r="U2068" s="90" t="s">
        <v>378</v>
      </c>
      <c r="V2068" s="90" t="s">
        <v>244</v>
      </c>
      <c r="Z2068" s="90">
        <v>0</v>
      </c>
      <c r="AA2068" s="90">
        <v>1</v>
      </c>
      <c r="AB2068" s="90">
        <v>1.2417937033129999E-2</v>
      </c>
      <c r="AC2068" s="90">
        <v>1.81487310547E-3</v>
      </c>
      <c r="AD2068" s="90">
        <v>10.258360122157001</v>
      </c>
      <c r="AF2068" s="90">
        <v>-1</v>
      </c>
      <c r="AG2068" s="90">
        <v>-1</v>
      </c>
      <c r="AH2068" s="90">
        <v>-1</v>
      </c>
      <c r="AI2068" s="90">
        <v>-1</v>
      </c>
      <c r="AJ2068" s="90">
        <v>0</v>
      </c>
      <c r="AM2068" s="90" t="s">
        <v>379</v>
      </c>
      <c r="AN2068" s="90">
        <v>-1</v>
      </c>
      <c r="AQ2068" s="90">
        <v>384</v>
      </c>
      <c r="AR2068" s="90" t="s">
        <v>299</v>
      </c>
      <c r="AS2068" s="90" t="s">
        <v>300</v>
      </c>
      <c r="AT2068" s="90" t="s">
        <v>244</v>
      </c>
      <c r="AU2068" s="90">
        <v>3.1595430000000002</v>
      </c>
      <c r="AV2068" s="90">
        <v>9.5822909853397</v>
      </c>
      <c r="AW2068" s="90">
        <v>5.6812406762608996</v>
      </c>
      <c r="AX2068" s="90">
        <v>8.3198378999999999E-3</v>
      </c>
    </row>
    <row r="2069" spans="1:50" x14ac:dyDescent="0.25">
      <c r="A2069" s="102">
        <v>830000</v>
      </c>
      <c r="B2069" s="102">
        <v>2400000</v>
      </c>
      <c r="C2069" s="102">
        <v>2400000</v>
      </c>
      <c r="D2069" s="90" t="s">
        <v>374</v>
      </c>
      <c r="E2069" s="90" t="s">
        <v>68</v>
      </c>
      <c r="F2069" s="90" t="s">
        <v>375</v>
      </c>
      <c r="G2069" s="90" t="s">
        <v>376</v>
      </c>
      <c r="H2069" s="90">
        <v>0.59</v>
      </c>
      <c r="I2069" s="90">
        <v>0.64</v>
      </c>
      <c r="J2069" s="90" t="s">
        <v>389</v>
      </c>
      <c r="K2069" s="90">
        <v>1.5176586271760001E-2</v>
      </c>
      <c r="L2069" s="90">
        <v>3613.21810978137</v>
      </c>
      <c r="M2069" s="90">
        <v>8.8455341181885494</v>
      </c>
      <c r="N2069" s="90">
        <v>1.2927688336509899</v>
      </c>
      <c r="O2069" s="90">
        <v>0.13424501166455999</v>
      </c>
      <c r="P2069" s="90">
        <v>1.961981773335E-2</v>
      </c>
      <c r="Q2069" s="90">
        <v>54.836316361815101</v>
      </c>
      <c r="R2069" s="90">
        <v>3100</v>
      </c>
      <c r="S2069" s="90" t="s">
        <v>416</v>
      </c>
      <c r="T2069" s="90">
        <v>3100</v>
      </c>
      <c r="U2069" s="90" t="s">
        <v>378</v>
      </c>
      <c r="V2069" s="90" t="s">
        <v>244</v>
      </c>
      <c r="Y2069" s="90" t="s">
        <v>389</v>
      </c>
      <c r="Z2069" s="90">
        <v>0</v>
      </c>
      <c r="AA2069" s="90">
        <v>1</v>
      </c>
      <c r="AB2069" s="90">
        <v>0.13424501166455999</v>
      </c>
      <c r="AC2069" s="90">
        <v>1.961981773335E-2</v>
      </c>
      <c r="AD2069" s="90">
        <v>239.96953088777599</v>
      </c>
      <c r="AF2069" s="90">
        <v>-1</v>
      </c>
      <c r="AG2069" s="90">
        <v>-1</v>
      </c>
      <c r="AH2069" s="90">
        <v>-1</v>
      </c>
      <c r="AI2069" s="90">
        <v>-1</v>
      </c>
      <c r="AJ2069" s="90">
        <v>0</v>
      </c>
      <c r="AM2069" s="90" t="s">
        <v>379</v>
      </c>
      <c r="AN2069" s="90">
        <v>-1</v>
      </c>
      <c r="AQ2069" s="90">
        <v>384</v>
      </c>
      <c r="AR2069" s="90" t="s">
        <v>299</v>
      </c>
      <c r="AS2069" s="90" t="s">
        <v>300</v>
      </c>
      <c r="AT2069" s="90" t="s">
        <v>244</v>
      </c>
      <c r="AU2069" s="90">
        <v>3.1595430000000002</v>
      </c>
      <c r="AV2069" s="90">
        <v>67.907035099950903</v>
      </c>
      <c r="AW2069" s="90">
        <v>61.417465624014902</v>
      </c>
      <c r="AX2069" s="90">
        <v>0.1946224906</v>
      </c>
    </row>
    <row r="2070" spans="1:50" x14ac:dyDescent="0.25">
      <c r="A2070" s="102">
        <v>830000</v>
      </c>
      <c r="B2070" s="102">
        <v>1400000</v>
      </c>
      <c r="C2070" s="102">
        <v>1400000</v>
      </c>
      <c r="D2070" s="90" t="s">
        <v>374</v>
      </c>
      <c r="E2070" s="90" t="s">
        <v>68</v>
      </c>
      <c r="F2070" s="90" t="s">
        <v>375</v>
      </c>
      <c r="G2070" s="90" t="s">
        <v>376</v>
      </c>
      <c r="H2070" s="90">
        <v>0.59</v>
      </c>
      <c r="I2070" s="90">
        <v>0.64</v>
      </c>
      <c r="J2070" s="90" t="s">
        <v>244</v>
      </c>
      <c r="K2070" s="90">
        <v>9.9892676005380002E-2</v>
      </c>
      <c r="L2070" s="90">
        <v>3738.0522189773901</v>
      </c>
      <c r="M2070" s="90">
        <v>10.031727283422301</v>
      </c>
      <c r="N2070" s="90">
        <v>1.7737854510925599</v>
      </c>
      <c r="O2070" s="90">
        <v>1.0020960832972401</v>
      </c>
      <c r="P2070" s="90">
        <v>0.17718817536904</v>
      </c>
      <c r="Q2070" s="90">
        <v>373.404039201503</v>
      </c>
      <c r="R2070" s="90">
        <v>1750</v>
      </c>
      <c r="S2070" s="90" t="s">
        <v>377</v>
      </c>
      <c r="T2070" s="90">
        <v>1750</v>
      </c>
      <c r="U2070" s="90" t="s">
        <v>378</v>
      </c>
      <c r="V2070" s="90" t="s">
        <v>244</v>
      </c>
      <c r="Z2070" s="90">
        <v>0</v>
      </c>
      <c r="AA2070" s="90">
        <v>1</v>
      </c>
      <c r="AB2070" s="90">
        <v>1.0020960832972401</v>
      </c>
      <c r="AC2070" s="90">
        <v>0.17718817536904</v>
      </c>
      <c r="AD2070" s="90">
        <v>373.404039201503</v>
      </c>
      <c r="AF2070" s="90">
        <v>-1</v>
      </c>
      <c r="AG2070" s="90">
        <v>-1</v>
      </c>
      <c r="AH2070" s="90">
        <v>-1</v>
      </c>
      <c r="AI2070" s="90">
        <v>-1</v>
      </c>
      <c r="AJ2070" s="90">
        <v>0</v>
      </c>
      <c r="AM2070" s="90" t="s">
        <v>379</v>
      </c>
      <c r="AN2070" s="90">
        <v>-1</v>
      </c>
      <c r="AQ2070" s="90">
        <v>358</v>
      </c>
      <c r="AR2070" s="90" t="s">
        <v>422</v>
      </c>
      <c r="AS2070" s="90" t="s">
        <v>250</v>
      </c>
      <c r="AT2070" s="90" t="s">
        <v>244</v>
      </c>
      <c r="AU2070" s="90">
        <v>86.412649999999999</v>
      </c>
      <c r="AV2070" s="90">
        <v>83.037572026415504</v>
      </c>
      <c r="AW2070" s="90">
        <v>404.251317443098</v>
      </c>
      <c r="AX2070" s="90">
        <v>0.30284188090000003</v>
      </c>
    </row>
    <row r="2071" spans="1:50" x14ac:dyDescent="0.25">
      <c r="A2071" s="102">
        <v>830000</v>
      </c>
      <c r="B2071" s="102">
        <v>1400000</v>
      </c>
      <c r="C2071" s="102">
        <v>1400000</v>
      </c>
      <c r="D2071" s="90" t="s">
        <v>374</v>
      </c>
      <c r="E2071" s="90" t="s">
        <v>68</v>
      </c>
      <c r="F2071" s="90" t="s">
        <v>375</v>
      </c>
      <c r="G2071" s="90" t="s">
        <v>376</v>
      </c>
      <c r="H2071" s="90">
        <v>0.59</v>
      </c>
      <c r="I2071" s="90">
        <v>0.64</v>
      </c>
      <c r="J2071" s="90" t="s">
        <v>244</v>
      </c>
      <c r="K2071" s="90">
        <v>1.683027844628E-2</v>
      </c>
      <c r="L2071" s="90">
        <v>3725.3697802829201</v>
      </c>
      <c r="M2071" s="90">
        <v>9.3186513251612002</v>
      </c>
      <c r="N2071" s="90">
        <v>1.55432291213632</v>
      </c>
      <c r="O2071" s="90">
        <v>0.15683549654632001</v>
      </c>
      <c r="P2071" s="90">
        <v>2.6159687406689999E-2</v>
      </c>
      <c r="Q2071" s="90">
        <v>62.699010717544503</v>
      </c>
      <c r="R2071" s="90">
        <v>1700</v>
      </c>
      <c r="S2071" s="90" t="s">
        <v>414</v>
      </c>
      <c r="T2071" s="90">
        <v>1700</v>
      </c>
      <c r="U2071" s="90" t="s">
        <v>378</v>
      </c>
      <c r="V2071" s="90" t="s">
        <v>244</v>
      </c>
      <c r="Z2071" s="90">
        <v>0</v>
      </c>
      <c r="AA2071" s="90">
        <v>1</v>
      </c>
      <c r="AB2071" s="90">
        <v>0.15683549654632001</v>
      </c>
      <c r="AC2071" s="90">
        <v>2.6159687406689999E-2</v>
      </c>
      <c r="AD2071" s="90">
        <v>62.699010717545598</v>
      </c>
      <c r="AF2071" s="90">
        <v>-1</v>
      </c>
      <c r="AG2071" s="90">
        <v>-1</v>
      </c>
      <c r="AH2071" s="90">
        <v>-1</v>
      </c>
      <c r="AI2071" s="90">
        <v>-1</v>
      </c>
      <c r="AJ2071" s="90">
        <v>0</v>
      </c>
      <c r="AM2071" s="90" t="s">
        <v>379</v>
      </c>
      <c r="AN2071" s="90">
        <v>-1</v>
      </c>
      <c r="AQ2071" s="90">
        <v>358</v>
      </c>
      <c r="AR2071" s="90" t="s">
        <v>422</v>
      </c>
      <c r="AS2071" s="90" t="s">
        <v>250</v>
      </c>
      <c r="AT2071" s="90" t="s">
        <v>244</v>
      </c>
      <c r="AU2071" s="90">
        <v>86.412649999999999</v>
      </c>
      <c r="AV2071" s="90">
        <v>104.96570275257599</v>
      </c>
      <c r="AW2071" s="90">
        <v>68.109720421138107</v>
      </c>
      <c r="AX2071" s="90">
        <v>5.0850779200000001E-2</v>
      </c>
    </row>
    <row r="2072" spans="1:50" x14ac:dyDescent="0.25">
      <c r="A2072" s="102">
        <v>830000</v>
      </c>
      <c r="B2072" s="102">
        <v>1400000</v>
      </c>
      <c r="C2072" s="102">
        <v>1400000</v>
      </c>
      <c r="D2072" s="90" t="s">
        <v>374</v>
      </c>
      <c r="E2072" s="90" t="s">
        <v>68</v>
      </c>
      <c r="F2072" s="90" t="s">
        <v>375</v>
      </c>
      <c r="G2072" s="90" t="s">
        <v>376</v>
      </c>
      <c r="H2072" s="90">
        <v>0.59</v>
      </c>
      <c r="I2072" s="90">
        <v>0.64</v>
      </c>
      <c r="J2072" s="90" t="s">
        <v>244</v>
      </c>
      <c r="K2072" s="90">
        <v>3.7332616234370002E-2</v>
      </c>
      <c r="L2072" s="90">
        <v>3725.3697802829201</v>
      </c>
      <c r="M2072" s="90">
        <v>9.3186513251612002</v>
      </c>
      <c r="N2072" s="90">
        <v>1.55432291213632</v>
      </c>
      <c r="O2072" s="90">
        <v>0.34788963374421999</v>
      </c>
      <c r="P2072" s="90">
        <v>5.8026940783080003E-2</v>
      </c>
      <c r="Q2072" s="90">
        <v>139.077800338451</v>
      </c>
      <c r="R2072" s="90">
        <v>1750</v>
      </c>
      <c r="S2072" s="90" t="s">
        <v>377</v>
      </c>
      <c r="T2072" s="90">
        <v>1750</v>
      </c>
      <c r="U2072" s="90" t="s">
        <v>378</v>
      </c>
      <c r="V2072" s="90" t="s">
        <v>244</v>
      </c>
      <c r="Z2072" s="90">
        <v>0</v>
      </c>
      <c r="AA2072" s="90">
        <v>1</v>
      </c>
      <c r="AB2072" s="90">
        <v>0.34788963374421999</v>
      </c>
      <c r="AC2072" s="90">
        <v>5.8026940783080003E-2</v>
      </c>
      <c r="AD2072" s="90">
        <v>868.60928826888198</v>
      </c>
      <c r="AF2072" s="90">
        <v>-1</v>
      </c>
      <c r="AG2072" s="90">
        <v>-1</v>
      </c>
      <c r="AH2072" s="90">
        <v>-1</v>
      </c>
      <c r="AI2072" s="90">
        <v>-1</v>
      </c>
      <c r="AJ2072" s="90">
        <v>0</v>
      </c>
      <c r="AM2072" s="90" t="s">
        <v>379</v>
      </c>
      <c r="AN2072" s="90">
        <v>-1</v>
      </c>
      <c r="AQ2072" s="90">
        <v>358</v>
      </c>
      <c r="AR2072" s="90" t="s">
        <v>422</v>
      </c>
      <c r="AS2072" s="90" t="s">
        <v>250</v>
      </c>
      <c r="AT2072" s="90" t="s">
        <v>244</v>
      </c>
      <c r="AU2072" s="90">
        <v>86.412649999999999</v>
      </c>
      <c r="AV2072" s="90">
        <v>106.201005315787</v>
      </c>
      <c r="AW2072" s="90">
        <v>151.079737773088</v>
      </c>
      <c r="AX2072" s="90">
        <v>0.70446819810000005</v>
      </c>
    </row>
    <row r="2073" spans="1:50" x14ac:dyDescent="0.25">
      <c r="A2073" s="102">
        <v>830000</v>
      </c>
      <c r="B2073" s="102">
        <v>1400000</v>
      </c>
      <c r="C2073" s="102">
        <v>1400000</v>
      </c>
      <c r="D2073" s="90" t="s">
        <v>374</v>
      </c>
      <c r="E2073" s="90" t="s">
        <v>68</v>
      </c>
      <c r="F2073" s="90" t="s">
        <v>375</v>
      </c>
      <c r="G2073" s="90" t="s">
        <v>376</v>
      </c>
      <c r="H2073" s="90">
        <v>0.59</v>
      </c>
      <c r="I2073" s="90">
        <v>0.64</v>
      </c>
      <c r="J2073" s="90" t="s">
        <v>244</v>
      </c>
      <c r="K2073" s="90">
        <v>6.8018241011150005E-2</v>
      </c>
      <c r="L2073" s="90">
        <v>3725.3697802829201</v>
      </c>
      <c r="M2073" s="90">
        <v>9.3186513251612002</v>
      </c>
      <c r="N2073" s="90">
        <v>1.55432291213632</v>
      </c>
      <c r="O2073" s="90">
        <v>0.63383827173375995</v>
      </c>
      <c r="P2073" s="90">
        <v>0.10572231044685</v>
      </c>
      <c r="Q2073" s="90">
        <v>253.39309957096799</v>
      </c>
      <c r="R2073" s="90">
        <v>1750</v>
      </c>
      <c r="S2073" s="90" t="s">
        <v>377</v>
      </c>
      <c r="T2073" s="90">
        <v>1750</v>
      </c>
      <c r="U2073" s="90" t="s">
        <v>378</v>
      </c>
      <c r="V2073" s="90" t="s">
        <v>244</v>
      </c>
      <c r="Z2073" s="90">
        <v>0</v>
      </c>
      <c r="AA2073" s="90">
        <v>1</v>
      </c>
      <c r="AB2073" s="90">
        <v>0.63383827173375995</v>
      </c>
      <c r="AC2073" s="90">
        <v>0.10572231044685</v>
      </c>
      <c r="AD2073" s="90">
        <v>253.393099570967</v>
      </c>
      <c r="AF2073" s="90">
        <v>-1</v>
      </c>
      <c r="AG2073" s="90">
        <v>-1</v>
      </c>
      <c r="AH2073" s="90">
        <v>-1</v>
      </c>
      <c r="AI2073" s="90">
        <v>-1</v>
      </c>
      <c r="AJ2073" s="90">
        <v>0</v>
      </c>
      <c r="AM2073" s="90" t="s">
        <v>379</v>
      </c>
      <c r="AN2073" s="90">
        <v>-1</v>
      </c>
      <c r="AQ2073" s="90">
        <v>358</v>
      </c>
      <c r="AR2073" s="90" t="s">
        <v>422</v>
      </c>
      <c r="AS2073" s="90" t="s">
        <v>250</v>
      </c>
      <c r="AT2073" s="90" t="s">
        <v>244</v>
      </c>
      <c r="AU2073" s="90">
        <v>86.412649999999999</v>
      </c>
      <c r="AV2073" s="90">
        <v>66.558248743496407</v>
      </c>
      <c r="AW2073" s="90">
        <v>275.26005547635498</v>
      </c>
      <c r="AX2073" s="90">
        <v>0.2055094076</v>
      </c>
    </row>
    <row r="2074" spans="1:50" x14ac:dyDescent="0.25">
      <c r="A2074" s="102">
        <v>830000</v>
      </c>
      <c r="B2074" s="102">
        <v>1400000</v>
      </c>
      <c r="C2074" s="102">
        <v>1400000</v>
      </c>
      <c r="D2074" s="90" t="s">
        <v>374</v>
      </c>
      <c r="E2074" s="90" t="s">
        <v>68</v>
      </c>
      <c r="F2074" s="90" t="s">
        <v>375</v>
      </c>
      <c r="G2074" s="90" t="s">
        <v>376</v>
      </c>
      <c r="H2074" s="90">
        <v>0.59</v>
      </c>
      <c r="I2074" s="90">
        <v>0.64</v>
      </c>
      <c r="J2074" s="90" t="s">
        <v>244</v>
      </c>
      <c r="K2074" s="90">
        <v>4.1185261126860002E-2</v>
      </c>
      <c r="L2074" s="90">
        <v>3743.6912227973398</v>
      </c>
      <c r="M2074" s="90">
        <v>10.2396116376063</v>
      </c>
      <c r="N2074" s="90">
        <v>1.4718028344476599</v>
      </c>
      <c r="O2074" s="90">
        <v>0.42172107913248003</v>
      </c>
      <c r="P2074" s="90">
        <v>6.0616584063980003E-2</v>
      </c>
      <c r="Q2074" s="90">
        <v>154.184900589253</v>
      </c>
      <c r="R2074" s="90">
        <v>1720</v>
      </c>
      <c r="S2074" s="90" t="s">
        <v>423</v>
      </c>
      <c r="T2074" s="90">
        <v>1720</v>
      </c>
      <c r="U2074" s="90" t="s">
        <v>378</v>
      </c>
      <c r="V2074" s="90" t="s">
        <v>244</v>
      </c>
      <c r="Z2074" s="90">
        <v>0</v>
      </c>
      <c r="AA2074" s="90">
        <v>1</v>
      </c>
      <c r="AB2074" s="90">
        <v>0.42172107913248003</v>
      </c>
      <c r="AC2074" s="90">
        <v>6.0616584063980003E-2</v>
      </c>
      <c r="AD2074" s="90">
        <v>154.184900589254</v>
      </c>
      <c r="AF2074" s="90">
        <v>-1</v>
      </c>
      <c r="AG2074" s="90">
        <v>-1</v>
      </c>
      <c r="AH2074" s="90">
        <v>-1</v>
      </c>
      <c r="AI2074" s="90">
        <v>-1</v>
      </c>
      <c r="AJ2074" s="90">
        <v>0</v>
      </c>
      <c r="AM2074" s="90" t="s">
        <v>379</v>
      </c>
      <c r="AN2074" s="90">
        <v>-1</v>
      </c>
      <c r="AQ2074" s="90">
        <v>358</v>
      </c>
      <c r="AR2074" s="90" t="s">
        <v>422</v>
      </c>
      <c r="AS2074" s="90" t="s">
        <v>250</v>
      </c>
      <c r="AT2074" s="90" t="s">
        <v>244</v>
      </c>
      <c r="AU2074" s="90">
        <v>86.412649999999999</v>
      </c>
      <c r="AV2074" s="90">
        <v>77.808508352991097</v>
      </c>
      <c r="AW2074" s="90">
        <v>166.67083849946701</v>
      </c>
      <c r="AX2074" s="90">
        <v>0.12504858120000001</v>
      </c>
    </row>
    <row r="2075" spans="1:50" x14ac:dyDescent="0.25">
      <c r="A2075" s="102">
        <v>830000</v>
      </c>
      <c r="B2075" s="102">
        <v>1400000</v>
      </c>
      <c r="C2075" s="102">
        <v>1400000</v>
      </c>
      <c r="D2075" s="90" t="s">
        <v>374</v>
      </c>
      <c r="E2075" s="90" t="s">
        <v>68</v>
      </c>
      <c r="F2075" s="90" t="s">
        <v>375</v>
      </c>
      <c r="G2075" s="90" t="s">
        <v>376</v>
      </c>
      <c r="H2075" s="90">
        <v>0.59</v>
      </c>
      <c r="I2075" s="90">
        <v>0.64</v>
      </c>
      <c r="J2075" s="90" t="s">
        <v>244</v>
      </c>
      <c r="K2075" s="90">
        <v>3.5838214311649998E-2</v>
      </c>
      <c r="L2075" s="90">
        <v>3746.5678660132098</v>
      </c>
      <c r="M2075" s="90">
        <v>10.035655865858001</v>
      </c>
      <c r="N2075" s="90">
        <v>1.76393448973801</v>
      </c>
      <c r="O2075" s="90">
        <v>0.35965998567867002</v>
      </c>
      <c r="P2075" s="90">
        <v>6.3216262274950002E-2</v>
      </c>
      <c r="Q2075" s="90">
        <v>134.270302115356</v>
      </c>
      <c r="R2075" s="90">
        <v>1750</v>
      </c>
      <c r="S2075" s="90" t="s">
        <v>377</v>
      </c>
      <c r="T2075" s="90">
        <v>1750</v>
      </c>
      <c r="U2075" s="90" t="s">
        <v>378</v>
      </c>
      <c r="V2075" s="90" t="s">
        <v>244</v>
      </c>
      <c r="Z2075" s="90">
        <v>0</v>
      </c>
      <c r="AA2075" s="90">
        <v>1</v>
      </c>
      <c r="AB2075" s="90">
        <v>0.35965998567867002</v>
      </c>
      <c r="AC2075" s="90">
        <v>6.3216262274950002E-2</v>
      </c>
      <c r="AD2075" s="90">
        <v>576.49465132733906</v>
      </c>
      <c r="AF2075" s="90">
        <v>-1</v>
      </c>
      <c r="AG2075" s="90">
        <v>-1</v>
      </c>
      <c r="AH2075" s="90">
        <v>-1</v>
      </c>
      <c r="AI2075" s="90">
        <v>-1</v>
      </c>
      <c r="AJ2075" s="90">
        <v>0</v>
      </c>
      <c r="AM2075" s="90" t="s">
        <v>379</v>
      </c>
      <c r="AN2075" s="90">
        <v>-1</v>
      </c>
      <c r="AQ2075" s="90">
        <v>358</v>
      </c>
      <c r="AR2075" s="90" t="s">
        <v>422</v>
      </c>
      <c r="AS2075" s="90" t="s">
        <v>250</v>
      </c>
      <c r="AT2075" s="90" t="s">
        <v>244</v>
      </c>
      <c r="AU2075" s="90">
        <v>86.412649999999999</v>
      </c>
      <c r="AV2075" s="90">
        <v>97.048620774698904</v>
      </c>
      <c r="AW2075" s="90">
        <v>145.032107754484</v>
      </c>
      <c r="AX2075" s="90">
        <v>0.46755446169999998</v>
      </c>
    </row>
    <row r="2076" spans="1:50" x14ac:dyDescent="0.25">
      <c r="A2076" s="102">
        <v>830000</v>
      </c>
      <c r="B2076" s="102">
        <v>1400000</v>
      </c>
      <c r="C2076" s="102">
        <v>1400000</v>
      </c>
      <c r="D2076" s="90" t="s">
        <v>374</v>
      </c>
      <c r="E2076" s="90" t="s">
        <v>68</v>
      </c>
      <c r="F2076" s="90" t="s">
        <v>375</v>
      </c>
      <c r="G2076" s="90" t="s">
        <v>376</v>
      </c>
      <c r="H2076" s="90">
        <v>0.59</v>
      </c>
      <c r="I2076" s="90">
        <v>0.64</v>
      </c>
      <c r="J2076" s="90" t="s">
        <v>244</v>
      </c>
      <c r="K2076" s="90">
        <v>1.05013284688E-2</v>
      </c>
      <c r="L2076" s="90">
        <v>3743.9656146775001</v>
      </c>
      <c r="M2076" s="90">
        <v>10.3355993703754</v>
      </c>
      <c r="N2076" s="90">
        <v>1.8688019530939901</v>
      </c>
      <c r="O2076" s="90">
        <v>0.10853752391029001</v>
      </c>
      <c r="P2076" s="90">
        <v>1.962490315258E-2</v>
      </c>
      <c r="Q2076" s="90">
        <v>39.316612695643599</v>
      </c>
      <c r="R2076" s="90">
        <v>1750</v>
      </c>
      <c r="S2076" s="90" t="s">
        <v>377</v>
      </c>
      <c r="T2076" s="90">
        <v>1750</v>
      </c>
      <c r="U2076" s="90" t="s">
        <v>378</v>
      </c>
      <c r="V2076" s="90" t="s">
        <v>244</v>
      </c>
      <c r="Z2076" s="90">
        <v>0</v>
      </c>
      <c r="AA2076" s="90">
        <v>1</v>
      </c>
      <c r="AB2076" s="90">
        <v>0.10853752391029001</v>
      </c>
      <c r="AC2076" s="90">
        <v>1.962490315258E-2</v>
      </c>
      <c r="AD2076" s="90">
        <v>39.3166126956447</v>
      </c>
      <c r="AF2076" s="90">
        <v>-1</v>
      </c>
      <c r="AG2076" s="90">
        <v>-1</v>
      </c>
      <c r="AH2076" s="90">
        <v>-1</v>
      </c>
      <c r="AI2076" s="90">
        <v>-1</v>
      </c>
      <c r="AJ2076" s="90">
        <v>0</v>
      </c>
      <c r="AM2076" s="90" t="s">
        <v>379</v>
      </c>
      <c r="AN2076" s="90">
        <v>-1</v>
      </c>
      <c r="AQ2076" s="90">
        <v>358</v>
      </c>
      <c r="AR2076" s="90" t="s">
        <v>422</v>
      </c>
      <c r="AS2076" s="90" t="s">
        <v>250</v>
      </c>
      <c r="AT2076" s="90" t="s">
        <v>244</v>
      </c>
      <c r="AU2076" s="90">
        <v>86.412649999999999</v>
      </c>
      <c r="AV2076" s="90">
        <v>53.980469574927902</v>
      </c>
      <c r="AW2076" s="90">
        <v>42.497368557720499</v>
      </c>
      <c r="AX2076" s="90">
        <v>3.1886952699999999E-2</v>
      </c>
    </row>
    <row r="2077" spans="1:50" x14ac:dyDescent="0.25">
      <c r="A2077" s="102">
        <v>830000</v>
      </c>
      <c r="B2077" s="102">
        <v>1400000</v>
      </c>
      <c r="C2077" s="102">
        <v>1400000</v>
      </c>
      <c r="D2077" s="90" t="s">
        <v>374</v>
      </c>
      <c r="E2077" s="90" t="s">
        <v>68</v>
      </c>
      <c r="F2077" s="90" t="s">
        <v>375</v>
      </c>
      <c r="G2077" s="90" t="s">
        <v>376</v>
      </c>
      <c r="H2077" s="90">
        <v>0.59</v>
      </c>
      <c r="I2077" s="90">
        <v>0.64</v>
      </c>
      <c r="J2077" s="90" t="s">
        <v>244</v>
      </c>
      <c r="K2077" s="90">
        <v>0.20742490619717999</v>
      </c>
      <c r="L2077" s="90">
        <v>3736.5092208547999</v>
      </c>
      <c r="M2077" s="90">
        <v>9.8363693235521197</v>
      </c>
      <c r="N2077" s="90">
        <v>1.73784562923548</v>
      </c>
      <c r="O2077" s="90">
        <v>2.0403079842586802</v>
      </c>
      <c r="P2077" s="90">
        <v>0.36047246662936</v>
      </c>
      <c r="Q2077" s="90">
        <v>775.04507464073095</v>
      </c>
      <c r="R2077" s="90">
        <v>1750</v>
      </c>
      <c r="S2077" s="90" t="s">
        <v>377</v>
      </c>
      <c r="T2077" s="90">
        <v>1750</v>
      </c>
      <c r="U2077" s="90" t="s">
        <v>378</v>
      </c>
      <c r="V2077" s="90" t="s">
        <v>244</v>
      </c>
      <c r="Z2077" s="90">
        <v>0</v>
      </c>
      <c r="AA2077" s="90">
        <v>1</v>
      </c>
      <c r="AB2077" s="90">
        <v>2.0403079842586802</v>
      </c>
      <c r="AC2077" s="90">
        <v>0.36047246662936</v>
      </c>
      <c r="AD2077" s="90">
        <v>775.04507464073095</v>
      </c>
      <c r="AF2077" s="90">
        <v>-1</v>
      </c>
      <c r="AG2077" s="90">
        <v>-1</v>
      </c>
      <c r="AH2077" s="90">
        <v>-1</v>
      </c>
      <c r="AI2077" s="90">
        <v>-1</v>
      </c>
      <c r="AJ2077" s="90">
        <v>0</v>
      </c>
      <c r="AM2077" s="90" t="s">
        <v>379</v>
      </c>
      <c r="AN2077" s="90">
        <v>-1</v>
      </c>
      <c r="AQ2077" s="90">
        <v>358</v>
      </c>
      <c r="AR2077" s="90" t="s">
        <v>422</v>
      </c>
      <c r="AS2077" s="90" t="s">
        <v>250</v>
      </c>
      <c r="AT2077" s="90" t="s">
        <v>244</v>
      </c>
      <c r="AU2077" s="90">
        <v>86.412649999999999</v>
      </c>
      <c r="AV2077" s="90">
        <v>133.60064732387801</v>
      </c>
      <c r="AW2077" s="90">
        <v>839.41881380980396</v>
      </c>
      <c r="AX2077" s="90">
        <v>0.62858481320000004</v>
      </c>
    </row>
    <row r="2078" spans="1:50" x14ac:dyDescent="0.25">
      <c r="A2078" s="102">
        <v>830000</v>
      </c>
      <c r="B2078" s="102">
        <v>1400000</v>
      </c>
      <c r="C2078" s="102">
        <v>1400000</v>
      </c>
      <c r="D2078" s="90" t="s">
        <v>374</v>
      </c>
      <c r="E2078" s="90" t="s">
        <v>68</v>
      </c>
      <c r="F2078" s="90" t="s">
        <v>375</v>
      </c>
      <c r="G2078" s="90" t="s">
        <v>376</v>
      </c>
      <c r="H2078" s="90">
        <v>0.59</v>
      </c>
      <c r="I2078" s="90">
        <v>0.64</v>
      </c>
      <c r="J2078" s="90" t="s">
        <v>244</v>
      </c>
      <c r="K2078" s="90">
        <v>7.2023702547309998E-2</v>
      </c>
      <c r="L2078" s="90">
        <v>3751.4570212149702</v>
      </c>
      <c r="M2078" s="90">
        <v>10.473616096886399</v>
      </c>
      <c r="N2078" s="90">
        <v>1.96311956250272</v>
      </c>
      <c r="O2078" s="90">
        <v>0.75434861035690004</v>
      </c>
      <c r="P2078" s="90">
        <v>0.14139113943449999</v>
      </c>
      <c r="Q2078" s="90">
        <v>270.19382461501601</v>
      </c>
      <c r="R2078" s="90">
        <v>1750</v>
      </c>
      <c r="S2078" s="90" t="s">
        <v>377</v>
      </c>
      <c r="T2078" s="90">
        <v>1750</v>
      </c>
      <c r="U2078" s="90" t="s">
        <v>378</v>
      </c>
      <c r="V2078" s="90" t="s">
        <v>244</v>
      </c>
      <c r="Z2078" s="90">
        <v>0</v>
      </c>
      <c r="AA2078" s="90">
        <v>1</v>
      </c>
      <c r="AB2078" s="90">
        <v>0.75434861035690004</v>
      </c>
      <c r="AC2078" s="90">
        <v>0.14139113943449999</v>
      </c>
      <c r="AD2078" s="90">
        <v>270.19382461501499</v>
      </c>
      <c r="AF2078" s="90">
        <v>-1</v>
      </c>
      <c r="AG2078" s="90">
        <v>-1</v>
      </c>
      <c r="AH2078" s="90">
        <v>-1</v>
      </c>
      <c r="AI2078" s="90">
        <v>-1</v>
      </c>
      <c r="AJ2078" s="90">
        <v>0</v>
      </c>
      <c r="AM2078" s="90" t="s">
        <v>379</v>
      </c>
      <c r="AN2078" s="90">
        <v>-1</v>
      </c>
      <c r="AQ2078" s="90">
        <v>358</v>
      </c>
      <c r="AR2078" s="90" t="s">
        <v>422</v>
      </c>
      <c r="AS2078" s="90" t="s">
        <v>250</v>
      </c>
      <c r="AT2078" s="90" t="s">
        <v>244</v>
      </c>
      <c r="AU2078" s="90">
        <v>86.412649999999999</v>
      </c>
      <c r="AV2078" s="90">
        <v>119.02019778352</v>
      </c>
      <c r="AW2078" s="90">
        <v>291.46958321861899</v>
      </c>
      <c r="AX2078" s="90">
        <v>0.21913529979999999</v>
      </c>
    </row>
    <row r="2079" spans="1:50" x14ac:dyDescent="0.25">
      <c r="A2079" s="102">
        <v>830000</v>
      </c>
      <c r="B2079" s="102">
        <v>1400000</v>
      </c>
      <c r="C2079" s="102">
        <v>1400000</v>
      </c>
      <c r="D2079" s="90" t="s">
        <v>374</v>
      </c>
      <c r="E2079" s="90" t="s">
        <v>68</v>
      </c>
      <c r="F2079" s="90" t="s">
        <v>375</v>
      </c>
      <c r="G2079" s="90" t="s">
        <v>376</v>
      </c>
      <c r="H2079" s="90">
        <v>0.59</v>
      </c>
      <c r="I2079" s="90">
        <v>0.64</v>
      </c>
      <c r="J2079" s="90" t="s">
        <v>244</v>
      </c>
      <c r="K2079" s="90">
        <v>4.1228115068420002E-2</v>
      </c>
      <c r="L2079" s="90">
        <v>3731.60908466193</v>
      </c>
      <c r="M2079" s="90">
        <v>9.5740476763338407</v>
      </c>
      <c r="N2079" s="90">
        <v>1.6444983809815299</v>
      </c>
      <c r="O2079" s="90">
        <v>0.39471993927042998</v>
      </c>
      <c r="P2079" s="90">
        <v>6.7799568480929995E-2</v>
      </c>
      <c r="Q2079" s="90">
        <v>153.84720873280301</v>
      </c>
      <c r="R2079" s="90">
        <v>1700</v>
      </c>
      <c r="S2079" s="90" t="s">
        <v>414</v>
      </c>
      <c r="T2079" s="90">
        <v>1700</v>
      </c>
      <c r="U2079" s="90" t="s">
        <v>378</v>
      </c>
      <c r="V2079" s="90" t="s">
        <v>244</v>
      </c>
      <c r="Z2079" s="90">
        <v>0</v>
      </c>
      <c r="AA2079" s="90">
        <v>1</v>
      </c>
      <c r="AB2079" s="90">
        <v>0.39471993927042998</v>
      </c>
      <c r="AC2079" s="90">
        <v>6.7799568480929995E-2</v>
      </c>
      <c r="AD2079" s="90">
        <v>160.079888330746</v>
      </c>
      <c r="AF2079" s="90">
        <v>-1</v>
      </c>
      <c r="AG2079" s="90">
        <v>-1</v>
      </c>
      <c r="AH2079" s="90">
        <v>-1</v>
      </c>
      <c r="AI2079" s="90">
        <v>-1</v>
      </c>
      <c r="AJ2079" s="90">
        <v>0</v>
      </c>
      <c r="AM2079" s="90" t="s">
        <v>379</v>
      </c>
      <c r="AN2079" s="90">
        <v>-1</v>
      </c>
      <c r="AQ2079" s="90">
        <v>358</v>
      </c>
      <c r="AR2079" s="90" t="s">
        <v>422</v>
      </c>
      <c r="AS2079" s="90" t="s">
        <v>250</v>
      </c>
      <c r="AT2079" s="90" t="s">
        <v>244</v>
      </c>
      <c r="AU2079" s="90">
        <v>86.412649999999999</v>
      </c>
      <c r="AV2079" s="90">
        <v>106.281490051864</v>
      </c>
      <c r="AW2079" s="90">
        <v>166.844262248083</v>
      </c>
      <c r="AX2079" s="90">
        <v>0.1298295931</v>
      </c>
    </row>
    <row r="2080" spans="1:50" x14ac:dyDescent="0.25">
      <c r="A2080" s="102">
        <v>830000</v>
      </c>
      <c r="B2080" s="102">
        <v>1400000</v>
      </c>
      <c r="C2080" s="102">
        <v>1400000</v>
      </c>
      <c r="D2080" s="90" t="s">
        <v>374</v>
      </c>
      <c r="E2080" s="90" t="s">
        <v>68</v>
      </c>
      <c r="F2080" s="90" t="s">
        <v>375</v>
      </c>
      <c r="G2080" s="90" t="s">
        <v>376</v>
      </c>
      <c r="H2080" s="90">
        <v>0.59</v>
      </c>
      <c r="I2080" s="90">
        <v>0.64</v>
      </c>
      <c r="J2080" s="90" t="s">
        <v>244</v>
      </c>
      <c r="K2080" s="90">
        <v>2.6404694602600001E-3</v>
      </c>
      <c r="L2080" s="90">
        <v>3731.60908466193</v>
      </c>
      <c r="M2080" s="90">
        <v>9.5740476763338407</v>
      </c>
      <c r="N2080" s="90">
        <v>1.6444983809815299</v>
      </c>
      <c r="O2080" s="90">
        <v>2.52799805005E-2</v>
      </c>
      <c r="P2080" s="90">
        <v>4.3422477524399997E-3</v>
      </c>
      <c r="Q2080" s="90">
        <v>9.8531998257047402</v>
      </c>
      <c r="R2080" s="90">
        <v>1750</v>
      </c>
      <c r="S2080" s="90" t="s">
        <v>377</v>
      </c>
      <c r="T2080" s="90">
        <v>1750</v>
      </c>
      <c r="U2080" s="90" t="s">
        <v>378</v>
      </c>
      <c r="V2080" s="90" t="s">
        <v>244</v>
      </c>
      <c r="Z2080" s="90">
        <v>0</v>
      </c>
      <c r="AA2080" s="90">
        <v>1</v>
      </c>
      <c r="AB2080" s="90">
        <v>2.52799805005E-2</v>
      </c>
      <c r="AC2080" s="90">
        <v>4.3422477524399997E-3</v>
      </c>
      <c r="AD2080" s="90">
        <v>102.838203504098</v>
      </c>
      <c r="AF2080" s="90">
        <v>-1</v>
      </c>
      <c r="AG2080" s="90">
        <v>-1</v>
      </c>
      <c r="AH2080" s="90">
        <v>-1</v>
      </c>
      <c r="AI2080" s="90">
        <v>-1</v>
      </c>
      <c r="AJ2080" s="90">
        <v>0</v>
      </c>
      <c r="AM2080" s="90" t="s">
        <v>379</v>
      </c>
      <c r="AN2080" s="90">
        <v>-1</v>
      </c>
      <c r="AQ2080" s="90">
        <v>358</v>
      </c>
      <c r="AR2080" s="90" t="s">
        <v>422</v>
      </c>
      <c r="AS2080" s="90" t="s">
        <v>250</v>
      </c>
      <c r="AT2080" s="90" t="s">
        <v>244</v>
      </c>
      <c r="AU2080" s="90">
        <v>86.412649999999999</v>
      </c>
      <c r="AV2080" s="90">
        <v>16.840904741800401</v>
      </c>
      <c r="AW2080" s="90">
        <v>10.6856007934306</v>
      </c>
      <c r="AX2080" s="90">
        <v>8.3404869000000006E-2</v>
      </c>
    </row>
    <row r="2081" spans="1:50" x14ac:dyDescent="0.25">
      <c r="A2081" s="102">
        <v>830000</v>
      </c>
      <c r="B2081" s="102">
        <v>1400000</v>
      </c>
      <c r="C2081" s="102">
        <v>1400000</v>
      </c>
      <c r="D2081" s="90" t="s">
        <v>374</v>
      </c>
      <c r="E2081" s="90" t="s">
        <v>68</v>
      </c>
      <c r="F2081" s="90" t="s">
        <v>375</v>
      </c>
      <c r="G2081" s="90" t="s">
        <v>376</v>
      </c>
      <c r="H2081" s="90">
        <v>0.59</v>
      </c>
      <c r="I2081" s="90">
        <v>0.64</v>
      </c>
      <c r="J2081" s="90" t="s">
        <v>244</v>
      </c>
      <c r="K2081" s="90">
        <v>3.4567959887950001E-2</v>
      </c>
      <c r="L2081" s="90">
        <v>3731.60908466193</v>
      </c>
      <c r="M2081" s="90">
        <v>9.5740476763338407</v>
      </c>
      <c r="N2081" s="90">
        <v>1.6444983809815299</v>
      </c>
      <c r="O2081" s="90">
        <v>0.33095529604091001</v>
      </c>
      <c r="P2081" s="90">
        <v>5.684695406958E-2</v>
      </c>
      <c r="Q2081" s="90">
        <v>128.99411315613699</v>
      </c>
      <c r="R2081" s="90">
        <v>1750</v>
      </c>
      <c r="S2081" s="90" t="s">
        <v>377</v>
      </c>
      <c r="T2081" s="90">
        <v>1750</v>
      </c>
      <c r="U2081" s="90" t="s">
        <v>378</v>
      </c>
      <c r="V2081" s="90" t="s">
        <v>244</v>
      </c>
      <c r="Z2081" s="90">
        <v>0</v>
      </c>
      <c r="AA2081" s="90">
        <v>1</v>
      </c>
      <c r="AB2081" s="90">
        <v>0.33095529604091001</v>
      </c>
      <c r="AC2081" s="90">
        <v>5.684695406958E-2</v>
      </c>
      <c r="AD2081" s="90">
        <v>128.99411315613801</v>
      </c>
      <c r="AF2081" s="90">
        <v>-1</v>
      </c>
      <c r="AG2081" s="90">
        <v>-1</v>
      </c>
      <c r="AH2081" s="90">
        <v>-1</v>
      </c>
      <c r="AI2081" s="90">
        <v>-1</v>
      </c>
      <c r="AJ2081" s="90">
        <v>0</v>
      </c>
      <c r="AM2081" s="90" t="s">
        <v>379</v>
      </c>
      <c r="AN2081" s="90">
        <v>-1</v>
      </c>
      <c r="AQ2081" s="90">
        <v>358</v>
      </c>
      <c r="AR2081" s="90" t="s">
        <v>422</v>
      </c>
      <c r="AS2081" s="90" t="s">
        <v>250</v>
      </c>
      <c r="AT2081" s="90" t="s">
        <v>244</v>
      </c>
      <c r="AU2081" s="90">
        <v>86.412649999999999</v>
      </c>
      <c r="AV2081" s="90">
        <v>49.834560932319597</v>
      </c>
      <c r="AW2081" s="90">
        <v>139.89157048185299</v>
      </c>
      <c r="AX2081" s="90">
        <v>0.1046180966</v>
      </c>
    </row>
    <row r="2082" spans="1:50" x14ac:dyDescent="0.25">
      <c r="A2082" s="102">
        <v>830000</v>
      </c>
      <c r="B2082" s="102">
        <v>1400000</v>
      </c>
      <c r="C2082" s="102">
        <v>1400000</v>
      </c>
      <c r="D2082" s="90" t="s">
        <v>374</v>
      </c>
      <c r="E2082" s="90" t="s">
        <v>68</v>
      </c>
      <c r="F2082" s="90" t="s">
        <v>375</v>
      </c>
      <c r="G2082" s="90" t="s">
        <v>376</v>
      </c>
      <c r="H2082" s="90">
        <v>0.59</v>
      </c>
      <c r="I2082" s="90">
        <v>0.64</v>
      </c>
      <c r="J2082" s="90" t="s">
        <v>244</v>
      </c>
      <c r="K2082" s="90">
        <v>4.6038502198999997E-3</v>
      </c>
      <c r="L2082" s="90">
        <v>3731.60908466193</v>
      </c>
      <c r="M2082" s="90">
        <v>9.5740476763338407</v>
      </c>
      <c r="N2082" s="90">
        <v>1.6444983809815299</v>
      </c>
      <c r="O2082" s="90">
        <v>4.4077481500050003E-2</v>
      </c>
      <c r="P2082" s="90">
        <v>7.5710242329100003E-3</v>
      </c>
      <c r="Q2082" s="90">
        <v>17.179769305012801</v>
      </c>
      <c r="R2082" s="90">
        <v>1720</v>
      </c>
      <c r="S2082" s="90" t="s">
        <v>423</v>
      </c>
      <c r="T2082" s="90">
        <v>1720</v>
      </c>
      <c r="U2082" s="90" t="s">
        <v>378</v>
      </c>
      <c r="V2082" s="90" t="s">
        <v>244</v>
      </c>
      <c r="Z2082" s="90">
        <v>0</v>
      </c>
      <c r="AA2082" s="90">
        <v>1</v>
      </c>
      <c r="AB2082" s="90">
        <v>4.4077481500050003E-2</v>
      </c>
      <c r="AC2082" s="90">
        <v>7.5710242329100003E-3</v>
      </c>
      <c r="AD2082" s="90">
        <v>592.74197220522205</v>
      </c>
      <c r="AF2082" s="90">
        <v>-1</v>
      </c>
      <c r="AG2082" s="90">
        <v>-1</v>
      </c>
      <c r="AH2082" s="90">
        <v>-1</v>
      </c>
      <c r="AI2082" s="90">
        <v>-1</v>
      </c>
      <c r="AJ2082" s="90">
        <v>0</v>
      </c>
      <c r="AM2082" s="90" t="s">
        <v>379</v>
      </c>
      <c r="AN2082" s="90">
        <v>-1</v>
      </c>
      <c r="AQ2082" s="90">
        <v>358</v>
      </c>
      <c r="AR2082" s="90" t="s">
        <v>422</v>
      </c>
      <c r="AS2082" s="90" t="s">
        <v>250</v>
      </c>
      <c r="AT2082" s="90" t="s">
        <v>244</v>
      </c>
      <c r="AU2082" s="90">
        <v>86.412649999999999</v>
      </c>
      <c r="AV2082" s="90">
        <v>55.326131529921398</v>
      </c>
      <c r="AW2082" s="90">
        <v>18.631120830182599</v>
      </c>
      <c r="AX2082" s="90">
        <v>0.48073152650000001</v>
      </c>
    </row>
    <row r="2083" spans="1:50" x14ac:dyDescent="0.25">
      <c r="A2083" s="102">
        <v>830000</v>
      </c>
      <c r="B2083" s="102">
        <v>1400000</v>
      </c>
      <c r="C2083" s="102">
        <v>1400000</v>
      </c>
      <c r="D2083" s="90" t="s">
        <v>374</v>
      </c>
      <c r="E2083" s="90" t="s">
        <v>68</v>
      </c>
      <c r="F2083" s="90" t="s">
        <v>375</v>
      </c>
      <c r="G2083" s="90" t="s">
        <v>376</v>
      </c>
      <c r="H2083" s="90">
        <v>0.59</v>
      </c>
      <c r="I2083" s="90">
        <v>0.64</v>
      </c>
      <c r="J2083" s="90" t="s">
        <v>244</v>
      </c>
      <c r="K2083" s="90">
        <v>0.31761231636601001</v>
      </c>
      <c r="L2083" s="90">
        <v>3739.8317794580598</v>
      </c>
      <c r="M2083" s="90">
        <v>9.7171496630633598</v>
      </c>
      <c r="N2083" s="90">
        <v>1.28887736527674</v>
      </c>
      <c r="O2083" s="90">
        <v>3.0862864129607801</v>
      </c>
      <c r="P2083" s="90">
        <v>0.40936332549727</v>
      </c>
      <c r="Q2083" s="90">
        <v>1187.8166342929001</v>
      </c>
      <c r="R2083" s="90">
        <v>1720</v>
      </c>
      <c r="S2083" s="90" t="s">
        <v>423</v>
      </c>
      <c r="T2083" s="90">
        <v>1720</v>
      </c>
      <c r="U2083" s="90" t="s">
        <v>378</v>
      </c>
      <c r="V2083" s="90" t="s">
        <v>244</v>
      </c>
      <c r="Z2083" s="90">
        <v>0</v>
      </c>
      <c r="AA2083" s="90">
        <v>1</v>
      </c>
      <c r="AB2083" s="90">
        <v>3.0862864129607801</v>
      </c>
      <c r="AC2083" s="90">
        <v>0.40936332549727</v>
      </c>
      <c r="AD2083" s="90">
        <v>1187.8166342929001</v>
      </c>
      <c r="AF2083" s="90">
        <v>-1</v>
      </c>
      <c r="AG2083" s="90">
        <v>-1</v>
      </c>
      <c r="AH2083" s="90">
        <v>-1</v>
      </c>
      <c r="AI2083" s="90">
        <v>-1</v>
      </c>
      <c r="AJ2083" s="90">
        <v>0</v>
      </c>
      <c r="AM2083" s="90" t="s">
        <v>379</v>
      </c>
      <c r="AN2083" s="90">
        <v>-1</v>
      </c>
      <c r="AQ2083" s="90">
        <v>358</v>
      </c>
      <c r="AR2083" s="90" t="s">
        <v>422</v>
      </c>
      <c r="AS2083" s="90" t="s">
        <v>250</v>
      </c>
      <c r="AT2083" s="90" t="s">
        <v>244</v>
      </c>
      <c r="AU2083" s="90">
        <v>86.412649999999999</v>
      </c>
      <c r="AV2083" s="90">
        <v>144.14501941047001</v>
      </c>
      <c r="AW2083" s="90">
        <v>1285.33144231914</v>
      </c>
      <c r="AX2083" s="90">
        <v>0.96335493449999998</v>
      </c>
    </row>
    <row r="2084" spans="1:50" x14ac:dyDescent="0.25">
      <c r="A2084" s="102">
        <v>830000</v>
      </c>
      <c r="B2084" s="102">
        <v>1400000</v>
      </c>
      <c r="C2084" s="102">
        <v>1400000</v>
      </c>
      <c r="D2084" s="90" t="s">
        <v>374</v>
      </c>
      <c r="E2084" s="90" t="s">
        <v>68</v>
      </c>
      <c r="F2084" s="90" t="s">
        <v>375</v>
      </c>
      <c r="G2084" s="90" t="s">
        <v>376</v>
      </c>
      <c r="H2084" s="90">
        <v>0.59</v>
      </c>
      <c r="I2084" s="90">
        <v>0.64</v>
      </c>
      <c r="J2084" s="90" t="s">
        <v>244</v>
      </c>
      <c r="K2084" s="90">
        <v>1.939076260082E-2</v>
      </c>
      <c r="L2084" s="90">
        <v>3744.1712752133199</v>
      </c>
      <c r="M2084" s="90">
        <v>10.1547726207202</v>
      </c>
      <c r="N2084" s="90">
        <v>1.83599284092211</v>
      </c>
      <c r="O2084" s="90">
        <v>0.19690878515370999</v>
      </c>
      <c r="P2084" s="90">
        <v>3.560130131513E-2</v>
      </c>
      <c r="Q2084" s="90">
        <v>72.602336334478593</v>
      </c>
      <c r="R2084" s="90">
        <v>1700</v>
      </c>
      <c r="S2084" s="90" t="s">
        <v>414</v>
      </c>
      <c r="T2084" s="90">
        <v>1700</v>
      </c>
      <c r="U2084" s="90" t="s">
        <v>378</v>
      </c>
      <c r="V2084" s="90" t="s">
        <v>244</v>
      </c>
      <c r="Z2084" s="90">
        <v>0</v>
      </c>
      <c r="AA2084" s="90">
        <v>1</v>
      </c>
      <c r="AB2084" s="90">
        <v>0.19690878515370999</v>
      </c>
      <c r="AC2084" s="90">
        <v>3.560130131513E-2</v>
      </c>
      <c r="AD2084" s="90">
        <v>112.558532752741</v>
      </c>
      <c r="AF2084" s="90">
        <v>-1</v>
      </c>
      <c r="AG2084" s="90">
        <v>-1</v>
      </c>
      <c r="AH2084" s="90">
        <v>-1</v>
      </c>
      <c r="AI2084" s="90">
        <v>-1</v>
      </c>
      <c r="AJ2084" s="90">
        <v>0</v>
      </c>
      <c r="AM2084" s="90" t="s">
        <v>379</v>
      </c>
      <c r="AN2084" s="90">
        <v>-1</v>
      </c>
      <c r="AQ2084" s="90">
        <v>358</v>
      </c>
      <c r="AR2084" s="90" t="s">
        <v>422</v>
      </c>
      <c r="AS2084" s="90" t="s">
        <v>250</v>
      </c>
      <c r="AT2084" s="90" t="s">
        <v>244</v>
      </c>
      <c r="AU2084" s="90">
        <v>86.412649999999999</v>
      </c>
      <c r="AV2084" s="90">
        <v>61.489098110721002</v>
      </c>
      <c r="AW2084" s="90">
        <v>78.471632166371094</v>
      </c>
      <c r="AX2084" s="90">
        <v>9.1288347699999994E-2</v>
      </c>
    </row>
    <row r="2085" spans="1:50" x14ac:dyDescent="0.25">
      <c r="A2085" s="102">
        <v>830000</v>
      </c>
      <c r="B2085" s="102">
        <v>1400000</v>
      </c>
      <c r="C2085" s="102">
        <v>1400000</v>
      </c>
      <c r="D2085" s="90" t="s">
        <v>374</v>
      </c>
      <c r="E2085" s="90" t="s">
        <v>68</v>
      </c>
      <c r="F2085" s="90" t="s">
        <v>375</v>
      </c>
      <c r="G2085" s="90" t="s">
        <v>376</v>
      </c>
      <c r="H2085" s="90">
        <v>0.59</v>
      </c>
      <c r="I2085" s="90">
        <v>0.64</v>
      </c>
      <c r="J2085" s="90" t="s">
        <v>244</v>
      </c>
      <c r="K2085" s="90">
        <v>5.9932927018000002E-4</v>
      </c>
      <c r="L2085" s="90">
        <v>3764.71334164167</v>
      </c>
      <c r="M2085" s="90">
        <v>9.0145507135374405</v>
      </c>
      <c r="N2085" s="90">
        <v>1.57031124068599</v>
      </c>
      <c r="O2085" s="90">
        <v>5.4026841001499999E-3</v>
      </c>
      <c r="P2085" s="90">
        <v>9.4113348983000005E-4</v>
      </c>
      <c r="Q2085" s="90">
        <v>2.2563028994867702</v>
      </c>
      <c r="R2085" s="90">
        <v>1700</v>
      </c>
      <c r="S2085" s="90" t="s">
        <v>414</v>
      </c>
      <c r="T2085" s="90">
        <v>1700</v>
      </c>
      <c r="U2085" s="90" t="s">
        <v>378</v>
      </c>
      <c r="V2085" s="90" t="s">
        <v>244</v>
      </c>
      <c r="Z2085" s="90">
        <v>0</v>
      </c>
      <c r="AA2085" s="90">
        <v>1</v>
      </c>
      <c r="AB2085" s="90">
        <v>5.4026841001499999E-3</v>
      </c>
      <c r="AC2085" s="90">
        <v>9.4113348983000005E-4</v>
      </c>
      <c r="AD2085" s="90">
        <v>2.25630289948703</v>
      </c>
      <c r="AF2085" s="90">
        <v>-1</v>
      </c>
      <c r="AG2085" s="90">
        <v>-1</v>
      </c>
      <c r="AH2085" s="90">
        <v>-1</v>
      </c>
      <c r="AI2085" s="90">
        <v>-1</v>
      </c>
      <c r="AJ2085" s="90">
        <v>0</v>
      </c>
      <c r="AM2085" s="90" t="s">
        <v>379</v>
      </c>
      <c r="AN2085" s="90">
        <v>-1</v>
      </c>
      <c r="AQ2085" s="90">
        <v>358</v>
      </c>
      <c r="AR2085" s="90" t="s">
        <v>422</v>
      </c>
      <c r="AS2085" s="90" t="s">
        <v>250</v>
      </c>
      <c r="AT2085" s="90" t="s">
        <v>244</v>
      </c>
      <c r="AU2085" s="90">
        <v>86.412649999999999</v>
      </c>
      <c r="AV2085" s="90">
        <v>11.5195481913041</v>
      </c>
      <c r="AW2085" s="90">
        <v>2.4253995061645499</v>
      </c>
      <c r="AX2085" s="90">
        <v>1.8299294E-3</v>
      </c>
    </row>
    <row r="2086" spans="1:50" x14ac:dyDescent="0.25">
      <c r="A2086" s="102">
        <v>830000</v>
      </c>
      <c r="B2086" s="102">
        <v>1400000</v>
      </c>
      <c r="C2086" s="102">
        <v>1400000</v>
      </c>
      <c r="D2086" s="90" t="s">
        <v>374</v>
      </c>
      <c r="E2086" s="90" t="s">
        <v>68</v>
      </c>
      <c r="F2086" s="90" t="s">
        <v>375</v>
      </c>
      <c r="G2086" s="90" t="s">
        <v>376</v>
      </c>
      <c r="H2086" s="90">
        <v>0.59</v>
      </c>
      <c r="I2086" s="90">
        <v>0.64</v>
      </c>
      <c r="J2086" s="90" t="s">
        <v>244</v>
      </c>
      <c r="K2086" s="90">
        <v>1.506828761996E-2</v>
      </c>
      <c r="L2086" s="90">
        <v>3764.71334164167</v>
      </c>
      <c r="M2086" s="90">
        <v>9.0145507135374405</v>
      </c>
      <c r="N2086" s="90">
        <v>1.57031124068599</v>
      </c>
      <c r="O2086" s="90">
        <v>0.13583384291635001</v>
      </c>
      <c r="P2086" s="90">
        <v>2.3661901427520001E-2</v>
      </c>
      <c r="Q2086" s="90">
        <v>56.727783438579998</v>
      </c>
      <c r="R2086" s="90">
        <v>1750</v>
      </c>
      <c r="S2086" s="90" t="s">
        <v>377</v>
      </c>
      <c r="T2086" s="90">
        <v>1750</v>
      </c>
      <c r="U2086" s="90" t="s">
        <v>378</v>
      </c>
      <c r="V2086" s="90" t="s">
        <v>244</v>
      </c>
      <c r="Z2086" s="90">
        <v>0</v>
      </c>
      <c r="AA2086" s="90">
        <v>1</v>
      </c>
      <c r="AB2086" s="90">
        <v>0.13583384291635001</v>
      </c>
      <c r="AC2086" s="90">
        <v>2.3661901427520001E-2</v>
      </c>
      <c r="AD2086" s="90">
        <v>264.83190693324201</v>
      </c>
      <c r="AF2086" s="90">
        <v>-1</v>
      </c>
      <c r="AG2086" s="90">
        <v>-1</v>
      </c>
      <c r="AH2086" s="90">
        <v>-1</v>
      </c>
      <c r="AI2086" s="90">
        <v>-1</v>
      </c>
      <c r="AJ2086" s="90">
        <v>0</v>
      </c>
      <c r="AM2086" s="90" t="s">
        <v>379</v>
      </c>
      <c r="AN2086" s="90">
        <v>-1</v>
      </c>
      <c r="AQ2086" s="90">
        <v>358</v>
      </c>
      <c r="AR2086" s="90" t="s">
        <v>422</v>
      </c>
      <c r="AS2086" s="90" t="s">
        <v>250</v>
      </c>
      <c r="AT2086" s="90" t="s">
        <v>244</v>
      </c>
      <c r="AU2086" s="90">
        <v>86.412649999999999</v>
      </c>
      <c r="AV2086" s="90">
        <v>35.512900065108099</v>
      </c>
      <c r="AW2086" s="90">
        <v>60.979196529428897</v>
      </c>
      <c r="AX2086" s="90">
        <v>0.2147866236</v>
      </c>
    </row>
    <row r="2087" spans="1:50" x14ac:dyDescent="0.25">
      <c r="A2087" s="102">
        <v>830000</v>
      </c>
      <c r="B2087" s="102">
        <v>1400000</v>
      </c>
      <c r="C2087" s="102">
        <v>1400000</v>
      </c>
      <c r="D2087" s="90" t="s">
        <v>374</v>
      </c>
      <c r="E2087" s="90" t="s">
        <v>68</v>
      </c>
      <c r="F2087" s="90" t="s">
        <v>375</v>
      </c>
      <c r="G2087" s="90" t="s">
        <v>376</v>
      </c>
      <c r="H2087" s="90">
        <v>0.59</v>
      </c>
      <c r="I2087" s="90">
        <v>0.64</v>
      </c>
      <c r="J2087" s="90" t="s">
        <v>244</v>
      </c>
      <c r="K2087" s="90">
        <v>3.7901846107990002E-2</v>
      </c>
      <c r="L2087" s="90">
        <v>3741.3885173263602</v>
      </c>
      <c r="M2087" s="90">
        <v>10.171654278638099</v>
      </c>
      <c r="N2087" s="90">
        <v>1.40566575626124</v>
      </c>
      <c r="O2087" s="90">
        <v>0.38552447513267002</v>
      </c>
      <c r="P2087" s="90">
        <v>5.327732717309E-2</v>
      </c>
      <c r="Q2087" s="90">
        <v>141.80553181392301</v>
      </c>
      <c r="R2087" s="90">
        <v>1720</v>
      </c>
      <c r="S2087" s="90" t="s">
        <v>423</v>
      </c>
      <c r="T2087" s="90">
        <v>1720</v>
      </c>
      <c r="U2087" s="90" t="s">
        <v>378</v>
      </c>
      <c r="V2087" s="90" t="s">
        <v>244</v>
      </c>
      <c r="Z2087" s="90">
        <v>0</v>
      </c>
      <c r="AA2087" s="90">
        <v>1</v>
      </c>
      <c r="AB2087" s="90">
        <v>0.38552447513267002</v>
      </c>
      <c r="AC2087" s="90">
        <v>5.327732717309E-2</v>
      </c>
      <c r="AD2087" s="90">
        <v>141.80553181392301</v>
      </c>
      <c r="AF2087" s="90">
        <v>-1</v>
      </c>
      <c r="AG2087" s="90">
        <v>-1</v>
      </c>
      <c r="AH2087" s="90">
        <v>-1</v>
      </c>
      <c r="AI2087" s="90">
        <v>-1</v>
      </c>
      <c r="AJ2087" s="90">
        <v>0</v>
      </c>
      <c r="AM2087" s="90" t="s">
        <v>379</v>
      </c>
      <c r="AN2087" s="90">
        <v>-1</v>
      </c>
      <c r="AQ2087" s="90">
        <v>358</v>
      </c>
      <c r="AR2087" s="90" t="s">
        <v>422</v>
      </c>
      <c r="AS2087" s="90" t="s">
        <v>250</v>
      </c>
      <c r="AT2087" s="90" t="s">
        <v>244</v>
      </c>
      <c r="AU2087" s="90">
        <v>86.412649999999999</v>
      </c>
      <c r="AV2087" s="90">
        <v>65.650025493685703</v>
      </c>
      <c r="AW2087" s="90">
        <v>153.38332934295499</v>
      </c>
      <c r="AX2087" s="90">
        <v>0.1150085416</v>
      </c>
    </row>
    <row r="2088" spans="1:50" x14ac:dyDescent="0.25">
      <c r="A2088" s="102">
        <v>830000</v>
      </c>
      <c r="B2088" s="102">
        <v>1400000</v>
      </c>
      <c r="C2088" s="102">
        <v>1400000</v>
      </c>
      <c r="D2088" s="90" t="s">
        <v>374</v>
      </c>
      <c r="E2088" s="90" t="s">
        <v>68</v>
      </c>
      <c r="F2088" s="90" t="s">
        <v>375</v>
      </c>
      <c r="G2088" s="90" t="s">
        <v>376</v>
      </c>
      <c r="H2088" s="90">
        <v>0.59</v>
      </c>
      <c r="I2088" s="90">
        <v>0.64</v>
      </c>
      <c r="J2088" s="90" t="s">
        <v>244</v>
      </c>
      <c r="K2088" s="90">
        <v>0.27705211346579001</v>
      </c>
      <c r="L2088" s="90">
        <v>3746.1884029951998</v>
      </c>
      <c r="M2088" s="90">
        <v>9.9616729857328892</v>
      </c>
      <c r="N2088" s="90">
        <v>1.3204131774750001</v>
      </c>
      <c r="O2088" s="90">
        <v>2.7599025543523901</v>
      </c>
      <c r="P2088" s="90">
        <v>0.36582326146753003</v>
      </c>
      <c r="Q2088" s="90">
        <v>1037.88941449086</v>
      </c>
      <c r="R2088" s="90">
        <v>1720</v>
      </c>
      <c r="S2088" s="90" t="s">
        <v>423</v>
      </c>
      <c r="T2088" s="90">
        <v>1720</v>
      </c>
      <c r="U2088" s="90" t="s">
        <v>378</v>
      </c>
      <c r="V2088" s="90" t="s">
        <v>244</v>
      </c>
      <c r="Z2088" s="90">
        <v>0</v>
      </c>
      <c r="AA2088" s="90">
        <v>1</v>
      </c>
      <c r="AB2088" s="90">
        <v>2.7599025543523901</v>
      </c>
      <c r="AC2088" s="90">
        <v>0.36582326146753003</v>
      </c>
      <c r="AD2088" s="90">
        <v>1037.88941449086</v>
      </c>
      <c r="AF2088" s="90">
        <v>-1</v>
      </c>
      <c r="AG2088" s="90">
        <v>-1</v>
      </c>
      <c r="AH2088" s="90">
        <v>-1</v>
      </c>
      <c r="AI2088" s="90">
        <v>-1</v>
      </c>
      <c r="AJ2088" s="90">
        <v>0</v>
      </c>
      <c r="AM2088" s="90" t="s">
        <v>379</v>
      </c>
      <c r="AN2088" s="90">
        <v>-1</v>
      </c>
      <c r="AQ2088" s="90">
        <v>358</v>
      </c>
      <c r="AR2088" s="90" t="s">
        <v>422</v>
      </c>
      <c r="AS2088" s="90" t="s">
        <v>250</v>
      </c>
      <c r="AT2088" s="90" t="s">
        <v>244</v>
      </c>
      <c r="AU2088" s="90">
        <v>86.412649999999999</v>
      </c>
      <c r="AV2088" s="90">
        <v>135.46213569019099</v>
      </c>
      <c r="AW2088" s="90">
        <v>1121.1901247185299</v>
      </c>
      <c r="AX2088" s="90">
        <v>0.84175946030000004</v>
      </c>
    </row>
    <row r="2089" spans="1:50" x14ac:dyDescent="0.25">
      <c r="A2089" s="102">
        <v>830000</v>
      </c>
      <c r="B2089" s="102">
        <v>2400000</v>
      </c>
      <c r="C2089" s="102">
        <v>2400000</v>
      </c>
      <c r="D2089" s="90" t="s">
        <v>374</v>
      </c>
      <c r="E2089" s="90" t="s">
        <v>68</v>
      </c>
      <c r="F2089" s="90" t="s">
        <v>375</v>
      </c>
      <c r="G2089" s="90" t="s">
        <v>376</v>
      </c>
      <c r="H2089" s="90">
        <v>0.59</v>
      </c>
      <c r="I2089" s="90">
        <v>0.64</v>
      </c>
      <c r="J2089" s="90" t="s">
        <v>244</v>
      </c>
      <c r="K2089" s="90">
        <v>0.16382312745117</v>
      </c>
      <c r="L2089" s="90">
        <v>3760.62007455296</v>
      </c>
      <c r="M2089" s="90">
        <v>10.816069931956701</v>
      </c>
      <c r="N2089" s="90">
        <v>2.0836205434409401</v>
      </c>
      <c r="O2089" s="90">
        <v>1.7719224029837299</v>
      </c>
      <c r="P2089" s="90">
        <v>0.34134523384799997</v>
      </c>
      <c r="Q2089" s="90">
        <v>616.07654176892299</v>
      </c>
      <c r="R2089" s="90">
        <v>1300</v>
      </c>
      <c r="S2089" s="90" t="s">
        <v>387</v>
      </c>
      <c r="T2089" s="90">
        <v>1300</v>
      </c>
      <c r="U2089" s="90" t="s">
        <v>378</v>
      </c>
      <c r="V2089" s="90" t="s">
        <v>244</v>
      </c>
      <c r="Z2089" s="90">
        <v>0</v>
      </c>
      <c r="AA2089" s="90">
        <v>1</v>
      </c>
      <c r="AB2089" s="90">
        <v>1.7719224029837299</v>
      </c>
      <c r="AC2089" s="90">
        <v>0.34134523384799997</v>
      </c>
      <c r="AD2089" s="90">
        <v>833.70695411922702</v>
      </c>
      <c r="AF2089" s="90">
        <v>-1</v>
      </c>
      <c r="AG2089" s="90">
        <v>-1</v>
      </c>
      <c r="AH2089" s="90">
        <v>-1</v>
      </c>
      <c r="AI2089" s="90">
        <v>-1</v>
      </c>
      <c r="AJ2089" s="90">
        <v>0</v>
      </c>
      <c r="AM2089" s="90" t="s">
        <v>379</v>
      </c>
      <c r="AN2089" s="90">
        <v>-1</v>
      </c>
      <c r="AQ2089" s="90">
        <v>358</v>
      </c>
      <c r="AR2089" s="90" t="s">
        <v>422</v>
      </c>
      <c r="AS2089" s="90" t="s">
        <v>250</v>
      </c>
      <c r="AT2089" s="90" t="s">
        <v>244</v>
      </c>
      <c r="AU2089" s="90">
        <v>86.412649999999999</v>
      </c>
      <c r="AV2089" s="90">
        <v>126.647841287437</v>
      </c>
      <c r="AW2089" s="90">
        <v>662.96867546342503</v>
      </c>
      <c r="AX2089" s="90">
        <v>0.67616135779999997</v>
      </c>
    </row>
    <row r="2090" spans="1:50" x14ac:dyDescent="0.25">
      <c r="A2090" s="102">
        <v>830000</v>
      </c>
      <c r="B2090" s="102">
        <v>2400000</v>
      </c>
      <c r="C2090" s="102">
        <v>2400000</v>
      </c>
      <c r="D2090" s="90" t="s">
        <v>374</v>
      </c>
      <c r="E2090" s="90" t="s">
        <v>68</v>
      </c>
      <c r="F2090" s="90" t="s">
        <v>375</v>
      </c>
      <c r="G2090" s="90" t="s">
        <v>376</v>
      </c>
      <c r="H2090" s="90">
        <v>0.59</v>
      </c>
      <c r="I2090" s="90">
        <v>0.64</v>
      </c>
      <c r="J2090" s="90" t="s">
        <v>244</v>
      </c>
      <c r="K2090" s="90">
        <v>0.30311169408839</v>
      </c>
      <c r="L2090" s="90">
        <v>3760.62007455296</v>
      </c>
      <c r="M2090" s="90">
        <v>10.816069931956701</v>
      </c>
      <c r="N2090" s="90">
        <v>2.0836205434409401</v>
      </c>
      <c r="O2090" s="90">
        <v>3.2784772804539899</v>
      </c>
      <c r="P2090" s="90">
        <v>0.63156975275977001</v>
      </c>
      <c r="Q2090" s="90">
        <v>1139.8879216205801</v>
      </c>
      <c r="R2090" s="90">
        <v>1300</v>
      </c>
      <c r="S2090" s="90" t="s">
        <v>387</v>
      </c>
      <c r="T2090" s="90">
        <v>1300</v>
      </c>
      <c r="U2090" s="90" t="s">
        <v>378</v>
      </c>
      <c r="V2090" s="90" t="s">
        <v>244</v>
      </c>
      <c r="Z2090" s="90">
        <v>0</v>
      </c>
      <c r="AA2090" s="90">
        <v>1</v>
      </c>
      <c r="AB2090" s="90">
        <v>3.2784772804539899</v>
      </c>
      <c r="AC2090" s="90">
        <v>0.63156975275977001</v>
      </c>
      <c r="AD2090" s="90">
        <v>1139.8879216205801</v>
      </c>
      <c r="AF2090" s="90">
        <v>-1</v>
      </c>
      <c r="AG2090" s="90">
        <v>-1</v>
      </c>
      <c r="AH2090" s="90">
        <v>-1</v>
      </c>
      <c r="AI2090" s="90">
        <v>-1</v>
      </c>
      <c r="AJ2090" s="90">
        <v>0</v>
      </c>
      <c r="AM2090" s="90" t="s">
        <v>379</v>
      </c>
      <c r="AN2090" s="90">
        <v>-1</v>
      </c>
      <c r="AQ2090" s="90">
        <v>358</v>
      </c>
      <c r="AR2090" s="90" t="s">
        <v>422</v>
      </c>
      <c r="AS2090" s="90" t="s">
        <v>250</v>
      </c>
      <c r="AT2090" s="90" t="s">
        <v>244</v>
      </c>
      <c r="AU2090" s="90">
        <v>86.412649999999999</v>
      </c>
      <c r="AV2090" s="90">
        <v>149.18033779316301</v>
      </c>
      <c r="AW2090" s="90">
        <v>1226.6495059261699</v>
      </c>
      <c r="AX2090" s="90">
        <v>0.92448331029999997</v>
      </c>
    </row>
    <row r="2091" spans="1:50" x14ac:dyDescent="0.25">
      <c r="A2091" s="102">
        <v>830000</v>
      </c>
      <c r="B2091" s="102">
        <v>2400000</v>
      </c>
      <c r="C2091" s="102">
        <v>2400000</v>
      </c>
      <c r="D2091" s="90" t="s">
        <v>374</v>
      </c>
      <c r="E2091" s="90" t="s">
        <v>68</v>
      </c>
      <c r="F2091" s="90" t="s">
        <v>375</v>
      </c>
      <c r="G2091" s="90" t="s">
        <v>376</v>
      </c>
      <c r="H2091" s="90">
        <v>0.59</v>
      </c>
      <c r="I2091" s="90">
        <v>0.64</v>
      </c>
      <c r="J2091" s="90" t="s">
        <v>244</v>
      </c>
      <c r="K2091" s="90">
        <v>2.142264393611E-2</v>
      </c>
      <c r="L2091" s="90">
        <v>3738.0522189773901</v>
      </c>
      <c r="M2091" s="90">
        <v>10.031727283422301</v>
      </c>
      <c r="N2091" s="90">
        <v>1.7737854510925599</v>
      </c>
      <c r="O2091" s="90">
        <v>0.21490612165692999</v>
      </c>
      <c r="P2091" s="90">
        <v>3.7999174137810003E-2</v>
      </c>
      <c r="Q2091" s="90">
        <v>80.078961701745897</v>
      </c>
      <c r="R2091" s="90">
        <v>1200</v>
      </c>
      <c r="S2091" s="90" t="s">
        <v>384</v>
      </c>
      <c r="T2091" s="90">
        <v>1200</v>
      </c>
      <c r="U2091" s="90" t="s">
        <v>378</v>
      </c>
      <c r="V2091" s="90" t="s">
        <v>244</v>
      </c>
      <c r="Z2091" s="90">
        <v>0</v>
      </c>
      <c r="AA2091" s="90">
        <v>1</v>
      </c>
      <c r="AB2091" s="90">
        <v>0.21490612165692999</v>
      </c>
      <c r="AC2091" s="90">
        <v>3.7999174137810003E-2</v>
      </c>
      <c r="AD2091" s="90">
        <v>80.078961701745598</v>
      </c>
      <c r="AF2091" s="90">
        <v>-1</v>
      </c>
      <c r="AG2091" s="90">
        <v>-1</v>
      </c>
      <c r="AH2091" s="90">
        <v>-1</v>
      </c>
      <c r="AI2091" s="90">
        <v>-1</v>
      </c>
      <c r="AJ2091" s="90">
        <v>0</v>
      </c>
      <c r="AM2091" s="90" t="s">
        <v>379</v>
      </c>
      <c r="AN2091" s="90">
        <v>-1</v>
      </c>
      <c r="AQ2091" s="90">
        <v>358</v>
      </c>
      <c r="AR2091" s="90" t="s">
        <v>422</v>
      </c>
      <c r="AS2091" s="90" t="s">
        <v>250</v>
      </c>
      <c r="AT2091" s="90" t="s">
        <v>244</v>
      </c>
      <c r="AU2091" s="90">
        <v>86.412649999999999</v>
      </c>
      <c r="AV2091" s="90">
        <v>39.692639656144401</v>
      </c>
      <c r="AW2091" s="90">
        <v>86.694364197642898</v>
      </c>
      <c r="AX2091" s="90">
        <v>6.4946440999999994E-2</v>
      </c>
    </row>
    <row r="2092" spans="1:50" x14ac:dyDescent="0.25">
      <c r="A2092" s="102">
        <v>830000</v>
      </c>
      <c r="B2092" s="102">
        <v>2400000</v>
      </c>
      <c r="C2092" s="102">
        <v>2400000</v>
      </c>
      <c r="D2092" s="90" t="s">
        <v>374</v>
      </c>
      <c r="E2092" s="90" t="s">
        <v>68</v>
      </c>
      <c r="F2092" s="90" t="s">
        <v>375</v>
      </c>
      <c r="G2092" s="90" t="s">
        <v>376</v>
      </c>
      <c r="H2092" s="90">
        <v>0.59</v>
      </c>
      <c r="I2092" s="90">
        <v>0.64</v>
      </c>
      <c r="J2092" s="90" t="s">
        <v>381</v>
      </c>
      <c r="K2092" s="90">
        <v>4.9790223368190001E-2</v>
      </c>
      <c r="L2092" s="90">
        <v>3738.0522189773901</v>
      </c>
      <c r="M2092" s="90">
        <v>10.031727283422301</v>
      </c>
      <c r="N2092" s="90">
        <v>1.7737854510925599</v>
      </c>
      <c r="O2092" s="90">
        <v>0.49948194221038</v>
      </c>
      <c r="P2092" s="90">
        <v>8.8317173817139993E-2</v>
      </c>
      <c r="Q2092" s="90">
        <v>186.11845494484999</v>
      </c>
      <c r="R2092" s="90">
        <v>1200</v>
      </c>
      <c r="S2092" s="90" t="s">
        <v>384</v>
      </c>
      <c r="T2092" s="90">
        <v>1200</v>
      </c>
      <c r="U2092" s="90" t="s">
        <v>382</v>
      </c>
      <c r="V2092" s="90" t="s">
        <v>381</v>
      </c>
      <c r="Z2092" s="90">
        <v>0</v>
      </c>
      <c r="AA2092" s="90">
        <v>1</v>
      </c>
      <c r="AB2092" s="90">
        <v>0.49948194221038</v>
      </c>
      <c r="AC2092" s="90">
        <v>8.8317173817139993E-2</v>
      </c>
      <c r="AD2092" s="90">
        <v>186.11845494484899</v>
      </c>
      <c r="AF2092" s="90">
        <v>-1</v>
      </c>
      <c r="AG2092" s="90">
        <v>-1</v>
      </c>
      <c r="AH2092" s="90">
        <v>-1</v>
      </c>
      <c r="AI2092" s="90">
        <v>-1</v>
      </c>
      <c r="AJ2092" s="90">
        <v>0</v>
      </c>
      <c r="AM2092" s="90" t="s">
        <v>379</v>
      </c>
      <c r="AN2092" s="90">
        <v>-1</v>
      </c>
      <c r="AQ2092" s="90">
        <v>358</v>
      </c>
      <c r="AR2092" s="90" t="s">
        <v>422</v>
      </c>
      <c r="AS2092" s="90" t="s">
        <v>250</v>
      </c>
      <c r="AT2092" s="90" t="s">
        <v>244</v>
      </c>
      <c r="AU2092" s="90">
        <v>86.412649999999999</v>
      </c>
      <c r="AV2092" s="90">
        <v>109.29552031910001</v>
      </c>
      <c r="AW2092" s="90">
        <v>201.49388521029701</v>
      </c>
      <c r="AX2092" s="90">
        <v>0.15094765199999999</v>
      </c>
    </row>
    <row r="2093" spans="1:50" x14ac:dyDescent="0.25">
      <c r="A2093" s="102">
        <v>830000</v>
      </c>
      <c r="B2093" s="102">
        <v>2400000</v>
      </c>
      <c r="C2093" s="102">
        <v>2400000</v>
      </c>
      <c r="D2093" s="90" t="s">
        <v>374</v>
      </c>
      <c r="E2093" s="90" t="s">
        <v>68</v>
      </c>
      <c r="F2093" s="90" t="s">
        <v>375</v>
      </c>
      <c r="G2093" s="90" t="s">
        <v>376</v>
      </c>
      <c r="H2093" s="90">
        <v>0.59</v>
      </c>
      <c r="I2093" s="90">
        <v>0.64</v>
      </c>
      <c r="J2093" s="90" t="s">
        <v>244</v>
      </c>
      <c r="K2093" s="90">
        <v>1.78195855353E-3</v>
      </c>
      <c r="L2093" s="90">
        <v>3738.0522189773901</v>
      </c>
      <c r="M2093" s="90">
        <v>10.031727283422301</v>
      </c>
      <c r="N2093" s="90">
        <v>1.7737854510925599</v>
      </c>
      <c r="O2093" s="90">
        <v>1.7876122239370001E-2</v>
      </c>
      <c r="P2093" s="90">
        <v>3.1608121567E-3</v>
      </c>
      <c r="Q2093" s="90">
        <v>6.6610541251485502</v>
      </c>
      <c r="R2093" s="90">
        <v>1300</v>
      </c>
      <c r="S2093" s="90" t="s">
        <v>387</v>
      </c>
      <c r="T2093" s="90">
        <v>1300</v>
      </c>
      <c r="U2093" s="90" t="s">
        <v>378</v>
      </c>
      <c r="V2093" s="90" t="s">
        <v>244</v>
      </c>
      <c r="Z2093" s="90">
        <v>0</v>
      </c>
      <c r="AA2093" s="90">
        <v>1</v>
      </c>
      <c r="AB2093" s="90">
        <v>1.7876122239370001E-2</v>
      </c>
      <c r="AC2093" s="90">
        <v>3.1608121567E-3</v>
      </c>
      <c r="AD2093" s="90">
        <v>6.6610541251485502</v>
      </c>
      <c r="AF2093" s="90">
        <v>-1</v>
      </c>
      <c r="AG2093" s="90">
        <v>-1</v>
      </c>
      <c r="AH2093" s="90">
        <v>-1</v>
      </c>
      <c r="AI2093" s="90">
        <v>-1</v>
      </c>
      <c r="AJ2093" s="90">
        <v>0</v>
      </c>
      <c r="AM2093" s="90" t="s">
        <v>379</v>
      </c>
      <c r="AN2093" s="90">
        <v>-1</v>
      </c>
      <c r="AQ2093" s="90">
        <v>358</v>
      </c>
      <c r="AR2093" s="90" t="s">
        <v>422</v>
      </c>
      <c r="AS2093" s="90" t="s">
        <v>250</v>
      </c>
      <c r="AT2093" s="90" t="s">
        <v>244</v>
      </c>
      <c r="AU2093" s="90">
        <v>86.412649999999999</v>
      </c>
      <c r="AV2093" s="90">
        <v>100.51716747666499</v>
      </c>
      <c r="AW2093" s="90">
        <v>7.21133041680348</v>
      </c>
      <c r="AX2093" s="90">
        <v>5.4023148000000003E-3</v>
      </c>
    </row>
    <row r="2094" spans="1:50" x14ac:dyDescent="0.25">
      <c r="A2094" s="102">
        <v>830000</v>
      </c>
      <c r="B2094" s="102">
        <v>2400000</v>
      </c>
      <c r="C2094" s="102">
        <v>2400000</v>
      </c>
      <c r="D2094" s="90" t="s">
        <v>374</v>
      </c>
      <c r="E2094" s="90" t="s">
        <v>68</v>
      </c>
      <c r="F2094" s="90" t="s">
        <v>375</v>
      </c>
      <c r="G2094" s="90" t="s">
        <v>376</v>
      </c>
      <c r="H2094" s="90">
        <v>0.59</v>
      </c>
      <c r="I2094" s="90">
        <v>0.64</v>
      </c>
      <c r="J2094" s="90" t="s">
        <v>381</v>
      </c>
      <c r="K2094" s="90">
        <v>0.159649763183</v>
      </c>
      <c r="L2094" s="90">
        <v>3738.0522189773901</v>
      </c>
      <c r="M2094" s="90">
        <v>10.031727283422301</v>
      </c>
      <c r="N2094" s="90">
        <v>1.7737854510925599</v>
      </c>
      <c r="O2094" s="90">
        <v>1.60156288511483</v>
      </c>
      <c r="P2094" s="90">
        <v>0.28318442720437997</v>
      </c>
      <c r="Q2094" s="90">
        <v>596.77915152543505</v>
      </c>
      <c r="R2094" s="90">
        <v>1300</v>
      </c>
      <c r="S2094" s="90" t="s">
        <v>387</v>
      </c>
      <c r="T2094" s="90">
        <v>1300</v>
      </c>
      <c r="U2094" s="90" t="s">
        <v>382</v>
      </c>
      <c r="V2094" s="90" t="s">
        <v>381</v>
      </c>
      <c r="Z2094" s="90">
        <v>0</v>
      </c>
      <c r="AA2094" s="90">
        <v>1</v>
      </c>
      <c r="AB2094" s="90">
        <v>1.60156288511483</v>
      </c>
      <c r="AC2094" s="90">
        <v>0.28318442720437997</v>
      </c>
      <c r="AD2094" s="90">
        <v>596.77915152543505</v>
      </c>
      <c r="AF2094" s="90">
        <v>-1</v>
      </c>
      <c r="AG2094" s="90">
        <v>-1</v>
      </c>
      <c r="AH2094" s="90">
        <v>-1</v>
      </c>
      <c r="AI2094" s="90">
        <v>-1</v>
      </c>
      <c r="AJ2094" s="90">
        <v>0</v>
      </c>
      <c r="AM2094" s="90" t="s">
        <v>379</v>
      </c>
      <c r="AN2094" s="90">
        <v>-1</v>
      </c>
      <c r="AQ2094" s="90">
        <v>358</v>
      </c>
      <c r="AR2094" s="90" t="s">
        <v>422</v>
      </c>
      <c r="AS2094" s="90" t="s">
        <v>250</v>
      </c>
      <c r="AT2094" s="90" t="s">
        <v>244</v>
      </c>
      <c r="AU2094" s="90">
        <v>86.412649999999999</v>
      </c>
      <c r="AV2094" s="90">
        <v>126.057402157271</v>
      </c>
      <c r="AW2094" s="90">
        <v>646.07966947177204</v>
      </c>
      <c r="AX2094" s="90">
        <v>0.48400580009999999</v>
      </c>
    </row>
    <row r="2095" spans="1:50" x14ac:dyDescent="0.25">
      <c r="A2095" s="102">
        <v>830000</v>
      </c>
      <c r="B2095" s="102">
        <v>2400000</v>
      </c>
      <c r="C2095" s="102">
        <v>2400000</v>
      </c>
      <c r="D2095" s="90" t="s">
        <v>374</v>
      </c>
      <c r="E2095" s="90" t="s">
        <v>68</v>
      </c>
      <c r="F2095" s="90" t="s">
        <v>375</v>
      </c>
      <c r="G2095" s="90" t="s">
        <v>376</v>
      </c>
      <c r="H2095" s="90">
        <v>0.59</v>
      </c>
      <c r="I2095" s="90">
        <v>0.64</v>
      </c>
      <c r="J2095" s="90" t="s">
        <v>244</v>
      </c>
      <c r="K2095" s="90">
        <v>7.10605201608E-3</v>
      </c>
      <c r="L2095" s="90">
        <v>3738.0522189773901</v>
      </c>
      <c r="M2095" s="90">
        <v>10.031727283422301</v>
      </c>
      <c r="N2095" s="90">
        <v>1.7737854510925599</v>
      </c>
      <c r="O2095" s="90">
        <v>7.1285975887129996E-2</v>
      </c>
      <c r="P2095" s="90">
        <v>1.260461168083E-2</v>
      </c>
      <c r="Q2095" s="90">
        <v>26.5627935068803</v>
      </c>
      <c r="R2095" s="90">
        <v>1210</v>
      </c>
      <c r="S2095" s="90" t="s">
        <v>385</v>
      </c>
      <c r="T2095" s="90">
        <v>1210</v>
      </c>
      <c r="U2095" s="90" t="s">
        <v>378</v>
      </c>
      <c r="V2095" s="90" t="s">
        <v>244</v>
      </c>
      <c r="Z2095" s="90">
        <v>0</v>
      </c>
      <c r="AA2095" s="90">
        <v>1</v>
      </c>
      <c r="AB2095" s="90">
        <v>7.1285975887129996E-2</v>
      </c>
      <c r="AC2095" s="90">
        <v>1.260461168083E-2</v>
      </c>
      <c r="AD2095" s="90">
        <v>26.562793506879</v>
      </c>
      <c r="AF2095" s="90">
        <v>-1</v>
      </c>
      <c r="AG2095" s="90">
        <v>-1</v>
      </c>
      <c r="AH2095" s="90">
        <v>-1</v>
      </c>
      <c r="AI2095" s="90">
        <v>-1</v>
      </c>
      <c r="AJ2095" s="90">
        <v>0</v>
      </c>
      <c r="AM2095" s="90" t="s">
        <v>379</v>
      </c>
      <c r="AN2095" s="90">
        <v>-1</v>
      </c>
      <c r="AQ2095" s="90">
        <v>358</v>
      </c>
      <c r="AR2095" s="90" t="s">
        <v>422</v>
      </c>
      <c r="AS2095" s="90" t="s">
        <v>250</v>
      </c>
      <c r="AT2095" s="90" t="s">
        <v>244</v>
      </c>
      <c r="AU2095" s="90">
        <v>86.412649999999999</v>
      </c>
      <c r="AV2095" s="90">
        <v>21.809163542733302</v>
      </c>
      <c r="AW2095" s="90">
        <v>28.757172239184399</v>
      </c>
      <c r="AX2095" s="90">
        <v>2.1543222599999998E-2</v>
      </c>
    </row>
    <row r="2096" spans="1:50" x14ac:dyDescent="0.25">
      <c r="A2096" s="102">
        <v>830000</v>
      </c>
      <c r="B2096" s="102">
        <v>2400000</v>
      </c>
      <c r="C2096" s="102">
        <v>2400000</v>
      </c>
      <c r="D2096" s="90" t="s">
        <v>374</v>
      </c>
      <c r="E2096" s="90" t="s">
        <v>68</v>
      </c>
      <c r="F2096" s="90" t="s">
        <v>375</v>
      </c>
      <c r="G2096" s="90" t="s">
        <v>376</v>
      </c>
      <c r="H2096" s="90">
        <v>0.59</v>
      </c>
      <c r="I2096" s="90">
        <v>0.64</v>
      </c>
      <c r="J2096" s="90" t="s">
        <v>381</v>
      </c>
      <c r="K2096" s="90">
        <v>2.2342614723000001E-4</v>
      </c>
      <c r="L2096" s="90">
        <v>3738.0522189773901</v>
      </c>
      <c r="M2096" s="90">
        <v>10.031727283422301</v>
      </c>
      <c r="N2096" s="90">
        <v>1.7737854510925599</v>
      </c>
      <c r="O2096" s="90">
        <v>2.2413501770300001E-3</v>
      </c>
      <c r="P2096" s="90">
        <v>3.9631004934999998E-4</v>
      </c>
      <c r="Q2096" s="90">
        <v>0.83517860544561995</v>
      </c>
      <c r="R2096" s="90">
        <v>1210</v>
      </c>
      <c r="S2096" s="90" t="s">
        <v>385</v>
      </c>
      <c r="T2096" s="90">
        <v>1210</v>
      </c>
      <c r="U2096" s="90" t="s">
        <v>382</v>
      </c>
      <c r="V2096" s="90" t="s">
        <v>381</v>
      </c>
      <c r="Z2096" s="90">
        <v>0</v>
      </c>
      <c r="AA2096" s="90">
        <v>1</v>
      </c>
      <c r="AB2096" s="90">
        <v>2.2413501770300001E-3</v>
      </c>
      <c r="AC2096" s="90">
        <v>3.9631004934999998E-4</v>
      </c>
      <c r="AD2096" s="90">
        <v>0.83517860544500999</v>
      </c>
      <c r="AF2096" s="90">
        <v>-1</v>
      </c>
      <c r="AG2096" s="90">
        <v>-1</v>
      </c>
      <c r="AH2096" s="90">
        <v>-1</v>
      </c>
      <c r="AI2096" s="90">
        <v>-1</v>
      </c>
      <c r="AJ2096" s="90">
        <v>0</v>
      </c>
      <c r="AM2096" s="90" t="s">
        <v>379</v>
      </c>
      <c r="AN2096" s="90">
        <v>-1</v>
      </c>
      <c r="AQ2096" s="90">
        <v>358</v>
      </c>
      <c r="AR2096" s="90" t="s">
        <v>422</v>
      </c>
      <c r="AS2096" s="90" t="s">
        <v>250</v>
      </c>
      <c r="AT2096" s="90" t="s">
        <v>244</v>
      </c>
      <c r="AU2096" s="90">
        <v>86.412649999999999</v>
      </c>
      <c r="AV2096" s="90">
        <v>12.754176993611001</v>
      </c>
      <c r="AW2096" s="90">
        <v>0.90417353886534002</v>
      </c>
      <c r="AX2096" s="90">
        <v>6.773549E-4</v>
      </c>
    </row>
    <row r="2097" spans="1:50" x14ac:dyDescent="0.25">
      <c r="A2097" s="102">
        <v>830000</v>
      </c>
      <c r="B2097" s="102">
        <v>2400000</v>
      </c>
      <c r="C2097" s="102">
        <v>2400000</v>
      </c>
      <c r="D2097" s="90" t="s">
        <v>374</v>
      </c>
      <c r="E2097" s="90" t="s">
        <v>68</v>
      </c>
      <c r="F2097" s="90" t="s">
        <v>375</v>
      </c>
      <c r="G2097" s="90" t="s">
        <v>376</v>
      </c>
      <c r="H2097" s="90">
        <v>0.59</v>
      </c>
      <c r="I2097" s="90">
        <v>0.64</v>
      </c>
      <c r="J2097" s="90" t="s">
        <v>244</v>
      </c>
      <c r="K2097" s="90">
        <v>2.001483107029E-2</v>
      </c>
      <c r="L2097" s="90">
        <v>3738.0522189773901</v>
      </c>
      <c r="M2097" s="90">
        <v>10.031727283422301</v>
      </c>
      <c r="N2097" s="90">
        <v>1.7737854510925599</v>
      </c>
      <c r="O2097" s="90">
        <v>0.20078332692094999</v>
      </c>
      <c r="P2097" s="90">
        <v>3.5502016158560003E-2</v>
      </c>
      <c r="Q2097" s="90">
        <v>74.81648369477</v>
      </c>
      <c r="R2097" s="90">
        <v>1210</v>
      </c>
      <c r="S2097" s="90" t="s">
        <v>385</v>
      </c>
      <c r="T2097" s="90">
        <v>1210</v>
      </c>
      <c r="U2097" s="90" t="s">
        <v>378</v>
      </c>
      <c r="V2097" s="90" t="s">
        <v>244</v>
      </c>
      <c r="Z2097" s="90">
        <v>0</v>
      </c>
      <c r="AA2097" s="90">
        <v>1</v>
      </c>
      <c r="AB2097" s="90">
        <v>0.20078332692094999</v>
      </c>
      <c r="AC2097" s="90">
        <v>3.5502016158560003E-2</v>
      </c>
      <c r="AD2097" s="90">
        <v>74.816483694769303</v>
      </c>
      <c r="AF2097" s="90">
        <v>-1</v>
      </c>
      <c r="AG2097" s="90">
        <v>-1</v>
      </c>
      <c r="AH2097" s="90">
        <v>-1</v>
      </c>
      <c r="AI2097" s="90">
        <v>-1</v>
      </c>
      <c r="AJ2097" s="90">
        <v>0</v>
      </c>
      <c r="AM2097" s="90" t="s">
        <v>379</v>
      </c>
      <c r="AN2097" s="90">
        <v>-1</v>
      </c>
      <c r="AQ2097" s="90">
        <v>358</v>
      </c>
      <c r="AR2097" s="90" t="s">
        <v>422</v>
      </c>
      <c r="AS2097" s="90" t="s">
        <v>250</v>
      </c>
      <c r="AT2097" s="90" t="s">
        <v>244</v>
      </c>
      <c r="AU2097" s="90">
        <v>86.412649999999999</v>
      </c>
      <c r="AV2097" s="90">
        <v>41.6500984276555</v>
      </c>
      <c r="AW2097" s="90">
        <v>80.997147660069402</v>
      </c>
      <c r="AX2097" s="90">
        <v>6.0678413399999999E-2</v>
      </c>
    </row>
    <row r="2098" spans="1:50" x14ac:dyDescent="0.25">
      <c r="A2098" s="102">
        <v>830000</v>
      </c>
      <c r="B2098" s="102">
        <v>2400000</v>
      </c>
      <c r="C2098" s="102">
        <v>2400000</v>
      </c>
      <c r="D2098" s="90" t="s">
        <v>374</v>
      </c>
      <c r="E2098" s="90" t="s">
        <v>68</v>
      </c>
      <c r="F2098" s="90" t="s">
        <v>375</v>
      </c>
      <c r="G2098" s="90" t="s">
        <v>376</v>
      </c>
      <c r="H2098" s="90">
        <v>0.59</v>
      </c>
      <c r="I2098" s="90">
        <v>0.64</v>
      </c>
      <c r="J2098" s="90" t="s">
        <v>381</v>
      </c>
      <c r="K2098" s="90">
        <v>5.5991256504000001E-4</v>
      </c>
      <c r="L2098" s="90">
        <v>3738.0522189773901</v>
      </c>
      <c r="M2098" s="90">
        <v>10.031727283422301</v>
      </c>
      <c r="N2098" s="90">
        <v>1.7737854510925599</v>
      </c>
      <c r="O2098" s="90">
        <v>5.6168901550800003E-3</v>
      </c>
      <c r="P2098" s="90">
        <v>9.9316476175000004E-4</v>
      </c>
      <c r="Q2098" s="90">
        <v>2.09298240619604</v>
      </c>
      <c r="R2098" s="90">
        <v>1210</v>
      </c>
      <c r="S2098" s="90" t="s">
        <v>385</v>
      </c>
      <c r="T2098" s="90">
        <v>1210</v>
      </c>
      <c r="U2098" s="90" t="s">
        <v>382</v>
      </c>
      <c r="V2098" s="90" t="s">
        <v>381</v>
      </c>
      <c r="Z2098" s="90">
        <v>0</v>
      </c>
      <c r="AA2098" s="90">
        <v>1</v>
      </c>
      <c r="AB2098" s="90">
        <v>5.6168901550800003E-3</v>
      </c>
      <c r="AC2098" s="90">
        <v>9.9316476175000004E-4</v>
      </c>
      <c r="AD2098" s="90">
        <v>2.0929824061944502</v>
      </c>
      <c r="AF2098" s="90">
        <v>-1</v>
      </c>
      <c r="AG2098" s="90">
        <v>-1</v>
      </c>
      <c r="AH2098" s="90">
        <v>-1</v>
      </c>
      <c r="AI2098" s="90">
        <v>-1</v>
      </c>
      <c r="AJ2098" s="90">
        <v>0</v>
      </c>
      <c r="AM2098" s="90" t="s">
        <v>379</v>
      </c>
      <c r="AN2098" s="90">
        <v>-1</v>
      </c>
      <c r="AQ2098" s="90">
        <v>358</v>
      </c>
      <c r="AR2098" s="90" t="s">
        <v>422</v>
      </c>
      <c r="AS2098" s="90" t="s">
        <v>250</v>
      </c>
      <c r="AT2098" s="90" t="s">
        <v>244</v>
      </c>
      <c r="AU2098" s="90">
        <v>86.412649999999999</v>
      </c>
      <c r="AV2098" s="90">
        <v>31.470767878217401</v>
      </c>
      <c r="AW2098" s="90">
        <v>2.2658857598290401</v>
      </c>
      <c r="AX2098" s="90">
        <v>1.6974715E-3</v>
      </c>
    </row>
    <row r="2099" spans="1:50" x14ac:dyDescent="0.25">
      <c r="A2099" s="102">
        <v>830000</v>
      </c>
      <c r="B2099" s="102">
        <v>2400000</v>
      </c>
      <c r="C2099" s="102">
        <v>2400000</v>
      </c>
      <c r="D2099" s="90" t="s">
        <v>374</v>
      </c>
      <c r="E2099" s="90" t="s">
        <v>68</v>
      </c>
      <c r="F2099" s="90" t="s">
        <v>375</v>
      </c>
      <c r="G2099" s="90" t="s">
        <v>376</v>
      </c>
      <c r="H2099" s="90">
        <v>0.59</v>
      </c>
      <c r="I2099" s="90">
        <v>0.64</v>
      </c>
      <c r="J2099" s="90" t="s">
        <v>244</v>
      </c>
      <c r="K2099" s="90">
        <v>2.2293300651159999E-2</v>
      </c>
      <c r="L2099" s="90">
        <v>3738.0522189773901</v>
      </c>
      <c r="M2099" s="90">
        <v>10.031727283422301</v>
      </c>
      <c r="N2099" s="90">
        <v>1.7737854510925599</v>
      </c>
      <c r="O2099" s="90">
        <v>0.22364031237984999</v>
      </c>
      <c r="P2099" s="90">
        <v>3.9543532351869998E-2</v>
      </c>
      <c r="Q2099" s="90">
        <v>83.333521967428595</v>
      </c>
      <c r="R2099" s="90">
        <v>1210</v>
      </c>
      <c r="S2099" s="90" t="s">
        <v>385</v>
      </c>
      <c r="T2099" s="90">
        <v>1210</v>
      </c>
      <c r="U2099" s="90" t="s">
        <v>378</v>
      </c>
      <c r="V2099" s="90" t="s">
        <v>244</v>
      </c>
      <c r="Z2099" s="90">
        <v>0</v>
      </c>
      <c r="AA2099" s="90">
        <v>1</v>
      </c>
      <c r="AB2099" s="90">
        <v>0.22364031237984999</v>
      </c>
      <c r="AC2099" s="90">
        <v>3.9543532351869998E-2</v>
      </c>
      <c r="AD2099" s="90">
        <v>83.333521967428595</v>
      </c>
      <c r="AF2099" s="90">
        <v>-1</v>
      </c>
      <c r="AG2099" s="90">
        <v>-1</v>
      </c>
      <c r="AH2099" s="90">
        <v>-1</v>
      </c>
      <c r="AI2099" s="90">
        <v>-1</v>
      </c>
      <c r="AJ2099" s="90">
        <v>0</v>
      </c>
      <c r="AM2099" s="90" t="s">
        <v>379</v>
      </c>
      <c r="AN2099" s="90">
        <v>-1</v>
      </c>
      <c r="AQ2099" s="90">
        <v>358</v>
      </c>
      <c r="AR2099" s="90" t="s">
        <v>422</v>
      </c>
      <c r="AS2099" s="90" t="s">
        <v>250</v>
      </c>
      <c r="AT2099" s="90" t="s">
        <v>244</v>
      </c>
      <c r="AU2099" s="90">
        <v>86.412649999999999</v>
      </c>
      <c r="AV2099" s="90">
        <v>41.613664236917003</v>
      </c>
      <c r="AW2099" s="90">
        <v>90.217786916673205</v>
      </c>
      <c r="AX2099" s="90">
        <v>6.7585987E-2</v>
      </c>
    </row>
    <row r="2100" spans="1:50" x14ac:dyDescent="0.25">
      <c r="A2100" s="102">
        <v>830000</v>
      </c>
      <c r="B2100" s="102">
        <v>2400000</v>
      </c>
      <c r="C2100" s="102">
        <v>2400000</v>
      </c>
      <c r="D2100" s="90" t="s">
        <v>374</v>
      </c>
      <c r="E2100" s="90" t="s">
        <v>68</v>
      </c>
      <c r="F2100" s="90" t="s">
        <v>375</v>
      </c>
      <c r="G2100" s="90" t="s">
        <v>376</v>
      </c>
      <c r="H2100" s="90">
        <v>0.59</v>
      </c>
      <c r="I2100" s="90">
        <v>0.64</v>
      </c>
      <c r="J2100" s="90" t="s">
        <v>381</v>
      </c>
      <c r="K2100" s="90">
        <v>5.2516354791999999E-4</v>
      </c>
      <c r="L2100" s="90">
        <v>3738.0522189773901</v>
      </c>
      <c r="M2100" s="90">
        <v>10.031727283422301</v>
      </c>
      <c r="N2100" s="90">
        <v>1.7737854510925599</v>
      </c>
      <c r="O2100" s="90">
        <v>5.2682974919899999E-3</v>
      </c>
      <c r="P2100" s="90">
        <v>9.3152746075000003E-4</v>
      </c>
      <c r="Q2100" s="90">
        <v>1.9630887656545599</v>
      </c>
      <c r="R2100" s="90">
        <v>1210</v>
      </c>
      <c r="S2100" s="90" t="s">
        <v>385</v>
      </c>
      <c r="T2100" s="90">
        <v>1210</v>
      </c>
      <c r="U2100" s="90" t="s">
        <v>382</v>
      </c>
      <c r="V2100" s="90" t="s">
        <v>381</v>
      </c>
      <c r="Z2100" s="90">
        <v>0</v>
      </c>
      <c r="AA2100" s="90">
        <v>1</v>
      </c>
      <c r="AB2100" s="90">
        <v>5.2682974919899999E-3</v>
      </c>
      <c r="AC2100" s="90">
        <v>9.3152746075000003E-4</v>
      </c>
      <c r="AD2100" s="90">
        <v>1.96308876565476</v>
      </c>
      <c r="AF2100" s="90">
        <v>-1</v>
      </c>
      <c r="AG2100" s="90">
        <v>-1</v>
      </c>
      <c r="AH2100" s="90">
        <v>-1</v>
      </c>
      <c r="AI2100" s="90">
        <v>-1</v>
      </c>
      <c r="AJ2100" s="90">
        <v>0</v>
      </c>
      <c r="AM2100" s="90" t="s">
        <v>379</v>
      </c>
      <c r="AN2100" s="90">
        <v>-1</v>
      </c>
      <c r="AQ2100" s="90">
        <v>358</v>
      </c>
      <c r="AR2100" s="90" t="s">
        <v>422</v>
      </c>
      <c r="AS2100" s="90" t="s">
        <v>250</v>
      </c>
      <c r="AT2100" s="90" t="s">
        <v>244</v>
      </c>
      <c r="AU2100" s="90">
        <v>86.412649999999999</v>
      </c>
      <c r="AV2100" s="90">
        <v>29.664258897614499</v>
      </c>
      <c r="AW2100" s="90">
        <v>2.1252614767389701</v>
      </c>
      <c r="AX2100" s="90">
        <v>1.5921239000000001E-3</v>
      </c>
    </row>
    <row r="2101" spans="1:50" x14ac:dyDescent="0.25">
      <c r="A2101" s="102">
        <v>830000</v>
      </c>
      <c r="B2101" s="102">
        <v>2400000</v>
      </c>
      <c r="C2101" s="102">
        <v>2400000</v>
      </c>
      <c r="D2101" s="90" t="s">
        <v>374</v>
      </c>
      <c r="E2101" s="90" t="s">
        <v>68</v>
      </c>
      <c r="F2101" s="90" t="s">
        <v>375</v>
      </c>
      <c r="G2101" s="90" t="s">
        <v>376</v>
      </c>
      <c r="H2101" s="90">
        <v>0.59</v>
      </c>
      <c r="I2101" s="90">
        <v>0.64</v>
      </c>
      <c r="J2101" s="90" t="s">
        <v>244</v>
      </c>
      <c r="K2101" s="90">
        <v>0.23450339873191001</v>
      </c>
      <c r="L2101" s="90">
        <v>3738.0522189773901</v>
      </c>
      <c r="M2101" s="90">
        <v>10.031727283422301</v>
      </c>
      <c r="N2101" s="90">
        <v>1.7737854510925599</v>
      </c>
      <c r="O2101" s="90">
        <v>2.3524741431141698</v>
      </c>
      <c r="P2101" s="90">
        <v>0.41595871690241998</v>
      </c>
      <c r="Q2101" s="90">
        <v>876.58594998755905</v>
      </c>
      <c r="R2101" s="90">
        <v>1300</v>
      </c>
      <c r="S2101" s="90" t="s">
        <v>387</v>
      </c>
      <c r="T2101" s="90">
        <v>1300</v>
      </c>
      <c r="U2101" s="90" t="s">
        <v>378</v>
      </c>
      <c r="V2101" s="90" t="s">
        <v>244</v>
      </c>
      <c r="Z2101" s="90">
        <v>0</v>
      </c>
      <c r="AA2101" s="90">
        <v>1</v>
      </c>
      <c r="AB2101" s="90">
        <v>2.3524741431141698</v>
      </c>
      <c r="AC2101" s="90">
        <v>0.41595871690241998</v>
      </c>
      <c r="AD2101" s="90">
        <v>876.58594998755905</v>
      </c>
      <c r="AF2101" s="90">
        <v>-1</v>
      </c>
      <c r="AG2101" s="90">
        <v>-1</v>
      </c>
      <c r="AH2101" s="90">
        <v>-1</v>
      </c>
      <c r="AI2101" s="90">
        <v>-1</v>
      </c>
      <c r="AJ2101" s="90">
        <v>0</v>
      </c>
      <c r="AM2101" s="90" t="s">
        <v>379</v>
      </c>
      <c r="AN2101" s="90">
        <v>-1</v>
      </c>
      <c r="AQ2101" s="90">
        <v>358</v>
      </c>
      <c r="AR2101" s="90" t="s">
        <v>422</v>
      </c>
      <c r="AS2101" s="90" t="s">
        <v>250</v>
      </c>
      <c r="AT2101" s="90" t="s">
        <v>244</v>
      </c>
      <c r="AU2101" s="90">
        <v>86.412649999999999</v>
      </c>
      <c r="AV2101" s="90">
        <v>124.035774912774</v>
      </c>
      <c r="AW2101" s="90">
        <v>949.00158523286098</v>
      </c>
      <c r="AX2101" s="90">
        <v>0.71093751009999995</v>
      </c>
    </row>
    <row r="2102" spans="1:50" x14ac:dyDescent="0.25">
      <c r="A2102" s="102">
        <v>830000</v>
      </c>
      <c r="B2102" s="102">
        <v>2400000</v>
      </c>
      <c r="C2102" s="102">
        <v>2400000</v>
      </c>
      <c r="D2102" s="90" t="s">
        <v>374</v>
      </c>
      <c r="E2102" s="90" t="s">
        <v>68</v>
      </c>
      <c r="F2102" s="90" t="s">
        <v>375</v>
      </c>
      <c r="G2102" s="90" t="s">
        <v>376</v>
      </c>
      <c r="H2102" s="90">
        <v>0.59</v>
      </c>
      <c r="I2102" s="90">
        <v>0.64</v>
      </c>
      <c r="J2102" s="90" t="s">
        <v>244</v>
      </c>
      <c r="K2102" s="90">
        <v>6.1851085447199999E-3</v>
      </c>
      <c r="L2102" s="90">
        <v>3768.66542927504</v>
      </c>
      <c r="M2102" s="90">
        <v>10.136910725021099</v>
      </c>
      <c r="N2102" s="90">
        <v>1.85697628508424</v>
      </c>
      <c r="O2102" s="90">
        <v>6.2697893142469999E-2</v>
      </c>
      <c r="P2102" s="90">
        <v>1.1485599888230001E-2</v>
      </c>
      <c r="Q2102" s="90">
        <v>23.309604748830001</v>
      </c>
      <c r="R2102" s="90">
        <v>1300</v>
      </c>
      <c r="S2102" s="90" t="s">
        <v>387</v>
      </c>
      <c r="T2102" s="90">
        <v>1300</v>
      </c>
      <c r="U2102" s="90" t="s">
        <v>378</v>
      </c>
      <c r="V2102" s="90" t="s">
        <v>244</v>
      </c>
      <c r="Z2102" s="90">
        <v>0</v>
      </c>
      <c r="AA2102" s="90">
        <v>1</v>
      </c>
      <c r="AB2102" s="90">
        <v>6.2697893142469999E-2</v>
      </c>
      <c r="AC2102" s="90">
        <v>1.1485599888230001E-2</v>
      </c>
      <c r="AD2102" s="90">
        <v>31.873671295631599</v>
      </c>
      <c r="AF2102" s="90">
        <v>-1</v>
      </c>
      <c r="AG2102" s="90">
        <v>-1</v>
      </c>
      <c r="AH2102" s="90">
        <v>-1</v>
      </c>
      <c r="AI2102" s="90">
        <v>-1</v>
      </c>
      <c r="AJ2102" s="90">
        <v>0</v>
      </c>
      <c r="AM2102" s="90" t="s">
        <v>379</v>
      </c>
      <c r="AN2102" s="90">
        <v>-1</v>
      </c>
      <c r="AQ2102" s="90">
        <v>358</v>
      </c>
      <c r="AR2102" s="90" t="s">
        <v>422</v>
      </c>
      <c r="AS2102" s="90" t="s">
        <v>250</v>
      </c>
      <c r="AT2102" s="90" t="s">
        <v>244</v>
      </c>
      <c r="AU2102" s="90">
        <v>86.412649999999999</v>
      </c>
      <c r="AV2102" s="90">
        <v>169.271190147358</v>
      </c>
      <c r="AW2102" s="90">
        <v>25.030246237472401</v>
      </c>
      <c r="AX2102" s="90">
        <v>2.5850503899999999E-2</v>
      </c>
    </row>
    <row r="2103" spans="1:50" x14ac:dyDescent="0.25">
      <c r="A2103" s="102">
        <v>830000</v>
      </c>
      <c r="B2103" s="102">
        <v>2400000</v>
      </c>
      <c r="C2103" s="102">
        <v>2400000</v>
      </c>
      <c r="D2103" s="90" t="s">
        <v>374</v>
      </c>
      <c r="E2103" s="90" t="s">
        <v>68</v>
      </c>
      <c r="F2103" s="90" t="s">
        <v>375</v>
      </c>
      <c r="G2103" s="90" t="s">
        <v>376</v>
      </c>
      <c r="H2103" s="90">
        <v>0.59</v>
      </c>
      <c r="I2103" s="90">
        <v>0.64</v>
      </c>
      <c r="J2103" s="90" t="s">
        <v>381</v>
      </c>
      <c r="K2103" s="90">
        <v>0.20723748960888999</v>
      </c>
      <c r="L2103" s="90">
        <v>3768.66542927504</v>
      </c>
      <c r="M2103" s="90">
        <v>10.136910725021099</v>
      </c>
      <c r="N2103" s="90">
        <v>1.85697628508424</v>
      </c>
      <c r="O2103" s="90">
        <v>2.10074793104291</v>
      </c>
      <c r="P2103" s="90">
        <v>0.38483510358410999</v>
      </c>
      <c r="Q2103" s="90">
        <v>781.00876273880294</v>
      </c>
      <c r="R2103" s="90">
        <v>1300</v>
      </c>
      <c r="S2103" s="90" t="s">
        <v>387</v>
      </c>
      <c r="T2103" s="90">
        <v>1300</v>
      </c>
      <c r="U2103" s="90" t="s">
        <v>382</v>
      </c>
      <c r="V2103" s="90" t="s">
        <v>381</v>
      </c>
      <c r="Z2103" s="90">
        <v>0</v>
      </c>
      <c r="AA2103" s="90">
        <v>1</v>
      </c>
      <c r="AB2103" s="90">
        <v>2.10074793104291</v>
      </c>
      <c r="AC2103" s="90">
        <v>0.38483510358410999</v>
      </c>
      <c r="AD2103" s="90">
        <v>892.55793943311301</v>
      </c>
      <c r="AF2103" s="90">
        <v>-1</v>
      </c>
      <c r="AG2103" s="90">
        <v>-1</v>
      </c>
      <c r="AH2103" s="90">
        <v>-1</v>
      </c>
      <c r="AI2103" s="90">
        <v>-1</v>
      </c>
      <c r="AJ2103" s="90">
        <v>0</v>
      </c>
      <c r="AM2103" s="90" t="s">
        <v>379</v>
      </c>
      <c r="AN2103" s="90">
        <v>-1</v>
      </c>
      <c r="AQ2103" s="90">
        <v>358</v>
      </c>
      <c r="AR2103" s="90" t="s">
        <v>422</v>
      </c>
      <c r="AS2103" s="90" t="s">
        <v>250</v>
      </c>
      <c r="AT2103" s="90" t="s">
        <v>244</v>
      </c>
      <c r="AU2103" s="90">
        <v>86.412649999999999</v>
      </c>
      <c r="AV2103" s="90">
        <v>136.37283532908501</v>
      </c>
      <c r="AW2103" s="90">
        <v>838.660365785826</v>
      </c>
      <c r="AX2103" s="90">
        <v>0.72389127289999999</v>
      </c>
    </row>
    <row r="2104" spans="1:50" x14ac:dyDescent="0.25">
      <c r="A2104" s="102">
        <v>830000</v>
      </c>
      <c r="B2104" s="102">
        <v>2400000</v>
      </c>
      <c r="C2104" s="102">
        <v>2400000</v>
      </c>
      <c r="D2104" s="90" t="s">
        <v>374</v>
      </c>
      <c r="E2104" s="90" t="s">
        <v>68</v>
      </c>
      <c r="F2104" s="90" t="s">
        <v>375</v>
      </c>
      <c r="G2104" s="90" t="s">
        <v>376</v>
      </c>
      <c r="H2104" s="90">
        <v>0.59</v>
      </c>
      <c r="I2104" s="90">
        <v>0.64</v>
      </c>
      <c r="J2104" s="90" t="s">
        <v>244</v>
      </c>
      <c r="K2104" s="90">
        <v>5.4112535192500002E-3</v>
      </c>
      <c r="L2104" s="90">
        <v>3768.66542927504</v>
      </c>
      <c r="M2104" s="90">
        <v>10.136910725021099</v>
      </c>
      <c r="N2104" s="90">
        <v>1.85697628508424</v>
      </c>
      <c r="O2104" s="90">
        <v>5.4853393835139999E-2</v>
      </c>
      <c r="P2104" s="90">
        <v>1.004856945783E-2</v>
      </c>
      <c r="Q2104" s="90">
        <v>20.393204067059202</v>
      </c>
      <c r="R2104" s="90">
        <v>1210</v>
      </c>
      <c r="S2104" s="90" t="s">
        <v>385</v>
      </c>
      <c r="T2104" s="90">
        <v>1210</v>
      </c>
      <c r="U2104" s="90" t="s">
        <v>378</v>
      </c>
      <c r="V2104" s="90" t="s">
        <v>244</v>
      </c>
      <c r="Z2104" s="90">
        <v>0</v>
      </c>
      <c r="AA2104" s="90">
        <v>1</v>
      </c>
      <c r="AB2104" s="90">
        <v>5.4853393835139999E-2</v>
      </c>
      <c r="AC2104" s="90">
        <v>1.004856945783E-2</v>
      </c>
      <c r="AD2104" s="90">
        <v>20.3932040670581</v>
      </c>
      <c r="AF2104" s="90">
        <v>-1</v>
      </c>
      <c r="AG2104" s="90">
        <v>-1</v>
      </c>
      <c r="AH2104" s="90">
        <v>-1</v>
      </c>
      <c r="AI2104" s="90">
        <v>-1</v>
      </c>
      <c r="AJ2104" s="90">
        <v>0</v>
      </c>
      <c r="AM2104" s="90" t="s">
        <v>379</v>
      </c>
      <c r="AN2104" s="90">
        <v>-1</v>
      </c>
      <c r="AQ2104" s="90">
        <v>358</v>
      </c>
      <c r="AR2104" s="90" t="s">
        <v>422</v>
      </c>
      <c r="AS2104" s="90" t="s">
        <v>250</v>
      </c>
      <c r="AT2104" s="90" t="s">
        <v>244</v>
      </c>
      <c r="AU2104" s="90">
        <v>86.412649999999999</v>
      </c>
      <c r="AV2104" s="90">
        <v>23.847480764900901</v>
      </c>
      <c r="AW2104" s="90">
        <v>21.898566057630401</v>
      </c>
      <c r="AX2104" s="90">
        <v>1.6539500499999998E-2</v>
      </c>
    </row>
    <row r="2105" spans="1:50" x14ac:dyDescent="0.25">
      <c r="A2105" s="102">
        <v>830000</v>
      </c>
      <c r="B2105" s="102">
        <v>2400000</v>
      </c>
      <c r="C2105" s="102">
        <v>2400000</v>
      </c>
      <c r="D2105" s="90" t="s">
        <v>374</v>
      </c>
      <c r="E2105" s="90" t="s">
        <v>68</v>
      </c>
      <c r="F2105" s="90" t="s">
        <v>375</v>
      </c>
      <c r="G2105" s="90" t="s">
        <v>376</v>
      </c>
      <c r="H2105" s="90">
        <v>0.59</v>
      </c>
      <c r="I2105" s="90">
        <v>0.64</v>
      </c>
      <c r="J2105" s="90" t="s">
        <v>244</v>
      </c>
      <c r="K2105" s="90">
        <v>1.358774182429E-2</v>
      </c>
      <c r="L2105" s="90">
        <v>3768.66542927504</v>
      </c>
      <c r="M2105" s="90">
        <v>10.136910725021099</v>
      </c>
      <c r="N2105" s="90">
        <v>1.85697628508424</v>
      </c>
      <c r="O2105" s="90">
        <v>0.13773772582749</v>
      </c>
      <c r="P2105" s="90">
        <v>2.5232114335550001E-2</v>
      </c>
      <c r="Q2105" s="90">
        <v>51.2076528751276</v>
      </c>
      <c r="R2105" s="90">
        <v>1210</v>
      </c>
      <c r="S2105" s="90" t="s">
        <v>385</v>
      </c>
      <c r="T2105" s="90">
        <v>1210</v>
      </c>
      <c r="U2105" s="90" t="s">
        <v>378</v>
      </c>
      <c r="V2105" s="90" t="s">
        <v>244</v>
      </c>
      <c r="Z2105" s="90">
        <v>0</v>
      </c>
      <c r="AA2105" s="90">
        <v>1</v>
      </c>
      <c r="AB2105" s="90">
        <v>0.13773772582749</v>
      </c>
      <c r="AC2105" s="90">
        <v>2.5232114335550001E-2</v>
      </c>
      <c r="AD2105" s="90">
        <v>51.207652875128701</v>
      </c>
      <c r="AF2105" s="90">
        <v>-1</v>
      </c>
      <c r="AG2105" s="90">
        <v>-1</v>
      </c>
      <c r="AH2105" s="90">
        <v>-1</v>
      </c>
      <c r="AI2105" s="90">
        <v>-1</v>
      </c>
      <c r="AJ2105" s="90">
        <v>0</v>
      </c>
      <c r="AM2105" s="90" t="s">
        <v>379</v>
      </c>
      <c r="AN2105" s="90">
        <v>-1</v>
      </c>
      <c r="AQ2105" s="90">
        <v>358</v>
      </c>
      <c r="AR2105" s="90" t="s">
        <v>422</v>
      </c>
      <c r="AS2105" s="90" t="s">
        <v>250</v>
      </c>
      <c r="AT2105" s="90" t="s">
        <v>244</v>
      </c>
      <c r="AU2105" s="90">
        <v>86.412649999999999</v>
      </c>
      <c r="AV2105" s="90">
        <v>41.186291866445302</v>
      </c>
      <c r="AW2105" s="90">
        <v>54.987640267554298</v>
      </c>
      <c r="AX2105" s="90">
        <v>4.1530943100000002E-2</v>
      </c>
    </row>
    <row r="2106" spans="1:50" x14ac:dyDescent="0.25">
      <c r="A2106" s="102">
        <v>830000</v>
      </c>
      <c r="B2106" s="102">
        <v>2400000</v>
      </c>
      <c r="C2106" s="102">
        <v>2400000</v>
      </c>
      <c r="D2106" s="90" t="s">
        <v>374</v>
      </c>
      <c r="E2106" s="90" t="s">
        <v>68</v>
      </c>
      <c r="F2106" s="90" t="s">
        <v>375</v>
      </c>
      <c r="G2106" s="90" t="s">
        <v>376</v>
      </c>
      <c r="H2106" s="90">
        <v>0.59</v>
      </c>
      <c r="I2106" s="90">
        <v>0.64</v>
      </c>
      <c r="J2106" s="90" t="s">
        <v>244</v>
      </c>
      <c r="K2106" s="90">
        <v>1.507880706464E-2</v>
      </c>
      <c r="L2106" s="90">
        <v>3768.66542927504</v>
      </c>
      <c r="M2106" s="90">
        <v>10.136910725021099</v>
      </c>
      <c r="N2106" s="90">
        <v>1.85697628508424</v>
      </c>
      <c r="O2106" s="90">
        <v>0.15285252105406999</v>
      </c>
      <c r="P2106" s="90">
        <v>2.8000987126390001E-2</v>
      </c>
      <c r="Q2106" s="90">
        <v>56.826978899217004</v>
      </c>
      <c r="R2106" s="90">
        <v>1210</v>
      </c>
      <c r="S2106" s="90" t="s">
        <v>385</v>
      </c>
      <c r="T2106" s="90">
        <v>1210</v>
      </c>
      <c r="U2106" s="90" t="s">
        <v>378</v>
      </c>
      <c r="V2106" s="90" t="s">
        <v>244</v>
      </c>
      <c r="Z2106" s="90">
        <v>0</v>
      </c>
      <c r="AA2106" s="90">
        <v>1</v>
      </c>
      <c r="AB2106" s="90">
        <v>0.15285252105406999</v>
      </c>
      <c r="AC2106" s="90">
        <v>2.8000987126390001E-2</v>
      </c>
      <c r="AD2106" s="90">
        <v>56.8269788992163</v>
      </c>
      <c r="AF2106" s="90">
        <v>-1</v>
      </c>
      <c r="AG2106" s="90">
        <v>-1</v>
      </c>
      <c r="AH2106" s="90">
        <v>-1</v>
      </c>
      <c r="AI2106" s="90">
        <v>-1</v>
      </c>
      <c r="AJ2106" s="90">
        <v>0</v>
      </c>
      <c r="AM2106" s="90" t="s">
        <v>379</v>
      </c>
      <c r="AN2106" s="90">
        <v>-1</v>
      </c>
      <c r="AQ2106" s="90">
        <v>358</v>
      </c>
      <c r="AR2106" s="90" t="s">
        <v>422</v>
      </c>
      <c r="AS2106" s="90" t="s">
        <v>250</v>
      </c>
      <c r="AT2106" s="90" t="s">
        <v>244</v>
      </c>
      <c r="AU2106" s="90">
        <v>86.412649999999999</v>
      </c>
      <c r="AV2106" s="90">
        <v>51.151963436990101</v>
      </c>
      <c r="AW2106" s="90">
        <v>61.021767211668198</v>
      </c>
      <c r="AX2106" s="90">
        <v>4.6088385199999998E-2</v>
      </c>
    </row>
    <row r="2107" spans="1:50" x14ac:dyDescent="0.25">
      <c r="A2107" s="102">
        <v>830000</v>
      </c>
      <c r="B2107" s="102">
        <v>2400000</v>
      </c>
      <c r="C2107" s="102">
        <v>2400000</v>
      </c>
      <c r="D2107" s="90" t="s">
        <v>374</v>
      </c>
      <c r="E2107" s="90" t="s">
        <v>68</v>
      </c>
      <c r="F2107" s="90" t="s">
        <v>375</v>
      </c>
      <c r="G2107" s="90" t="s">
        <v>376</v>
      </c>
      <c r="H2107" s="90">
        <v>0.59</v>
      </c>
      <c r="I2107" s="90">
        <v>0.64</v>
      </c>
      <c r="J2107" s="90" t="s">
        <v>244</v>
      </c>
      <c r="K2107" s="90">
        <v>3.6544708863500003E-2</v>
      </c>
      <c r="L2107" s="90">
        <v>3768.66542927504</v>
      </c>
      <c r="M2107" s="90">
        <v>10.136910725021099</v>
      </c>
      <c r="N2107" s="90">
        <v>1.85697628508424</v>
      </c>
      <c r="O2107" s="90">
        <v>0.37045045122128001</v>
      </c>
      <c r="P2107" s="90">
        <v>6.7862657704839999E-2</v>
      </c>
      <c r="Q2107" s="90">
        <v>137.724780916827</v>
      </c>
      <c r="R2107" s="90">
        <v>1330</v>
      </c>
      <c r="S2107" s="90" t="s">
        <v>397</v>
      </c>
      <c r="T2107" s="90">
        <v>1330</v>
      </c>
      <c r="U2107" s="90" t="s">
        <v>378</v>
      </c>
      <c r="V2107" s="90" t="s">
        <v>244</v>
      </c>
      <c r="Z2107" s="90">
        <v>0</v>
      </c>
      <c r="AA2107" s="90">
        <v>1</v>
      </c>
      <c r="AB2107" s="90">
        <v>0.37045045122128001</v>
      </c>
      <c r="AC2107" s="90">
        <v>6.7862657704839999E-2</v>
      </c>
      <c r="AD2107" s="90">
        <v>137.72478091682601</v>
      </c>
      <c r="AF2107" s="90">
        <v>-1</v>
      </c>
      <c r="AG2107" s="90">
        <v>-1</v>
      </c>
      <c r="AH2107" s="90">
        <v>-1</v>
      </c>
      <c r="AI2107" s="90">
        <v>-1</v>
      </c>
      <c r="AJ2107" s="90">
        <v>0</v>
      </c>
      <c r="AM2107" s="90" t="s">
        <v>379</v>
      </c>
      <c r="AN2107" s="90">
        <v>-1</v>
      </c>
      <c r="AQ2107" s="90">
        <v>358</v>
      </c>
      <c r="AR2107" s="90" t="s">
        <v>422</v>
      </c>
      <c r="AS2107" s="90" t="s">
        <v>250</v>
      </c>
      <c r="AT2107" s="90" t="s">
        <v>244</v>
      </c>
      <c r="AU2107" s="90">
        <v>86.412649999999999</v>
      </c>
      <c r="AV2107" s="90">
        <v>66.553231122490899</v>
      </c>
      <c r="AW2107" s="90">
        <v>147.89118976902799</v>
      </c>
      <c r="AX2107" s="90">
        <v>0.1116989302</v>
      </c>
    </row>
    <row r="2108" spans="1:50" x14ac:dyDescent="0.25">
      <c r="A2108" s="102">
        <v>830000</v>
      </c>
      <c r="B2108" s="102">
        <v>2400000</v>
      </c>
      <c r="C2108" s="102">
        <v>2400000</v>
      </c>
      <c r="D2108" s="90" t="s">
        <v>374</v>
      </c>
      <c r="E2108" s="90" t="s">
        <v>68</v>
      </c>
      <c r="F2108" s="90" t="s">
        <v>375</v>
      </c>
      <c r="G2108" s="90" t="s">
        <v>376</v>
      </c>
      <c r="H2108" s="90">
        <v>0.59</v>
      </c>
      <c r="I2108" s="90">
        <v>0.64</v>
      </c>
      <c r="J2108" s="90" t="s">
        <v>244</v>
      </c>
      <c r="K2108" s="90">
        <v>5.4506469402199999E-3</v>
      </c>
      <c r="L2108" s="90">
        <v>3768.66542927504</v>
      </c>
      <c r="M2108" s="90">
        <v>10.136910725021099</v>
      </c>
      <c r="N2108" s="90">
        <v>1.85697628508424</v>
      </c>
      <c r="O2108" s="90">
        <v>5.5252721426639999E-2</v>
      </c>
      <c r="P2108" s="90">
        <v>1.012172210635E-2</v>
      </c>
      <c r="Q2108" s="90">
        <v>20.541664690798399</v>
      </c>
      <c r="R2108" s="90">
        <v>1330</v>
      </c>
      <c r="S2108" s="90" t="s">
        <v>397</v>
      </c>
      <c r="T2108" s="90">
        <v>1330</v>
      </c>
      <c r="U2108" s="90" t="s">
        <v>378</v>
      </c>
      <c r="V2108" s="90" t="s">
        <v>244</v>
      </c>
      <c r="Z2108" s="90">
        <v>0</v>
      </c>
      <c r="AA2108" s="90">
        <v>1</v>
      </c>
      <c r="AB2108" s="90">
        <v>5.5252721426639999E-2</v>
      </c>
      <c r="AC2108" s="90">
        <v>1.012172210635E-2</v>
      </c>
      <c r="AD2108" s="90">
        <v>55.628547456845801</v>
      </c>
      <c r="AF2108" s="90">
        <v>-1</v>
      </c>
      <c r="AG2108" s="90">
        <v>-1</v>
      </c>
      <c r="AH2108" s="90">
        <v>-1</v>
      </c>
      <c r="AI2108" s="90">
        <v>-1</v>
      </c>
      <c r="AJ2108" s="90">
        <v>0</v>
      </c>
      <c r="AM2108" s="90" t="s">
        <v>379</v>
      </c>
      <c r="AN2108" s="90">
        <v>-1</v>
      </c>
      <c r="AQ2108" s="90">
        <v>358</v>
      </c>
      <c r="AR2108" s="90" t="s">
        <v>422</v>
      </c>
      <c r="AS2108" s="90" t="s">
        <v>250</v>
      </c>
      <c r="AT2108" s="90" t="s">
        <v>244</v>
      </c>
      <c r="AU2108" s="90">
        <v>86.412649999999999</v>
      </c>
      <c r="AV2108" s="90">
        <v>23.280289712347201</v>
      </c>
      <c r="AW2108" s="90">
        <v>22.057985576273499</v>
      </c>
      <c r="AX2108" s="90">
        <v>4.5116421300000001E-2</v>
      </c>
    </row>
    <row r="2109" spans="1:50" x14ac:dyDescent="0.25">
      <c r="A2109" s="102">
        <v>830000</v>
      </c>
      <c r="B2109" s="102">
        <v>2400000</v>
      </c>
      <c r="C2109" s="102">
        <v>2400000</v>
      </c>
      <c r="D2109" s="90" t="s">
        <v>374</v>
      </c>
      <c r="E2109" s="90" t="s">
        <v>68</v>
      </c>
      <c r="F2109" s="90" t="s">
        <v>375</v>
      </c>
      <c r="G2109" s="90" t="s">
        <v>376</v>
      </c>
      <c r="H2109" s="90">
        <v>0.59</v>
      </c>
      <c r="I2109" s="90">
        <v>0.64</v>
      </c>
      <c r="J2109" s="90" t="s">
        <v>244</v>
      </c>
      <c r="K2109" s="90">
        <v>5.2392392381570001E-2</v>
      </c>
      <c r="L2109" s="90">
        <v>3768.66542927504</v>
      </c>
      <c r="M2109" s="90">
        <v>10.136910725021099</v>
      </c>
      <c r="N2109" s="90">
        <v>1.85697628508424</v>
      </c>
      <c r="O2109" s="90">
        <v>0.53109700424230999</v>
      </c>
      <c r="P2109" s="90">
        <v>9.7291430171409995E-2</v>
      </c>
      <c r="Q2109" s="90">
        <v>197.44939792545799</v>
      </c>
      <c r="R2109" s="90">
        <v>1330</v>
      </c>
      <c r="S2109" s="90" t="s">
        <v>397</v>
      </c>
      <c r="T2109" s="90">
        <v>1330</v>
      </c>
      <c r="U2109" s="90" t="s">
        <v>378</v>
      </c>
      <c r="V2109" s="90" t="s">
        <v>244</v>
      </c>
      <c r="Z2109" s="90">
        <v>0</v>
      </c>
      <c r="AA2109" s="90">
        <v>1</v>
      </c>
      <c r="AB2109" s="90">
        <v>0.53109700424230999</v>
      </c>
      <c r="AC2109" s="90">
        <v>9.7291430171409995E-2</v>
      </c>
      <c r="AD2109" s="90">
        <v>493.10898689561498</v>
      </c>
      <c r="AF2109" s="90">
        <v>-1</v>
      </c>
      <c r="AG2109" s="90">
        <v>-1</v>
      </c>
      <c r="AH2109" s="90">
        <v>-1</v>
      </c>
      <c r="AI2109" s="90">
        <v>-1</v>
      </c>
      <c r="AJ2109" s="90">
        <v>0</v>
      </c>
      <c r="AM2109" s="90" t="s">
        <v>379</v>
      </c>
      <c r="AN2109" s="90">
        <v>-1</v>
      </c>
      <c r="AQ2109" s="90">
        <v>358</v>
      </c>
      <c r="AR2109" s="90" t="s">
        <v>422</v>
      </c>
      <c r="AS2109" s="90" t="s">
        <v>250</v>
      </c>
      <c r="AT2109" s="90" t="s">
        <v>244</v>
      </c>
      <c r="AU2109" s="90">
        <v>86.412649999999999</v>
      </c>
      <c r="AV2109" s="90">
        <v>68.137033107325806</v>
      </c>
      <c r="AW2109" s="90">
        <v>212.02448959428</v>
      </c>
      <c r="AX2109" s="90">
        <v>0.39992618559999998</v>
      </c>
    </row>
    <row r="2110" spans="1:50" x14ac:dyDescent="0.25">
      <c r="A2110" s="102">
        <v>830000</v>
      </c>
      <c r="B2110" s="102">
        <v>2400000</v>
      </c>
      <c r="C2110" s="102">
        <v>2400000</v>
      </c>
      <c r="D2110" s="90" t="s">
        <v>374</v>
      </c>
      <c r="E2110" s="90" t="s">
        <v>68</v>
      </c>
      <c r="F2110" s="90" t="s">
        <v>375</v>
      </c>
      <c r="G2110" s="90" t="s">
        <v>376</v>
      </c>
      <c r="H2110" s="90">
        <v>0.59</v>
      </c>
      <c r="I2110" s="90">
        <v>0.64</v>
      </c>
      <c r="J2110" s="90" t="s">
        <v>244</v>
      </c>
      <c r="K2110" s="90">
        <v>0.15624151856724999</v>
      </c>
      <c r="L2110" s="90">
        <v>3768.66542927504</v>
      </c>
      <c r="M2110" s="90">
        <v>10.136910725021099</v>
      </c>
      <c r="N2110" s="90">
        <v>1.85697628508424</v>
      </c>
      <c r="O2110" s="90">
        <v>1.5838063252579899</v>
      </c>
      <c r="P2110" s="90">
        <v>0.29013679472493997</v>
      </c>
      <c r="Q2110" s="90">
        <v>588.82200964184403</v>
      </c>
      <c r="R2110" s="90">
        <v>1330</v>
      </c>
      <c r="S2110" s="90" t="s">
        <v>397</v>
      </c>
      <c r="T2110" s="90">
        <v>1330</v>
      </c>
      <c r="U2110" s="90" t="s">
        <v>378</v>
      </c>
      <c r="V2110" s="90" t="s">
        <v>244</v>
      </c>
      <c r="Z2110" s="90">
        <v>0</v>
      </c>
      <c r="AA2110" s="90">
        <v>1</v>
      </c>
      <c r="AB2110" s="90">
        <v>1.5838063252579899</v>
      </c>
      <c r="AC2110" s="90">
        <v>0.29013679472493997</v>
      </c>
      <c r="AD2110" s="90">
        <v>588.82200964184403</v>
      </c>
      <c r="AF2110" s="90">
        <v>-1</v>
      </c>
      <c r="AG2110" s="90">
        <v>-1</v>
      </c>
      <c r="AH2110" s="90">
        <v>-1</v>
      </c>
      <c r="AI2110" s="90">
        <v>-1</v>
      </c>
      <c r="AJ2110" s="90">
        <v>0</v>
      </c>
      <c r="AM2110" s="90" t="s">
        <v>379</v>
      </c>
      <c r="AN2110" s="90">
        <v>-1</v>
      </c>
      <c r="AQ2110" s="90">
        <v>358</v>
      </c>
      <c r="AR2110" s="90" t="s">
        <v>422</v>
      </c>
      <c r="AS2110" s="90" t="s">
        <v>250</v>
      </c>
      <c r="AT2110" s="90" t="s">
        <v>244</v>
      </c>
      <c r="AU2110" s="90">
        <v>86.412649999999999</v>
      </c>
      <c r="AV2110" s="90">
        <v>101.029431503537</v>
      </c>
      <c r="AW2110" s="90">
        <v>632.286992859419</v>
      </c>
      <c r="AX2110" s="90">
        <v>0.47755231930000003</v>
      </c>
    </row>
    <row r="2111" spans="1:50" x14ac:dyDescent="0.25">
      <c r="A2111" s="102">
        <v>830000</v>
      </c>
      <c r="B2111" s="102">
        <v>2400000</v>
      </c>
      <c r="C2111" s="102">
        <v>2400000</v>
      </c>
      <c r="D2111" s="90" t="s">
        <v>374</v>
      </c>
      <c r="E2111" s="90" t="s">
        <v>68</v>
      </c>
      <c r="F2111" s="90" t="s">
        <v>375</v>
      </c>
      <c r="G2111" s="90" t="s">
        <v>376</v>
      </c>
      <c r="H2111" s="90">
        <v>0.59</v>
      </c>
      <c r="I2111" s="90">
        <v>0.64</v>
      </c>
      <c r="J2111" s="90" t="s">
        <v>244</v>
      </c>
      <c r="K2111" s="90">
        <v>0.16245526061557999</v>
      </c>
      <c r="L2111" s="90">
        <v>3753.1338398532598</v>
      </c>
      <c r="M2111" s="90">
        <v>10.606148617632501</v>
      </c>
      <c r="N2111" s="90">
        <v>1.9874967626948099</v>
      </c>
      <c r="O2111" s="90">
        <v>1.7230246378051299</v>
      </c>
      <c r="P2111" s="90">
        <v>0.32287930455621999</v>
      </c>
      <c r="Q2111" s="90">
        <v>609.71633607853698</v>
      </c>
      <c r="R2111" s="90">
        <v>1300</v>
      </c>
      <c r="S2111" s="90" t="s">
        <v>387</v>
      </c>
      <c r="T2111" s="90">
        <v>1300</v>
      </c>
      <c r="U2111" s="90" t="s">
        <v>378</v>
      </c>
      <c r="V2111" s="90" t="s">
        <v>244</v>
      </c>
      <c r="Z2111" s="90">
        <v>0</v>
      </c>
      <c r="AA2111" s="90">
        <v>1</v>
      </c>
      <c r="AB2111" s="90">
        <v>1.7230246378051299</v>
      </c>
      <c r="AC2111" s="90">
        <v>0.32287930455621999</v>
      </c>
      <c r="AD2111" s="90">
        <v>609.71633607853698</v>
      </c>
      <c r="AF2111" s="90">
        <v>-1</v>
      </c>
      <c r="AG2111" s="90">
        <v>-1</v>
      </c>
      <c r="AH2111" s="90">
        <v>-1</v>
      </c>
      <c r="AI2111" s="90">
        <v>-1</v>
      </c>
      <c r="AJ2111" s="90">
        <v>0</v>
      </c>
      <c r="AM2111" s="90" t="s">
        <v>379</v>
      </c>
      <c r="AN2111" s="90">
        <v>-1</v>
      </c>
      <c r="AQ2111" s="90">
        <v>358</v>
      </c>
      <c r="AR2111" s="90" t="s">
        <v>422</v>
      </c>
      <c r="AS2111" s="90" t="s">
        <v>250</v>
      </c>
      <c r="AT2111" s="90" t="s">
        <v>244</v>
      </c>
      <c r="AU2111" s="90">
        <v>86.412649999999999</v>
      </c>
      <c r="AV2111" s="90">
        <v>126.319122761483</v>
      </c>
      <c r="AW2111" s="90">
        <v>657.43311477484997</v>
      </c>
      <c r="AX2111" s="90">
        <v>0.494498245</v>
      </c>
    </row>
    <row r="2112" spans="1:50" x14ac:dyDescent="0.25">
      <c r="A2112" s="102">
        <v>830000</v>
      </c>
      <c r="B2112" s="102">
        <v>2400000</v>
      </c>
      <c r="C2112" s="102">
        <v>2400000</v>
      </c>
      <c r="D2112" s="90" t="s">
        <v>374</v>
      </c>
      <c r="E2112" s="90" t="s">
        <v>68</v>
      </c>
      <c r="F2112" s="90" t="s">
        <v>375</v>
      </c>
      <c r="G2112" s="90" t="s">
        <v>376</v>
      </c>
      <c r="H2112" s="90">
        <v>0.59</v>
      </c>
      <c r="I2112" s="90">
        <v>0.64</v>
      </c>
      <c r="J2112" s="90" t="s">
        <v>244</v>
      </c>
      <c r="K2112" s="90">
        <v>8.1654622103689997E-2</v>
      </c>
      <c r="L2112" s="90">
        <v>3753.1338398532598</v>
      </c>
      <c r="M2112" s="90">
        <v>10.606148617632501</v>
      </c>
      <c r="N2112" s="90">
        <v>1.9874967626948099</v>
      </c>
      <c r="O2112" s="90">
        <v>0.86604105734845005</v>
      </c>
      <c r="P2112" s="90">
        <v>0.16228829709017001</v>
      </c>
      <c r="Q2112" s="90">
        <v>306.46072539782301</v>
      </c>
      <c r="R2112" s="90">
        <v>1210</v>
      </c>
      <c r="S2112" s="90" t="s">
        <v>385</v>
      </c>
      <c r="T2112" s="90">
        <v>1210</v>
      </c>
      <c r="U2112" s="90" t="s">
        <v>378</v>
      </c>
      <c r="V2112" s="90" t="s">
        <v>244</v>
      </c>
      <c r="Z2112" s="90">
        <v>0</v>
      </c>
      <c r="AA2112" s="90">
        <v>1</v>
      </c>
      <c r="AB2112" s="90">
        <v>0.86604105734845005</v>
      </c>
      <c r="AC2112" s="90">
        <v>0.16228829709017001</v>
      </c>
      <c r="AD2112" s="90">
        <v>306.46072539782102</v>
      </c>
      <c r="AF2112" s="90">
        <v>-1</v>
      </c>
      <c r="AG2112" s="90">
        <v>-1</v>
      </c>
      <c r="AH2112" s="90">
        <v>-1</v>
      </c>
      <c r="AI2112" s="90">
        <v>-1</v>
      </c>
      <c r="AJ2112" s="90">
        <v>0</v>
      </c>
      <c r="AM2112" s="90" t="s">
        <v>379</v>
      </c>
      <c r="AN2112" s="90">
        <v>-1</v>
      </c>
      <c r="AQ2112" s="90">
        <v>358</v>
      </c>
      <c r="AR2112" s="90" t="s">
        <v>422</v>
      </c>
      <c r="AS2112" s="90" t="s">
        <v>250</v>
      </c>
      <c r="AT2112" s="90" t="s">
        <v>244</v>
      </c>
      <c r="AU2112" s="90">
        <v>86.412649999999999</v>
      </c>
      <c r="AV2112" s="90">
        <v>83.1378813555649</v>
      </c>
      <c r="AW2112" s="90">
        <v>330.444531878997</v>
      </c>
      <c r="AX2112" s="90">
        <v>0.24854884460000001</v>
      </c>
    </row>
    <row r="2113" spans="1:50" x14ac:dyDescent="0.25">
      <c r="A2113" s="102">
        <v>830000</v>
      </c>
      <c r="B2113" s="102">
        <v>2400000</v>
      </c>
      <c r="C2113" s="102">
        <v>2400000</v>
      </c>
      <c r="D2113" s="90" t="s">
        <v>374</v>
      </c>
      <c r="E2113" s="90" t="s">
        <v>68</v>
      </c>
      <c r="F2113" s="90" t="s">
        <v>375</v>
      </c>
      <c r="G2113" s="90" t="s">
        <v>376</v>
      </c>
      <c r="H2113" s="90">
        <v>0.59</v>
      </c>
      <c r="I2113" s="90">
        <v>0.64</v>
      </c>
      <c r="J2113" s="90" t="s">
        <v>244</v>
      </c>
      <c r="K2113" s="90">
        <v>0.18184388233911</v>
      </c>
      <c r="L2113" s="90">
        <v>3753.1338398532598</v>
      </c>
      <c r="M2113" s="90">
        <v>10.606148617632501</v>
      </c>
      <c r="N2113" s="90">
        <v>1.9874967626948099</v>
      </c>
      <c r="O2113" s="90">
        <v>1.9286632412959299</v>
      </c>
      <c r="P2113" s="90">
        <v>0.36141412746483997</v>
      </c>
      <c r="Q2113" s="90">
        <v>682.48442837722405</v>
      </c>
      <c r="R2113" s="90">
        <v>1300</v>
      </c>
      <c r="S2113" s="90" t="s">
        <v>387</v>
      </c>
      <c r="T2113" s="90">
        <v>1300</v>
      </c>
      <c r="U2113" s="90" t="s">
        <v>378</v>
      </c>
      <c r="V2113" s="90" t="s">
        <v>244</v>
      </c>
      <c r="Z2113" s="90">
        <v>0</v>
      </c>
      <c r="AA2113" s="90">
        <v>1</v>
      </c>
      <c r="AB2113" s="90">
        <v>1.9286632412959299</v>
      </c>
      <c r="AC2113" s="90">
        <v>0.36141412746483997</v>
      </c>
      <c r="AD2113" s="90">
        <v>682.48442837722405</v>
      </c>
      <c r="AF2113" s="90">
        <v>-1</v>
      </c>
      <c r="AG2113" s="90">
        <v>-1</v>
      </c>
      <c r="AH2113" s="90">
        <v>-1</v>
      </c>
      <c r="AI2113" s="90">
        <v>-1</v>
      </c>
      <c r="AJ2113" s="90">
        <v>0</v>
      </c>
      <c r="AM2113" s="90" t="s">
        <v>379</v>
      </c>
      <c r="AN2113" s="90">
        <v>-1</v>
      </c>
      <c r="AQ2113" s="90">
        <v>358</v>
      </c>
      <c r="AR2113" s="90" t="s">
        <v>422</v>
      </c>
      <c r="AS2113" s="90" t="s">
        <v>250</v>
      </c>
      <c r="AT2113" s="90" t="s">
        <v>244</v>
      </c>
      <c r="AU2113" s="90">
        <v>86.412649999999999</v>
      </c>
      <c r="AV2113" s="90">
        <v>110.010073922917</v>
      </c>
      <c r="AW2113" s="90">
        <v>735.89608311819302</v>
      </c>
      <c r="AX2113" s="90">
        <v>0.55351535149999997</v>
      </c>
    </row>
    <row r="2114" spans="1:50" x14ac:dyDescent="0.25">
      <c r="A2114" s="102">
        <v>830000</v>
      </c>
      <c r="B2114" s="102">
        <v>2400000</v>
      </c>
      <c r="C2114" s="102">
        <v>2400000</v>
      </c>
      <c r="D2114" s="90" t="s">
        <v>374</v>
      </c>
      <c r="E2114" s="90" t="s">
        <v>68</v>
      </c>
      <c r="F2114" s="90" t="s">
        <v>375</v>
      </c>
      <c r="G2114" s="90" t="s">
        <v>376</v>
      </c>
      <c r="H2114" s="90">
        <v>0.59</v>
      </c>
      <c r="I2114" s="90">
        <v>0.64</v>
      </c>
      <c r="J2114" s="90" t="s">
        <v>244</v>
      </c>
      <c r="K2114" s="90">
        <v>0.14856750331572999</v>
      </c>
      <c r="L2114" s="90">
        <v>3753.1338398532598</v>
      </c>
      <c r="M2114" s="90">
        <v>10.606148617632501</v>
      </c>
      <c r="N2114" s="90">
        <v>1.9874967626948099</v>
      </c>
      <c r="O2114" s="90">
        <v>1.57572901991725</v>
      </c>
      <c r="P2114" s="90">
        <v>0.29527743188166</v>
      </c>
      <c r="Q2114" s="90">
        <v>557.593724196778</v>
      </c>
      <c r="R2114" s="90">
        <v>1300</v>
      </c>
      <c r="S2114" s="90" t="s">
        <v>387</v>
      </c>
      <c r="T2114" s="90">
        <v>1300</v>
      </c>
      <c r="U2114" s="90" t="s">
        <v>378</v>
      </c>
      <c r="V2114" s="90" t="s">
        <v>244</v>
      </c>
      <c r="Z2114" s="90">
        <v>0</v>
      </c>
      <c r="AA2114" s="90">
        <v>1</v>
      </c>
      <c r="AB2114" s="90">
        <v>1.57572901991725</v>
      </c>
      <c r="AC2114" s="90">
        <v>0.29527743188166</v>
      </c>
      <c r="AD2114" s="90">
        <v>557.593724196778</v>
      </c>
      <c r="AF2114" s="90">
        <v>-1</v>
      </c>
      <c r="AG2114" s="90">
        <v>-1</v>
      </c>
      <c r="AH2114" s="90">
        <v>-1</v>
      </c>
      <c r="AI2114" s="90">
        <v>-1</v>
      </c>
      <c r="AJ2114" s="90">
        <v>0</v>
      </c>
      <c r="AM2114" s="90" t="s">
        <v>379</v>
      </c>
      <c r="AN2114" s="90">
        <v>-1</v>
      </c>
      <c r="AQ2114" s="90">
        <v>358</v>
      </c>
      <c r="AR2114" s="90" t="s">
        <v>422</v>
      </c>
      <c r="AS2114" s="90" t="s">
        <v>250</v>
      </c>
      <c r="AT2114" s="90" t="s">
        <v>244</v>
      </c>
      <c r="AU2114" s="90">
        <v>86.412649999999999</v>
      </c>
      <c r="AV2114" s="90">
        <v>102.21560711145101</v>
      </c>
      <c r="AW2114" s="90">
        <v>601.231354953194</v>
      </c>
      <c r="AX2114" s="90">
        <v>0.45222524269999997</v>
      </c>
    </row>
    <row r="2115" spans="1:50" x14ac:dyDescent="0.25">
      <c r="A2115" s="102">
        <v>830000</v>
      </c>
      <c r="B2115" s="102">
        <v>2400000</v>
      </c>
      <c r="C2115" s="102">
        <v>2400000</v>
      </c>
      <c r="D2115" s="90" t="s">
        <v>374</v>
      </c>
      <c r="E2115" s="90" t="s">
        <v>68</v>
      </c>
      <c r="F2115" s="90" t="s">
        <v>375</v>
      </c>
      <c r="G2115" s="90" t="s">
        <v>376</v>
      </c>
      <c r="H2115" s="90">
        <v>0.59</v>
      </c>
      <c r="I2115" s="90">
        <v>0.64</v>
      </c>
      <c r="J2115" s="90" t="s">
        <v>244</v>
      </c>
      <c r="K2115" s="90">
        <v>1.1762684454730001E-2</v>
      </c>
      <c r="L2115" s="90">
        <v>3753.1338398532598</v>
      </c>
      <c r="M2115" s="90">
        <v>10.606148617632501</v>
      </c>
      <c r="N2115" s="90">
        <v>1.9874967626948099</v>
      </c>
      <c r="O2115" s="90">
        <v>0.12475677946926</v>
      </c>
      <c r="P2115" s="90">
        <v>2.337829727439E-2</v>
      </c>
      <c r="Q2115" s="90">
        <v>44.146929074593103</v>
      </c>
      <c r="R2115" s="90">
        <v>1300</v>
      </c>
      <c r="S2115" s="90" t="s">
        <v>387</v>
      </c>
      <c r="T2115" s="90">
        <v>1300</v>
      </c>
      <c r="U2115" s="90" t="s">
        <v>378</v>
      </c>
      <c r="V2115" s="90" t="s">
        <v>244</v>
      </c>
      <c r="Z2115" s="90">
        <v>0</v>
      </c>
      <c r="AA2115" s="90">
        <v>1</v>
      </c>
      <c r="AB2115" s="90">
        <v>0.12475677946926</v>
      </c>
      <c r="AC2115" s="90">
        <v>2.337829727439E-2</v>
      </c>
      <c r="AD2115" s="90">
        <v>44.146929074593899</v>
      </c>
      <c r="AF2115" s="90">
        <v>-1</v>
      </c>
      <c r="AG2115" s="90">
        <v>-1</v>
      </c>
      <c r="AH2115" s="90">
        <v>-1</v>
      </c>
      <c r="AI2115" s="90">
        <v>-1</v>
      </c>
      <c r="AJ2115" s="90">
        <v>0</v>
      </c>
      <c r="AM2115" s="90" t="s">
        <v>379</v>
      </c>
      <c r="AN2115" s="90">
        <v>-1</v>
      </c>
      <c r="AQ2115" s="90">
        <v>358</v>
      </c>
      <c r="AR2115" s="90" t="s">
        <v>422</v>
      </c>
      <c r="AS2115" s="90" t="s">
        <v>250</v>
      </c>
      <c r="AT2115" s="90" t="s">
        <v>244</v>
      </c>
      <c r="AU2115" s="90">
        <v>86.412649999999999</v>
      </c>
      <c r="AV2115" s="90">
        <v>31.963227542842802</v>
      </c>
      <c r="AW2115" s="90">
        <v>47.601895130322099</v>
      </c>
      <c r="AX2115" s="90">
        <v>3.58044842E-2</v>
      </c>
    </row>
    <row r="2116" spans="1:50" x14ac:dyDescent="0.25">
      <c r="A2116" s="102">
        <v>830000</v>
      </c>
      <c r="B2116" s="102">
        <v>2400000</v>
      </c>
      <c r="C2116" s="102">
        <v>2400000</v>
      </c>
      <c r="D2116" s="90" t="s">
        <v>374</v>
      </c>
      <c r="E2116" s="90" t="s">
        <v>68</v>
      </c>
      <c r="F2116" s="90" t="s">
        <v>375</v>
      </c>
      <c r="G2116" s="90" t="s">
        <v>376</v>
      </c>
      <c r="H2116" s="90">
        <v>0.59</v>
      </c>
      <c r="I2116" s="90">
        <v>0.64</v>
      </c>
      <c r="J2116" s="90" t="s">
        <v>244</v>
      </c>
      <c r="K2116" s="90">
        <v>3.1479500700959999E-2</v>
      </c>
      <c r="L2116" s="90">
        <v>3753.1338398532598</v>
      </c>
      <c r="M2116" s="90">
        <v>10.606148617632501</v>
      </c>
      <c r="N2116" s="90">
        <v>1.9874967626948099</v>
      </c>
      <c r="O2116" s="90">
        <v>0.33387626284331001</v>
      </c>
      <c r="P2116" s="90">
        <v>6.2565405734409996E-2</v>
      </c>
      <c r="Q2116" s="90">
        <v>118.14677934248</v>
      </c>
      <c r="R2116" s="90">
        <v>1340</v>
      </c>
      <c r="S2116" s="90" t="s">
        <v>407</v>
      </c>
      <c r="T2116" s="90">
        <v>1340</v>
      </c>
      <c r="U2116" s="90" t="s">
        <v>378</v>
      </c>
      <c r="V2116" s="90" t="s">
        <v>244</v>
      </c>
      <c r="Z2116" s="90">
        <v>0</v>
      </c>
      <c r="AA2116" s="90">
        <v>1</v>
      </c>
      <c r="AB2116" s="90">
        <v>0.33387626284331001</v>
      </c>
      <c r="AC2116" s="90">
        <v>6.2565405734409996E-2</v>
      </c>
      <c r="AD2116" s="90">
        <v>118.14677934247899</v>
      </c>
      <c r="AF2116" s="90">
        <v>-1</v>
      </c>
      <c r="AG2116" s="90">
        <v>-1</v>
      </c>
      <c r="AH2116" s="90">
        <v>-1</v>
      </c>
      <c r="AI2116" s="90">
        <v>-1</v>
      </c>
      <c r="AJ2116" s="90">
        <v>0</v>
      </c>
      <c r="AM2116" s="90" t="s">
        <v>379</v>
      </c>
      <c r="AN2116" s="90">
        <v>-1</v>
      </c>
      <c r="AQ2116" s="90">
        <v>358</v>
      </c>
      <c r="AR2116" s="90" t="s">
        <v>422</v>
      </c>
      <c r="AS2116" s="90" t="s">
        <v>250</v>
      </c>
      <c r="AT2116" s="90" t="s">
        <v>244</v>
      </c>
      <c r="AU2116" s="90">
        <v>86.412649999999999</v>
      </c>
      <c r="AV2116" s="90">
        <v>82.680621630651302</v>
      </c>
      <c r="AW2116" s="90">
        <v>127.39301958564801</v>
      </c>
      <c r="AX2116" s="90">
        <v>9.5820583400000006E-2</v>
      </c>
    </row>
    <row r="2117" spans="1:50" x14ac:dyDescent="0.25">
      <c r="A2117" s="102">
        <v>830000</v>
      </c>
      <c r="B2117" s="102">
        <v>2400000</v>
      </c>
      <c r="C2117" s="102">
        <v>2400000</v>
      </c>
      <c r="D2117" s="90" t="s">
        <v>374</v>
      </c>
      <c r="E2117" s="90" t="s">
        <v>68</v>
      </c>
      <c r="F2117" s="90" t="s">
        <v>375</v>
      </c>
      <c r="G2117" s="90" t="s">
        <v>376</v>
      </c>
      <c r="H2117" s="90">
        <v>0.59</v>
      </c>
      <c r="I2117" s="90">
        <v>0.64</v>
      </c>
      <c r="J2117" s="90" t="s">
        <v>244</v>
      </c>
      <c r="K2117" s="102">
        <v>9.9435880899999993E-7</v>
      </c>
      <c r="L2117" s="90">
        <v>3754.9419571742701</v>
      </c>
      <c r="M2117" s="90">
        <v>10.573213638594</v>
      </c>
      <c r="N2117" s="90">
        <v>1.9829423717950501</v>
      </c>
      <c r="O2117" s="90">
        <v>1.0513568120000001E-5</v>
      </c>
      <c r="P2117" s="102">
        <v>1.9717562151340002E-6</v>
      </c>
      <c r="Q2117" s="90">
        <v>3.7337596123899999E-3</v>
      </c>
      <c r="R2117" s="90">
        <v>1100</v>
      </c>
      <c r="S2117" s="90" t="s">
        <v>424</v>
      </c>
      <c r="T2117" s="90">
        <v>1100</v>
      </c>
      <c r="U2117" s="90" t="s">
        <v>378</v>
      </c>
      <c r="V2117" s="90" t="s">
        <v>244</v>
      </c>
      <c r="Z2117" s="90">
        <v>0</v>
      </c>
      <c r="AA2117" s="90">
        <v>1</v>
      </c>
      <c r="AB2117" s="90">
        <v>1.0513568120000001E-5</v>
      </c>
      <c r="AC2117" s="102">
        <v>1.9717562151340002E-6</v>
      </c>
      <c r="AD2117" s="90">
        <v>3.7337596117399999E-3</v>
      </c>
      <c r="AF2117" s="90">
        <v>-1</v>
      </c>
      <c r="AG2117" s="90">
        <v>-1</v>
      </c>
      <c r="AH2117" s="90">
        <v>-1</v>
      </c>
      <c r="AI2117" s="90">
        <v>-1</v>
      </c>
      <c r="AJ2117" s="90">
        <v>0</v>
      </c>
      <c r="AM2117" s="90" t="s">
        <v>379</v>
      </c>
      <c r="AN2117" s="90">
        <v>-1</v>
      </c>
      <c r="AQ2117" s="90">
        <v>358</v>
      </c>
      <c r="AR2117" s="90" t="s">
        <v>422</v>
      </c>
      <c r="AS2117" s="90" t="s">
        <v>250</v>
      </c>
      <c r="AT2117" s="90" t="s">
        <v>244</v>
      </c>
      <c r="AU2117" s="90">
        <v>86.412649999999999</v>
      </c>
      <c r="AV2117" s="90">
        <v>1.1839441519888201</v>
      </c>
      <c r="AW2117" s="90">
        <v>4.02402733167E-3</v>
      </c>
      <c r="AX2117" s="102">
        <v>3.0281911E-6</v>
      </c>
    </row>
    <row r="2118" spans="1:50" x14ac:dyDescent="0.25">
      <c r="A2118" s="102">
        <v>830000</v>
      </c>
      <c r="B2118" s="102">
        <v>2400000</v>
      </c>
      <c r="C2118" s="102">
        <v>2400000</v>
      </c>
      <c r="D2118" s="90" t="s">
        <v>374</v>
      </c>
      <c r="E2118" s="90" t="s">
        <v>68</v>
      </c>
      <c r="F2118" s="90" t="s">
        <v>375</v>
      </c>
      <c r="G2118" s="90" t="s">
        <v>376</v>
      </c>
      <c r="H2118" s="90">
        <v>0.59</v>
      </c>
      <c r="I2118" s="90">
        <v>0.64</v>
      </c>
      <c r="J2118" s="90" t="s">
        <v>244</v>
      </c>
      <c r="K2118" s="90">
        <v>6.4726809317770001E-2</v>
      </c>
      <c r="L2118" s="90">
        <v>3754.9419571742701</v>
      </c>
      <c r="M2118" s="90">
        <v>10.573213638594</v>
      </c>
      <c r="N2118" s="90">
        <v>1.9829423717950501</v>
      </c>
      <c r="O2118" s="90">
        <v>0.68437038306138998</v>
      </c>
      <c r="P2118" s="90">
        <v>0.12834953278731001</v>
      </c>
      <c r="Q2118" s="90">
        <v>243.04541206133899</v>
      </c>
      <c r="R2118" s="90">
        <v>1200</v>
      </c>
      <c r="S2118" s="90" t="s">
        <v>384</v>
      </c>
      <c r="T2118" s="90">
        <v>1200</v>
      </c>
      <c r="U2118" s="90" t="s">
        <v>378</v>
      </c>
      <c r="V2118" s="90" t="s">
        <v>244</v>
      </c>
      <c r="Z2118" s="90">
        <v>0</v>
      </c>
      <c r="AA2118" s="90">
        <v>1</v>
      </c>
      <c r="AB2118" s="90">
        <v>0.68437038306138998</v>
      </c>
      <c r="AC2118" s="90">
        <v>0.12834953278731001</v>
      </c>
      <c r="AD2118" s="90">
        <v>243.04541206134101</v>
      </c>
      <c r="AF2118" s="90">
        <v>-1</v>
      </c>
      <c r="AG2118" s="90">
        <v>-1</v>
      </c>
      <c r="AH2118" s="90">
        <v>-1</v>
      </c>
      <c r="AI2118" s="90">
        <v>-1</v>
      </c>
      <c r="AJ2118" s="90">
        <v>0</v>
      </c>
      <c r="AM2118" s="90" t="s">
        <v>379</v>
      </c>
      <c r="AN2118" s="90">
        <v>-1</v>
      </c>
      <c r="AQ2118" s="90">
        <v>358</v>
      </c>
      <c r="AR2118" s="90" t="s">
        <v>422</v>
      </c>
      <c r="AS2118" s="90" t="s">
        <v>250</v>
      </c>
      <c r="AT2118" s="90" t="s">
        <v>244</v>
      </c>
      <c r="AU2118" s="90">
        <v>86.412649999999999</v>
      </c>
      <c r="AV2118" s="90">
        <v>110.004222073598</v>
      </c>
      <c r="AW2118" s="90">
        <v>261.940103989107</v>
      </c>
      <c r="AX2118" s="90">
        <v>0.19711712249999999</v>
      </c>
    </row>
    <row r="2119" spans="1:50" x14ac:dyDescent="0.25">
      <c r="A2119" s="102">
        <v>830000</v>
      </c>
      <c r="B2119" s="102">
        <v>2400000</v>
      </c>
      <c r="C2119" s="102">
        <v>2400000</v>
      </c>
      <c r="D2119" s="90" t="s">
        <v>374</v>
      </c>
      <c r="E2119" s="90" t="s">
        <v>68</v>
      </c>
      <c r="F2119" s="90" t="s">
        <v>375</v>
      </c>
      <c r="G2119" s="90" t="s">
        <v>376</v>
      </c>
      <c r="H2119" s="90">
        <v>0.59</v>
      </c>
      <c r="I2119" s="90">
        <v>0.64</v>
      </c>
      <c r="J2119" s="90" t="s">
        <v>244</v>
      </c>
      <c r="K2119" s="90">
        <v>0.13718562270168</v>
      </c>
      <c r="L2119" s="90">
        <v>3754.9419571742701</v>
      </c>
      <c r="M2119" s="90">
        <v>10.573213638594</v>
      </c>
      <c r="N2119" s="90">
        <v>1.9829423717950501</v>
      </c>
      <c r="O2119" s="90">
        <v>1.45049289696852</v>
      </c>
      <c r="P2119" s="90">
        <v>0.27203118405625998</v>
      </c>
      <c r="Q2119" s="90">
        <v>515.12405060365097</v>
      </c>
      <c r="R2119" s="90">
        <v>1300</v>
      </c>
      <c r="S2119" s="90" t="s">
        <v>387</v>
      </c>
      <c r="T2119" s="90">
        <v>1300</v>
      </c>
      <c r="U2119" s="90" t="s">
        <v>378</v>
      </c>
      <c r="V2119" s="90" t="s">
        <v>244</v>
      </c>
      <c r="Z2119" s="90">
        <v>0</v>
      </c>
      <c r="AA2119" s="90">
        <v>1</v>
      </c>
      <c r="AB2119" s="90">
        <v>1.45049289696852</v>
      </c>
      <c r="AC2119" s="90">
        <v>0.27203118405625998</v>
      </c>
      <c r="AD2119" s="90">
        <v>515.12405060365097</v>
      </c>
      <c r="AF2119" s="90">
        <v>-1</v>
      </c>
      <c r="AG2119" s="90">
        <v>-1</v>
      </c>
      <c r="AH2119" s="90">
        <v>-1</v>
      </c>
      <c r="AI2119" s="90">
        <v>-1</v>
      </c>
      <c r="AJ2119" s="90">
        <v>0</v>
      </c>
      <c r="AM2119" s="90" t="s">
        <v>379</v>
      </c>
      <c r="AN2119" s="90">
        <v>-1</v>
      </c>
      <c r="AQ2119" s="90">
        <v>358</v>
      </c>
      <c r="AR2119" s="90" t="s">
        <v>422</v>
      </c>
      <c r="AS2119" s="90" t="s">
        <v>250</v>
      </c>
      <c r="AT2119" s="90" t="s">
        <v>244</v>
      </c>
      <c r="AU2119" s="90">
        <v>86.412649999999999</v>
      </c>
      <c r="AV2119" s="90">
        <v>122.821829531137</v>
      </c>
      <c r="AW2119" s="90">
        <v>555.17051829127297</v>
      </c>
      <c r="AX2119" s="90">
        <v>0.4177810629</v>
      </c>
    </row>
    <row r="2120" spans="1:50" x14ac:dyDescent="0.25">
      <c r="A2120" s="102">
        <v>830000</v>
      </c>
      <c r="B2120" s="102">
        <v>2400000</v>
      </c>
      <c r="C2120" s="102">
        <v>2400000</v>
      </c>
      <c r="D2120" s="90" t="s">
        <v>374</v>
      </c>
      <c r="E2120" s="90" t="s">
        <v>68</v>
      </c>
      <c r="F2120" s="90" t="s">
        <v>375</v>
      </c>
      <c r="G2120" s="90" t="s">
        <v>376</v>
      </c>
      <c r="H2120" s="90">
        <v>0.59</v>
      </c>
      <c r="I2120" s="90">
        <v>0.64</v>
      </c>
      <c r="J2120" s="90" t="s">
        <v>381</v>
      </c>
      <c r="K2120" s="90">
        <v>4.2921576261800001E-2</v>
      </c>
      <c r="L2120" s="90">
        <v>3754.9419571742701</v>
      </c>
      <c r="M2120" s="90">
        <v>10.573213638594</v>
      </c>
      <c r="N2120" s="90">
        <v>1.9829423717950501</v>
      </c>
      <c r="O2120" s="90">
        <v>0.45381899552124</v>
      </c>
      <c r="P2120" s="90">
        <v>8.5111012233759997E-2</v>
      </c>
      <c r="Q2120" s="90">
        <v>161.16802757349501</v>
      </c>
      <c r="R2120" s="90">
        <v>1300</v>
      </c>
      <c r="S2120" s="90" t="s">
        <v>387</v>
      </c>
      <c r="T2120" s="90">
        <v>1300</v>
      </c>
      <c r="U2120" s="90" t="s">
        <v>382</v>
      </c>
      <c r="V2120" s="90" t="s">
        <v>381</v>
      </c>
      <c r="Z2120" s="90">
        <v>0</v>
      </c>
      <c r="AA2120" s="90">
        <v>1</v>
      </c>
      <c r="AB2120" s="90">
        <v>0.45381899552124</v>
      </c>
      <c r="AC2120" s="90">
        <v>8.5111012233759997E-2</v>
      </c>
      <c r="AD2120" s="90">
        <v>161.16802757349399</v>
      </c>
      <c r="AF2120" s="90">
        <v>-1</v>
      </c>
      <c r="AG2120" s="90">
        <v>-1</v>
      </c>
      <c r="AH2120" s="90">
        <v>-1</v>
      </c>
      <c r="AI2120" s="90">
        <v>-1</v>
      </c>
      <c r="AJ2120" s="90">
        <v>0</v>
      </c>
      <c r="AM2120" s="90" t="s">
        <v>379</v>
      </c>
      <c r="AN2120" s="90">
        <v>-1</v>
      </c>
      <c r="AQ2120" s="90">
        <v>358</v>
      </c>
      <c r="AR2120" s="90" t="s">
        <v>422</v>
      </c>
      <c r="AS2120" s="90" t="s">
        <v>250</v>
      </c>
      <c r="AT2120" s="90" t="s">
        <v>244</v>
      </c>
      <c r="AU2120" s="90">
        <v>86.412649999999999</v>
      </c>
      <c r="AV2120" s="90">
        <v>107.00633280077101</v>
      </c>
      <c r="AW2120" s="90">
        <v>173.69745655460301</v>
      </c>
      <c r="AX2120" s="90">
        <v>0.1307121067</v>
      </c>
    </row>
    <row r="2121" spans="1:50" x14ac:dyDescent="0.25">
      <c r="A2121" s="102">
        <v>830000</v>
      </c>
      <c r="B2121" s="102">
        <v>2400000</v>
      </c>
      <c r="C2121" s="102">
        <v>2400000</v>
      </c>
      <c r="D2121" s="90" t="s">
        <v>374</v>
      </c>
      <c r="E2121" s="90" t="s">
        <v>68</v>
      </c>
      <c r="F2121" s="90" t="s">
        <v>375</v>
      </c>
      <c r="G2121" s="90" t="s">
        <v>376</v>
      </c>
      <c r="H2121" s="90">
        <v>0.59</v>
      </c>
      <c r="I2121" s="90">
        <v>0.64</v>
      </c>
      <c r="J2121" s="90" t="s">
        <v>244</v>
      </c>
      <c r="K2121" s="90">
        <v>1.8805761952400001E-3</v>
      </c>
      <c r="L2121" s="90">
        <v>3754.9419571742701</v>
      </c>
      <c r="M2121" s="90">
        <v>10.573213638594</v>
      </c>
      <c r="N2121" s="90">
        <v>1.9829423717950501</v>
      </c>
      <c r="O2121" s="90">
        <v>1.9883733875950001E-2</v>
      </c>
      <c r="P2121" s="90">
        <v>3.7290742209300002E-3</v>
      </c>
      <c r="Q2121" s="90">
        <v>7.0614544591810997</v>
      </c>
      <c r="R2121" s="90">
        <v>1210</v>
      </c>
      <c r="S2121" s="90" t="s">
        <v>385</v>
      </c>
      <c r="T2121" s="90">
        <v>1210</v>
      </c>
      <c r="U2121" s="90" t="s">
        <v>378</v>
      </c>
      <c r="V2121" s="90" t="s">
        <v>244</v>
      </c>
      <c r="Z2121" s="90">
        <v>0</v>
      </c>
      <c r="AA2121" s="90">
        <v>1</v>
      </c>
      <c r="AB2121" s="90">
        <v>1.9883733875950001E-2</v>
      </c>
      <c r="AC2121" s="90">
        <v>3.7290742209300002E-3</v>
      </c>
      <c r="AD2121" s="90">
        <v>7.0614544591821504</v>
      </c>
      <c r="AF2121" s="90">
        <v>-1</v>
      </c>
      <c r="AG2121" s="90">
        <v>-1</v>
      </c>
      <c r="AH2121" s="90">
        <v>-1</v>
      </c>
      <c r="AI2121" s="90">
        <v>-1</v>
      </c>
      <c r="AJ2121" s="90">
        <v>0</v>
      </c>
      <c r="AM2121" s="90" t="s">
        <v>379</v>
      </c>
      <c r="AN2121" s="90">
        <v>-1</v>
      </c>
      <c r="AQ2121" s="90">
        <v>358</v>
      </c>
      <c r="AR2121" s="90" t="s">
        <v>422</v>
      </c>
      <c r="AS2121" s="90" t="s">
        <v>250</v>
      </c>
      <c r="AT2121" s="90" t="s">
        <v>244</v>
      </c>
      <c r="AU2121" s="90">
        <v>86.412649999999999</v>
      </c>
      <c r="AV2121" s="90">
        <v>35.4956608064455</v>
      </c>
      <c r="AW2121" s="90">
        <v>7.6104218535328201</v>
      </c>
      <c r="AX2121" s="90">
        <v>5.7270515000000001E-3</v>
      </c>
    </row>
    <row r="2122" spans="1:50" x14ac:dyDescent="0.25">
      <c r="A2122" s="102">
        <v>830000</v>
      </c>
      <c r="B2122" s="102">
        <v>2400000</v>
      </c>
      <c r="C2122" s="102">
        <v>2400000</v>
      </c>
      <c r="D2122" s="90" t="s">
        <v>374</v>
      </c>
      <c r="E2122" s="90" t="s">
        <v>68</v>
      </c>
      <c r="F2122" s="90" t="s">
        <v>375</v>
      </c>
      <c r="G2122" s="90" t="s">
        <v>376</v>
      </c>
      <c r="H2122" s="90">
        <v>0.59</v>
      </c>
      <c r="I2122" s="90">
        <v>0.64</v>
      </c>
      <c r="J2122" s="90" t="s">
        <v>244</v>
      </c>
      <c r="K2122" s="90">
        <v>0.35396333356711002</v>
      </c>
      <c r="L2122" s="90">
        <v>3754.9419571742701</v>
      </c>
      <c r="M2122" s="90">
        <v>10.573213638594</v>
      </c>
      <c r="N2122" s="90">
        <v>1.9829423717950501</v>
      </c>
      <c r="O2122" s="90">
        <v>3.7425299460340602</v>
      </c>
      <c r="P2122" s="90">
        <v>0.70188889219205997</v>
      </c>
      <c r="Q2122" s="90">
        <v>1329.11177251244</v>
      </c>
      <c r="R2122" s="90">
        <v>1340</v>
      </c>
      <c r="S2122" s="90" t="s">
        <v>407</v>
      </c>
      <c r="T2122" s="90">
        <v>1340</v>
      </c>
      <c r="U2122" s="90" t="s">
        <v>378</v>
      </c>
      <c r="V2122" s="90" t="s">
        <v>244</v>
      </c>
      <c r="Z2122" s="90">
        <v>0</v>
      </c>
      <c r="AA2122" s="90">
        <v>1</v>
      </c>
      <c r="AB2122" s="90">
        <v>3.7425299460340602</v>
      </c>
      <c r="AC2122" s="90">
        <v>0.70188889219205997</v>
      </c>
      <c r="AD2122" s="90">
        <v>1329.11177251244</v>
      </c>
      <c r="AF2122" s="90">
        <v>-1</v>
      </c>
      <c r="AG2122" s="90">
        <v>-1</v>
      </c>
      <c r="AH2122" s="90">
        <v>-1</v>
      </c>
      <c r="AI2122" s="90">
        <v>-1</v>
      </c>
      <c r="AJ2122" s="90">
        <v>0</v>
      </c>
      <c r="AM2122" s="90" t="s">
        <v>379</v>
      </c>
      <c r="AN2122" s="90">
        <v>-1</v>
      </c>
      <c r="AQ2122" s="90">
        <v>358</v>
      </c>
      <c r="AR2122" s="90" t="s">
        <v>422</v>
      </c>
      <c r="AS2122" s="90" t="s">
        <v>250</v>
      </c>
      <c r="AT2122" s="90" t="s">
        <v>244</v>
      </c>
      <c r="AU2122" s="90">
        <v>86.412649999999999</v>
      </c>
      <c r="AV2122" s="90">
        <v>155.456665686946</v>
      </c>
      <c r="AW2122" s="90">
        <v>1432.4387897402</v>
      </c>
      <c r="AX2122" s="90">
        <v>1.0779495316000001</v>
      </c>
    </row>
    <row r="2123" spans="1:50" x14ac:dyDescent="0.25">
      <c r="A2123" s="102">
        <v>830000</v>
      </c>
      <c r="B2123" s="102">
        <v>2400000</v>
      </c>
      <c r="C2123" s="102">
        <v>2400000</v>
      </c>
      <c r="D2123" s="90" t="s">
        <v>374</v>
      </c>
      <c r="E2123" s="90" t="s">
        <v>68</v>
      </c>
      <c r="F2123" s="90" t="s">
        <v>375</v>
      </c>
      <c r="G2123" s="90" t="s">
        <v>376</v>
      </c>
      <c r="H2123" s="90">
        <v>0.59</v>
      </c>
      <c r="I2123" s="90">
        <v>0.64</v>
      </c>
      <c r="J2123" s="90" t="s">
        <v>244</v>
      </c>
      <c r="K2123" s="90">
        <v>1.7084548625330001E-2</v>
      </c>
      <c r="L2123" s="90">
        <v>3754.9419571742701</v>
      </c>
      <c r="M2123" s="90">
        <v>10.573213638594</v>
      </c>
      <c r="N2123" s="90">
        <v>1.9829423717950501</v>
      </c>
      <c r="O2123" s="90">
        <v>0.18063858253456999</v>
      </c>
      <c r="P2123" s="90">
        <v>3.387767537216E-2</v>
      </c>
      <c r="Q2123" s="90">
        <v>64.151488452639398</v>
      </c>
      <c r="R2123" s="90">
        <v>1300</v>
      </c>
      <c r="S2123" s="90" t="s">
        <v>387</v>
      </c>
      <c r="T2123" s="90">
        <v>1300</v>
      </c>
      <c r="U2123" s="90" t="s">
        <v>378</v>
      </c>
      <c r="V2123" s="90" t="s">
        <v>244</v>
      </c>
      <c r="Z2123" s="90">
        <v>0</v>
      </c>
      <c r="AA2123" s="90">
        <v>1</v>
      </c>
      <c r="AB2123" s="90">
        <v>0.18063858253456999</v>
      </c>
      <c r="AC2123" s="90">
        <v>3.387767537216E-2</v>
      </c>
      <c r="AD2123" s="90">
        <v>64.151488452638304</v>
      </c>
      <c r="AF2123" s="90">
        <v>-1</v>
      </c>
      <c r="AG2123" s="90">
        <v>-1</v>
      </c>
      <c r="AH2123" s="90">
        <v>-1</v>
      </c>
      <c r="AI2123" s="90">
        <v>-1</v>
      </c>
      <c r="AJ2123" s="90">
        <v>0</v>
      </c>
      <c r="AM2123" s="90" t="s">
        <v>379</v>
      </c>
      <c r="AN2123" s="90">
        <v>-1</v>
      </c>
      <c r="AQ2123" s="90">
        <v>358</v>
      </c>
      <c r="AR2123" s="90" t="s">
        <v>422</v>
      </c>
      <c r="AS2123" s="90" t="s">
        <v>250</v>
      </c>
      <c r="AT2123" s="90" t="s">
        <v>244</v>
      </c>
      <c r="AU2123" s="90">
        <v>86.412649999999999</v>
      </c>
      <c r="AV2123" s="90">
        <v>61.699072541727503</v>
      </c>
      <c r="AW2123" s="90">
        <v>69.138715328224805</v>
      </c>
      <c r="AX2123" s="90">
        <v>5.2028782199999998E-2</v>
      </c>
    </row>
    <row r="2124" spans="1:50" x14ac:dyDescent="0.25">
      <c r="A2124" s="102">
        <v>830000</v>
      </c>
      <c r="B2124" s="102">
        <v>2400000</v>
      </c>
      <c r="C2124" s="102">
        <v>2400000</v>
      </c>
      <c r="D2124" s="90" t="s">
        <v>374</v>
      </c>
      <c r="E2124" s="90" t="s">
        <v>68</v>
      </c>
      <c r="F2124" s="90" t="s">
        <v>375</v>
      </c>
      <c r="G2124" s="90" t="s">
        <v>376</v>
      </c>
      <c r="H2124" s="90">
        <v>0.59</v>
      </c>
      <c r="I2124" s="90">
        <v>0.64</v>
      </c>
      <c r="J2124" s="90" t="s">
        <v>244</v>
      </c>
      <c r="K2124" s="90">
        <v>0.14658563034916999</v>
      </c>
      <c r="L2124" s="90">
        <v>3740.8351881386102</v>
      </c>
      <c r="M2124" s="90">
        <v>10.2416389965632</v>
      </c>
      <c r="N2124" s="90">
        <v>1.81992387374906</v>
      </c>
      <c r="O2124" s="90">
        <v>1.5012771081198699</v>
      </c>
      <c r="P2124" s="90">
        <v>0.26677468822101003</v>
      </c>
      <c r="Q2124" s="90">
        <v>548.35268408565798</v>
      </c>
      <c r="R2124" s="90">
        <v>1200</v>
      </c>
      <c r="S2124" s="90" t="s">
        <v>384</v>
      </c>
      <c r="T2124" s="90">
        <v>1200</v>
      </c>
      <c r="U2124" s="90" t="s">
        <v>378</v>
      </c>
      <c r="V2124" s="90" t="s">
        <v>244</v>
      </c>
      <c r="Z2124" s="90">
        <v>0</v>
      </c>
      <c r="AA2124" s="90">
        <v>1</v>
      </c>
      <c r="AB2124" s="90">
        <v>1.5012771081198699</v>
      </c>
      <c r="AC2124" s="90">
        <v>0.26677468822101003</v>
      </c>
      <c r="AD2124" s="90">
        <v>548.35268408565798</v>
      </c>
      <c r="AF2124" s="90">
        <v>-1</v>
      </c>
      <c r="AG2124" s="90">
        <v>-1</v>
      </c>
      <c r="AH2124" s="90">
        <v>-1</v>
      </c>
      <c r="AI2124" s="90">
        <v>-1</v>
      </c>
      <c r="AJ2124" s="90">
        <v>0</v>
      </c>
      <c r="AM2124" s="90" t="s">
        <v>379</v>
      </c>
      <c r="AN2124" s="90">
        <v>-1</v>
      </c>
      <c r="AQ2124" s="90">
        <v>358</v>
      </c>
      <c r="AR2124" s="90" t="s">
        <v>422</v>
      </c>
      <c r="AS2124" s="90" t="s">
        <v>250</v>
      </c>
      <c r="AT2124" s="90" t="s">
        <v>244</v>
      </c>
      <c r="AU2124" s="90">
        <v>86.412649999999999</v>
      </c>
      <c r="AV2124" s="90">
        <v>123.768275747142</v>
      </c>
      <c r="AW2124" s="90">
        <v>593.21099961009497</v>
      </c>
      <c r="AX2124" s="90">
        <v>0.44473048180000002</v>
      </c>
    </row>
    <row r="2125" spans="1:50" x14ac:dyDescent="0.25">
      <c r="A2125" s="102">
        <v>830000</v>
      </c>
      <c r="B2125" s="102">
        <v>2400000</v>
      </c>
      <c r="C2125" s="102">
        <v>2400000</v>
      </c>
      <c r="D2125" s="90" t="s">
        <v>374</v>
      </c>
      <c r="E2125" s="90" t="s">
        <v>68</v>
      </c>
      <c r="F2125" s="90" t="s">
        <v>375</v>
      </c>
      <c r="G2125" s="90" t="s">
        <v>376</v>
      </c>
      <c r="H2125" s="90">
        <v>0.59</v>
      </c>
      <c r="I2125" s="90">
        <v>0.64</v>
      </c>
      <c r="J2125" s="90" t="s">
        <v>244</v>
      </c>
      <c r="K2125" s="90">
        <v>0.17714055078294</v>
      </c>
      <c r="L2125" s="90">
        <v>3740.8351881386102</v>
      </c>
      <c r="M2125" s="90">
        <v>10.2416389965632</v>
      </c>
      <c r="N2125" s="90">
        <v>1.81992387374906</v>
      </c>
      <c r="O2125" s="90">
        <v>1.8142095727712699</v>
      </c>
      <c r="P2125" s="90">
        <v>0.32238231737892997</v>
      </c>
      <c r="Q2125" s="90">
        <v>662.65360561508396</v>
      </c>
      <c r="R2125" s="90">
        <v>1300</v>
      </c>
      <c r="S2125" s="90" t="s">
        <v>387</v>
      </c>
      <c r="T2125" s="90">
        <v>1300</v>
      </c>
      <c r="U2125" s="90" t="s">
        <v>378</v>
      </c>
      <c r="V2125" s="90" t="s">
        <v>244</v>
      </c>
      <c r="Z2125" s="90">
        <v>0</v>
      </c>
      <c r="AA2125" s="90">
        <v>1</v>
      </c>
      <c r="AB2125" s="90">
        <v>1.8142095727712699</v>
      </c>
      <c r="AC2125" s="90">
        <v>0.32238231737892997</v>
      </c>
      <c r="AD2125" s="90">
        <v>662.65360561508396</v>
      </c>
      <c r="AF2125" s="90">
        <v>-1</v>
      </c>
      <c r="AG2125" s="90">
        <v>-1</v>
      </c>
      <c r="AH2125" s="90">
        <v>-1</v>
      </c>
      <c r="AI2125" s="90">
        <v>-1</v>
      </c>
      <c r="AJ2125" s="90">
        <v>0</v>
      </c>
      <c r="AM2125" s="90" t="s">
        <v>379</v>
      </c>
      <c r="AN2125" s="90">
        <v>-1</v>
      </c>
      <c r="AQ2125" s="90">
        <v>358</v>
      </c>
      <c r="AR2125" s="90" t="s">
        <v>422</v>
      </c>
      <c r="AS2125" s="90" t="s">
        <v>250</v>
      </c>
      <c r="AT2125" s="90" t="s">
        <v>244</v>
      </c>
      <c r="AU2125" s="90">
        <v>86.412649999999999</v>
      </c>
      <c r="AV2125" s="90">
        <v>261.38511763031198</v>
      </c>
      <c r="AW2125" s="90">
        <v>716.86237560342295</v>
      </c>
      <c r="AX2125" s="90">
        <v>0.53743195909999997</v>
      </c>
    </row>
    <row r="2126" spans="1:50" x14ac:dyDescent="0.25">
      <c r="A2126" s="102">
        <v>830000</v>
      </c>
      <c r="B2126" s="102">
        <v>2400000</v>
      </c>
      <c r="C2126" s="102">
        <v>2400000</v>
      </c>
      <c r="D2126" s="90" t="s">
        <v>374</v>
      </c>
      <c r="E2126" s="90" t="s">
        <v>68</v>
      </c>
      <c r="F2126" s="90" t="s">
        <v>375</v>
      </c>
      <c r="G2126" s="90" t="s">
        <v>376</v>
      </c>
      <c r="H2126" s="90">
        <v>0.59</v>
      </c>
      <c r="I2126" s="90">
        <v>0.64</v>
      </c>
      <c r="J2126" s="90" t="s">
        <v>381</v>
      </c>
      <c r="K2126" s="90">
        <v>3.6596713149499999E-3</v>
      </c>
      <c r="L2126" s="90">
        <v>3740.8351881386102</v>
      </c>
      <c r="M2126" s="90">
        <v>10.2416389965632</v>
      </c>
      <c r="N2126" s="90">
        <v>1.81992387374906</v>
      </c>
      <c r="O2126" s="90">
        <v>3.748103245388E-2</v>
      </c>
      <c r="P2126" s="90">
        <v>6.6603231961599998E-3</v>
      </c>
      <c r="Q2126" s="90">
        <v>13.690227232020099</v>
      </c>
      <c r="R2126" s="90">
        <v>1300</v>
      </c>
      <c r="S2126" s="90" t="s">
        <v>387</v>
      </c>
      <c r="T2126" s="90">
        <v>1300</v>
      </c>
      <c r="U2126" s="90" t="s">
        <v>382</v>
      </c>
      <c r="V2126" s="90" t="s">
        <v>381</v>
      </c>
      <c r="Z2126" s="90">
        <v>0</v>
      </c>
      <c r="AA2126" s="90">
        <v>1</v>
      </c>
      <c r="AB2126" s="90">
        <v>3.748103245388E-2</v>
      </c>
      <c r="AC2126" s="90">
        <v>6.6603231961599998E-3</v>
      </c>
      <c r="AD2126" s="90">
        <v>13.6902272320193</v>
      </c>
      <c r="AF2126" s="90">
        <v>-1</v>
      </c>
      <c r="AG2126" s="90">
        <v>-1</v>
      </c>
      <c r="AH2126" s="90">
        <v>-1</v>
      </c>
      <c r="AI2126" s="90">
        <v>-1</v>
      </c>
      <c r="AJ2126" s="90">
        <v>0</v>
      </c>
      <c r="AM2126" s="90" t="s">
        <v>379</v>
      </c>
      <c r="AN2126" s="90">
        <v>-1</v>
      </c>
      <c r="AQ2126" s="90">
        <v>358</v>
      </c>
      <c r="AR2126" s="90" t="s">
        <v>422</v>
      </c>
      <c r="AS2126" s="90" t="s">
        <v>250</v>
      </c>
      <c r="AT2126" s="90" t="s">
        <v>244</v>
      </c>
      <c r="AU2126" s="90">
        <v>86.412649999999999</v>
      </c>
      <c r="AV2126" s="90">
        <v>100.625527681466</v>
      </c>
      <c r="AW2126" s="90">
        <v>14.810164364814</v>
      </c>
      <c r="AX2126" s="90">
        <v>1.1103185099999999E-2</v>
      </c>
    </row>
    <row r="2127" spans="1:50" x14ac:dyDescent="0.25">
      <c r="A2127" s="102">
        <v>830000</v>
      </c>
      <c r="B2127" s="102">
        <v>2400000</v>
      </c>
      <c r="C2127" s="102">
        <v>2400000</v>
      </c>
      <c r="D2127" s="90" t="s">
        <v>374</v>
      </c>
      <c r="E2127" s="90" t="s">
        <v>68</v>
      </c>
      <c r="F2127" s="90" t="s">
        <v>375</v>
      </c>
      <c r="G2127" s="90" t="s">
        <v>376</v>
      </c>
      <c r="H2127" s="90">
        <v>0.59</v>
      </c>
      <c r="I2127" s="90">
        <v>0.64</v>
      </c>
      <c r="J2127" s="90" t="s">
        <v>244</v>
      </c>
      <c r="K2127" s="90">
        <v>7.6455756776860007E-2</v>
      </c>
      <c r="L2127" s="90">
        <v>3740.8351881386102</v>
      </c>
      <c r="M2127" s="90">
        <v>10.2416389965632</v>
      </c>
      <c r="N2127" s="90">
        <v>1.81992387374906</v>
      </c>
      <c r="O2127" s="90">
        <v>0.78303226011770999</v>
      </c>
      <c r="P2127" s="90">
        <v>0.13914365704376999</v>
      </c>
      <c r="Q2127" s="90">
        <v>286.008385286671</v>
      </c>
      <c r="R2127" s="90">
        <v>1330</v>
      </c>
      <c r="S2127" s="90" t="s">
        <v>397</v>
      </c>
      <c r="T2127" s="90">
        <v>1330</v>
      </c>
      <c r="U2127" s="90" t="s">
        <v>378</v>
      </c>
      <c r="V2127" s="90" t="s">
        <v>244</v>
      </c>
      <c r="Z2127" s="90">
        <v>0</v>
      </c>
      <c r="AA2127" s="90">
        <v>1</v>
      </c>
      <c r="AB2127" s="90">
        <v>0.78303226011770999</v>
      </c>
      <c r="AC2127" s="90">
        <v>0.13914365704376999</v>
      </c>
      <c r="AD2127" s="90">
        <v>286.00838528666901</v>
      </c>
      <c r="AF2127" s="90">
        <v>-1</v>
      </c>
      <c r="AG2127" s="90">
        <v>-1</v>
      </c>
      <c r="AH2127" s="90">
        <v>-1</v>
      </c>
      <c r="AI2127" s="90">
        <v>-1</v>
      </c>
      <c r="AJ2127" s="90">
        <v>0</v>
      </c>
      <c r="AM2127" s="90" t="s">
        <v>379</v>
      </c>
      <c r="AN2127" s="90">
        <v>-1</v>
      </c>
      <c r="AQ2127" s="90">
        <v>358</v>
      </c>
      <c r="AR2127" s="90" t="s">
        <v>422</v>
      </c>
      <c r="AS2127" s="90" t="s">
        <v>250</v>
      </c>
      <c r="AT2127" s="90" t="s">
        <v>244</v>
      </c>
      <c r="AU2127" s="90">
        <v>86.412649999999999</v>
      </c>
      <c r="AV2127" s="90">
        <v>81.334047665168995</v>
      </c>
      <c r="AW2127" s="90">
        <v>309.405470341914</v>
      </c>
      <c r="AX2127" s="90">
        <v>0.23196138299999999</v>
      </c>
    </row>
    <row r="2128" spans="1:50" x14ac:dyDescent="0.25">
      <c r="A2128" s="102">
        <v>830000</v>
      </c>
      <c r="B2128" s="102">
        <v>2400000</v>
      </c>
      <c r="C2128" s="102">
        <v>2400000</v>
      </c>
      <c r="D2128" s="90" t="s">
        <v>374</v>
      </c>
      <c r="E2128" s="90" t="s">
        <v>68</v>
      </c>
      <c r="F2128" s="90" t="s">
        <v>375</v>
      </c>
      <c r="G2128" s="90" t="s">
        <v>376</v>
      </c>
      <c r="H2128" s="90">
        <v>0.59</v>
      </c>
      <c r="I2128" s="90">
        <v>0.64</v>
      </c>
      <c r="J2128" s="90" t="s">
        <v>244</v>
      </c>
      <c r="K2128" s="90">
        <v>1.407052343E-4</v>
      </c>
      <c r="L2128" s="90">
        <v>3740.8351881386102</v>
      </c>
      <c r="M2128" s="90">
        <v>10.2416389965632</v>
      </c>
      <c r="N2128" s="90">
        <v>1.81992387374906</v>
      </c>
      <c r="O2128" s="90">
        <v>1.4410522146999999E-3</v>
      </c>
      <c r="P2128" s="90">
        <v>2.5607281506999998E-4</v>
      </c>
      <c r="Q2128" s="90">
        <v>0.52635509165465</v>
      </c>
      <c r="R2128" s="90">
        <v>1210</v>
      </c>
      <c r="S2128" s="90" t="s">
        <v>385</v>
      </c>
      <c r="T2128" s="90">
        <v>1210</v>
      </c>
      <c r="U2128" s="90" t="s">
        <v>378</v>
      </c>
      <c r="V2128" s="90" t="s">
        <v>244</v>
      </c>
      <c r="Z2128" s="90">
        <v>0</v>
      </c>
      <c r="AA2128" s="90">
        <v>1</v>
      </c>
      <c r="AB2128" s="90">
        <v>1.4410522146999999E-3</v>
      </c>
      <c r="AC2128" s="90">
        <v>2.5607281506999998E-4</v>
      </c>
      <c r="AD2128" s="90">
        <v>0.52635509165450001</v>
      </c>
      <c r="AF2128" s="90">
        <v>-1</v>
      </c>
      <c r="AG2128" s="90">
        <v>-1</v>
      </c>
      <c r="AH2128" s="90">
        <v>-1</v>
      </c>
      <c r="AI2128" s="90">
        <v>-1</v>
      </c>
      <c r="AJ2128" s="90">
        <v>0</v>
      </c>
      <c r="AM2128" s="90" t="s">
        <v>379</v>
      </c>
      <c r="AN2128" s="90">
        <v>-1</v>
      </c>
      <c r="AQ2128" s="90">
        <v>358</v>
      </c>
      <c r="AR2128" s="90" t="s">
        <v>422</v>
      </c>
      <c r="AS2128" s="90" t="s">
        <v>250</v>
      </c>
      <c r="AT2128" s="90" t="s">
        <v>244</v>
      </c>
      <c r="AU2128" s="90">
        <v>86.412649999999999</v>
      </c>
      <c r="AV2128" s="90">
        <v>54.45326540768</v>
      </c>
      <c r="AW2128" s="90">
        <v>0.56941388112446001</v>
      </c>
      <c r="AX2128" s="90">
        <v>4.2688980000000001E-4</v>
      </c>
    </row>
    <row r="2129" spans="1:50" x14ac:dyDescent="0.25">
      <c r="A2129" s="102">
        <v>830000</v>
      </c>
      <c r="B2129" s="102">
        <v>2400000</v>
      </c>
      <c r="C2129" s="102">
        <v>2400000</v>
      </c>
      <c r="D2129" s="90" t="s">
        <v>374</v>
      </c>
      <c r="E2129" s="90" t="s">
        <v>68</v>
      </c>
      <c r="F2129" s="90" t="s">
        <v>375</v>
      </c>
      <c r="G2129" s="90" t="s">
        <v>376</v>
      </c>
      <c r="H2129" s="90">
        <v>0.59</v>
      </c>
      <c r="I2129" s="90">
        <v>0.64</v>
      </c>
      <c r="J2129" s="90" t="s">
        <v>244</v>
      </c>
      <c r="K2129" s="90">
        <v>1.0073372613E-4</v>
      </c>
      <c r="L2129" s="90">
        <v>3740.8351881386102</v>
      </c>
      <c r="M2129" s="90">
        <v>10.2416389965632</v>
      </c>
      <c r="N2129" s="90">
        <v>1.81992387374906</v>
      </c>
      <c r="O2129" s="90">
        <v>1.03167845786E-3</v>
      </c>
      <c r="P2129" s="90">
        <v>1.8332771308E-4</v>
      </c>
      <c r="Q2129" s="90">
        <v>0.37682826736185998</v>
      </c>
      <c r="R2129" s="90">
        <v>1210</v>
      </c>
      <c r="S2129" s="90" t="s">
        <v>385</v>
      </c>
      <c r="T2129" s="90">
        <v>1210</v>
      </c>
      <c r="U2129" s="90" t="s">
        <v>378</v>
      </c>
      <c r="V2129" s="90" t="s">
        <v>244</v>
      </c>
      <c r="Z2129" s="90">
        <v>0</v>
      </c>
      <c r="AA2129" s="90">
        <v>1</v>
      </c>
      <c r="AB2129" s="90">
        <v>1.03167845786E-3</v>
      </c>
      <c r="AC2129" s="90">
        <v>1.8332771308E-4</v>
      </c>
      <c r="AD2129" s="90">
        <v>0.37682826736065</v>
      </c>
      <c r="AF2129" s="90">
        <v>-1</v>
      </c>
      <c r="AG2129" s="90">
        <v>-1</v>
      </c>
      <c r="AH2129" s="90">
        <v>-1</v>
      </c>
      <c r="AI2129" s="90">
        <v>-1</v>
      </c>
      <c r="AJ2129" s="90">
        <v>0</v>
      </c>
      <c r="AM2129" s="90" t="s">
        <v>379</v>
      </c>
      <c r="AN2129" s="90">
        <v>-1</v>
      </c>
      <c r="AQ2129" s="90">
        <v>358</v>
      </c>
      <c r="AR2129" s="90" t="s">
        <v>422</v>
      </c>
      <c r="AS2129" s="90" t="s">
        <v>250</v>
      </c>
      <c r="AT2129" s="90" t="s">
        <v>244</v>
      </c>
      <c r="AU2129" s="90">
        <v>86.412649999999999</v>
      </c>
      <c r="AV2129" s="90">
        <v>16.960454641273799</v>
      </c>
      <c r="AW2129" s="90">
        <v>0.40765492656442998</v>
      </c>
      <c r="AX2129" s="90">
        <v>3.0561899999999998E-4</v>
      </c>
    </row>
    <row r="2130" spans="1:50" x14ac:dyDescent="0.25">
      <c r="A2130" s="102">
        <v>830000</v>
      </c>
      <c r="B2130" s="102">
        <v>2400000</v>
      </c>
      <c r="C2130" s="102">
        <v>2400000</v>
      </c>
      <c r="D2130" s="90" t="s">
        <v>374</v>
      </c>
      <c r="E2130" s="90" t="s">
        <v>68</v>
      </c>
      <c r="F2130" s="90" t="s">
        <v>375</v>
      </c>
      <c r="G2130" s="90" t="s">
        <v>376</v>
      </c>
      <c r="H2130" s="90">
        <v>0.59</v>
      </c>
      <c r="I2130" s="90">
        <v>0.64</v>
      </c>
      <c r="J2130" s="90" t="s">
        <v>244</v>
      </c>
      <c r="K2130" s="90">
        <v>4.5095613536559997E-2</v>
      </c>
      <c r="L2130" s="90">
        <v>3749.4891758630802</v>
      </c>
      <c r="M2130" s="90">
        <v>10.4669379274203</v>
      </c>
      <c r="N2130" s="90">
        <v>1.8553381376214599</v>
      </c>
      <c r="O2130" s="90">
        <v>0.47201298768619998</v>
      </c>
      <c r="P2130" s="90">
        <v>8.3667611633830005E-2</v>
      </c>
      <c r="Q2130" s="90">
        <v>169.08551483426999</v>
      </c>
      <c r="R2130" s="90">
        <v>1400</v>
      </c>
      <c r="S2130" s="90" t="s">
        <v>324</v>
      </c>
      <c r="T2130" s="90">
        <v>1400</v>
      </c>
      <c r="U2130" s="90" t="s">
        <v>378</v>
      </c>
      <c r="V2130" s="90" t="s">
        <v>244</v>
      </c>
      <c r="Z2130" s="90">
        <v>0</v>
      </c>
      <c r="AA2130" s="90">
        <v>1</v>
      </c>
      <c r="AB2130" s="90">
        <v>0.47201298768619998</v>
      </c>
      <c r="AC2130" s="90">
        <v>8.3667611633830005E-2</v>
      </c>
      <c r="AD2130" s="90">
        <v>169.08551483426899</v>
      </c>
      <c r="AF2130" s="90">
        <v>-1</v>
      </c>
      <c r="AG2130" s="90">
        <v>-1</v>
      </c>
      <c r="AH2130" s="90">
        <v>-1</v>
      </c>
      <c r="AI2130" s="90">
        <v>-1</v>
      </c>
      <c r="AJ2130" s="90">
        <v>0</v>
      </c>
      <c r="AM2130" s="90" t="s">
        <v>379</v>
      </c>
      <c r="AN2130" s="90">
        <v>-1</v>
      </c>
      <c r="AQ2130" s="90">
        <v>358</v>
      </c>
      <c r="AR2130" s="90" t="s">
        <v>422</v>
      </c>
      <c r="AS2130" s="90" t="s">
        <v>250</v>
      </c>
      <c r="AT2130" s="90" t="s">
        <v>244</v>
      </c>
      <c r="AU2130" s="90">
        <v>86.412649999999999</v>
      </c>
      <c r="AV2130" s="90">
        <v>83.255079743262996</v>
      </c>
      <c r="AW2130" s="90">
        <v>182.49547326253099</v>
      </c>
      <c r="AX2130" s="90">
        <v>0.13713342649999999</v>
      </c>
    </row>
    <row r="2131" spans="1:50" x14ac:dyDescent="0.25">
      <c r="A2131" s="102">
        <v>830000</v>
      </c>
      <c r="B2131" s="102">
        <v>2400000</v>
      </c>
      <c r="C2131" s="102">
        <v>2400000</v>
      </c>
      <c r="D2131" s="90" t="s">
        <v>374</v>
      </c>
      <c r="E2131" s="90" t="s">
        <v>68</v>
      </c>
      <c r="F2131" s="90" t="s">
        <v>375</v>
      </c>
      <c r="G2131" s="90" t="s">
        <v>376</v>
      </c>
      <c r="H2131" s="90">
        <v>0.59</v>
      </c>
      <c r="I2131" s="90">
        <v>0.64</v>
      </c>
      <c r="J2131" s="90" t="s">
        <v>244</v>
      </c>
      <c r="K2131" s="90">
        <v>4.5511915810699998E-3</v>
      </c>
      <c r="L2131" s="90">
        <v>3749.4891758630802</v>
      </c>
      <c r="M2131" s="90">
        <v>10.4669379274203</v>
      </c>
      <c r="N2131" s="90">
        <v>1.8553381376214599</v>
      </c>
      <c r="O2131" s="90">
        <v>4.763703977488E-2</v>
      </c>
      <c r="P2131" s="90">
        <v>8.4439993119799998E-3</v>
      </c>
      <c r="Q2131" s="90">
        <v>17.064643570512398</v>
      </c>
      <c r="R2131" s="90">
        <v>1300</v>
      </c>
      <c r="S2131" s="90" t="s">
        <v>387</v>
      </c>
      <c r="T2131" s="90">
        <v>1300</v>
      </c>
      <c r="U2131" s="90" t="s">
        <v>378</v>
      </c>
      <c r="V2131" s="90" t="s">
        <v>244</v>
      </c>
      <c r="Z2131" s="90">
        <v>0</v>
      </c>
      <c r="AA2131" s="90">
        <v>1</v>
      </c>
      <c r="AB2131" s="90">
        <v>4.763703977488E-2</v>
      </c>
      <c r="AC2131" s="90">
        <v>8.4439993119799998E-3</v>
      </c>
      <c r="AD2131" s="90">
        <v>17.064643570514001</v>
      </c>
      <c r="AF2131" s="90">
        <v>-1</v>
      </c>
      <c r="AG2131" s="90">
        <v>-1</v>
      </c>
      <c r="AH2131" s="90">
        <v>-1</v>
      </c>
      <c r="AI2131" s="90">
        <v>-1</v>
      </c>
      <c r="AJ2131" s="90">
        <v>0</v>
      </c>
      <c r="AM2131" s="90" t="s">
        <v>379</v>
      </c>
      <c r="AN2131" s="90">
        <v>-1</v>
      </c>
      <c r="AQ2131" s="90">
        <v>358</v>
      </c>
      <c r="AR2131" s="90" t="s">
        <v>422</v>
      </c>
      <c r="AS2131" s="90" t="s">
        <v>250</v>
      </c>
      <c r="AT2131" s="90" t="s">
        <v>244</v>
      </c>
      <c r="AU2131" s="90">
        <v>86.412649999999999</v>
      </c>
      <c r="AV2131" s="90">
        <v>49.102951845084299</v>
      </c>
      <c r="AW2131" s="90">
        <v>18.418018879439799</v>
      </c>
      <c r="AX2131" s="90">
        <v>1.3839938E-2</v>
      </c>
    </row>
    <row r="2132" spans="1:50" x14ac:dyDescent="0.25">
      <c r="A2132" s="102">
        <v>830000</v>
      </c>
      <c r="B2132" s="102">
        <v>2400000</v>
      </c>
      <c r="C2132" s="102">
        <v>2400000</v>
      </c>
      <c r="D2132" s="90" t="s">
        <v>374</v>
      </c>
      <c r="E2132" s="90" t="s">
        <v>68</v>
      </c>
      <c r="F2132" s="90" t="s">
        <v>375</v>
      </c>
      <c r="G2132" s="90" t="s">
        <v>376</v>
      </c>
      <c r="H2132" s="90">
        <v>0.59</v>
      </c>
      <c r="I2132" s="90">
        <v>0.64</v>
      </c>
      <c r="J2132" s="90" t="s">
        <v>244</v>
      </c>
      <c r="K2132" s="90">
        <v>4.5431722800859997E-2</v>
      </c>
      <c r="L2132" s="90">
        <v>3749.4891758630802</v>
      </c>
      <c r="M2132" s="90">
        <v>10.4669379274203</v>
      </c>
      <c r="N2132" s="90">
        <v>1.8553381376214599</v>
      </c>
      <c r="O2132" s="90">
        <v>0.47553102249243001</v>
      </c>
      <c r="P2132" s="90">
        <v>8.4291207970289994E-2</v>
      </c>
      <c r="Q2132" s="90">
        <v>170.34575288265901</v>
      </c>
      <c r="R2132" s="90">
        <v>1300</v>
      </c>
      <c r="S2132" s="90" t="s">
        <v>387</v>
      </c>
      <c r="T2132" s="90">
        <v>1300</v>
      </c>
      <c r="U2132" s="90" t="s">
        <v>378</v>
      </c>
      <c r="V2132" s="90" t="s">
        <v>244</v>
      </c>
      <c r="Z2132" s="90">
        <v>0</v>
      </c>
      <c r="AA2132" s="90">
        <v>1</v>
      </c>
      <c r="AB2132" s="90">
        <v>0.47553102249243001</v>
      </c>
      <c r="AC2132" s="90">
        <v>8.4291207970289994E-2</v>
      </c>
      <c r="AD2132" s="90">
        <v>170.34575288266001</v>
      </c>
      <c r="AF2132" s="90">
        <v>-1</v>
      </c>
      <c r="AG2132" s="90">
        <v>-1</v>
      </c>
      <c r="AH2132" s="90">
        <v>-1</v>
      </c>
      <c r="AI2132" s="90">
        <v>-1</v>
      </c>
      <c r="AJ2132" s="90">
        <v>0</v>
      </c>
      <c r="AM2132" s="90" t="s">
        <v>379</v>
      </c>
      <c r="AN2132" s="90">
        <v>-1</v>
      </c>
      <c r="AQ2132" s="90">
        <v>358</v>
      </c>
      <c r="AR2132" s="90" t="s">
        <v>422</v>
      </c>
      <c r="AS2132" s="90" t="s">
        <v>250</v>
      </c>
      <c r="AT2132" s="90" t="s">
        <v>244</v>
      </c>
      <c r="AU2132" s="90">
        <v>86.412649999999999</v>
      </c>
      <c r="AV2132" s="90">
        <v>54.357118519384201</v>
      </c>
      <c r="AW2132" s="90">
        <v>183.85565919738201</v>
      </c>
      <c r="AX2132" s="90">
        <v>0.1381555173</v>
      </c>
    </row>
    <row r="2133" spans="1:50" x14ac:dyDescent="0.25">
      <c r="A2133" s="102">
        <v>830000</v>
      </c>
      <c r="B2133" s="102">
        <v>2400000</v>
      </c>
      <c r="C2133" s="102">
        <v>2400000</v>
      </c>
      <c r="D2133" s="90" t="s">
        <v>374</v>
      </c>
      <c r="E2133" s="90" t="s">
        <v>68</v>
      </c>
      <c r="F2133" s="90" t="s">
        <v>375</v>
      </c>
      <c r="G2133" s="90" t="s">
        <v>376</v>
      </c>
      <c r="H2133" s="90">
        <v>0.59</v>
      </c>
      <c r="I2133" s="90">
        <v>0.64</v>
      </c>
      <c r="J2133" s="90" t="s">
        <v>244</v>
      </c>
      <c r="K2133" s="90">
        <v>5.3320789832769999E-2</v>
      </c>
      <c r="L2133" s="90">
        <v>3749.4891758630802</v>
      </c>
      <c r="M2133" s="90">
        <v>10.4669379274203</v>
      </c>
      <c r="N2133" s="90">
        <v>1.8553381376214599</v>
      </c>
      <c r="O2133" s="90">
        <v>0.55810539742071996</v>
      </c>
      <c r="P2133" s="90">
        <v>9.8928094904849995E-2</v>
      </c>
      <c r="Q2133" s="90">
        <v>199.92572432647501</v>
      </c>
      <c r="R2133" s="90">
        <v>1300</v>
      </c>
      <c r="S2133" s="90" t="s">
        <v>387</v>
      </c>
      <c r="T2133" s="90">
        <v>1300</v>
      </c>
      <c r="U2133" s="90" t="s">
        <v>378</v>
      </c>
      <c r="V2133" s="90" t="s">
        <v>244</v>
      </c>
      <c r="Z2133" s="90">
        <v>0</v>
      </c>
      <c r="AA2133" s="90">
        <v>1</v>
      </c>
      <c r="AB2133" s="90">
        <v>0.55810539742071996</v>
      </c>
      <c r="AC2133" s="90">
        <v>9.8928094904849995E-2</v>
      </c>
      <c r="AD2133" s="90">
        <v>199.925724326477</v>
      </c>
      <c r="AF2133" s="90">
        <v>-1</v>
      </c>
      <c r="AG2133" s="90">
        <v>-1</v>
      </c>
      <c r="AH2133" s="90">
        <v>-1</v>
      </c>
      <c r="AI2133" s="90">
        <v>-1</v>
      </c>
      <c r="AJ2133" s="90">
        <v>0</v>
      </c>
      <c r="AM2133" s="90" t="s">
        <v>379</v>
      </c>
      <c r="AN2133" s="90">
        <v>-1</v>
      </c>
      <c r="AQ2133" s="90">
        <v>358</v>
      </c>
      <c r="AR2133" s="90" t="s">
        <v>422</v>
      </c>
      <c r="AS2133" s="90" t="s">
        <v>250</v>
      </c>
      <c r="AT2133" s="90" t="s">
        <v>244</v>
      </c>
      <c r="AU2133" s="90">
        <v>86.412649999999999</v>
      </c>
      <c r="AV2133" s="90">
        <v>58.858697319198399</v>
      </c>
      <c r="AW2133" s="90">
        <v>215.78158078222401</v>
      </c>
      <c r="AX2133" s="90">
        <v>0.16214576180000001</v>
      </c>
    </row>
    <row r="2134" spans="1:50" x14ac:dyDescent="0.25">
      <c r="A2134" s="102">
        <v>830000</v>
      </c>
      <c r="B2134" s="102">
        <v>2400000</v>
      </c>
      <c r="C2134" s="102">
        <v>2400000</v>
      </c>
      <c r="D2134" s="90" t="s">
        <v>374</v>
      </c>
      <c r="E2134" s="90" t="s">
        <v>68</v>
      </c>
      <c r="F2134" s="90" t="s">
        <v>375</v>
      </c>
      <c r="G2134" s="90" t="s">
        <v>376</v>
      </c>
      <c r="H2134" s="90">
        <v>0.59</v>
      </c>
      <c r="I2134" s="90">
        <v>0.64</v>
      </c>
      <c r="J2134" s="90" t="s">
        <v>244</v>
      </c>
      <c r="K2134" s="90">
        <v>0.25758404017605002</v>
      </c>
      <c r="L2134" s="90">
        <v>3749.4891758630802</v>
      </c>
      <c r="M2134" s="90">
        <v>10.4669379274203</v>
      </c>
      <c r="N2134" s="90">
        <v>1.8553381376214599</v>
      </c>
      <c r="O2134" s="90">
        <v>2.6961161596169001</v>
      </c>
      <c r="P2134" s="90">
        <v>0.47790549338124999</v>
      </c>
      <c r="Q2134" s="90">
        <v>965.80857051520104</v>
      </c>
      <c r="R2134" s="90">
        <v>1300</v>
      </c>
      <c r="S2134" s="90" t="s">
        <v>387</v>
      </c>
      <c r="T2134" s="90">
        <v>1300</v>
      </c>
      <c r="U2134" s="90" t="s">
        <v>378</v>
      </c>
      <c r="V2134" s="90" t="s">
        <v>244</v>
      </c>
      <c r="Z2134" s="90">
        <v>0</v>
      </c>
      <c r="AA2134" s="90">
        <v>1</v>
      </c>
      <c r="AB2134" s="90">
        <v>2.6961161596169001</v>
      </c>
      <c r="AC2134" s="90">
        <v>0.47790549338124999</v>
      </c>
      <c r="AD2134" s="90">
        <v>965.80857051520104</v>
      </c>
      <c r="AF2134" s="90">
        <v>-1</v>
      </c>
      <c r="AG2134" s="90">
        <v>-1</v>
      </c>
      <c r="AH2134" s="90">
        <v>-1</v>
      </c>
      <c r="AI2134" s="90">
        <v>-1</v>
      </c>
      <c r="AJ2134" s="90">
        <v>0</v>
      </c>
      <c r="AM2134" s="90" t="s">
        <v>379</v>
      </c>
      <c r="AN2134" s="90">
        <v>-1</v>
      </c>
      <c r="AQ2134" s="90">
        <v>358</v>
      </c>
      <c r="AR2134" s="90" t="s">
        <v>422</v>
      </c>
      <c r="AS2134" s="90" t="s">
        <v>250</v>
      </c>
      <c r="AT2134" s="90" t="s">
        <v>244</v>
      </c>
      <c r="AU2134" s="90">
        <v>86.412649999999999</v>
      </c>
      <c r="AV2134" s="90">
        <v>129.417649374181</v>
      </c>
      <c r="AW2134" s="90">
        <v>1042.4056272942</v>
      </c>
      <c r="AX2134" s="90">
        <v>0.78329973279999998</v>
      </c>
    </row>
    <row r="2135" spans="1:50" x14ac:dyDescent="0.25">
      <c r="A2135" s="102">
        <v>830000</v>
      </c>
      <c r="B2135" s="102">
        <v>2400000</v>
      </c>
      <c r="C2135" s="102">
        <v>2400000</v>
      </c>
      <c r="D2135" s="90" t="s">
        <v>374</v>
      </c>
      <c r="E2135" s="90" t="s">
        <v>68</v>
      </c>
      <c r="F2135" s="90" t="s">
        <v>375</v>
      </c>
      <c r="G2135" s="90" t="s">
        <v>376</v>
      </c>
      <c r="H2135" s="90">
        <v>0.59</v>
      </c>
      <c r="I2135" s="90">
        <v>0.64</v>
      </c>
      <c r="J2135" s="90" t="s">
        <v>244</v>
      </c>
      <c r="K2135" s="90">
        <v>5.1300381770619997E-2</v>
      </c>
      <c r="L2135" s="90">
        <v>3749.4891758630802</v>
      </c>
      <c r="M2135" s="90">
        <v>10.4669379274203</v>
      </c>
      <c r="N2135" s="90">
        <v>1.8553381376214599</v>
      </c>
      <c r="O2135" s="90">
        <v>0.53695791164609996</v>
      </c>
      <c r="P2135" s="90">
        <v>9.5179554773580005E-2</v>
      </c>
      <c r="Q2135" s="90">
        <v>192.35022616660601</v>
      </c>
      <c r="R2135" s="90">
        <v>1300</v>
      </c>
      <c r="S2135" s="90" t="s">
        <v>387</v>
      </c>
      <c r="T2135" s="90">
        <v>1300</v>
      </c>
      <c r="U2135" s="90" t="s">
        <v>378</v>
      </c>
      <c r="V2135" s="90" t="s">
        <v>244</v>
      </c>
      <c r="Z2135" s="90">
        <v>0</v>
      </c>
      <c r="AA2135" s="90">
        <v>1</v>
      </c>
      <c r="AB2135" s="90">
        <v>0.53695791164609996</v>
      </c>
      <c r="AC2135" s="90">
        <v>9.5179554773580005E-2</v>
      </c>
      <c r="AD2135" s="90">
        <v>192.350226166607</v>
      </c>
      <c r="AF2135" s="90">
        <v>-1</v>
      </c>
      <c r="AG2135" s="90">
        <v>-1</v>
      </c>
      <c r="AH2135" s="90">
        <v>-1</v>
      </c>
      <c r="AI2135" s="90">
        <v>-1</v>
      </c>
      <c r="AJ2135" s="90">
        <v>0</v>
      </c>
      <c r="AM2135" s="90" t="s">
        <v>379</v>
      </c>
      <c r="AN2135" s="90">
        <v>-1</v>
      </c>
      <c r="AQ2135" s="90">
        <v>358</v>
      </c>
      <c r="AR2135" s="90" t="s">
        <v>422</v>
      </c>
      <c r="AS2135" s="90" t="s">
        <v>250</v>
      </c>
      <c r="AT2135" s="90" t="s">
        <v>244</v>
      </c>
      <c r="AU2135" s="90">
        <v>86.412649999999999</v>
      </c>
      <c r="AV2135" s="90">
        <v>57.753276069699602</v>
      </c>
      <c r="AW2135" s="90">
        <v>207.60527944002999</v>
      </c>
      <c r="AX2135" s="90">
        <v>0.15600180550000001</v>
      </c>
    </row>
    <row r="2136" spans="1:50" x14ac:dyDescent="0.25">
      <c r="A2136" s="102">
        <v>830000</v>
      </c>
      <c r="B2136" s="102">
        <v>2400000</v>
      </c>
      <c r="C2136" s="102">
        <v>2400000</v>
      </c>
      <c r="D2136" s="90" t="s">
        <v>374</v>
      </c>
      <c r="E2136" s="90" t="s">
        <v>68</v>
      </c>
      <c r="F2136" s="90" t="s">
        <v>375</v>
      </c>
      <c r="G2136" s="90" t="s">
        <v>376</v>
      </c>
      <c r="H2136" s="90">
        <v>0.59</v>
      </c>
      <c r="I2136" s="90">
        <v>0.64</v>
      </c>
      <c r="J2136" s="90" t="s">
        <v>244</v>
      </c>
      <c r="K2136" s="90">
        <v>0.13845057317861001</v>
      </c>
      <c r="L2136" s="90">
        <v>3749.4891758630802</v>
      </c>
      <c r="M2136" s="90">
        <v>10.4669379274203</v>
      </c>
      <c r="N2136" s="90">
        <v>1.8553381376214599</v>
      </c>
      <c r="O2136" s="90">
        <v>1.4491535554763</v>
      </c>
      <c r="P2136" s="90">
        <v>0.25687262859382998</v>
      </c>
      <c r="Q2136" s="90">
        <v>519.11892552525001</v>
      </c>
      <c r="R2136" s="90">
        <v>1210</v>
      </c>
      <c r="S2136" s="90" t="s">
        <v>385</v>
      </c>
      <c r="T2136" s="90">
        <v>1210</v>
      </c>
      <c r="U2136" s="90" t="s">
        <v>378</v>
      </c>
      <c r="V2136" s="90" t="s">
        <v>244</v>
      </c>
      <c r="Z2136" s="90">
        <v>0</v>
      </c>
      <c r="AA2136" s="90">
        <v>1</v>
      </c>
      <c r="AB2136" s="90">
        <v>1.4491535554763</v>
      </c>
      <c r="AC2136" s="90">
        <v>0.25687262859382998</v>
      </c>
      <c r="AD2136" s="90">
        <v>519.11892552525001</v>
      </c>
      <c r="AF2136" s="90">
        <v>-1</v>
      </c>
      <c r="AG2136" s="90">
        <v>-1</v>
      </c>
      <c r="AH2136" s="90">
        <v>-1</v>
      </c>
      <c r="AI2136" s="90">
        <v>-1</v>
      </c>
      <c r="AJ2136" s="90">
        <v>0</v>
      </c>
      <c r="AM2136" s="90" t="s">
        <v>379</v>
      </c>
      <c r="AN2136" s="90">
        <v>-1</v>
      </c>
      <c r="AQ2136" s="90">
        <v>358</v>
      </c>
      <c r="AR2136" s="90" t="s">
        <v>422</v>
      </c>
      <c r="AS2136" s="90" t="s">
        <v>250</v>
      </c>
      <c r="AT2136" s="90" t="s">
        <v>244</v>
      </c>
      <c r="AU2136" s="90">
        <v>86.412649999999999</v>
      </c>
      <c r="AV2136" s="90">
        <v>103.64245463214201</v>
      </c>
      <c r="AW2136" s="90">
        <v>560.28959125282995</v>
      </c>
      <c r="AX2136" s="90">
        <v>0.4210210264</v>
      </c>
    </row>
    <row r="2137" spans="1:50" x14ac:dyDescent="0.25">
      <c r="A2137" s="102">
        <v>830000</v>
      </c>
      <c r="B2137" s="102">
        <v>2400000</v>
      </c>
      <c r="C2137" s="102">
        <v>2400000</v>
      </c>
      <c r="D2137" s="90" t="s">
        <v>374</v>
      </c>
      <c r="E2137" s="90" t="s">
        <v>68</v>
      </c>
      <c r="F2137" s="90" t="s">
        <v>375</v>
      </c>
      <c r="G2137" s="90" t="s">
        <v>376</v>
      </c>
      <c r="H2137" s="90">
        <v>0.59</v>
      </c>
      <c r="I2137" s="90">
        <v>0.64</v>
      </c>
      <c r="J2137" s="90" t="s">
        <v>244</v>
      </c>
      <c r="K2137" s="90">
        <v>2.2029140791330001E-2</v>
      </c>
      <c r="L2137" s="90">
        <v>3749.4891758630802</v>
      </c>
      <c r="M2137" s="90">
        <v>10.4669379274203</v>
      </c>
      <c r="N2137" s="90">
        <v>1.8553381376214599</v>
      </c>
      <c r="O2137" s="90">
        <v>0.23057764925727001</v>
      </c>
      <c r="P2137" s="90">
        <v>4.0871505049190002E-2</v>
      </c>
      <c r="Q2137" s="90">
        <v>82.598024950663302</v>
      </c>
      <c r="R2137" s="90">
        <v>1210</v>
      </c>
      <c r="S2137" s="90" t="s">
        <v>385</v>
      </c>
      <c r="T2137" s="90">
        <v>1210</v>
      </c>
      <c r="U2137" s="90" t="s">
        <v>378</v>
      </c>
      <c r="V2137" s="90" t="s">
        <v>244</v>
      </c>
      <c r="Z2137" s="90">
        <v>0</v>
      </c>
      <c r="AA2137" s="90">
        <v>1</v>
      </c>
      <c r="AB2137" s="90">
        <v>0.23057764925727001</v>
      </c>
      <c r="AC2137" s="90">
        <v>4.0871505049190002E-2</v>
      </c>
      <c r="AD2137" s="90">
        <v>82.598024950662193</v>
      </c>
      <c r="AF2137" s="90">
        <v>-1</v>
      </c>
      <c r="AG2137" s="90">
        <v>-1</v>
      </c>
      <c r="AH2137" s="90">
        <v>-1</v>
      </c>
      <c r="AI2137" s="90">
        <v>-1</v>
      </c>
      <c r="AJ2137" s="90">
        <v>0</v>
      </c>
      <c r="AM2137" s="90" t="s">
        <v>379</v>
      </c>
      <c r="AN2137" s="90">
        <v>-1</v>
      </c>
      <c r="AQ2137" s="90">
        <v>358</v>
      </c>
      <c r="AR2137" s="90" t="s">
        <v>422</v>
      </c>
      <c r="AS2137" s="90" t="s">
        <v>250</v>
      </c>
      <c r="AT2137" s="90" t="s">
        <v>244</v>
      </c>
      <c r="AU2137" s="90">
        <v>86.412649999999999</v>
      </c>
      <c r="AV2137" s="90">
        <v>40.131032896086197</v>
      </c>
      <c r="AW2137" s="90">
        <v>89.148769891354604</v>
      </c>
      <c r="AX2137" s="90">
        <v>6.6989476800000003E-2</v>
      </c>
    </row>
    <row r="2138" spans="1:50" x14ac:dyDescent="0.25">
      <c r="A2138" s="102">
        <v>830000</v>
      </c>
      <c r="B2138" s="102">
        <v>2400000</v>
      </c>
      <c r="C2138" s="102">
        <v>2400000</v>
      </c>
      <c r="D2138" s="90" t="s">
        <v>374</v>
      </c>
      <c r="E2138" s="90" t="s">
        <v>68</v>
      </c>
      <c r="F2138" s="90" t="s">
        <v>375</v>
      </c>
      <c r="G2138" s="90" t="s">
        <v>376</v>
      </c>
      <c r="H2138" s="90">
        <v>0.59</v>
      </c>
      <c r="I2138" s="90">
        <v>0.64</v>
      </c>
      <c r="J2138" s="90" t="s">
        <v>244</v>
      </c>
      <c r="K2138" s="90">
        <v>0.23118921417982</v>
      </c>
      <c r="L2138" s="90">
        <v>3760.5279827173199</v>
      </c>
      <c r="M2138" s="90">
        <v>10.7911587513842</v>
      </c>
      <c r="N2138" s="90">
        <v>2.0715936115170899</v>
      </c>
      <c r="O2138" s="90">
        <v>2.4947995118222099</v>
      </c>
      <c r="P2138" s="90">
        <v>0.47893009914656998</v>
      </c>
      <c r="Q2138" s="90">
        <v>869.39350922564302</v>
      </c>
      <c r="R2138" s="90">
        <v>1300</v>
      </c>
      <c r="S2138" s="90" t="s">
        <v>387</v>
      </c>
      <c r="T2138" s="90">
        <v>1300</v>
      </c>
      <c r="U2138" s="90" t="s">
        <v>378</v>
      </c>
      <c r="V2138" s="90" t="s">
        <v>244</v>
      </c>
      <c r="Z2138" s="90">
        <v>0</v>
      </c>
      <c r="AA2138" s="90">
        <v>1</v>
      </c>
      <c r="AB2138" s="90">
        <v>2.4947995118222099</v>
      </c>
      <c r="AC2138" s="90">
        <v>0.47893009914656998</v>
      </c>
      <c r="AD2138" s="90">
        <v>1219.10275830311</v>
      </c>
      <c r="AF2138" s="90">
        <v>-1</v>
      </c>
      <c r="AG2138" s="90">
        <v>-1</v>
      </c>
      <c r="AH2138" s="90">
        <v>-1</v>
      </c>
      <c r="AI2138" s="90">
        <v>-1</v>
      </c>
      <c r="AJ2138" s="90">
        <v>0</v>
      </c>
      <c r="AM2138" s="90" t="s">
        <v>379</v>
      </c>
      <c r="AN2138" s="90">
        <v>-1</v>
      </c>
      <c r="AQ2138" s="90">
        <v>358</v>
      </c>
      <c r="AR2138" s="90" t="s">
        <v>422</v>
      </c>
      <c r="AS2138" s="90" t="s">
        <v>250</v>
      </c>
      <c r="AT2138" s="90" t="s">
        <v>244</v>
      </c>
      <c r="AU2138" s="90">
        <v>86.412649999999999</v>
      </c>
      <c r="AV2138" s="90">
        <v>179.803059617679</v>
      </c>
      <c r="AW2138" s="90">
        <v>935.589556193215</v>
      </c>
      <c r="AX2138" s="90">
        <v>0.98872892000000001</v>
      </c>
    </row>
    <row r="2139" spans="1:50" x14ac:dyDescent="0.25">
      <c r="A2139" s="102">
        <v>830000</v>
      </c>
      <c r="B2139" s="102">
        <v>2400000</v>
      </c>
      <c r="C2139" s="102">
        <v>2400000</v>
      </c>
      <c r="D2139" s="90" t="s">
        <v>374</v>
      </c>
      <c r="E2139" s="90" t="s">
        <v>68</v>
      </c>
      <c r="F2139" s="90" t="s">
        <v>375</v>
      </c>
      <c r="G2139" s="90" t="s">
        <v>376</v>
      </c>
      <c r="H2139" s="90">
        <v>0.59</v>
      </c>
      <c r="I2139" s="90">
        <v>0.64</v>
      </c>
      <c r="J2139" s="90" t="s">
        <v>244</v>
      </c>
      <c r="K2139" s="90">
        <v>0.21436915041849</v>
      </c>
      <c r="L2139" s="90">
        <v>3760.5279827173199</v>
      </c>
      <c r="M2139" s="90">
        <v>10.7911587513842</v>
      </c>
      <c r="N2139" s="90">
        <v>2.0715936115170899</v>
      </c>
      <c r="O2139" s="90">
        <v>2.3132915335653701</v>
      </c>
      <c r="P2139" s="90">
        <v>0.44408576251330001</v>
      </c>
      <c r="Q2139" s="90">
        <v>806.14118878009799</v>
      </c>
      <c r="R2139" s="90">
        <v>1300</v>
      </c>
      <c r="S2139" s="90" t="s">
        <v>387</v>
      </c>
      <c r="T2139" s="90">
        <v>1300</v>
      </c>
      <c r="U2139" s="90" t="s">
        <v>378</v>
      </c>
      <c r="V2139" s="90" t="s">
        <v>244</v>
      </c>
      <c r="Z2139" s="90">
        <v>0</v>
      </c>
      <c r="AA2139" s="90">
        <v>1</v>
      </c>
      <c r="AB2139" s="90">
        <v>2.3132915335653701</v>
      </c>
      <c r="AC2139" s="90">
        <v>0.44408576251330001</v>
      </c>
      <c r="AD2139" s="90">
        <v>806.14118878009799</v>
      </c>
      <c r="AF2139" s="90">
        <v>-1</v>
      </c>
      <c r="AG2139" s="90">
        <v>-1</v>
      </c>
      <c r="AH2139" s="90">
        <v>-1</v>
      </c>
      <c r="AI2139" s="90">
        <v>-1</v>
      </c>
      <c r="AJ2139" s="90">
        <v>0</v>
      </c>
      <c r="AM2139" s="90" t="s">
        <v>379</v>
      </c>
      <c r="AN2139" s="90">
        <v>-1</v>
      </c>
      <c r="AQ2139" s="90">
        <v>358</v>
      </c>
      <c r="AR2139" s="90" t="s">
        <v>422</v>
      </c>
      <c r="AS2139" s="90" t="s">
        <v>250</v>
      </c>
      <c r="AT2139" s="90" t="s">
        <v>244</v>
      </c>
      <c r="AU2139" s="90">
        <v>86.412649999999999</v>
      </c>
      <c r="AV2139" s="90">
        <v>118.21102546711001</v>
      </c>
      <c r="AW2139" s="90">
        <v>867.52117313552606</v>
      </c>
      <c r="AX2139" s="90">
        <v>0.65380469490000004</v>
      </c>
    </row>
    <row r="2140" spans="1:50" x14ac:dyDescent="0.25">
      <c r="A2140" s="102">
        <v>830000</v>
      </c>
      <c r="B2140" s="102">
        <v>2400000</v>
      </c>
      <c r="C2140" s="102">
        <v>2400000</v>
      </c>
      <c r="D2140" s="90" t="s">
        <v>374</v>
      </c>
      <c r="E2140" s="90" t="s">
        <v>68</v>
      </c>
      <c r="F2140" s="90" t="s">
        <v>375</v>
      </c>
      <c r="G2140" s="90" t="s">
        <v>376</v>
      </c>
      <c r="H2140" s="90">
        <v>0.59</v>
      </c>
      <c r="I2140" s="90">
        <v>0.64</v>
      </c>
      <c r="J2140" s="90" t="s">
        <v>244</v>
      </c>
      <c r="K2140" s="90">
        <v>3.6376224989360002E-2</v>
      </c>
      <c r="L2140" s="90">
        <v>3760.5279827173199</v>
      </c>
      <c r="M2140" s="90">
        <v>10.7911587513842</v>
      </c>
      <c r="N2140" s="90">
        <v>2.0715936115170899</v>
      </c>
      <c r="O2140" s="90">
        <v>0.39254161863635001</v>
      </c>
      <c r="P2140" s="90">
        <v>7.5356755299079994E-2</v>
      </c>
      <c r="Q2140" s="90">
        <v>136.793811978143</v>
      </c>
      <c r="R2140" s="90">
        <v>1300</v>
      </c>
      <c r="S2140" s="90" t="s">
        <v>387</v>
      </c>
      <c r="T2140" s="90">
        <v>1300</v>
      </c>
      <c r="U2140" s="90" t="s">
        <v>378</v>
      </c>
      <c r="V2140" s="90" t="s">
        <v>244</v>
      </c>
      <c r="Z2140" s="90">
        <v>0</v>
      </c>
      <c r="AA2140" s="90">
        <v>1</v>
      </c>
      <c r="AB2140" s="90">
        <v>0.39254161863635001</v>
      </c>
      <c r="AC2140" s="90">
        <v>7.5356755299079994E-2</v>
      </c>
      <c r="AD2140" s="90">
        <v>136.793811978143</v>
      </c>
      <c r="AF2140" s="90">
        <v>-1</v>
      </c>
      <c r="AG2140" s="90">
        <v>-1</v>
      </c>
      <c r="AH2140" s="90">
        <v>-1</v>
      </c>
      <c r="AI2140" s="90">
        <v>-1</v>
      </c>
      <c r="AJ2140" s="90">
        <v>0</v>
      </c>
      <c r="AM2140" s="90" t="s">
        <v>379</v>
      </c>
      <c r="AN2140" s="90">
        <v>-1</v>
      </c>
      <c r="AQ2140" s="90">
        <v>358</v>
      </c>
      <c r="AR2140" s="90" t="s">
        <v>422</v>
      </c>
      <c r="AS2140" s="90" t="s">
        <v>250</v>
      </c>
      <c r="AT2140" s="90" t="s">
        <v>244</v>
      </c>
      <c r="AU2140" s="90">
        <v>86.412649999999999</v>
      </c>
      <c r="AV2140" s="90">
        <v>74.403797583416804</v>
      </c>
      <c r="AW2140" s="90">
        <v>147.20935972089501</v>
      </c>
      <c r="AX2140" s="90">
        <v>0.1109438864</v>
      </c>
    </row>
    <row r="2141" spans="1:50" x14ac:dyDescent="0.25">
      <c r="A2141" s="102">
        <v>830000</v>
      </c>
      <c r="B2141" s="102">
        <v>2400000</v>
      </c>
      <c r="C2141" s="102">
        <v>2400000</v>
      </c>
      <c r="D2141" s="90" t="s">
        <v>374</v>
      </c>
      <c r="E2141" s="90" t="s">
        <v>68</v>
      </c>
      <c r="F2141" s="90" t="s">
        <v>375</v>
      </c>
      <c r="G2141" s="90" t="s">
        <v>376</v>
      </c>
      <c r="H2141" s="90">
        <v>0.59</v>
      </c>
      <c r="I2141" s="90">
        <v>0.64</v>
      </c>
      <c r="J2141" s="90" t="s">
        <v>244</v>
      </c>
      <c r="K2141" s="90">
        <v>0.15875086696056001</v>
      </c>
      <c r="L2141" s="90">
        <v>3756.13833029027</v>
      </c>
      <c r="M2141" s="90">
        <v>10.616176695976799</v>
      </c>
      <c r="N2141" s="90">
        <v>1.46091542478254</v>
      </c>
      <c r="O2141" s="90">
        <v>1.6853272542928099</v>
      </c>
      <c r="P2141" s="90">
        <v>0.23192159024028</v>
      </c>
      <c r="Q2141" s="90">
        <v>596.29021635737001</v>
      </c>
      <c r="R2141" s="90">
        <v>1200</v>
      </c>
      <c r="S2141" s="90" t="s">
        <v>384</v>
      </c>
      <c r="T2141" s="90">
        <v>1200</v>
      </c>
      <c r="U2141" s="90" t="s">
        <v>378</v>
      </c>
      <c r="V2141" s="90" t="s">
        <v>244</v>
      </c>
      <c r="Z2141" s="90">
        <v>0</v>
      </c>
      <c r="AA2141" s="90">
        <v>1</v>
      </c>
      <c r="AB2141" s="90">
        <v>1.6853272542928099</v>
      </c>
      <c r="AC2141" s="90">
        <v>0.23192159024028</v>
      </c>
      <c r="AD2141" s="90">
        <v>596.29021635737001</v>
      </c>
      <c r="AF2141" s="90">
        <v>-1</v>
      </c>
      <c r="AG2141" s="90">
        <v>-1</v>
      </c>
      <c r="AH2141" s="90">
        <v>-1</v>
      </c>
      <c r="AI2141" s="90">
        <v>-1</v>
      </c>
      <c r="AJ2141" s="90">
        <v>0</v>
      </c>
      <c r="AM2141" s="90" t="s">
        <v>379</v>
      </c>
      <c r="AN2141" s="90">
        <v>-1</v>
      </c>
      <c r="AQ2141" s="90">
        <v>358</v>
      </c>
      <c r="AR2141" s="90" t="s">
        <v>422</v>
      </c>
      <c r="AS2141" s="90" t="s">
        <v>250</v>
      </c>
      <c r="AT2141" s="90" t="s">
        <v>244</v>
      </c>
      <c r="AU2141" s="90">
        <v>86.412649999999999</v>
      </c>
      <c r="AV2141" s="90">
        <v>125.72906789070601</v>
      </c>
      <c r="AW2141" s="90">
        <v>642.44196552090898</v>
      </c>
      <c r="AX2141" s="90">
        <v>0.48360925900000001</v>
      </c>
    </row>
    <row r="2142" spans="1:50" x14ac:dyDescent="0.25">
      <c r="A2142" s="102">
        <v>830000</v>
      </c>
      <c r="B2142" s="102">
        <v>2400000</v>
      </c>
      <c r="C2142" s="102">
        <v>2400000</v>
      </c>
      <c r="D2142" s="90" t="s">
        <v>374</v>
      </c>
      <c r="E2142" s="90" t="s">
        <v>68</v>
      </c>
      <c r="F2142" s="90" t="s">
        <v>375</v>
      </c>
      <c r="G2142" s="90" t="s">
        <v>376</v>
      </c>
      <c r="H2142" s="90">
        <v>0.59</v>
      </c>
      <c r="I2142" s="90">
        <v>0.64</v>
      </c>
      <c r="J2142" s="90" t="s">
        <v>244</v>
      </c>
      <c r="K2142" s="90">
        <v>0.20864020083432</v>
      </c>
      <c r="L2142" s="90">
        <v>3756.13833029027</v>
      </c>
      <c r="M2142" s="90">
        <v>10.616176695976799</v>
      </c>
      <c r="N2142" s="90">
        <v>1.46091542478254</v>
      </c>
      <c r="O2142" s="90">
        <v>2.21496123794129</v>
      </c>
      <c r="P2142" s="90">
        <v>0.30480568762859001</v>
      </c>
      <c r="Q2142" s="90">
        <v>783.68145559327195</v>
      </c>
      <c r="R2142" s="90">
        <v>1400</v>
      </c>
      <c r="S2142" s="90" t="s">
        <v>324</v>
      </c>
      <c r="T2142" s="90">
        <v>1400</v>
      </c>
      <c r="U2142" s="90" t="s">
        <v>378</v>
      </c>
      <c r="V2142" s="90" t="s">
        <v>244</v>
      </c>
      <c r="Z2142" s="90">
        <v>0</v>
      </c>
      <c r="AA2142" s="90">
        <v>1</v>
      </c>
      <c r="AB2142" s="90">
        <v>2.21496123794129</v>
      </c>
      <c r="AC2142" s="90">
        <v>0.30480568762859001</v>
      </c>
      <c r="AD2142" s="90">
        <v>783.68145559327195</v>
      </c>
      <c r="AF2142" s="90">
        <v>-1</v>
      </c>
      <c r="AG2142" s="90">
        <v>-1</v>
      </c>
      <c r="AH2142" s="90">
        <v>-1</v>
      </c>
      <c r="AI2142" s="90">
        <v>-1</v>
      </c>
      <c r="AJ2142" s="90">
        <v>0</v>
      </c>
      <c r="AM2142" s="90" t="s">
        <v>379</v>
      </c>
      <c r="AN2142" s="90">
        <v>-1</v>
      </c>
      <c r="AQ2142" s="90">
        <v>358</v>
      </c>
      <c r="AR2142" s="90" t="s">
        <v>422</v>
      </c>
      <c r="AS2142" s="90" t="s">
        <v>250</v>
      </c>
      <c r="AT2142" s="90" t="s">
        <v>244</v>
      </c>
      <c r="AU2142" s="90">
        <v>86.412649999999999</v>
      </c>
      <c r="AV2142" s="90">
        <v>233.821325814841</v>
      </c>
      <c r="AW2142" s="90">
        <v>844.33693671722006</v>
      </c>
      <c r="AX2142" s="90">
        <v>0.63558917729999997</v>
      </c>
    </row>
    <row r="2143" spans="1:50" x14ac:dyDescent="0.25">
      <c r="A2143" s="102">
        <v>830000</v>
      </c>
      <c r="B2143" s="102">
        <v>2400000</v>
      </c>
      <c r="C2143" s="102">
        <v>2400000</v>
      </c>
      <c r="D2143" s="90" t="s">
        <v>374</v>
      </c>
      <c r="E2143" s="90" t="s">
        <v>68</v>
      </c>
      <c r="F2143" s="90" t="s">
        <v>375</v>
      </c>
      <c r="G2143" s="90" t="s">
        <v>376</v>
      </c>
      <c r="H2143" s="90">
        <v>0.59</v>
      </c>
      <c r="I2143" s="90">
        <v>0.64</v>
      </c>
      <c r="J2143" s="90" t="s">
        <v>381</v>
      </c>
      <c r="K2143" s="90">
        <v>4.7938706856999998E-3</v>
      </c>
      <c r="L2143" s="90">
        <v>3756.13833029027</v>
      </c>
      <c r="M2143" s="90">
        <v>10.616176695976799</v>
      </c>
      <c r="N2143" s="90">
        <v>1.46091542478254</v>
      </c>
      <c r="O2143" s="90">
        <v>5.0892578257149997E-2</v>
      </c>
      <c r="P2143" s="90">
        <v>7.0034396291600003E-3</v>
      </c>
      <c r="Q2143" s="90">
        <v>18.006441433046401</v>
      </c>
      <c r="R2143" s="90">
        <v>1400</v>
      </c>
      <c r="S2143" s="90" t="s">
        <v>324</v>
      </c>
      <c r="T2143" s="90">
        <v>1400</v>
      </c>
      <c r="U2143" s="90" t="s">
        <v>382</v>
      </c>
      <c r="V2143" s="90" t="s">
        <v>381</v>
      </c>
      <c r="Z2143" s="90">
        <v>0</v>
      </c>
      <c r="AA2143" s="90">
        <v>1</v>
      </c>
      <c r="AB2143" s="90">
        <v>5.0892578257149997E-2</v>
      </c>
      <c r="AC2143" s="90">
        <v>7.0034396291600003E-3</v>
      </c>
      <c r="AD2143" s="90">
        <v>18.006441433047002</v>
      </c>
      <c r="AF2143" s="90">
        <v>-1</v>
      </c>
      <c r="AG2143" s="90">
        <v>-1</v>
      </c>
      <c r="AH2143" s="90">
        <v>-1</v>
      </c>
      <c r="AI2143" s="90">
        <v>-1</v>
      </c>
      <c r="AJ2143" s="90">
        <v>0</v>
      </c>
      <c r="AM2143" s="90" t="s">
        <v>379</v>
      </c>
      <c r="AN2143" s="90">
        <v>-1</v>
      </c>
      <c r="AQ2143" s="90">
        <v>358</v>
      </c>
      <c r="AR2143" s="90" t="s">
        <v>422</v>
      </c>
      <c r="AS2143" s="90" t="s">
        <v>250</v>
      </c>
      <c r="AT2143" s="90" t="s">
        <v>244</v>
      </c>
      <c r="AU2143" s="90">
        <v>86.412649999999999</v>
      </c>
      <c r="AV2143" s="90">
        <v>100.80912538056</v>
      </c>
      <c r="AW2143" s="90">
        <v>19.400106372617099</v>
      </c>
      <c r="AX2143" s="90">
        <v>1.4603764300000001E-2</v>
      </c>
    </row>
    <row r="2144" spans="1:50" x14ac:dyDescent="0.25">
      <c r="A2144" s="102">
        <v>830000</v>
      </c>
      <c r="B2144" s="102">
        <v>2400000</v>
      </c>
      <c r="C2144" s="102">
        <v>2400000</v>
      </c>
      <c r="D2144" s="90" t="s">
        <v>374</v>
      </c>
      <c r="E2144" s="90" t="s">
        <v>68</v>
      </c>
      <c r="F2144" s="90" t="s">
        <v>375</v>
      </c>
      <c r="G2144" s="90" t="s">
        <v>376</v>
      </c>
      <c r="H2144" s="90">
        <v>0.59</v>
      </c>
      <c r="I2144" s="90">
        <v>0.64</v>
      </c>
      <c r="J2144" s="90" t="s">
        <v>244</v>
      </c>
      <c r="K2144" s="90">
        <v>0.19007730874202999</v>
      </c>
      <c r="L2144" s="90">
        <v>3725.3697802829201</v>
      </c>
      <c r="M2144" s="90">
        <v>9.3186513251612002</v>
      </c>
      <c r="N2144" s="90">
        <v>1.55432291213632</v>
      </c>
      <c r="O2144" s="90">
        <v>1.77126416499206</v>
      </c>
      <c r="P2144" s="90">
        <v>0.29544151605496</v>
      </c>
      <c r="Q2144" s="90">
        <v>708.10826190509397</v>
      </c>
      <c r="R2144" s="90">
        <v>1300</v>
      </c>
      <c r="S2144" s="90" t="s">
        <v>387</v>
      </c>
      <c r="T2144" s="90">
        <v>1300</v>
      </c>
      <c r="U2144" s="90" t="s">
        <v>378</v>
      </c>
      <c r="V2144" s="90" t="s">
        <v>244</v>
      </c>
      <c r="Z2144" s="90">
        <v>0</v>
      </c>
      <c r="AA2144" s="90">
        <v>1</v>
      </c>
      <c r="AB2144" s="90">
        <v>1.77126416499206</v>
      </c>
      <c r="AC2144" s="90">
        <v>0.29544151605496</v>
      </c>
      <c r="AD2144" s="90">
        <v>708.10826190509397</v>
      </c>
      <c r="AF2144" s="90">
        <v>-1</v>
      </c>
      <c r="AG2144" s="90">
        <v>-1</v>
      </c>
      <c r="AH2144" s="90">
        <v>-1</v>
      </c>
      <c r="AI2144" s="90">
        <v>-1</v>
      </c>
      <c r="AJ2144" s="90">
        <v>0</v>
      </c>
      <c r="AM2144" s="90" t="s">
        <v>379</v>
      </c>
      <c r="AN2144" s="90">
        <v>-1</v>
      </c>
      <c r="AQ2144" s="90">
        <v>358</v>
      </c>
      <c r="AR2144" s="90" t="s">
        <v>422</v>
      </c>
      <c r="AS2144" s="90" t="s">
        <v>250</v>
      </c>
      <c r="AT2144" s="90" t="s">
        <v>244</v>
      </c>
      <c r="AU2144" s="90">
        <v>86.412649999999999</v>
      </c>
      <c r="AV2144" s="90">
        <v>131.612381847877</v>
      </c>
      <c r="AW2144" s="90">
        <v>769.21557763522299</v>
      </c>
      <c r="AX2144" s="90">
        <v>0.57429704940000004</v>
      </c>
    </row>
    <row r="2145" spans="1:50" x14ac:dyDescent="0.25">
      <c r="A2145" s="102">
        <v>830000</v>
      </c>
      <c r="B2145" s="102">
        <v>2400000</v>
      </c>
      <c r="C2145" s="102">
        <v>2400000</v>
      </c>
      <c r="D2145" s="90" t="s">
        <v>374</v>
      </c>
      <c r="E2145" s="90" t="s">
        <v>68</v>
      </c>
      <c r="F2145" s="90" t="s">
        <v>375</v>
      </c>
      <c r="G2145" s="90" t="s">
        <v>376</v>
      </c>
      <c r="H2145" s="90">
        <v>0.59</v>
      </c>
      <c r="I2145" s="90">
        <v>0.64</v>
      </c>
      <c r="J2145" s="90" t="s">
        <v>244</v>
      </c>
      <c r="K2145" s="90">
        <v>0.10967714964102</v>
      </c>
      <c r="L2145" s="90">
        <v>3725.3697802829201</v>
      </c>
      <c r="M2145" s="90">
        <v>9.3186513251612002</v>
      </c>
      <c r="N2145" s="90">
        <v>1.55432291213632</v>
      </c>
      <c r="O2145" s="90">
        <v>1.02204311584227</v>
      </c>
      <c r="P2145" s="90">
        <v>0.17047370662485001</v>
      </c>
      <c r="Q2145" s="90">
        <v>408.587938860257</v>
      </c>
      <c r="R2145" s="90">
        <v>1300</v>
      </c>
      <c r="S2145" s="90" t="s">
        <v>387</v>
      </c>
      <c r="T2145" s="90">
        <v>1300</v>
      </c>
      <c r="U2145" s="90" t="s">
        <v>378</v>
      </c>
      <c r="V2145" s="90" t="s">
        <v>244</v>
      </c>
      <c r="Z2145" s="90">
        <v>0</v>
      </c>
      <c r="AA2145" s="90">
        <v>1</v>
      </c>
      <c r="AB2145" s="90">
        <v>1.02204311584227</v>
      </c>
      <c r="AC2145" s="90">
        <v>0.17047370662485001</v>
      </c>
      <c r="AD2145" s="90">
        <v>408.587938860257</v>
      </c>
      <c r="AF2145" s="90">
        <v>-1</v>
      </c>
      <c r="AG2145" s="90">
        <v>-1</v>
      </c>
      <c r="AH2145" s="90">
        <v>-1</v>
      </c>
      <c r="AI2145" s="90">
        <v>-1</v>
      </c>
      <c r="AJ2145" s="90">
        <v>0</v>
      </c>
      <c r="AM2145" s="90" t="s">
        <v>379</v>
      </c>
      <c r="AN2145" s="90">
        <v>-1</v>
      </c>
      <c r="AQ2145" s="90">
        <v>358</v>
      </c>
      <c r="AR2145" s="90" t="s">
        <v>422</v>
      </c>
      <c r="AS2145" s="90" t="s">
        <v>250</v>
      </c>
      <c r="AT2145" s="90" t="s">
        <v>244</v>
      </c>
      <c r="AU2145" s="90">
        <v>86.412649999999999</v>
      </c>
      <c r="AV2145" s="90">
        <v>92.043565501656204</v>
      </c>
      <c r="AW2145" s="90">
        <v>443.84767741532301</v>
      </c>
      <c r="AX2145" s="90">
        <v>0.3313770794</v>
      </c>
    </row>
    <row r="2146" spans="1:50" x14ac:dyDescent="0.25">
      <c r="A2146" s="102">
        <v>830000</v>
      </c>
      <c r="B2146" s="102">
        <v>2400000</v>
      </c>
      <c r="C2146" s="102">
        <v>2400000</v>
      </c>
      <c r="D2146" s="90" t="s">
        <v>374</v>
      </c>
      <c r="E2146" s="90" t="s">
        <v>68</v>
      </c>
      <c r="F2146" s="90" t="s">
        <v>375</v>
      </c>
      <c r="G2146" s="90" t="s">
        <v>376</v>
      </c>
      <c r="H2146" s="90">
        <v>0.59</v>
      </c>
      <c r="I2146" s="90">
        <v>0.64</v>
      </c>
      <c r="J2146" s="90" t="s">
        <v>244</v>
      </c>
      <c r="K2146" s="90">
        <v>0.10480424507202001</v>
      </c>
      <c r="L2146" s="90">
        <v>3748.7521775473701</v>
      </c>
      <c r="M2146" s="90">
        <v>10.4394903858674</v>
      </c>
      <c r="N2146" s="90">
        <v>1.90991138928883</v>
      </c>
      <c r="O2146" s="90">
        <v>1.0941029088274901</v>
      </c>
      <c r="P2146" s="90">
        <v>0.20016682130887001</v>
      </c>
      <c r="Q2146" s="90">
        <v>392.88514192995802</v>
      </c>
      <c r="R2146" s="90">
        <v>1210</v>
      </c>
      <c r="S2146" s="90" t="s">
        <v>385</v>
      </c>
      <c r="T2146" s="90">
        <v>1210</v>
      </c>
      <c r="U2146" s="90" t="s">
        <v>378</v>
      </c>
      <c r="V2146" s="90" t="s">
        <v>244</v>
      </c>
      <c r="Z2146" s="90">
        <v>0</v>
      </c>
      <c r="AA2146" s="90">
        <v>1</v>
      </c>
      <c r="AB2146" s="90">
        <v>1.0941029088274901</v>
      </c>
      <c r="AC2146" s="90">
        <v>0.20016682130887001</v>
      </c>
      <c r="AD2146" s="90">
        <v>392.88514192995802</v>
      </c>
      <c r="AF2146" s="90">
        <v>-1</v>
      </c>
      <c r="AG2146" s="90">
        <v>-1</v>
      </c>
      <c r="AH2146" s="90">
        <v>-1</v>
      </c>
      <c r="AI2146" s="90">
        <v>-1</v>
      </c>
      <c r="AJ2146" s="90">
        <v>0</v>
      </c>
      <c r="AM2146" s="90" t="s">
        <v>379</v>
      </c>
      <c r="AN2146" s="90">
        <v>-1</v>
      </c>
      <c r="AQ2146" s="90">
        <v>358</v>
      </c>
      <c r="AR2146" s="90" t="s">
        <v>422</v>
      </c>
      <c r="AS2146" s="90" t="s">
        <v>250</v>
      </c>
      <c r="AT2146" s="90" t="s">
        <v>244</v>
      </c>
      <c r="AU2146" s="90">
        <v>86.412649999999999</v>
      </c>
      <c r="AV2146" s="90">
        <v>99.908384800683706</v>
      </c>
      <c r="AW2146" s="90">
        <v>424.12773226450201</v>
      </c>
      <c r="AX2146" s="90">
        <v>0.31864163979999999</v>
      </c>
    </row>
    <row r="2147" spans="1:50" x14ac:dyDescent="0.25">
      <c r="A2147" s="102">
        <v>830000</v>
      </c>
      <c r="B2147" s="102">
        <v>2400000</v>
      </c>
      <c r="C2147" s="102">
        <v>2400000</v>
      </c>
      <c r="D2147" s="90" t="s">
        <v>374</v>
      </c>
      <c r="E2147" s="90" t="s">
        <v>68</v>
      </c>
      <c r="F2147" s="90" t="s">
        <v>375</v>
      </c>
      <c r="G2147" s="90" t="s">
        <v>376</v>
      </c>
      <c r="H2147" s="90">
        <v>0.59</v>
      </c>
      <c r="I2147" s="90">
        <v>0.64</v>
      </c>
      <c r="J2147" s="90" t="s">
        <v>244</v>
      </c>
      <c r="K2147" s="90">
        <v>1.012365513022E-2</v>
      </c>
      <c r="L2147" s="90">
        <v>3748.7521775473701</v>
      </c>
      <c r="M2147" s="90">
        <v>10.4394903858674</v>
      </c>
      <c r="N2147" s="90">
        <v>1.90991138928883</v>
      </c>
      <c r="O2147" s="90">
        <v>0.10568580040182</v>
      </c>
      <c r="P2147" s="90">
        <v>1.933528423444E-2</v>
      </c>
      <c r="Q2147" s="90">
        <v>37.951074214169601</v>
      </c>
      <c r="R2147" s="90">
        <v>1330</v>
      </c>
      <c r="S2147" s="90" t="s">
        <v>397</v>
      </c>
      <c r="T2147" s="90">
        <v>1330</v>
      </c>
      <c r="U2147" s="90" t="s">
        <v>378</v>
      </c>
      <c r="V2147" s="90" t="s">
        <v>244</v>
      </c>
      <c r="Z2147" s="90">
        <v>0</v>
      </c>
      <c r="AA2147" s="90">
        <v>1</v>
      </c>
      <c r="AB2147" s="90">
        <v>0.10568580040182</v>
      </c>
      <c r="AC2147" s="90">
        <v>1.933528423444E-2</v>
      </c>
      <c r="AD2147" s="90">
        <v>37.951074214170298</v>
      </c>
      <c r="AF2147" s="90">
        <v>-1</v>
      </c>
      <c r="AG2147" s="90">
        <v>-1</v>
      </c>
      <c r="AH2147" s="90">
        <v>-1</v>
      </c>
      <c r="AI2147" s="90">
        <v>-1</v>
      </c>
      <c r="AJ2147" s="90">
        <v>0</v>
      </c>
      <c r="AM2147" s="90" t="s">
        <v>379</v>
      </c>
      <c r="AN2147" s="90">
        <v>-1</v>
      </c>
      <c r="AQ2147" s="90">
        <v>358</v>
      </c>
      <c r="AR2147" s="90" t="s">
        <v>422</v>
      </c>
      <c r="AS2147" s="90" t="s">
        <v>250</v>
      </c>
      <c r="AT2147" s="90" t="s">
        <v>244</v>
      </c>
      <c r="AU2147" s="90">
        <v>86.412649999999999</v>
      </c>
      <c r="AV2147" s="90">
        <v>29.193663510103999</v>
      </c>
      <c r="AW2147" s="90">
        <v>40.968978781914601</v>
      </c>
      <c r="AX2147" s="90">
        <v>3.0779460000000002E-2</v>
      </c>
    </row>
    <row r="2148" spans="1:50" x14ac:dyDescent="0.25">
      <c r="A2148" s="102">
        <v>830000</v>
      </c>
      <c r="B2148" s="102">
        <v>2400000</v>
      </c>
      <c r="C2148" s="102">
        <v>2400000</v>
      </c>
      <c r="D2148" s="90" t="s">
        <v>374</v>
      </c>
      <c r="E2148" s="90" t="s">
        <v>68</v>
      </c>
      <c r="F2148" s="90" t="s">
        <v>375</v>
      </c>
      <c r="G2148" s="90" t="s">
        <v>376</v>
      </c>
      <c r="H2148" s="90">
        <v>0.59</v>
      </c>
      <c r="I2148" s="90">
        <v>0.64</v>
      </c>
      <c r="J2148" s="90" t="s">
        <v>244</v>
      </c>
      <c r="K2148" s="90">
        <v>4.344508285557E-2</v>
      </c>
      <c r="L2148" s="90">
        <v>3748.7521775473701</v>
      </c>
      <c r="M2148" s="90">
        <v>10.4394903858674</v>
      </c>
      <c r="N2148" s="90">
        <v>1.90991138928883</v>
      </c>
      <c r="O2148" s="90">
        <v>0.45354452478403001</v>
      </c>
      <c r="P2148" s="90">
        <v>8.2976258554460003E-2</v>
      </c>
      <c r="Q2148" s="90">
        <v>162.864848958577</v>
      </c>
      <c r="R2148" s="90">
        <v>1210</v>
      </c>
      <c r="S2148" s="90" t="s">
        <v>385</v>
      </c>
      <c r="T2148" s="90">
        <v>1210</v>
      </c>
      <c r="U2148" s="90" t="s">
        <v>378</v>
      </c>
      <c r="V2148" s="90" t="s">
        <v>244</v>
      </c>
      <c r="Z2148" s="90">
        <v>0</v>
      </c>
      <c r="AA2148" s="90">
        <v>1</v>
      </c>
      <c r="AB2148" s="90">
        <v>0.45354452478403001</v>
      </c>
      <c r="AC2148" s="90">
        <v>8.2976258554460003E-2</v>
      </c>
      <c r="AD2148" s="90">
        <v>162.86484895857899</v>
      </c>
      <c r="AF2148" s="90">
        <v>-1</v>
      </c>
      <c r="AG2148" s="90">
        <v>-1</v>
      </c>
      <c r="AH2148" s="90">
        <v>-1</v>
      </c>
      <c r="AI2148" s="90">
        <v>-1</v>
      </c>
      <c r="AJ2148" s="90">
        <v>0</v>
      </c>
      <c r="AM2148" s="90" t="s">
        <v>379</v>
      </c>
      <c r="AN2148" s="90">
        <v>-1</v>
      </c>
      <c r="AQ2148" s="90">
        <v>358</v>
      </c>
      <c r="AR2148" s="90" t="s">
        <v>422</v>
      </c>
      <c r="AS2148" s="90" t="s">
        <v>250</v>
      </c>
      <c r="AT2148" s="90" t="s">
        <v>244</v>
      </c>
      <c r="AU2148" s="90">
        <v>86.412649999999999</v>
      </c>
      <c r="AV2148" s="90">
        <v>53.930105509880498</v>
      </c>
      <c r="AW2148" s="90">
        <v>175.81601257580101</v>
      </c>
      <c r="AX2148" s="90">
        <v>0.13208827980000001</v>
      </c>
    </row>
    <row r="2149" spans="1:50" x14ac:dyDescent="0.25">
      <c r="A2149" s="102">
        <v>830000</v>
      </c>
      <c r="B2149" s="102">
        <v>2400000</v>
      </c>
      <c r="C2149" s="102">
        <v>2400000</v>
      </c>
      <c r="D2149" s="90" t="s">
        <v>374</v>
      </c>
      <c r="E2149" s="90" t="s">
        <v>68</v>
      </c>
      <c r="F2149" s="90" t="s">
        <v>375</v>
      </c>
      <c r="G2149" s="90" t="s">
        <v>376</v>
      </c>
      <c r="H2149" s="90">
        <v>0.59</v>
      </c>
      <c r="I2149" s="90">
        <v>0.64</v>
      </c>
      <c r="J2149" s="90" t="s">
        <v>244</v>
      </c>
      <c r="K2149" s="90">
        <v>8.6861858077389997E-2</v>
      </c>
      <c r="L2149" s="90">
        <v>3748.7521775473701</v>
      </c>
      <c r="M2149" s="90">
        <v>10.4394903858674</v>
      </c>
      <c r="N2149" s="90">
        <v>1.90991138928883</v>
      </c>
      <c r="O2149" s="90">
        <v>0.90679353229753001</v>
      </c>
      <c r="P2149" s="90">
        <v>0.16589845203680001</v>
      </c>
      <c r="Q2149" s="90">
        <v>325.623579613441</v>
      </c>
      <c r="R2149" s="90">
        <v>1300</v>
      </c>
      <c r="S2149" s="90" t="s">
        <v>387</v>
      </c>
      <c r="T2149" s="90">
        <v>1300</v>
      </c>
      <c r="U2149" s="90" t="s">
        <v>378</v>
      </c>
      <c r="V2149" s="90" t="s">
        <v>244</v>
      </c>
      <c r="Z2149" s="90">
        <v>0</v>
      </c>
      <c r="AA2149" s="90">
        <v>1</v>
      </c>
      <c r="AB2149" s="90">
        <v>0.90679353229753001</v>
      </c>
      <c r="AC2149" s="90">
        <v>0.16589845203680001</v>
      </c>
      <c r="AD2149" s="90">
        <v>325.623579613441</v>
      </c>
      <c r="AF2149" s="90">
        <v>-1</v>
      </c>
      <c r="AG2149" s="90">
        <v>-1</v>
      </c>
      <c r="AH2149" s="90">
        <v>-1</v>
      </c>
      <c r="AI2149" s="90">
        <v>-1</v>
      </c>
      <c r="AJ2149" s="90">
        <v>0</v>
      </c>
      <c r="AM2149" s="90" t="s">
        <v>379</v>
      </c>
      <c r="AN2149" s="90">
        <v>-1</v>
      </c>
      <c r="AQ2149" s="90">
        <v>358</v>
      </c>
      <c r="AR2149" s="90" t="s">
        <v>422</v>
      </c>
      <c r="AS2149" s="90" t="s">
        <v>250</v>
      </c>
      <c r="AT2149" s="90" t="s">
        <v>244</v>
      </c>
      <c r="AU2149" s="90">
        <v>86.412649999999999</v>
      </c>
      <c r="AV2149" s="90">
        <v>83.797430692192293</v>
      </c>
      <c r="AW2149" s="90">
        <v>351.51746822209901</v>
      </c>
      <c r="AX2149" s="90">
        <v>0.26409049439999999</v>
      </c>
    </row>
    <row r="2150" spans="1:50" x14ac:dyDescent="0.25">
      <c r="A2150" s="102">
        <v>830000</v>
      </c>
      <c r="B2150" s="102">
        <v>2400000</v>
      </c>
      <c r="C2150" s="102">
        <v>2400000</v>
      </c>
      <c r="D2150" s="90" t="s">
        <v>374</v>
      </c>
      <c r="E2150" s="90" t="s">
        <v>68</v>
      </c>
      <c r="F2150" s="90" t="s">
        <v>375</v>
      </c>
      <c r="G2150" s="90" t="s">
        <v>376</v>
      </c>
      <c r="H2150" s="90">
        <v>0.59</v>
      </c>
      <c r="I2150" s="90">
        <v>0.64</v>
      </c>
      <c r="J2150" s="90" t="s">
        <v>244</v>
      </c>
      <c r="K2150" s="90">
        <v>0.37252861246364999</v>
      </c>
      <c r="L2150" s="90">
        <v>3748.7521775473701</v>
      </c>
      <c r="M2150" s="90">
        <v>10.4394903858674</v>
      </c>
      <c r="N2150" s="90">
        <v>1.90991138928883</v>
      </c>
      <c r="O2150" s="90">
        <v>3.8890088682748201</v>
      </c>
      <c r="P2150" s="90">
        <v>0.71149663978028999</v>
      </c>
      <c r="Q2150" s="90">
        <v>1396.5174471718101</v>
      </c>
      <c r="R2150" s="90">
        <v>1340</v>
      </c>
      <c r="S2150" s="90" t="s">
        <v>407</v>
      </c>
      <c r="T2150" s="90">
        <v>1340</v>
      </c>
      <c r="U2150" s="90" t="s">
        <v>378</v>
      </c>
      <c r="V2150" s="90" t="s">
        <v>244</v>
      </c>
      <c r="Z2150" s="90">
        <v>0</v>
      </c>
      <c r="AA2150" s="90">
        <v>1</v>
      </c>
      <c r="AB2150" s="90">
        <v>3.8890088682748201</v>
      </c>
      <c r="AC2150" s="90">
        <v>0.71149663978028999</v>
      </c>
      <c r="AD2150" s="90">
        <v>1396.5174471718101</v>
      </c>
      <c r="AF2150" s="90">
        <v>-1</v>
      </c>
      <c r="AG2150" s="90">
        <v>-1</v>
      </c>
      <c r="AH2150" s="90">
        <v>-1</v>
      </c>
      <c r="AI2150" s="90">
        <v>-1</v>
      </c>
      <c r="AJ2150" s="90">
        <v>0</v>
      </c>
      <c r="AM2150" s="90" t="s">
        <v>379</v>
      </c>
      <c r="AN2150" s="90">
        <v>-1</v>
      </c>
      <c r="AQ2150" s="90">
        <v>358</v>
      </c>
      <c r="AR2150" s="90" t="s">
        <v>422</v>
      </c>
      <c r="AS2150" s="90" t="s">
        <v>250</v>
      </c>
      <c r="AT2150" s="90" t="s">
        <v>244</v>
      </c>
      <c r="AU2150" s="90">
        <v>86.412649999999999</v>
      </c>
      <c r="AV2150" s="90">
        <v>155.32387303711599</v>
      </c>
      <c r="AW2150" s="90">
        <v>1507.56980787628</v>
      </c>
      <c r="AX2150" s="90">
        <v>1.1326175565000001</v>
      </c>
    </row>
    <row r="2151" spans="1:50" x14ac:dyDescent="0.25">
      <c r="A2151" s="102">
        <v>830000</v>
      </c>
      <c r="B2151" s="102">
        <v>2400000</v>
      </c>
      <c r="C2151" s="102">
        <v>2400000</v>
      </c>
      <c r="D2151" s="90" t="s">
        <v>374</v>
      </c>
      <c r="E2151" s="90" t="s">
        <v>68</v>
      </c>
      <c r="F2151" s="90" t="s">
        <v>375</v>
      </c>
      <c r="G2151" s="90" t="s">
        <v>376</v>
      </c>
      <c r="H2151" s="90">
        <v>0.59</v>
      </c>
      <c r="I2151" s="90">
        <v>0.64</v>
      </c>
      <c r="J2151" s="90" t="s">
        <v>244</v>
      </c>
      <c r="K2151" s="90">
        <v>8.0992306359010002E-2</v>
      </c>
      <c r="L2151" s="90">
        <v>3761.2322543089099</v>
      </c>
      <c r="M2151" s="90">
        <v>10.817398721102901</v>
      </c>
      <c r="N2151" s="90">
        <v>2.0838262658173798</v>
      </c>
      <c r="O2151" s="90">
        <v>0.87612607122718</v>
      </c>
      <c r="P2151" s="90">
        <v>0.16877389532004</v>
      </c>
      <c r="Q2151" s="90">
        <v>304.63087502839602</v>
      </c>
      <c r="R2151" s="90">
        <v>1300</v>
      </c>
      <c r="S2151" s="90" t="s">
        <v>387</v>
      </c>
      <c r="T2151" s="90">
        <v>1300</v>
      </c>
      <c r="U2151" s="90" t="s">
        <v>378</v>
      </c>
      <c r="V2151" s="90" t="s">
        <v>244</v>
      </c>
      <c r="Z2151" s="90">
        <v>0</v>
      </c>
      <c r="AA2151" s="90">
        <v>1</v>
      </c>
      <c r="AB2151" s="90">
        <v>0.87612607122718</v>
      </c>
      <c r="AC2151" s="90">
        <v>0.16877389532004</v>
      </c>
      <c r="AD2151" s="90">
        <v>420.59150096041202</v>
      </c>
      <c r="AF2151" s="90">
        <v>-1</v>
      </c>
      <c r="AG2151" s="90">
        <v>-1</v>
      </c>
      <c r="AH2151" s="90">
        <v>-1</v>
      </c>
      <c r="AI2151" s="90">
        <v>-1</v>
      </c>
      <c r="AJ2151" s="90">
        <v>0</v>
      </c>
      <c r="AM2151" s="90" t="s">
        <v>379</v>
      </c>
      <c r="AN2151" s="90">
        <v>-1</v>
      </c>
      <c r="AQ2151" s="90">
        <v>358</v>
      </c>
      <c r="AR2151" s="90" t="s">
        <v>422</v>
      </c>
      <c r="AS2151" s="90" t="s">
        <v>250</v>
      </c>
      <c r="AT2151" s="90" t="s">
        <v>244</v>
      </c>
      <c r="AU2151" s="90">
        <v>86.412649999999999</v>
      </c>
      <c r="AV2151" s="90">
        <v>113.139988852587</v>
      </c>
      <c r="AW2151" s="90">
        <v>327.76423515396999</v>
      </c>
      <c r="AX2151" s="90">
        <v>0.3411123284</v>
      </c>
    </row>
    <row r="2152" spans="1:50" x14ac:dyDescent="0.25">
      <c r="A2152" s="102">
        <v>830000</v>
      </c>
      <c r="B2152" s="102">
        <v>2400000</v>
      </c>
      <c r="C2152" s="102">
        <v>2400000</v>
      </c>
      <c r="D2152" s="90" t="s">
        <v>374</v>
      </c>
      <c r="E2152" s="90" t="s">
        <v>68</v>
      </c>
      <c r="F2152" s="90" t="s">
        <v>375</v>
      </c>
      <c r="G2152" s="90" t="s">
        <v>376</v>
      </c>
      <c r="H2152" s="90">
        <v>0.59</v>
      </c>
      <c r="I2152" s="90">
        <v>0.64</v>
      </c>
      <c r="J2152" s="90" t="s">
        <v>244</v>
      </c>
      <c r="K2152" s="90">
        <v>0.15586364776910999</v>
      </c>
      <c r="L2152" s="90">
        <v>3761.2322543089099</v>
      </c>
      <c r="M2152" s="90">
        <v>10.817398721102901</v>
      </c>
      <c r="N2152" s="90">
        <v>2.0838262658173798</v>
      </c>
      <c r="O2152" s="90">
        <v>1.6860392240440101</v>
      </c>
      <c r="P2152" s="90">
        <v>0.32479276310737998</v>
      </c>
      <c r="Q2152" s="90">
        <v>586.23937926341898</v>
      </c>
      <c r="R2152" s="90">
        <v>1330</v>
      </c>
      <c r="S2152" s="90" t="s">
        <v>397</v>
      </c>
      <c r="T2152" s="90">
        <v>1330</v>
      </c>
      <c r="U2152" s="90" t="s">
        <v>378</v>
      </c>
      <c r="V2152" s="90" t="s">
        <v>244</v>
      </c>
      <c r="Z2152" s="90">
        <v>0</v>
      </c>
      <c r="AA2152" s="90">
        <v>1</v>
      </c>
      <c r="AB2152" s="90">
        <v>1.6860392240440101</v>
      </c>
      <c r="AC2152" s="90">
        <v>0.32479276310737998</v>
      </c>
      <c r="AD2152" s="90">
        <v>586.23937926341898</v>
      </c>
      <c r="AF2152" s="90">
        <v>-1</v>
      </c>
      <c r="AG2152" s="90">
        <v>-1</v>
      </c>
      <c r="AH2152" s="90">
        <v>-1</v>
      </c>
      <c r="AI2152" s="90">
        <v>-1</v>
      </c>
      <c r="AJ2152" s="90">
        <v>0</v>
      </c>
      <c r="AM2152" s="90" t="s">
        <v>379</v>
      </c>
      <c r="AN2152" s="90">
        <v>-1</v>
      </c>
      <c r="AQ2152" s="90">
        <v>358</v>
      </c>
      <c r="AR2152" s="90" t="s">
        <v>422</v>
      </c>
      <c r="AS2152" s="90" t="s">
        <v>250</v>
      </c>
      <c r="AT2152" s="90" t="s">
        <v>244</v>
      </c>
      <c r="AU2152" s="90">
        <v>86.412649999999999</v>
      </c>
      <c r="AV2152" s="90">
        <v>113.14942250708199</v>
      </c>
      <c r="AW2152" s="90">
        <v>630.75780399311498</v>
      </c>
      <c r="AX2152" s="90">
        <v>0.47545772850000001</v>
      </c>
    </row>
    <row r="2153" spans="1:50" x14ac:dyDescent="0.25">
      <c r="A2153" s="102">
        <v>830000</v>
      </c>
      <c r="B2153" s="102">
        <v>2400000</v>
      </c>
      <c r="C2153" s="102">
        <v>2400000</v>
      </c>
      <c r="D2153" s="90" t="s">
        <v>374</v>
      </c>
      <c r="E2153" s="90" t="s">
        <v>68</v>
      </c>
      <c r="F2153" s="90" t="s">
        <v>375</v>
      </c>
      <c r="G2153" s="90" t="s">
        <v>376</v>
      </c>
      <c r="H2153" s="90">
        <v>0.59</v>
      </c>
      <c r="I2153" s="90">
        <v>0.64</v>
      </c>
      <c r="J2153" s="90" t="s">
        <v>244</v>
      </c>
      <c r="K2153" s="90">
        <v>3.0074443862900001E-2</v>
      </c>
      <c r="L2153" s="90">
        <v>3761.2322543089099</v>
      </c>
      <c r="M2153" s="90">
        <v>10.817398721102901</v>
      </c>
      <c r="N2153" s="90">
        <v>2.0838262658173798</v>
      </c>
      <c r="O2153" s="90">
        <v>0.32532725058043999</v>
      </c>
      <c r="P2153" s="90">
        <v>6.2669916051360006E-2</v>
      </c>
      <c r="Q2153" s="90">
        <v>113.11696828755299</v>
      </c>
      <c r="R2153" s="90">
        <v>1330</v>
      </c>
      <c r="S2153" s="90" t="s">
        <v>397</v>
      </c>
      <c r="T2153" s="90">
        <v>1330</v>
      </c>
      <c r="U2153" s="90" t="s">
        <v>378</v>
      </c>
      <c r="V2153" s="90" t="s">
        <v>244</v>
      </c>
      <c r="Z2153" s="90">
        <v>0</v>
      </c>
      <c r="AA2153" s="90">
        <v>1</v>
      </c>
      <c r="AB2153" s="90">
        <v>0.32532725058043999</v>
      </c>
      <c r="AC2153" s="90">
        <v>6.2669916051360006E-2</v>
      </c>
      <c r="AD2153" s="90">
        <v>113.11696828755299</v>
      </c>
      <c r="AF2153" s="90">
        <v>-1</v>
      </c>
      <c r="AG2153" s="90">
        <v>-1</v>
      </c>
      <c r="AH2153" s="90">
        <v>-1</v>
      </c>
      <c r="AI2153" s="90">
        <v>-1</v>
      </c>
      <c r="AJ2153" s="90">
        <v>0</v>
      </c>
      <c r="AM2153" s="90" t="s">
        <v>379</v>
      </c>
      <c r="AN2153" s="90">
        <v>-1</v>
      </c>
      <c r="AQ2153" s="90">
        <v>358</v>
      </c>
      <c r="AR2153" s="90" t="s">
        <v>422</v>
      </c>
      <c r="AS2153" s="90" t="s">
        <v>250</v>
      </c>
      <c r="AT2153" s="90" t="s">
        <v>244</v>
      </c>
      <c r="AU2153" s="90">
        <v>86.412649999999999</v>
      </c>
      <c r="AV2153" s="90">
        <v>88.905020228050304</v>
      </c>
      <c r="AW2153" s="90">
        <v>121.706956296697</v>
      </c>
      <c r="AX2153" s="90">
        <v>9.1741255699999996E-2</v>
      </c>
    </row>
    <row r="2154" spans="1:50" x14ac:dyDescent="0.25">
      <c r="A2154" s="102">
        <v>830000</v>
      </c>
      <c r="B2154" s="102">
        <v>2400000</v>
      </c>
      <c r="C2154" s="102">
        <v>2400000</v>
      </c>
      <c r="D2154" s="90" t="s">
        <v>374</v>
      </c>
      <c r="E2154" s="90" t="s">
        <v>68</v>
      </c>
      <c r="F2154" s="90" t="s">
        <v>375</v>
      </c>
      <c r="G2154" s="90" t="s">
        <v>376</v>
      </c>
      <c r="H2154" s="90">
        <v>0.59</v>
      </c>
      <c r="I2154" s="90">
        <v>0.64</v>
      </c>
      <c r="J2154" s="90" t="s">
        <v>244</v>
      </c>
      <c r="K2154" s="90">
        <v>8.3448654200999998E-3</v>
      </c>
      <c r="L2154" s="90">
        <v>3761.2322543089099</v>
      </c>
      <c r="M2154" s="90">
        <v>10.817398721102901</v>
      </c>
      <c r="N2154" s="90">
        <v>2.0838262658173798</v>
      </c>
      <c r="O2154" s="90">
        <v>9.0269736523180003E-2</v>
      </c>
      <c r="P2154" s="90">
        <v>1.738924974712E-2</v>
      </c>
      <c r="Q2154" s="90">
        <v>31.386976975954699</v>
      </c>
      <c r="R2154" s="90">
        <v>1330</v>
      </c>
      <c r="S2154" s="90" t="s">
        <v>397</v>
      </c>
      <c r="T2154" s="90">
        <v>1330</v>
      </c>
      <c r="U2154" s="90" t="s">
        <v>378</v>
      </c>
      <c r="V2154" s="90" t="s">
        <v>244</v>
      </c>
      <c r="Z2154" s="90">
        <v>0</v>
      </c>
      <c r="AA2154" s="90">
        <v>1</v>
      </c>
      <c r="AB2154" s="90">
        <v>9.0269736523180003E-2</v>
      </c>
      <c r="AC2154" s="90">
        <v>1.738924974712E-2</v>
      </c>
      <c r="AD2154" s="90">
        <v>31.386976975953601</v>
      </c>
      <c r="AF2154" s="90">
        <v>-1</v>
      </c>
      <c r="AG2154" s="90">
        <v>-1</v>
      </c>
      <c r="AH2154" s="90">
        <v>-1</v>
      </c>
      <c r="AI2154" s="90">
        <v>-1</v>
      </c>
      <c r="AJ2154" s="90">
        <v>0</v>
      </c>
      <c r="AM2154" s="90" t="s">
        <v>379</v>
      </c>
      <c r="AN2154" s="90">
        <v>-1</v>
      </c>
      <c r="AQ2154" s="90">
        <v>358</v>
      </c>
      <c r="AR2154" s="90" t="s">
        <v>422</v>
      </c>
      <c r="AS2154" s="90" t="s">
        <v>250</v>
      </c>
      <c r="AT2154" s="90" t="s">
        <v>244</v>
      </c>
      <c r="AU2154" s="90">
        <v>86.412649999999999</v>
      </c>
      <c r="AV2154" s="90">
        <v>62.2639651168463</v>
      </c>
      <c r="AW2154" s="90">
        <v>33.770472219402201</v>
      </c>
      <c r="AX2154" s="90">
        <v>2.54557802E-2</v>
      </c>
    </row>
    <row r="2155" spans="1:50" x14ac:dyDescent="0.25">
      <c r="A2155" s="102">
        <v>830000</v>
      </c>
      <c r="B2155" s="102">
        <v>2400000</v>
      </c>
      <c r="C2155" s="102">
        <v>2400000</v>
      </c>
      <c r="D2155" s="90" t="s">
        <v>374</v>
      </c>
      <c r="E2155" s="90" t="s">
        <v>68</v>
      </c>
      <c r="F2155" s="90" t="s">
        <v>375</v>
      </c>
      <c r="G2155" s="90" t="s">
        <v>376</v>
      </c>
      <c r="H2155" s="90">
        <v>0.59</v>
      </c>
      <c r="I2155" s="90">
        <v>0.64</v>
      </c>
      <c r="J2155" s="90" t="s">
        <v>244</v>
      </c>
      <c r="K2155" s="90">
        <v>4.13016724119E-3</v>
      </c>
      <c r="L2155" s="90">
        <v>3761.2322543089099</v>
      </c>
      <c r="M2155" s="90">
        <v>10.817398721102901</v>
      </c>
      <c r="N2155" s="90">
        <v>2.0838262658173798</v>
      </c>
      <c r="O2155" s="90">
        <v>4.467766583281E-2</v>
      </c>
      <c r="P2155" s="90">
        <v>8.6065509794100003E-3</v>
      </c>
      <c r="Q2155" s="90">
        <v>15.534518243261401</v>
      </c>
      <c r="R2155" s="90">
        <v>1330</v>
      </c>
      <c r="S2155" s="90" t="s">
        <v>397</v>
      </c>
      <c r="T2155" s="90">
        <v>1330</v>
      </c>
      <c r="U2155" s="90" t="s">
        <v>378</v>
      </c>
      <c r="V2155" s="90" t="s">
        <v>244</v>
      </c>
      <c r="Z2155" s="90">
        <v>0</v>
      </c>
      <c r="AA2155" s="90">
        <v>1</v>
      </c>
      <c r="AB2155" s="90">
        <v>4.467766583281E-2</v>
      </c>
      <c r="AC2155" s="90">
        <v>8.6065509794100003E-3</v>
      </c>
      <c r="AD2155" s="90">
        <v>15.5345182432612</v>
      </c>
      <c r="AF2155" s="90">
        <v>-1</v>
      </c>
      <c r="AG2155" s="90">
        <v>-1</v>
      </c>
      <c r="AH2155" s="90">
        <v>-1</v>
      </c>
      <c r="AI2155" s="90">
        <v>-1</v>
      </c>
      <c r="AJ2155" s="90">
        <v>0</v>
      </c>
      <c r="AM2155" s="90" t="s">
        <v>379</v>
      </c>
      <c r="AN2155" s="90">
        <v>-1</v>
      </c>
      <c r="AQ2155" s="90">
        <v>358</v>
      </c>
      <c r="AR2155" s="90" t="s">
        <v>422</v>
      </c>
      <c r="AS2155" s="90" t="s">
        <v>250</v>
      </c>
      <c r="AT2155" s="90" t="s">
        <v>244</v>
      </c>
      <c r="AU2155" s="90">
        <v>86.412649999999999</v>
      </c>
      <c r="AV2155" s="90">
        <v>23.932194682462601</v>
      </c>
      <c r="AW2155" s="90">
        <v>16.714193825603701</v>
      </c>
      <c r="AX2155" s="90">
        <v>1.2598960500000001E-2</v>
      </c>
    </row>
    <row r="2156" spans="1:50" x14ac:dyDescent="0.25">
      <c r="A2156" s="102">
        <v>830000</v>
      </c>
      <c r="B2156" s="102">
        <v>2400000</v>
      </c>
      <c r="C2156" s="102">
        <v>2400000</v>
      </c>
      <c r="D2156" s="90" t="s">
        <v>374</v>
      </c>
      <c r="E2156" s="90" t="s">
        <v>68</v>
      </c>
      <c r="F2156" s="90" t="s">
        <v>375</v>
      </c>
      <c r="G2156" s="90" t="s">
        <v>376</v>
      </c>
      <c r="H2156" s="90">
        <v>0.59</v>
      </c>
      <c r="I2156" s="90">
        <v>0.64</v>
      </c>
      <c r="J2156" s="90" t="s">
        <v>244</v>
      </c>
      <c r="K2156" s="90">
        <v>0.30752753507125002</v>
      </c>
      <c r="L2156" s="90">
        <v>3761.2322543089099</v>
      </c>
      <c r="M2156" s="90">
        <v>10.817398721102901</v>
      </c>
      <c r="N2156" s="90">
        <v>2.0838262658173798</v>
      </c>
      <c r="O2156" s="90">
        <v>3.32664796458368</v>
      </c>
      <c r="P2156" s="90">
        <v>0.64083395504354002</v>
      </c>
      <c r="Q2156" s="90">
        <v>1156.6824839981</v>
      </c>
      <c r="R2156" s="90">
        <v>1330</v>
      </c>
      <c r="S2156" s="90" t="s">
        <v>397</v>
      </c>
      <c r="T2156" s="90">
        <v>1330</v>
      </c>
      <c r="U2156" s="90" t="s">
        <v>378</v>
      </c>
      <c r="V2156" s="90" t="s">
        <v>244</v>
      </c>
      <c r="Z2156" s="90">
        <v>0</v>
      </c>
      <c r="AA2156" s="90">
        <v>1</v>
      </c>
      <c r="AB2156" s="90">
        <v>3.32664796458368</v>
      </c>
      <c r="AC2156" s="90">
        <v>0.64083395504354002</v>
      </c>
      <c r="AD2156" s="90">
        <v>1156.6824839981</v>
      </c>
      <c r="AF2156" s="90">
        <v>-1</v>
      </c>
      <c r="AG2156" s="90">
        <v>-1</v>
      </c>
      <c r="AH2156" s="90">
        <v>-1</v>
      </c>
      <c r="AI2156" s="90">
        <v>-1</v>
      </c>
      <c r="AJ2156" s="90">
        <v>0</v>
      </c>
      <c r="AM2156" s="90" t="s">
        <v>379</v>
      </c>
      <c r="AN2156" s="90">
        <v>-1</v>
      </c>
      <c r="AQ2156" s="90">
        <v>358</v>
      </c>
      <c r="AR2156" s="90" t="s">
        <v>422</v>
      </c>
      <c r="AS2156" s="90" t="s">
        <v>250</v>
      </c>
      <c r="AT2156" s="90" t="s">
        <v>244</v>
      </c>
      <c r="AU2156" s="90">
        <v>86.412649999999999</v>
      </c>
      <c r="AV2156" s="90">
        <v>142.58647483589399</v>
      </c>
      <c r="AW2156" s="90">
        <v>1244.51978036792</v>
      </c>
      <c r="AX2156" s="90">
        <v>0.93810420439999997</v>
      </c>
    </row>
    <row r="2157" spans="1:50" x14ac:dyDescent="0.25">
      <c r="A2157" s="102">
        <v>830000</v>
      </c>
      <c r="B2157" s="102">
        <v>2400000</v>
      </c>
      <c r="C2157" s="102">
        <v>2400000</v>
      </c>
      <c r="D2157" s="90" t="s">
        <v>374</v>
      </c>
      <c r="E2157" s="90" t="s">
        <v>68</v>
      </c>
      <c r="F2157" s="90" t="s">
        <v>375</v>
      </c>
      <c r="G2157" s="90" t="s">
        <v>376</v>
      </c>
      <c r="H2157" s="90">
        <v>0.59</v>
      </c>
      <c r="I2157" s="90">
        <v>0.64</v>
      </c>
      <c r="J2157" s="90" t="s">
        <v>244</v>
      </c>
      <c r="K2157" s="90">
        <v>7.6845929783370001E-2</v>
      </c>
      <c r="L2157" s="90">
        <v>3735.4318310728399</v>
      </c>
      <c r="M2157" s="90">
        <v>10.0442411722833</v>
      </c>
      <c r="N2157" s="90">
        <v>1.7282402188057</v>
      </c>
      <c r="O2157" s="90">
        <v>0.77185905185252002</v>
      </c>
      <c r="P2157" s="90">
        <v>0.13280822650313001</v>
      </c>
      <c r="Q2157" s="90">
        <v>287.05273220118897</v>
      </c>
      <c r="R2157" s="90">
        <v>1200</v>
      </c>
      <c r="S2157" s="90" t="s">
        <v>384</v>
      </c>
      <c r="T2157" s="90">
        <v>1200</v>
      </c>
      <c r="U2157" s="90" t="s">
        <v>378</v>
      </c>
      <c r="V2157" s="90" t="s">
        <v>244</v>
      </c>
      <c r="Z2157" s="90">
        <v>0</v>
      </c>
      <c r="AA2157" s="90">
        <v>1</v>
      </c>
      <c r="AB2157" s="90">
        <v>0.77185905185252002</v>
      </c>
      <c r="AC2157" s="90">
        <v>0.13280822650313001</v>
      </c>
      <c r="AD2157" s="90">
        <v>320.06139534042097</v>
      </c>
      <c r="AF2157" s="90">
        <v>-1</v>
      </c>
      <c r="AG2157" s="90">
        <v>-1</v>
      </c>
      <c r="AH2157" s="90">
        <v>-1</v>
      </c>
      <c r="AI2157" s="90">
        <v>-1</v>
      </c>
      <c r="AJ2157" s="90">
        <v>0</v>
      </c>
      <c r="AM2157" s="90" t="s">
        <v>379</v>
      </c>
      <c r="AN2157" s="90">
        <v>-1</v>
      </c>
      <c r="AQ2157" s="90">
        <v>358</v>
      </c>
      <c r="AR2157" s="90" t="s">
        <v>422</v>
      </c>
      <c r="AS2157" s="90" t="s">
        <v>250</v>
      </c>
      <c r="AT2157" s="90" t="s">
        <v>244</v>
      </c>
      <c r="AU2157" s="90">
        <v>86.412649999999999</v>
      </c>
      <c r="AV2157" s="90">
        <v>112.394056752663</v>
      </c>
      <c r="AW2157" s="90">
        <v>310.98444447912999</v>
      </c>
      <c r="AX2157" s="90">
        <v>0.25957939610000003</v>
      </c>
    </row>
    <row r="2158" spans="1:50" x14ac:dyDescent="0.25">
      <c r="A2158" s="102">
        <v>830000</v>
      </c>
      <c r="B2158" s="102">
        <v>2400000</v>
      </c>
      <c r="C2158" s="102">
        <v>2400000</v>
      </c>
      <c r="D2158" s="90" t="s">
        <v>374</v>
      </c>
      <c r="E2158" s="90" t="s">
        <v>68</v>
      </c>
      <c r="F2158" s="90" t="s">
        <v>375</v>
      </c>
      <c r="G2158" s="90" t="s">
        <v>376</v>
      </c>
      <c r="H2158" s="90">
        <v>0.59</v>
      </c>
      <c r="I2158" s="90">
        <v>0.64</v>
      </c>
      <c r="J2158" s="90" t="s">
        <v>244</v>
      </c>
      <c r="K2158" s="90">
        <v>0.10643146768771</v>
      </c>
      <c r="L2158" s="90">
        <v>3735.4318310728399</v>
      </c>
      <c r="M2158" s="90">
        <v>10.0442411722833</v>
      </c>
      <c r="N2158" s="90">
        <v>1.7282402188057</v>
      </c>
      <c r="O2158" s="90">
        <v>1.0690233297755201</v>
      </c>
      <c r="P2158" s="90">
        <v>0.18393914300443001</v>
      </c>
      <c r="Q2158" s="90">
        <v>397.567492228503</v>
      </c>
      <c r="R2158" s="90">
        <v>1300</v>
      </c>
      <c r="S2158" s="90" t="s">
        <v>387</v>
      </c>
      <c r="T2158" s="90">
        <v>1300</v>
      </c>
      <c r="U2158" s="90" t="s">
        <v>378</v>
      </c>
      <c r="V2158" s="90" t="s">
        <v>244</v>
      </c>
      <c r="Z2158" s="90">
        <v>0</v>
      </c>
      <c r="AA2158" s="90">
        <v>1</v>
      </c>
      <c r="AB2158" s="90">
        <v>1.0690233297755201</v>
      </c>
      <c r="AC2158" s="90">
        <v>0.18393914300443001</v>
      </c>
      <c r="AD2158" s="90">
        <v>443.60657354879203</v>
      </c>
      <c r="AF2158" s="90">
        <v>-1</v>
      </c>
      <c r="AG2158" s="90">
        <v>-1</v>
      </c>
      <c r="AH2158" s="90">
        <v>-1</v>
      </c>
      <c r="AI2158" s="90">
        <v>-1</v>
      </c>
      <c r="AJ2158" s="90">
        <v>0</v>
      </c>
      <c r="AM2158" s="90" t="s">
        <v>379</v>
      </c>
      <c r="AN2158" s="90">
        <v>-1</v>
      </c>
      <c r="AQ2158" s="90">
        <v>358</v>
      </c>
      <c r="AR2158" s="90" t="s">
        <v>422</v>
      </c>
      <c r="AS2158" s="90" t="s">
        <v>250</v>
      </c>
      <c r="AT2158" s="90" t="s">
        <v>244</v>
      </c>
      <c r="AU2158" s="90">
        <v>86.412649999999999</v>
      </c>
      <c r="AV2158" s="90">
        <v>109.17342605485899</v>
      </c>
      <c r="AW2158" s="90">
        <v>430.71286855749901</v>
      </c>
      <c r="AX2158" s="90">
        <v>0.35977824289999999</v>
      </c>
    </row>
    <row r="2159" spans="1:50" x14ac:dyDescent="0.25">
      <c r="A2159" s="102">
        <v>830000</v>
      </c>
      <c r="B2159" s="102">
        <v>2400000</v>
      </c>
      <c r="C2159" s="102">
        <v>2400000</v>
      </c>
      <c r="D2159" s="90" t="s">
        <v>374</v>
      </c>
      <c r="E2159" s="90" t="s">
        <v>68</v>
      </c>
      <c r="F2159" s="90" t="s">
        <v>375</v>
      </c>
      <c r="G2159" s="90" t="s">
        <v>376</v>
      </c>
      <c r="H2159" s="90">
        <v>0.59</v>
      </c>
      <c r="I2159" s="90">
        <v>0.64</v>
      </c>
      <c r="J2159" s="90" t="s">
        <v>381</v>
      </c>
      <c r="K2159" s="90">
        <v>2.646044954668E-2</v>
      </c>
      <c r="L2159" s="90">
        <v>3735.4318310728399</v>
      </c>
      <c r="M2159" s="90">
        <v>10.0442411722833</v>
      </c>
      <c r="N2159" s="90">
        <v>1.7282402188057</v>
      </c>
      <c r="O2159" s="90">
        <v>0.26577513677393</v>
      </c>
      <c r="P2159" s="90">
        <v>4.5730013114249998E-2</v>
      </c>
      <c r="Q2159" s="90">
        <v>98.841205501180497</v>
      </c>
      <c r="R2159" s="90">
        <v>1300</v>
      </c>
      <c r="S2159" s="90" t="s">
        <v>387</v>
      </c>
      <c r="T2159" s="90">
        <v>1300</v>
      </c>
      <c r="U2159" s="90" t="s">
        <v>382</v>
      </c>
      <c r="V2159" s="90" t="s">
        <v>381</v>
      </c>
      <c r="Z2159" s="90">
        <v>0</v>
      </c>
      <c r="AA2159" s="90">
        <v>1</v>
      </c>
      <c r="AB2159" s="90">
        <v>0.26577513677393</v>
      </c>
      <c r="AC2159" s="90">
        <v>4.5730013114249998E-2</v>
      </c>
      <c r="AD2159" s="90">
        <v>115.568258884453</v>
      </c>
      <c r="AF2159" s="90">
        <v>-1</v>
      </c>
      <c r="AG2159" s="90">
        <v>-1</v>
      </c>
      <c r="AH2159" s="90">
        <v>-1</v>
      </c>
      <c r="AI2159" s="90">
        <v>-1</v>
      </c>
      <c r="AJ2159" s="90">
        <v>0</v>
      </c>
      <c r="AM2159" s="90" t="s">
        <v>379</v>
      </c>
      <c r="AN2159" s="90">
        <v>-1</v>
      </c>
      <c r="AQ2159" s="90">
        <v>358</v>
      </c>
      <c r="AR2159" s="90" t="s">
        <v>422</v>
      </c>
      <c r="AS2159" s="90" t="s">
        <v>250</v>
      </c>
      <c r="AT2159" s="90" t="s">
        <v>244</v>
      </c>
      <c r="AU2159" s="90">
        <v>86.412649999999999</v>
      </c>
      <c r="AV2159" s="90">
        <v>94.913673345506695</v>
      </c>
      <c r="AW2159" s="90">
        <v>107.08164018759101</v>
      </c>
      <c r="AX2159" s="90">
        <v>9.3729325899999993E-2</v>
      </c>
    </row>
    <row r="2160" spans="1:50" x14ac:dyDescent="0.25">
      <c r="A2160" s="102">
        <v>830000</v>
      </c>
      <c r="B2160" s="102">
        <v>2400000</v>
      </c>
      <c r="C2160" s="102">
        <v>2400000</v>
      </c>
      <c r="D2160" s="90" t="s">
        <v>374</v>
      </c>
      <c r="E2160" s="90" t="s">
        <v>68</v>
      </c>
      <c r="F2160" s="90" t="s">
        <v>375</v>
      </c>
      <c r="G2160" s="90" t="s">
        <v>376</v>
      </c>
      <c r="H2160" s="90">
        <v>0.59</v>
      </c>
      <c r="I2160" s="90">
        <v>0.64</v>
      </c>
      <c r="J2160" s="90" t="s">
        <v>244</v>
      </c>
      <c r="K2160" s="90">
        <v>2.2566247676320001E-2</v>
      </c>
      <c r="L2160" s="90">
        <v>3735.4318310728399</v>
      </c>
      <c r="M2160" s="90">
        <v>10.0442411722833</v>
      </c>
      <c r="N2160" s="90">
        <v>1.7282402188057</v>
      </c>
      <c r="O2160" s="90">
        <v>0.22666083401452</v>
      </c>
      <c r="P2160" s="90">
        <v>3.8999896821759999E-2</v>
      </c>
      <c r="Q2160" s="90">
        <v>84.294679878032994</v>
      </c>
      <c r="R2160" s="90">
        <v>1210</v>
      </c>
      <c r="S2160" s="90" t="s">
        <v>385</v>
      </c>
      <c r="T2160" s="90">
        <v>1210</v>
      </c>
      <c r="U2160" s="90" t="s">
        <v>378</v>
      </c>
      <c r="V2160" s="90" t="s">
        <v>244</v>
      </c>
      <c r="Z2160" s="90">
        <v>0</v>
      </c>
      <c r="AA2160" s="90">
        <v>1</v>
      </c>
      <c r="AB2160" s="90">
        <v>0.22666083401452</v>
      </c>
      <c r="AC2160" s="90">
        <v>3.8999896821759999E-2</v>
      </c>
      <c r="AD2160" s="90">
        <v>106.091243790376</v>
      </c>
      <c r="AF2160" s="90">
        <v>-1</v>
      </c>
      <c r="AG2160" s="90">
        <v>-1</v>
      </c>
      <c r="AH2160" s="90">
        <v>-1</v>
      </c>
      <c r="AI2160" s="90">
        <v>-1</v>
      </c>
      <c r="AJ2160" s="90">
        <v>0</v>
      </c>
      <c r="AM2160" s="90" t="s">
        <v>379</v>
      </c>
      <c r="AN2160" s="90">
        <v>-1</v>
      </c>
      <c r="AQ2160" s="90">
        <v>358</v>
      </c>
      <c r="AR2160" s="90" t="s">
        <v>422</v>
      </c>
      <c r="AS2160" s="90" t="s">
        <v>250</v>
      </c>
      <c r="AT2160" s="90" t="s">
        <v>244</v>
      </c>
      <c r="AU2160" s="90">
        <v>86.412649999999999</v>
      </c>
      <c r="AV2160" s="90">
        <v>46.4753233800405</v>
      </c>
      <c r="AW2160" s="90">
        <v>91.322364338422602</v>
      </c>
      <c r="AX2160" s="90">
        <v>8.6043182300000007E-2</v>
      </c>
    </row>
    <row r="2161" spans="1:50" x14ac:dyDescent="0.25">
      <c r="A2161" s="102">
        <v>830000</v>
      </c>
      <c r="B2161" s="102">
        <v>2400000</v>
      </c>
      <c r="C2161" s="102">
        <v>2400000</v>
      </c>
      <c r="D2161" s="90" t="s">
        <v>374</v>
      </c>
      <c r="E2161" s="90" t="s">
        <v>68</v>
      </c>
      <c r="F2161" s="90" t="s">
        <v>375</v>
      </c>
      <c r="G2161" s="90" t="s">
        <v>376</v>
      </c>
      <c r="H2161" s="90">
        <v>0.59</v>
      </c>
      <c r="I2161" s="90">
        <v>0.64</v>
      </c>
      <c r="J2161" s="90" t="s">
        <v>244</v>
      </c>
      <c r="K2161" s="90">
        <v>2.912797937311E-2</v>
      </c>
      <c r="L2161" s="90">
        <v>3735.4318310728399</v>
      </c>
      <c r="M2161" s="90">
        <v>10.0442411722833</v>
      </c>
      <c r="N2161" s="90">
        <v>1.7282402188057</v>
      </c>
      <c r="O2161" s="90">
        <v>0.29256844968485002</v>
      </c>
      <c r="P2161" s="90">
        <v>5.0340145445150003E-2</v>
      </c>
      <c r="Q2161" s="90">
        <v>108.805581325163</v>
      </c>
      <c r="R2161" s="90">
        <v>1210</v>
      </c>
      <c r="S2161" s="90" t="s">
        <v>385</v>
      </c>
      <c r="T2161" s="90">
        <v>1210</v>
      </c>
      <c r="U2161" s="90" t="s">
        <v>378</v>
      </c>
      <c r="V2161" s="90" t="s">
        <v>244</v>
      </c>
      <c r="Z2161" s="90">
        <v>0</v>
      </c>
      <c r="AA2161" s="90">
        <v>1</v>
      </c>
      <c r="AB2161" s="90">
        <v>0.29256844968485002</v>
      </c>
      <c r="AC2161" s="90">
        <v>5.0340145445150003E-2</v>
      </c>
      <c r="AD2161" s="90">
        <v>108.805581325163</v>
      </c>
      <c r="AF2161" s="90">
        <v>-1</v>
      </c>
      <c r="AG2161" s="90">
        <v>-1</v>
      </c>
      <c r="AH2161" s="90">
        <v>-1</v>
      </c>
      <c r="AI2161" s="90">
        <v>-1</v>
      </c>
      <c r="AJ2161" s="90">
        <v>0</v>
      </c>
      <c r="AM2161" s="90" t="s">
        <v>379</v>
      </c>
      <c r="AN2161" s="90">
        <v>-1</v>
      </c>
      <c r="AQ2161" s="90">
        <v>358</v>
      </c>
      <c r="AR2161" s="90" t="s">
        <v>422</v>
      </c>
      <c r="AS2161" s="90" t="s">
        <v>250</v>
      </c>
      <c r="AT2161" s="90" t="s">
        <v>244</v>
      </c>
      <c r="AU2161" s="90">
        <v>86.412649999999999</v>
      </c>
      <c r="AV2161" s="90">
        <v>57.571052541980698</v>
      </c>
      <c r="AW2161" s="90">
        <v>117.876750397621</v>
      </c>
      <c r="AX2161" s="90">
        <v>8.8244591499999997E-2</v>
      </c>
    </row>
    <row r="2162" spans="1:50" x14ac:dyDescent="0.25">
      <c r="A2162" s="102">
        <v>830000</v>
      </c>
      <c r="B2162" s="102">
        <v>2400000</v>
      </c>
      <c r="C2162" s="102">
        <v>2400000</v>
      </c>
      <c r="D2162" s="90" t="s">
        <v>374</v>
      </c>
      <c r="E2162" s="90" t="s">
        <v>68</v>
      </c>
      <c r="F2162" s="90" t="s">
        <v>375</v>
      </c>
      <c r="G2162" s="90" t="s">
        <v>376</v>
      </c>
      <c r="H2162" s="90">
        <v>0.59</v>
      </c>
      <c r="I2162" s="90">
        <v>0.64</v>
      </c>
      <c r="J2162" s="90" t="s">
        <v>244</v>
      </c>
      <c r="K2162" s="90">
        <v>7.9336329323559995E-2</v>
      </c>
      <c r="L2162" s="90">
        <v>3762.2370508283402</v>
      </c>
      <c r="M2162" s="90">
        <v>10.810426147228</v>
      </c>
      <c r="N2162" s="90">
        <v>2.07963578494806</v>
      </c>
      <c r="O2162" s="90">
        <v>0.85765952894457997</v>
      </c>
      <c r="P2162" s="90">
        <v>0.16499066950770999</v>
      </c>
      <c r="Q2162" s="90">
        <v>298.48207765784298</v>
      </c>
      <c r="R2162" s="90">
        <v>1300</v>
      </c>
      <c r="S2162" s="90" t="s">
        <v>387</v>
      </c>
      <c r="T2162" s="90">
        <v>1300</v>
      </c>
      <c r="U2162" s="90" t="s">
        <v>378</v>
      </c>
      <c r="V2162" s="90" t="s">
        <v>244</v>
      </c>
      <c r="Z2162" s="90">
        <v>0</v>
      </c>
      <c r="AA2162" s="90">
        <v>1</v>
      </c>
      <c r="AB2162" s="90">
        <v>0.85765952894457997</v>
      </c>
      <c r="AC2162" s="90">
        <v>0.16499066950770999</v>
      </c>
      <c r="AD2162" s="90">
        <v>624.748113987794</v>
      </c>
      <c r="AF2162" s="90">
        <v>-1</v>
      </c>
      <c r="AG2162" s="90">
        <v>-1</v>
      </c>
      <c r="AH2162" s="90">
        <v>-1</v>
      </c>
      <c r="AI2162" s="90">
        <v>-1</v>
      </c>
      <c r="AJ2162" s="90">
        <v>0</v>
      </c>
      <c r="AM2162" s="90" t="s">
        <v>379</v>
      </c>
      <c r="AN2162" s="90">
        <v>-1</v>
      </c>
      <c r="AQ2162" s="90">
        <v>358</v>
      </c>
      <c r="AR2162" s="90" t="s">
        <v>422</v>
      </c>
      <c r="AS2162" s="90" t="s">
        <v>250</v>
      </c>
      <c r="AT2162" s="90" t="s">
        <v>244</v>
      </c>
      <c r="AU2162" s="90">
        <v>86.412649999999999</v>
      </c>
      <c r="AV2162" s="90">
        <v>113.016884996393</v>
      </c>
      <c r="AW2162" s="90">
        <v>321.06273385271697</v>
      </c>
      <c r="AX2162" s="90">
        <v>0.50668946800000003</v>
      </c>
    </row>
    <row r="2163" spans="1:50" x14ac:dyDescent="0.25">
      <c r="A2163" s="102">
        <v>830000</v>
      </c>
      <c r="B2163" s="102">
        <v>2400000</v>
      </c>
      <c r="C2163" s="102">
        <v>2400000</v>
      </c>
      <c r="D2163" s="90" t="s">
        <v>374</v>
      </c>
      <c r="E2163" s="90" t="s">
        <v>68</v>
      </c>
      <c r="F2163" s="90" t="s">
        <v>375</v>
      </c>
      <c r="G2163" s="90" t="s">
        <v>376</v>
      </c>
      <c r="H2163" s="90">
        <v>0.59</v>
      </c>
      <c r="I2163" s="90">
        <v>0.64</v>
      </c>
      <c r="J2163" s="90" t="s">
        <v>244</v>
      </c>
      <c r="K2163" s="90">
        <v>0.32233156589945</v>
      </c>
      <c r="L2163" s="90">
        <v>3762.2370508283402</v>
      </c>
      <c r="M2163" s="90">
        <v>10.810426147228</v>
      </c>
      <c r="N2163" s="90">
        <v>2.07963578494806</v>
      </c>
      <c r="O2163" s="90">
        <v>3.4845415880764201</v>
      </c>
      <c r="P2163" s="90">
        <v>0.67033225906284</v>
      </c>
      <c r="Q2163" s="90">
        <v>1212.6877598784399</v>
      </c>
      <c r="R2163" s="90">
        <v>1300</v>
      </c>
      <c r="S2163" s="90" t="s">
        <v>387</v>
      </c>
      <c r="T2163" s="90">
        <v>1300</v>
      </c>
      <c r="U2163" s="90" t="s">
        <v>378</v>
      </c>
      <c r="V2163" s="90" t="s">
        <v>244</v>
      </c>
      <c r="Z2163" s="90">
        <v>0</v>
      </c>
      <c r="AA2163" s="90">
        <v>1</v>
      </c>
      <c r="AB2163" s="90">
        <v>3.4845415880764201</v>
      </c>
      <c r="AC2163" s="90">
        <v>0.67033225906284</v>
      </c>
      <c r="AD2163" s="90">
        <v>1212.6877598784399</v>
      </c>
      <c r="AF2163" s="90">
        <v>-1</v>
      </c>
      <c r="AG2163" s="90">
        <v>-1</v>
      </c>
      <c r="AH2163" s="90">
        <v>-1</v>
      </c>
      <c r="AI2163" s="90">
        <v>-1</v>
      </c>
      <c r="AJ2163" s="90">
        <v>0</v>
      </c>
      <c r="AM2163" s="90" t="s">
        <v>379</v>
      </c>
      <c r="AN2163" s="90">
        <v>-1</v>
      </c>
      <c r="AQ2163" s="90">
        <v>358</v>
      </c>
      <c r="AR2163" s="90" t="s">
        <v>422</v>
      </c>
      <c r="AS2163" s="90" t="s">
        <v>250</v>
      </c>
      <c r="AT2163" s="90" t="s">
        <v>244</v>
      </c>
      <c r="AU2163" s="90">
        <v>86.412649999999999</v>
      </c>
      <c r="AV2163" s="90">
        <v>144.49107987910199</v>
      </c>
      <c r="AW2163" s="90">
        <v>1304.4295676024501</v>
      </c>
      <c r="AX2163" s="90">
        <v>0.98352616370000001</v>
      </c>
    </row>
    <row r="2164" spans="1:50" x14ac:dyDescent="0.25">
      <c r="A2164" s="102">
        <v>830000</v>
      </c>
      <c r="B2164" s="102">
        <v>2400000</v>
      </c>
      <c r="C2164" s="102">
        <v>2400000</v>
      </c>
      <c r="D2164" s="90" t="s">
        <v>374</v>
      </c>
      <c r="E2164" s="90" t="s">
        <v>68</v>
      </c>
      <c r="F2164" s="90" t="s">
        <v>375</v>
      </c>
      <c r="G2164" s="90" t="s">
        <v>376</v>
      </c>
      <c r="H2164" s="90">
        <v>0.59</v>
      </c>
      <c r="I2164" s="90">
        <v>0.64</v>
      </c>
      <c r="J2164" s="90" t="s">
        <v>244</v>
      </c>
      <c r="K2164" s="90">
        <v>0.12526599850956999</v>
      </c>
      <c r="L2164" s="90">
        <v>3762.2370508283402</v>
      </c>
      <c r="M2164" s="90">
        <v>10.810426147228</v>
      </c>
      <c r="N2164" s="90">
        <v>2.07963578494806</v>
      </c>
      <c r="O2164" s="90">
        <v>1.3541788256464999</v>
      </c>
      <c r="P2164" s="90">
        <v>0.26050765313774998</v>
      </c>
      <c r="Q2164" s="90">
        <v>471.28038080171598</v>
      </c>
      <c r="R2164" s="90">
        <v>1330</v>
      </c>
      <c r="S2164" s="90" t="s">
        <v>397</v>
      </c>
      <c r="T2164" s="90">
        <v>1330</v>
      </c>
      <c r="U2164" s="90" t="s">
        <v>378</v>
      </c>
      <c r="V2164" s="90" t="s">
        <v>244</v>
      </c>
      <c r="Z2164" s="90">
        <v>0</v>
      </c>
      <c r="AA2164" s="90">
        <v>1</v>
      </c>
      <c r="AB2164" s="90">
        <v>1.3541788256464999</v>
      </c>
      <c r="AC2164" s="90">
        <v>0.26050765313774998</v>
      </c>
      <c r="AD2164" s="90">
        <v>471.28038080171598</v>
      </c>
      <c r="AF2164" s="90">
        <v>-1</v>
      </c>
      <c r="AG2164" s="90">
        <v>-1</v>
      </c>
      <c r="AH2164" s="90">
        <v>-1</v>
      </c>
      <c r="AI2164" s="90">
        <v>-1</v>
      </c>
      <c r="AJ2164" s="90">
        <v>0</v>
      </c>
      <c r="AM2164" s="90" t="s">
        <v>379</v>
      </c>
      <c r="AN2164" s="90">
        <v>-1</v>
      </c>
      <c r="AQ2164" s="90">
        <v>358</v>
      </c>
      <c r="AR2164" s="90" t="s">
        <v>422</v>
      </c>
      <c r="AS2164" s="90" t="s">
        <v>250</v>
      </c>
      <c r="AT2164" s="90" t="s">
        <v>244</v>
      </c>
      <c r="AU2164" s="90">
        <v>86.412649999999999</v>
      </c>
      <c r="AV2164" s="90">
        <v>101.200415813338</v>
      </c>
      <c r="AW2164" s="90">
        <v>506.933510576804</v>
      </c>
      <c r="AX2164" s="90">
        <v>0.38222253109999998</v>
      </c>
    </row>
    <row r="2165" spans="1:50" x14ac:dyDescent="0.25">
      <c r="A2165" s="102">
        <v>830000</v>
      </c>
      <c r="B2165" s="102">
        <v>2400000</v>
      </c>
      <c r="C2165" s="102">
        <v>2400000</v>
      </c>
      <c r="D2165" s="90" t="s">
        <v>374</v>
      </c>
      <c r="E2165" s="90" t="s">
        <v>68</v>
      </c>
      <c r="F2165" s="90" t="s">
        <v>375</v>
      </c>
      <c r="G2165" s="90" t="s">
        <v>376</v>
      </c>
      <c r="H2165" s="90">
        <v>0.59</v>
      </c>
      <c r="I2165" s="90">
        <v>0.64</v>
      </c>
      <c r="J2165" s="90" t="s">
        <v>244</v>
      </c>
      <c r="K2165" s="90">
        <v>3.9761594827629997E-2</v>
      </c>
      <c r="L2165" s="90">
        <v>3736.8698226248298</v>
      </c>
      <c r="M2165" s="90">
        <v>8.8277531000026901</v>
      </c>
      <c r="N2165" s="90">
        <v>1.4137729276198401</v>
      </c>
      <c r="O2165" s="90">
        <v>0.35100554200071998</v>
      </c>
      <c r="P2165" s="90">
        <v>5.6213866326300002E-2</v>
      </c>
      <c r="Q2165" s="90">
        <v>148.583903810832</v>
      </c>
      <c r="R2165" s="90">
        <v>1400</v>
      </c>
      <c r="S2165" s="90" t="s">
        <v>324</v>
      </c>
      <c r="T2165" s="90">
        <v>1400</v>
      </c>
      <c r="U2165" s="90" t="s">
        <v>378</v>
      </c>
      <c r="V2165" s="90" t="s">
        <v>244</v>
      </c>
      <c r="Z2165" s="90">
        <v>0</v>
      </c>
      <c r="AA2165" s="90">
        <v>1</v>
      </c>
      <c r="AB2165" s="90">
        <v>0.35100554200071998</v>
      </c>
      <c r="AC2165" s="90">
        <v>5.6213866326300002E-2</v>
      </c>
      <c r="AD2165" s="90">
        <v>148.583903810832</v>
      </c>
      <c r="AF2165" s="90">
        <v>-1</v>
      </c>
      <c r="AG2165" s="90">
        <v>-1</v>
      </c>
      <c r="AH2165" s="90">
        <v>-1</v>
      </c>
      <c r="AI2165" s="90">
        <v>-1</v>
      </c>
      <c r="AJ2165" s="90">
        <v>0</v>
      </c>
      <c r="AM2165" s="90" t="s">
        <v>379</v>
      </c>
      <c r="AN2165" s="90">
        <v>-1</v>
      </c>
      <c r="AQ2165" s="90">
        <v>358</v>
      </c>
      <c r="AR2165" s="90" t="s">
        <v>422</v>
      </c>
      <c r="AS2165" s="90" t="s">
        <v>250</v>
      </c>
      <c r="AT2165" s="90" t="s">
        <v>244</v>
      </c>
      <c r="AU2165" s="90">
        <v>86.412649999999999</v>
      </c>
      <c r="AV2165" s="90">
        <v>106.40266483012201</v>
      </c>
      <c r="AW2165" s="90">
        <v>160.909465393088</v>
      </c>
      <c r="AX2165" s="90">
        <v>0.1205060047</v>
      </c>
    </row>
    <row r="2166" spans="1:50" x14ac:dyDescent="0.25">
      <c r="A2166" s="102">
        <v>830000</v>
      </c>
      <c r="B2166" s="102">
        <v>2400000</v>
      </c>
      <c r="C2166" s="102">
        <v>2400000</v>
      </c>
      <c r="D2166" s="90" t="s">
        <v>374</v>
      </c>
      <c r="E2166" s="90" t="s">
        <v>68</v>
      </c>
      <c r="F2166" s="90" t="s">
        <v>375</v>
      </c>
      <c r="G2166" s="90" t="s">
        <v>376</v>
      </c>
      <c r="H2166" s="90">
        <v>0.59</v>
      </c>
      <c r="I2166" s="90">
        <v>0.64</v>
      </c>
      <c r="J2166" s="90" t="s">
        <v>244</v>
      </c>
      <c r="K2166" s="90">
        <v>4.2594580494500003E-3</v>
      </c>
      <c r="L2166" s="90">
        <v>3736.8698226248298</v>
      </c>
      <c r="M2166" s="90">
        <v>8.8277531000026901</v>
      </c>
      <c r="N2166" s="90">
        <v>1.4137729276198401</v>
      </c>
      <c r="O2166" s="90">
        <v>3.760144400044E-2</v>
      </c>
      <c r="P2166" s="90">
        <v>6.0219064766500003E-3</v>
      </c>
      <c r="Q2166" s="90">
        <v>15.917040245759701</v>
      </c>
      <c r="R2166" s="90">
        <v>1410</v>
      </c>
      <c r="S2166" s="90" t="s">
        <v>325</v>
      </c>
      <c r="T2166" s="90">
        <v>1410</v>
      </c>
      <c r="U2166" s="90" t="s">
        <v>378</v>
      </c>
      <c r="V2166" s="90" t="s">
        <v>244</v>
      </c>
      <c r="Z2166" s="90">
        <v>0</v>
      </c>
      <c r="AA2166" s="90">
        <v>1</v>
      </c>
      <c r="AB2166" s="90">
        <v>3.760144400044E-2</v>
      </c>
      <c r="AC2166" s="90">
        <v>6.0219064766500003E-3</v>
      </c>
      <c r="AD2166" s="90">
        <v>15.9170402457589</v>
      </c>
      <c r="AF2166" s="90">
        <v>-1</v>
      </c>
      <c r="AG2166" s="90">
        <v>-1</v>
      </c>
      <c r="AH2166" s="90">
        <v>-1</v>
      </c>
      <c r="AI2166" s="90">
        <v>-1</v>
      </c>
      <c r="AJ2166" s="90">
        <v>0</v>
      </c>
      <c r="AM2166" s="90" t="s">
        <v>379</v>
      </c>
      <c r="AN2166" s="90">
        <v>-1</v>
      </c>
      <c r="AQ2166" s="90">
        <v>358</v>
      </c>
      <c r="AR2166" s="90" t="s">
        <v>422</v>
      </c>
      <c r="AS2166" s="90" t="s">
        <v>250</v>
      </c>
      <c r="AT2166" s="90" t="s">
        <v>244</v>
      </c>
      <c r="AU2166" s="90">
        <v>86.412649999999999</v>
      </c>
      <c r="AV2166" s="90">
        <v>33.3792550850645</v>
      </c>
      <c r="AW2166" s="90">
        <v>17.2374151633956</v>
      </c>
      <c r="AX2166" s="90">
        <v>1.29091973E-2</v>
      </c>
    </row>
    <row r="2167" spans="1:50" x14ac:dyDescent="0.25">
      <c r="A2167" s="102">
        <v>830000</v>
      </c>
      <c r="B2167" s="102">
        <v>2400000</v>
      </c>
      <c r="C2167" s="102">
        <v>2400000</v>
      </c>
      <c r="D2167" s="90" t="s">
        <v>374</v>
      </c>
      <c r="E2167" s="90" t="s">
        <v>68</v>
      </c>
      <c r="F2167" s="90" t="s">
        <v>375</v>
      </c>
      <c r="G2167" s="90" t="s">
        <v>376</v>
      </c>
      <c r="H2167" s="90">
        <v>0.59</v>
      </c>
      <c r="I2167" s="90">
        <v>0.64</v>
      </c>
      <c r="J2167" s="90" t="s">
        <v>244</v>
      </c>
      <c r="K2167" s="90">
        <v>2.5181866658399998E-3</v>
      </c>
      <c r="L2167" s="90">
        <v>3736.8698226248298</v>
      </c>
      <c r="M2167" s="90">
        <v>8.8277531000026901</v>
      </c>
      <c r="N2167" s="90">
        <v>1.4137729276198401</v>
      </c>
      <c r="O2167" s="90">
        <v>2.2229930145750001E-2</v>
      </c>
      <c r="P2167" s="90">
        <v>3.56014413485E-3</v>
      </c>
      <c r="Q2167" s="90">
        <v>9.4101357593137394</v>
      </c>
      <c r="R2167" s="90">
        <v>1300</v>
      </c>
      <c r="S2167" s="90" t="s">
        <v>387</v>
      </c>
      <c r="T2167" s="90">
        <v>1300</v>
      </c>
      <c r="U2167" s="90" t="s">
        <v>378</v>
      </c>
      <c r="V2167" s="90" t="s">
        <v>244</v>
      </c>
      <c r="Z2167" s="90">
        <v>0</v>
      </c>
      <c r="AA2167" s="90">
        <v>1</v>
      </c>
      <c r="AB2167" s="90">
        <v>2.2229930145750001E-2</v>
      </c>
      <c r="AC2167" s="90">
        <v>3.56014413485E-3</v>
      </c>
      <c r="AD2167" s="90">
        <v>9.4101357593151302</v>
      </c>
      <c r="AF2167" s="90">
        <v>-1</v>
      </c>
      <c r="AG2167" s="90">
        <v>-1</v>
      </c>
      <c r="AH2167" s="90">
        <v>-1</v>
      </c>
      <c r="AI2167" s="90">
        <v>-1</v>
      </c>
      <c r="AJ2167" s="90">
        <v>0</v>
      </c>
      <c r="AM2167" s="90" t="s">
        <v>379</v>
      </c>
      <c r="AN2167" s="90">
        <v>-1</v>
      </c>
      <c r="AQ2167" s="90">
        <v>358</v>
      </c>
      <c r="AR2167" s="90" t="s">
        <v>422</v>
      </c>
      <c r="AS2167" s="90" t="s">
        <v>250</v>
      </c>
      <c r="AT2167" s="90" t="s">
        <v>244</v>
      </c>
      <c r="AU2167" s="90">
        <v>86.412649999999999</v>
      </c>
      <c r="AV2167" s="90">
        <v>43.907483494593897</v>
      </c>
      <c r="AW2167" s="90">
        <v>10.1907398814581</v>
      </c>
      <c r="AX2167" s="90">
        <v>7.6319025E-3</v>
      </c>
    </row>
    <row r="2168" spans="1:50" x14ac:dyDescent="0.25">
      <c r="A2168" s="102">
        <v>830000</v>
      </c>
      <c r="B2168" s="102">
        <v>2400000</v>
      </c>
      <c r="C2168" s="102">
        <v>2400000</v>
      </c>
      <c r="D2168" s="90" t="s">
        <v>374</v>
      </c>
      <c r="E2168" s="90" t="s">
        <v>68</v>
      </c>
      <c r="F2168" s="90" t="s">
        <v>375</v>
      </c>
      <c r="G2168" s="90" t="s">
        <v>376</v>
      </c>
      <c r="H2168" s="90">
        <v>0.59</v>
      </c>
      <c r="I2168" s="90">
        <v>0.64</v>
      </c>
      <c r="J2168" s="90" t="s">
        <v>244</v>
      </c>
      <c r="K2168" s="90">
        <v>4.9370685041000002E-4</v>
      </c>
      <c r="L2168" s="90">
        <v>3736.8698226248298</v>
      </c>
      <c r="M2168" s="90">
        <v>8.8277531000026901</v>
      </c>
      <c r="N2168" s="90">
        <v>1.4137729276198401</v>
      </c>
      <c r="O2168" s="90">
        <v>4.3583221791900001E-3</v>
      </c>
      <c r="P2168" s="90">
        <v>6.9798937929E-4</v>
      </c>
      <c r="Q2168" s="90">
        <v>1.84491823052028</v>
      </c>
      <c r="R2168" s="90">
        <v>1410</v>
      </c>
      <c r="S2168" s="90" t="s">
        <v>325</v>
      </c>
      <c r="T2168" s="90">
        <v>1410</v>
      </c>
      <c r="U2168" s="90" t="s">
        <v>378</v>
      </c>
      <c r="V2168" s="90" t="s">
        <v>244</v>
      </c>
      <c r="Z2168" s="90">
        <v>0</v>
      </c>
      <c r="AA2168" s="90">
        <v>1</v>
      </c>
      <c r="AB2168" s="90">
        <v>4.3583221791900001E-3</v>
      </c>
      <c r="AC2168" s="90">
        <v>6.9798937929E-4</v>
      </c>
      <c r="AD2168" s="90">
        <v>1.84491823051917</v>
      </c>
      <c r="AF2168" s="90">
        <v>-1</v>
      </c>
      <c r="AG2168" s="90">
        <v>-1</v>
      </c>
      <c r="AH2168" s="90">
        <v>-1</v>
      </c>
      <c r="AI2168" s="90">
        <v>-1</v>
      </c>
      <c r="AJ2168" s="90">
        <v>0</v>
      </c>
      <c r="AM2168" s="90" t="s">
        <v>379</v>
      </c>
      <c r="AN2168" s="90">
        <v>-1</v>
      </c>
      <c r="AQ2168" s="90">
        <v>358</v>
      </c>
      <c r="AR2168" s="90" t="s">
        <v>422</v>
      </c>
      <c r="AS2168" s="90" t="s">
        <v>250</v>
      </c>
      <c r="AT2168" s="90" t="s">
        <v>244</v>
      </c>
      <c r="AU2168" s="90">
        <v>86.412649999999999</v>
      </c>
      <c r="AV2168" s="90">
        <v>15.8654308748905</v>
      </c>
      <c r="AW2168" s="90">
        <v>1.99796073836338</v>
      </c>
      <c r="AX2168" s="90">
        <v>1.4962840000000001E-3</v>
      </c>
    </row>
    <row r="2169" spans="1:50" x14ac:dyDescent="0.25">
      <c r="A2169" s="102">
        <v>830000</v>
      </c>
      <c r="B2169" s="102">
        <v>2400000</v>
      </c>
      <c r="C2169" s="102">
        <v>2400000</v>
      </c>
      <c r="D2169" s="90" t="s">
        <v>374</v>
      </c>
      <c r="E2169" s="90" t="s">
        <v>68</v>
      </c>
      <c r="F2169" s="90" t="s">
        <v>375</v>
      </c>
      <c r="G2169" s="90" t="s">
        <v>376</v>
      </c>
      <c r="H2169" s="90">
        <v>0.59</v>
      </c>
      <c r="I2169" s="90">
        <v>0.64</v>
      </c>
      <c r="J2169" s="90" t="s">
        <v>244</v>
      </c>
      <c r="K2169" s="90">
        <v>0.17180617338116999</v>
      </c>
      <c r="L2169" s="90">
        <v>3736.8698226248298</v>
      </c>
      <c r="M2169" s="90">
        <v>8.8277531000026901</v>
      </c>
      <c r="N2169" s="90">
        <v>1.4137729276198401</v>
      </c>
      <c r="O2169" s="90">
        <v>1.5166624796652901</v>
      </c>
      <c r="P2169" s="90">
        <v>0.24289491672426999</v>
      </c>
      <c r="Q2169" s="90">
        <v>642.01730464877403</v>
      </c>
      <c r="R2169" s="90">
        <v>1300</v>
      </c>
      <c r="S2169" s="90" t="s">
        <v>387</v>
      </c>
      <c r="T2169" s="90">
        <v>1300</v>
      </c>
      <c r="U2169" s="90" t="s">
        <v>378</v>
      </c>
      <c r="V2169" s="90" t="s">
        <v>244</v>
      </c>
      <c r="Z2169" s="90">
        <v>0</v>
      </c>
      <c r="AA2169" s="90">
        <v>1</v>
      </c>
      <c r="AB2169" s="90">
        <v>1.5166624796652901</v>
      </c>
      <c r="AC2169" s="90">
        <v>0.24289491672426999</v>
      </c>
      <c r="AD2169" s="90">
        <v>642.01730464877403</v>
      </c>
      <c r="AF2169" s="90">
        <v>-1</v>
      </c>
      <c r="AG2169" s="90">
        <v>-1</v>
      </c>
      <c r="AH2169" s="90">
        <v>-1</v>
      </c>
      <c r="AI2169" s="90">
        <v>-1</v>
      </c>
      <c r="AJ2169" s="90">
        <v>0</v>
      </c>
      <c r="AM2169" s="90" t="s">
        <v>379</v>
      </c>
      <c r="AN2169" s="90">
        <v>-1</v>
      </c>
      <c r="AQ2169" s="90">
        <v>358</v>
      </c>
      <c r="AR2169" s="90" t="s">
        <v>422</v>
      </c>
      <c r="AS2169" s="90" t="s">
        <v>250</v>
      </c>
      <c r="AT2169" s="90" t="s">
        <v>244</v>
      </c>
      <c r="AU2169" s="90">
        <v>86.412649999999999</v>
      </c>
      <c r="AV2169" s="90">
        <v>121.64232106236901</v>
      </c>
      <c r="AW2169" s="90">
        <v>695.27491615558699</v>
      </c>
      <c r="AX2169" s="90">
        <v>0.52069529979999996</v>
      </c>
    </row>
    <row r="2170" spans="1:50" x14ac:dyDescent="0.25">
      <c r="A2170" s="102">
        <v>830000</v>
      </c>
      <c r="B2170" s="102">
        <v>2400000</v>
      </c>
      <c r="C2170" s="102">
        <v>2400000</v>
      </c>
      <c r="D2170" s="90" t="s">
        <v>374</v>
      </c>
      <c r="E2170" s="90" t="s">
        <v>68</v>
      </c>
      <c r="F2170" s="90" t="s">
        <v>375</v>
      </c>
      <c r="G2170" s="90" t="s">
        <v>376</v>
      </c>
      <c r="H2170" s="90">
        <v>0.59</v>
      </c>
      <c r="I2170" s="90">
        <v>0.64</v>
      </c>
      <c r="J2170" s="90" t="s">
        <v>244</v>
      </c>
      <c r="K2170" s="90">
        <v>3.6442454156599999E-3</v>
      </c>
      <c r="L2170" s="90">
        <v>3736.8698226248298</v>
      </c>
      <c r="M2170" s="90">
        <v>8.8277531000026901</v>
      </c>
      <c r="N2170" s="90">
        <v>1.4137729276198401</v>
      </c>
      <c r="O2170" s="90">
        <v>3.2170498765289997E-2</v>
      </c>
      <c r="P2170" s="90">
        <v>5.1521355102599996E-3</v>
      </c>
      <c r="Q2170" s="90">
        <v>13.6180707200299</v>
      </c>
      <c r="R2170" s="90">
        <v>1420</v>
      </c>
      <c r="S2170" s="90" t="s">
        <v>327</v>
      </c>
      <c r="T2170" s="90">
        <v>1420</v>
      </c>
      <c r="U2170" s="90" t="s">
        <v>378</v>
      </c>
      <c r="V2170" s="90" t="s">
        <v>244</v>
      </c>
      <c r="Z2170" s="90">
        <v>0</v>
      </c>
      <c r="AA2170" s="90">
        <v>1</v>
      </c>
      <c r="AB2170" s="90">
        <v>3.2170498765289997E-2</v>
      </c>
      <c r="AC2170" s="90">
        <v>5.1521355102599996E-3</v>
      </c>
      <c r="AD2170" s="90">
        <v>13.618070720029699</v>
      </c>
      <c r="AF2170" s="90">
        <v>-1</v>
      </c>
      <c r="AG2170" s="90">
        <v>-1</v>
      </c>
      <c r="AH2170" s="90">
        <v>-1</v>
      </c>
      <c r="AI2170" s="90">
        <v>-1</v>
      </c>
      <c r="AJ2170" s="90">
        <v>0</v>
      </c>
      <c r="AM2170" s="90" t="s">
        <v>379</v>
      </c>
      <c r="AN2170" s="90">
        <v>-1</v>
      </c>
      <c r="AQ2170" s="90">
        <v>358</v>
      </c>
      <c r="AR2170" s="90" t="s">
        <v>422</v>
      </c>
      <c r="AS2170" s="90" t="s">
        <v>250</v>
      </c>
      <c r="AT2170" s="90" t="s">
        <v>244</v>
      </c>
      <c r="AU2170" s="90">
        <v>86.412649999999999</v>
      </c>
      <c r="AV2170" s="90">
        <v>47.699844541704202</v>
      </c>
      <c r="AW2170" s="90">
        <v>14.747737965177301</v>
      </c>
      <c r="AX2170" s="90">
        <v>1.1044663999999999E-2</v>
      </c>
    </row>
    <row r="2171" spans="1:50" x14ac:dyDescent="0.25">
      <c r="A2171" s="102">
        <v>830000</v>
      </c>
      <c r="B2171" s="102">
        <v>2400000</v>
      </c>
      <c r="C2171" s="102">
        <v>2400000</v>
      </c>
      <c r="D2171" s="90" t="s">
        <v>374</v>
      </c>
      <c r="E2171" s="90" t="s">
        <v>68</v>
      </c>
      <c r="F2171" s="90" t="s">
        <v>375</v>
      </c>
      <c r="G2171" s="90" t="s">
        <v>376</v>
      </c>
      <c r="H2171" s="90">
        <v>0.59</v>
      </c>
      <c r="I2171" s="90">
        <v>0.64</v>
      </c>
      <c r="J2171" s="90" t="s">
        <v>244</v>
      </c>
      <c r="K2171" s="90">
        <v>1.15295175251E-3</v>
      </c>
      <c r="L2171" s="90">
        <v>3736.8698226248298</v>
      </c>
      <c r="M2171" s="90">
        <v>8.8277531000026901</v>
      </c>
      <c r="N2171" s="90">
        <v>1.4137729276198401</v>
      </c>
      <c r="O2171" s="90">
        <v>1.017797340742E-2</v>
      </c>
      <c r="P2171" s="90">
        <v>1.6300119745499999E-3</v>
      </c>
      <c r="Q2171" s="90">
        <v>4.3084306109194497</v>
      </c>
      <c r="R2171" s="90">
        <v>1410</v>
      </c>
      <c r="S2171" s="90" t="s">
        <v>325</v>
      </c>
      <c r="T2171" s="90">
        <v>1410</v>
      </c>
      <c r="U2171" s="90" t="s">
        <v>378</v>
      </c>
      <c r="V2171" s="90" t="s">
        <v>244</v>
      </c>
      <c r="Z2171" s="90">
        <v>0</v>
      </c>
      <c r="AA2171" s="90">
        <v>1</v>
      </c>
      <c r="AB2171" s="90">
        <v>1.017797340742E-2</v>
      </c>
      <c r="AC2171" s="90">
        <v>1.6300119745499999E-3</v>
      </c>
      <c r="AD2171" s="90">
        <v>4.3084306109193404</v>
      </c>
      <c r="AF2171" s="90">
        <v>-1</v>
      </c>
      <c r="AG2171" s="90">
        <v>-1</v>
      </c>
      <c r="AH2171" s="90">
        <v>-1</v>
      </c>
      <c r="AI2171" s="90">
        <v>-1</v>
      </c>
      <c r="AJ2171" s="90">
        <v>0</v>
      </c>
      <c r="AM2171" s="90" t="s">
        <v>379</v>
      </c>
      <c r="AN2171" s="90">
        <v>-1</v>
      </c>
      <c r="AQ2171" s="90">
        <v>358</v>
      </c>
      <c r="AR2171" s="90" t="s">
        <v>422</v>
      </c>
      <c r="AS2171" s="90" t="s">
        <v>250</v>
      </c>
      <c r="AT2171" s="90" t="s">
        <v>244</v>
      </c>
      <c r="AU2171" s="90">
        <v>86.412649999999999</v>
      </c>
      <c r="AV2171" s="90">
        <v>9.7123527172980495</v>
      </c>
      <c r="AW2171" s="90">
        <v>4.6658302043865802</v>
      </c>
      <c r="AX2171" s="90">
        <v>3.4942664999999999E-3</v>
      </c>
    </row>
    <row r="2172" spans="1:50" x14ac:dyDescent="0.25">
      <c r="A2172" s="102">
        <v>830000</v>
      </c>
      <c r="B2172" s="102">
        <v>2400000</v>
      </c>
      <c r="C2172" s="102">
        <v>2400000</v>
      </c>
      <c r="D2172" s="90" t="s">
        <v>374</v>
      </c>
      <c r="E2172" s="90" t="s">
        <v>68</v>
      </c>
      <c r="F2172" s="90" t="s">
        <v>375</v>
      </c>
      <c r="G2172" s="90" t="s">
        <v>376</v>
      </c>
      <c r="H2172" s="90">
        <v>0.59</v>
      </c>
      <c r="I2172" s="90">
        <v>0.64</v>
      </c>
      <c r="J2172" s="90" t="s">
        <v>244</v>
      </c>
      <c r="K2172" s="90">
        <v>0.39412713667917998</v>
      </c>
      <c r="L2172" s="90">
        <v>3736.8698226248298</v>
      </c>
      <c r="M2172" s="90">
        <v>8.8277531000026901</v>
      </c>
      <c r="N2172" s="90">
        <v>1.4137729276198401</v>
      </c>
      <c r="O2172" s="90">
        <v>3.4792570526148499</v>
      </c>
      <c r="P2172" s="90">
        <v>0.55720627587735005</v>
      </c>
      <c r="Q2172" s="90">
        <v>1472.8018033339699</v>
      </c>
      <c r="R2172" s="90">
        <v>8310</v>
      </c>
      <c r="S2172" s="90" t="s">
        <v>425</v>
      </c>
      <c r="T2172" s="90">
        <v>8310</v>
      </c>
      <c r="U2172" s="90" t="s">
        <v>378</v>
      </c>
      <c r="V2172" s="90" t="s">
        <v>244</v>
      </c>
      <c r="Z2172" s="90">
        <v>0</v>
      </c>
      <c r="AA2172" s="90">
        <v>1</v>
      </c>
      <c r="AB2172" s="90">
        <v>3.4792570526148499</v>
      </c>
      <c r="AC2172" s="90">
        <v>0.55720627587735005</v>
      </c>
      <c r="AD2172" s="90">
        <v>1472.8018033339699</v>
      </c>
      <c r="AF2172" s="90">
        <v>-1</v>
      </c>
      <c r="AG2172" s="90">
        <v>-1</v>
      </c>
      <c r="AH2172" s="90">
        <v>-1</v>
      </c>
      <c r="AI2172" s="90">
        <v>-1</v>
      </c>
      <c r="AJ2172" s="90">
        <v>0</v>
      </c>
      <c r="AM2172" s="90" t="s">
        <v>379</v>
      </c>
      <c r="AN2172" s="90">
        <v>-1</v>
      </c>
      <c r="AQ2172" s="90">
        <v>358</v>
      </c>
      <c r="AR2172" s="90" t="s">
        <v>422</v>
      </c>
      <c r="AS2172" s="90" t="s">
        <v>250</v>
      </c>
      <c r="AT2172" s="90" t="s">
        <v>244</v>
      </c>
      <c r="AU2172" s="90">
        <v>86.412649999999999</v>
      </c>
      <c r="AV2172" s="90">
        <v>161.40754175933199</v>
      </c>
      <c r="AW2172" s="90">
        <v>1594.9759343122701</v>
      </c>
      <c r="AX2172" s="90">
        <v>1.1944864584999999</v>
      </c>
    </row>
    <row r="2173" spans="1:50" x14ac:dyDescent="0.25">
      <c r="A2173" s="102">
        <v>830000</v>
      </c>
      <c r="B2173" s="102">
        <v>2400000</v>
      </c>
      <c r="C2173" s="102">
        <v>2400000</v>
      </c>
      <c r="D2173" s="90" t="s">
        <v>374</v>
      </c>
      <c r="E2173" s="90" t="s">
        <v>68</v>
      </c>
      <c r="F2173" s="90" t="s">
        <v>375</v>
      </c>
      <c r="G2173" s="90" t="s">
        <v>376</v>
      </c>
      <c r="H2173" s="90">
        <v>0.59</v>
      </c>
      <c r="I2173" s="90">
        <v>0.64</v>
      </c>
      <c r="J2173" s="90" t="s">
        <v>381</v>
      </c>
      <c r="K2173" s="90">
        <v>7.4617564709619999E-2</v>
      </c>
      <c r="L2173" s="90">
        <v>3733.2403783509999</v>
      </c>
      <c r="M2173" s="90">
        <v>9.4902920631084307</v>
      </c>
      <c r="N2173" s="90">
        <v>1.52641600015278</v>
      </c>
      <c r="O2173" s="90">
        <v>0.70814248213220998</v>
      </c>
      <c r="P2173" s="90">
        <v>0.11389744466520001</v>
      </c>
      <c r="Q2173" s="90">
        <v>278.56530550818297</v>
      </c>
      <c r="R2173" s="90">
        <v>1200</v>
      </c>
      <c r="S2173" s="90" t="s">
        <v>384</v>
      </c>
      <c r="T2173" s="90">
        <v>1200</v>
      </c>
      <c r="U2173" s="90" t="s">
        <v>382</v>
      </c>
      <c r="V2173" s="90" t="s">
        <v>381</v>
      </c>
      <c r="Z2173" s="90">
        <v>0</v>
      </c>
      <c r="AA2173" s="90">
        <v>1</v>
      </c>
      <c r="AB2173" s="90">
        <v>0.70814248213220998</v>
      </c>
      <c r="AC2173" s="90">
        <v>0.11389744466520001</v>
      </c>
      <c r="AD2173" s="90">
        <v>278.565305508184</v>
      </c>
      <c r="AF2173" s="90">
        <v>-1</v>
      </c>
      <c r="AG2173" s="90">
        <v>-1</v>
      </c>
      <c r="AH2173" s="90">
        <v>-1</v>
      </c>
      <c r="AI2173" s="90">
        <v>-1</v>
      </c>
      <c r="AJ2173" s="90">
        <v>0</v>
      </c>
      <c r="AM2173" s="90" t="s">
        <v>379</v>
      </c>
      <c r="AN2173" s="90">
        <v>-1</v>
      </c>
      <c r="AQ2173" s="90">
        <v>358</v>
      </c>
      <c r="AR2173" s="90" t="s">
        <v>422</v>
      </c>
      <c r="AS2173" s="90" t="s">
        <v>250</v>
      </c>
      <c r="AT2173" s="90" t="s">
        <v>244</v>
      </c>
      <c r="AU2173" s="90">
        <v>86.412649999999999</v>
      </c>
      <c r="AV2173" s="90">
        <v>112.309651064243</v>
      </c>
      <c r="AW2173" s="90">
        <v>301.96657096898599</v>
      </c>
      <c r="AX2173" s="90">
        <v>0.225924822</v>
      </c>
    </row>
    <row r="2174" spans="1:50" x14ac:dyDescent="0.25">
      <c r="A2174" s="102">
        <v>830000</v>
      </c>
      <c r="B2174" s="102">
        <v>2400000</v>
      </c>
      <c r="C2174" s="102">
        <v>2400000</v>
      </c>
      <c r="D2174" s="90" t="s">
        <v>374</v>
      </c>
      <c r="E2174" s="90" t="s">
        <v>68</v>
      </c>
      <c r="F2174" s="90" t="s">
        <v>375</v>
      </c>
      <c r="G2174" s="90" t="s">
        <v>376</v>
      </c>
      <c r="H2174" s="90">
        <v>0.59</v>
      </c>
      <c r="I2174" s="90">
        <v>0.64</v>
      </c>
      <c r="J2174" s="90" t="s">
        <v>244</v>
      </c>
      <c r="K2174" s="90">
        <v>1.78209522995E-3</v>
      </c>
      <c r="L2174" s="90">
        <v>3733.2403783509999</v>
      </c>
      <c r="M2174" s="90">
        <v>9.4902920631084307</v>
      </c>
      <c r="N2174" s="90">
        <v>1.52641600015278</v>
      </c>
      <c r="O2174" s="90">
        <v>1.691260421653E-2</v>
      </c>
      <c r="P2174" s="90">
        <v>2.7202186727899999E-3</v>
      </c>
      <c r="Q2174" s="90">
        <v>6.6529898705309902</v>
      </c>
      <c r="R2174" s="90">
        <v>1300</v>
      </c>
      <c r="S2174" s="90" t="s">
        <v>387</v>
      </c>
      <c r="T2174" s="90">
        <v>1300</v>
      </c>
      <c r="U2174" s="90" t="s">
        <v>378</v>
      </c>
      <c r="V2174" s="90" t="s">
        <v>244</v>
      </c>
      <c r="Z2174" s="90">
        <v>0</v>
      </c>
      <c r="AA2174" s="90">
        <v>1</v>
      </c>
      <c r="AB2174" s="90">
        <v>1.691260421653E-2</v>
      </c>
      <c r="AC2174" s="90">
        <v>2.7202186727899999E-3</v>
      </c>
      <c r="AD2174" s="90">
        <v>6.6529898705325197</v>
      </c>
      <c r="AF2174" s="90">
        <v>-1</v>
      </c>
      <c r="AG2174" s="90">
        <v>-1</v>
      </c>
      <c r="AH2174" s="90">
        <v>-1</v>
      </c>
      <c r="AI2174" s="90">
        <v>-1</v>
      </c>
      <c r="AJ2174" s="90">
        <v>0</v>
      </c>
      <c r="AM2174" s="90" t="s">
        <v>379</v>
      </c>
      <c r="AN2174" s="90">
        <v>-1</v>
      </c>
      <c r="AQ2174" s="90">
        <v>358</v>
      </c>
      <c r="AR2174" s="90" t="s">
        <v>422</v>
      </c>
      <c r="AS2174" s="90" t="s">
        <v>250</v>
      </c>
      <c r="AT2174" s="90" t="s">
        <v>244</v>
      </c>
      <c r="AU2174" s="90">
        <v>86.412649999999999</v>
      </c>
      <c r="AV2174" s="90">
        <v>100.517186547344</v>
      </c>
      <c r="AW2174" s="90">
        <v>7.2118835266694203</v>
      </c>
      <c r="AX2174" s="90">
        <v>5.3957744E-3</v>
      </c>
    </row>
    <row r="2175" spans="1:50" x14ac:dyDescent="0.25">
      <c r="A2175" s="102">
        <v>830000</v>
      </c>
      <c r="B2175" s="102">
        <v>2400000</v>
      </c>
      <c r="C2175" s="102">
        <v>2400000</v>
      </c>
      <c r="D2175" s="90" t="s">
        <v>374</v>
      </c>
      <c r="E2175" s="90" t="s">
        <v>68</v>
      </c>
      <c r="F2175" s="90" t="s">
        <v>375</v>
      </c>
      <c r="G2175" s="90" t="s">
        <v>376</v>
      </c>
      <c r="H2175" s="90">
        <v>0.59</v>
      </c>
      <c r="I2175" s="90">
        <v>0.64</v>
      </c>
      <c r="J2175" s="90" t="s">
        <v>381</v>
      </c>
      <c r="K2175" s="90">
        <v>0.14953555978648</v>
      </c>
      <c r="L2175" s="90">
        <v>3733.2403783509999</v>
      </c>
      <c r="M2175" s="90">
        <v>9.4902920631084307</v>
      </c>
      <c r="N2175" s="90">
        <v>1.52641600015278</v>
      </c>
      <c r="O2175" s="90">
        <v>1.4191361361941099</v>
      </c>
      <c r="P2175" s="90">
        <v>0.22825347104988</v>
      </c>
      <c r="Q2175" s="90">
        <v>558.25218979421095</v>
      </c>
      <c r="R2175" s="90">
        <v>1300</v>
      </c>
      <c r="S2175" s="90" t="s">
        <v>387</v>
      </c>
      <c r="T2175" s="90">
        <v>1300</v>
      </c>
      <c r="U2175" s="90" t="s">
        <v>382</v>
      </c>
      <c r="V2175" s="90" t="s">
        <v>381</v>
      </c>
      <c r="Z2175" s="90">
        <v>0</v>
      </c>
      <c r="AA2175" s="90">
        <v>1</v>
      </c>
      <c r="AB2175" s="90">
        <v>1.4191361361941099</v>
      </c>
      <c r="AC2175" s="90">
        <v>0.22825347104988</v>
      </c>
      <c r="AD2175" s="90">
        <v>558.25218979421095</v>
      </c>
      <c r="AF2175" s="90">
        <v>-1</v>
      </c>
      <c r="AG2175" s="90">
        <v>-1</v>
      </c>
      <c r="AH2175" s="90">
        <v>-1</v>
      </c>
      <c r="AI2175" s="90">
        <v>-1</v>
      </c>
      <c r="AJ2175" s="90">
        <v>0</v>
      </c>
      <c r="AM2175" s="90" t="s">
        <v>379</v>
      </c>
      <c r="AN2175" s="90">
        <v>-1</v>
      </c>
      <c r="AQ2175" s="90">
        <v>358</v>
      </c>
      <c r="AR2175" s="90" t="s">
        <v>422</v>
      </c>
      <c r="AS2175" s="90" t="s">
        <v>250</v>
      </c>
      <c r="AT2175" s="90" t="s">
        <v>244</v>
      </c>
      <c r="AU2175" s="90">
        <v>86.412649999999999</v>
      </c>
      <c r="AV2175" s="90">
        <v>124.43696105213699</v>
      </c>
      <c r="AW2175" s="90">
        <v>605.14894049909901</v>
      </c>
      <c r="AX2175" s="90">
        <v>0.45275927799999999</v>
      </c>
    </row>
    <row r="2176" spans="1:50" x14ac:dyDescent="0.25">
      <c r="A2176" s="102">
        <v>830000</v>
      </c>
      <c r="B2176" s="102">
        <v>2400000</v>
      </c>
      <c r="C2176" s="102">
        <v>2400000</v>
      </c>
      <c r="D2176" s="90" t="s">
        <v>374</v>
      </c>
      <c r="E2176" s="90" t="s">
        <v>68</v>
      </c>
      <c r="F2176" s="90" t="s">
        <v>375</v>
      </c>
      <c r="G2176" s="90" t="s">
        <v>376</v>
      </c>
      <c r="H2176" s="90">
        <v>0.59</v>
      </c>
      <c r="I2176" s="90">
        <v>0.64</v>
      </c>
      <c r="J2176" s="90" t="s">
        <v>244</v>
      </c>
      <c r="K2176" s="90">
        <v>8.7389823039260003E-2</v>
      </c>
      <c r="L2176" s="90">
        <v>3733.2403783509999</v>
      </c>
      <c r="M2176" s="90">
        <v>9.4902920631084307</v>
      </c>
      <c r="N2176" s="90">
        <v>1.52641600015278</v>
      </c>
      <c r="O2176" s="90">
        <v>0.82935494398602005</v>
      </c>
      <c r="P2176" s="90">
        <v>0.13339322413766</v>
      </c>
      <c r="Q2176" s="90">
        <v>326.247216027148</v>
      </c>
      <c r="R2176" s="90">
        <v>1300</v>
      </c>
      <c r="S2176" s="90" t="s">
        <v>387</v>
      </c>
      <c r="T2176" s="90">
        <v>1300</v>
      </c>
      <c r="U2176" s="90" t="s">
        <v>378</v>
      </c>
      <c r="V2176" s="90" t="s">
        <v>244</v>
      </c>
      <c r="Z2176" s="90">
        <v>0</v>
      </c>
      <c r="AA2176" s="90">
        <v>1</v>
      </c>
      <c r="AB2176" s="90">
        <v>0.82935494398602005</v>
      </c>
      <c r="AC2176" s="90">
        <v>0.13339322413766</v>
      </c>
      <c r="AD2176" s="90">
        <v>326.247216027148</v>
      </c>
      <c r="AF2176" s="90">
        <v>-1</v>
      </c>
      <c r="AG2176" s="90">
        <v>-1</v>
      </c>
      <c r="AH2176" s="90">
        <v>-1</v>
      </c>
      <c r="AI2176" s="90">
        <v>-1</v>
      </c>
      <c r="AJ2176" s="90">
        <v>0</v>
      </c>
      <c r="AM2176" s="90" t="s">
        <v>379</v>
      </c>
      <c r="AN2176" s="90">
        <v>-1</v>
      </c>
      <c r="AQ2176" s="90">
        <v>358</v>
      </c>
      <c r="AR2176" s="90" t="s">
        <v>422</v>
      </c>
      <c r="AS2176" s="90" t="s">
        <v>250</v>
      </c>
      <c r="AT2176" s="90" t="s">
        <v>244</v>
      </c>
      <c r="AU2176" s="90">
        <v>86.412649999999999</v>
      </c>
      <c r="AV2176" s="90">
        <v>75.3427069658416</v>
      </c>
      <c r="AW2176" s="90">
        <v>353.65406661886499</v>
      </c>
      <c r="AX2176" s="90">
        <v>0.26459628229999999</v>
      </c>
    </row>
    <row r="2177" spans="1:50" x14ac:dyDescent="0.25">
      <c r="A2177" s="102">
        <v>830000</v>
      </c>
      <c r="B2177" s="102">
        <v>2400000</v>
      </c>
      <c r="C2177" s="102">
        <v>2400000</v>
      </c>
      <c r="D2177" s="90" t="s">
        <v>374</v>
      </c>
      <c r="E2177" s="90" t="s">
        <v>68</v>
      </c>
      <c r="F2177" s="90" t="s">
        <v>375</v>
      </c>
      <c r="G2177" s="90" t="s">
        <v>376</v>
      </c>
      <c r="H2177" s="90">
        <v>0.59</v>
      </c>
      <c r="I2177" s="90">
        <v>0.64</v>
      </c>
      <c r="J2177" s="90" t="s">
        <v>244</v>
      </c>
      <c r="K2177" s="90">
        <v>7.8367061975159996E-2</v>
      </c>
      <c r="L2177" s="90">
        <v>3733.2403783509999</v>
      </c>
      <c r="M2177" s="90">
        <v>9.4902920631084307</v>
      </c>
      <c r="N2177" s="90">
        <v>1.52641600015278</v>
      </c>
      <c r="O2177" s="90">
        <v>0.74372630627199998</v>
      </c>
      <c r="P2177" s="90">
        <v>0.11962073728385</v>
      </c>
      <c r="Q2177" s="90">
        <v>292.56308009841001</v>
      </c>
      <c r="R2177" s="90">
        <v>1210</v>
      </c>
      <c r="S2177" s="90" t="s">
        <v>385</v>
      </c>
      <c r="T2177" s="90">
        <v>1210</v>
      </c>
      <c r="U2177" s="90" t="s">
        <v>378</v>
      </c>
      <c r="V2177" s="90" t="s">
        <v>244</v>
      </c>
      <c r="Z2177" s="90">
        <v>0</v>
      </c>
      <c r="AA2177" s="90">
        <v>1</v>
      </c>
      <c r="AB2177" s="90">
        <v>0.74372630627199998</v>
      </c>
      <c r="AC2177" s="90">
        <v>0.11962073728385</v>
      </c>
      <c r="AD2177" s="90">
        <v>292.56308009840899</v>
      </c>
      <c r="AF2177" s="90">
        <v>-1</v>
      </c>
      <c r="AG2177" s="90">
        <v>-1</v>
      </c>
      <c r="AH2177" s="90">
        <v>-1</v>
      </c>
      <c r="AI2177" s="90">
        <v>-1</v>
      </c>
      <c r="AJ2177" s="90">
        <v>0</v>
      </c>
      <c r="AM2177" s="90" t="s">
        <v>379</v>
      </c>
      <c r="AN2177" s="90">
        <v>-1</v>
      </c>
      <c r="AQ2177" s="90">
        <v>358</v>
      </c>
      <c r="AR2177" s="90" t="s">
        <v>422</v>
      </c>
      <c r="AS2177" s="90" t="s">
        <v>250</v>
      </c>
      <c r="AT2177" s="90" t="s">
        <v>244</v>
      </c>
      <c r="AU2177" s="90">
        <v>86.412649999999999</v>
      </c>
      <c r="AV2177" s="90">
        <v>71.427613775920094</v>
      </c>
      <c r="AW2177" s="90">
        <v>317.140248058802</v>
      </c>
      <c r="AX2177" s="90">
        <v>0.2372774372</v>
      </c>
    </row>
    <row r="2178" spans="1:50" x14ac:dyDescent="0.25">
      <c r="A2178" s="102">
        <v>830000</v>
      </c>
      <c r="B2178" s="102">
        <v>2400000</v>
      </c>
      <c r="C2178" s="102">
        <v>2400000</v>
      </c>
      <c r="D2178" s="90" t="s">
        <v>374</v>
      </c>
      <c r="E2178" s="90" t="s">
        <v>68</v>
      </c>
      <c r="F2178" s="90" t="s">
        <v>375</v>
      </c>
      <c r="G2178" s="90" t="s">
        <v>376</v>
      </c>
      <c r="H2178" s="90">
        <v>0.59</v>
      </c>
      <c r="I2178" s="90">
        <v>0.64</v>
      </c>
      <c r="J2178" s="90" t="s">
        <v>244</v>
      </c>
      <c r="K2178" s="90">
        <v>4.3222902310810003E-2</v>
      </c>
      <c r="L2178" s="90">
        <v>3733.2403783509999</v>
      </c>
      <c r="M2178" s="90">
        <v>9.4902920631084307</v>
      </c>
      <c r="N2178" s="90">
        <v>1.52641600015278</v>
      </c>
      <c r="O2178" s="90">
        <v>0.41019796674482001</v>
      </c>
      <c r="P2178" s="90">
        <v>6.5976129660259994E-2</v>
      </c>
      <c r="Q2178" s="90">
        <v>161.36148417624801</v>
      </c>
      <c r="R2178" s="90">
        <v>1210</v>
      </c>
      <c r="S2178" s="90" t="s">
        <v>385</v>
      </c>
      <c r="T2178" s="90">
        <v>1210</v>
      </c>
      <c r="U2178" s="90" t="s">
        <v>378</v>
      </c>
      <c r="V2178" s="90" t="s">
        <v>244</v>
      </c>
      <c r="Z2178" s="90">
        <v>0</v>
      </c>
      <c r="AA2178" s="90">
        <v>1</v>
      </c>
      <c r="AB2178" s="90">
        <v>0.41019796674482001</v>
      </c>
      <c r="AC2178" s="90">
        <v>6.5976129660259994E-2</v>
      </c>
      <c r="AD2178" s="90">
        <v>161.36148417624699</v>
      </c>
      <c r="AF2178" s="90">
        <v>-1</v>
      </c>
      <c r="AG2178" s="90">
        <v>-1</v>
      </c>
      <c r="AH2178" s="90">
        <v>-1</v>
      </c>
      <c r="AI2178" s="90">
        <v>-1</v>
      </c>
      <c r="AJ2178" s="90">
        <v>0</v>
      </c>
      <c r="AM2178" s="90" t="s">
        <v>379</v>
      </c>
      <c r="AN2178" s="90">
        <v>-1</v>
      </c>
      <c r="AQ2178" s="90">
        <v>358</v>
      </c>
      <c r="AR2178" s="90" t="s">
        <v>422</v>
      </c>
      <c r="AS2178" s="90" t="s">
        <v>250</v>
      </c>
      <c r="AT2178" s="90" t="s">
        <v>244</v>
      </c>
      <c r="AU2178" s="90">
        <v>86.412649999999999</v>
      </c>
      <c r="AV2178" s="90">
        <v>53.6430744624246</v>
      </c>
      <c r="AW2178" s="90">
        <v>174.91687981128101</v>
      </c>
      <c r="AX2178" s="90">
        <v>0.13086900579999999</v>
      </c>
    </row>
    <row r="2179" spans="1:50" x14ac:dyDescent="0.25">
      <c r="A2179" s="102">
        <v>830000</v>
      </c>
      <c r="B2179" s="102">
        <v>2400000</v>
      </c>
      <c r="C2179" s="102">
        <v>2400000</v>
      </c>
      <c r="D2179" s="90" t="s">
        <v>374</v>
      </c>
      <c r="E2179" s="90" t="s">
        <v>68</v>
      </c>
      <c r="F2179" s="90" t="s">
        <v>375</v>
      </c>
      <c r="G2179" s="90" t="s">
        <v>376</v>
      </c>
      <c r="H2179" s="90">
        <v>0.59</v>
      </c>
      <c r="I2179" s="90">
        <v>0.64</v>
      </c>
      <c r="J2179" s="90" t="s">
        <v>244</v>
      </c>
      <c r="K2179" s="90">
        <v>3.2299464373840001E-2</v>
      </c>
      <c r="L2179" s="90">
        <v>3733.2403783509999</v>
      </c>
      <c r="M2179" s="90">
        <v>9.4902920631084307</v>
      </c>
      <c r="N2179" s="90">
        <v>1.52641600015278</v>
      </c>
      <c r="O2179" s="90">
        <v>0.30653135038969997</v>
      </c>
      <c r="P2179" s="90">
        <v>4.9302419216590003E-2</v>
      </c>
      <c r="Q2179" s="90">
        <v>120.58166459952901</v>
      </c>
      <c r="R2179" s="90">
        <v>1210</v>
      </c>
      <c r="S2179" s="90" t="s">
        <v>385</v>
      </c>
      <c r="T2179" s="90">
        <v>1210</v>
      </c>
      <c r="U2179" s="90" t="s">
        <v>378</v>
      </c>
      <c r="V2179" s="90" t="s">
        <v>244</v>
      </c>
      <c r="Z2179" s="90">
        <v>0</v>
      </c>
      <c r="AA2179" s="90">
        <v>1</v>
      </c>
      <c r="AB2179" s="90">
        <v>0.30653135038969997</v>
      </c>
      <c r="AC2179" s="90">
        <v>4.9302419216590003E-2</v>
      </c>
      <c r="AD2179" s="90">
        <v>120.58166459953</v>
      </c>
      <c r="AF2179" s="90">
        <v>-1</v>
      </c>
      <c r="AG2179" s="90">
        <v>-1</v>
      </c>
      <c r="AH2179" s="90">
        <v>-1</v>
      </c>
      <c r="AI2179" s="90">
        <v>-1</v>
      </c>
      <c r="AJ2179" s="90">
        <v>0</v>
      </c>
      <c r="AM2179" s="90" t="s">
        <v>379</v>
      </c>
      <c r="AN2179" s="90">
        <v>-1</v>
      </c>
      <c r="AQ2179" s="90">
        <v>358</v>
      </c>
      <c r="AR2179" s="90" t="s">
        <v>422</v>
      </c>
      <c r="AS2179" s="90" t="s">
        <v>250</v>
      </c>
      <c r="AT2179" s="90" t="s">
        <v>244</v>
      </c>
      <c r="AU2179" s="90">
        <v>86.412649999999999</v>
      </c>
      <c r="AV2179" s="90">
        <v>46.2685899529802</v>
      </c>
      <c r="AW2179" s="90">
        <v>130.71129484135599</v>
      </c>
      <c r="AX2179" s="90">
        <v>9.7795348399999996E-2</v>
      </c>
    </row>
    <row r="2180" spans="1:50" x14ac:dyDescent="0.25">
      <c r="A2180" s="102">
        <v>830000</v>
      </c>
      <c r="B2180" s="102">
        <v>2400000</v>
      </c>
      <c r="C2180" s="102">
        <v>2400000</v>
      </c>
      <c r="D2180" s="90" t="s">
        <v>374</v>
      </c>
      <c r="E2180" s="90" t="s">
        <v>68</v>
      </c>
      <c r="F2180" s="90" t="s">
        <v>375</v>
      </c>
      <c r="G2180" s="90" t="s">
        <v>376</v>
      </c>
      <c r="H2180" s="90">
        <v>0.59</v>
      </c>
      <c r="I2180" s="90">
        <v>0.64</v>
      </c>
      <c r="J2180" s="90" t="s">
        <v>381</v>
      </c>
      <c r="K2180" s="90">
        <v>3.4002548931E-4</v>
      </c>
      <c r="L2180" s="90">
        <v>3733.2403783509999</v>
      </c>
      <c r="M2180" s="90">
        <v>9.4902920631084307</v>
      </c>
      <c r="N2180" s="90">
        <v>1.52641600015278</v>
      </c>
      <c r="O2180" s="90">
        <v>3.2269412024900001E-3</v>
      </c>
      <c r="P2180" s="90">
        <v>5.1902034734E-4</v>
      </c>
      <c r="Q2180" s="90">
        <v>1.26939688637558</v>
      </c>
      <c r="R2180" s="90">
        <v>1210</v>
      </c>
      <c r="S2180" s="90" t="s">
        <v>385</v>
      </c>
      <c r="T2180" s="90">
        <v>1210</v>
      </c>
      <c r="U2180" s="90" t="s">
        <v>382</v>
      </c>
      <c r="V2180" s="90" t="s">
        <v>381</v>
      </c>
      <c r="Z2180" s="90">
        <v>0</v>
      </c>
      <c r="AA2180" s="90">
        <v>1</v>
      </c>
      <c r="AB2180" s="90">
        <v>3.2269412024900001E-3</v>
      </c>
      <c r="AC2180" s="90">
        <v>5.1902034734E-4</v>
      </c>
      <c r="AD2180" s="90">
        <v>1.2693968863752101</v>
      </c>
      <c r="AF2180" s="90">
        <v>-1</v>
      </c>
      <c r="AG2180" s="90">
        <v>-1</v>
      </c>
      <c r="AH2180" s="90">
        <v>-1</v>
      </c>
      <c r="AI2180" s="90">
        <v>-1</v>
      </c>
      <c r="AJ2180" s="90">
        <v>0</v>
      </c>
      <c r="AM2180" s="90" t="s">
        <v>379</v>
      </c>
      <c r="AN2180" s="90">
        <v>-1</v>
      </c>
      <c r="AQ2180" s="90">
        <v>358</v>
      </c>
      <c r="AR2180" s="90" t="s">
        <v>422</v>
      </c>
      <c r="AS2180" s="90" t="s">
        <v>250</v>
      </c>
      <c r="AT2180" s="90" t="s">
        <v>244</v>
      </c>
      <c r="AU2180" s="90">
        <v>86.412649999999999</v>
      </c>
      <c r="AV2180" s="90">
        <v>19.410248402516501</v>
      </c>
      <c r="AW2180" s="90">
        <v>1.37603433520965</v>
      </c>
      <c r="AX2180" s="90">
        <v>1.029519E-3</v>
      </c>
    </row>
    <row r="2181" spans="1:50" x14ac:dyDescent="0.25">
      <c r="A2181" s="102">
        <v>830000</v>
      </c>
      <c r="B2181" s="102">
        <v>2400000</v>
      </c>
      <c r="C2181" s="102">
        <v>2400000</v>
      </c>
      <c r="D2181" s="90" t="s">
        <v>374</v>
      </c>
      <c r="E2181" s="90" t="s">
        <v>68</v>
      </c>
      <c r="F2181" s="90" t="s">
        <v>375</v>
      </c>
      <c r="G2181" s="90" t="s">
        <v>376</v>
      </c>
      <c r="H2181" s="90">
        <v>0.59</v>
      </c>
      <c r="I2181" s="90">
        <v>0.64</v>
      </c>
      <c r="J2181" s="90" t="s">
        <v>244</v>
      </c>
      <c r="K2181" s="90">
        <v>8.1464330934029994E-2</v>
      </c>
      <c r="L2181" s="90">
        <v>3733.2403783509999</v>
      </c>
      <c r="M2181" s="90">
        <v>9.4902920631084307</v>
      </c>
      <c r="N2181" s="90">
        <v>1.52641600015278</v>
      </c>
      <c r="O2181" s="90">
        <v>0.77312029328971998</v>
      </c>
      <c r="P2181" s="90">
        <v>0.12434845817945001</v>
      </c>
      <c r="Q2181" s="90">
        <v>304.12592963829201</v>
      </c>
      <c r="R2181" s="90">
        <v>1210</v>
      </c>
      <c r="S2181" s="90" t="s">
        <v>385</v>
      </c>
      <c r="T2181" s="90">
        <v>1210</v>
      </c>
      <c r="U2181" s="90" t="s">
        <v>378</v>
      </c>
      <c r="V2181" s="90" t="s">
        <v>244</v>
      </c>
      <c r="Z2181" s="90">
        <v>0</v>
      </c>
      <c r="AA2181" s="90">
        <v>1</v>
      </c>
      <c r="AB2181" s="90">
        <v>0.77312029328971998</v>
      </c>
      <c r="AC2181" s="90">
        <v>0.12434845817945001</v>
      </c>
      <c r="AD2181" s="90">
        <v>304.12592963829098</v>
      </c>
      <c r="AF2181" s="90">
        <v>-1</v>
      </c>
      <c r="AG2181" s="90">
        <v>-1</v>
      </c>
      <c r="AH2181" s="90">
        <v>-1</v>
      </c>
      <c r="AI2181" s="90">
        <v>-1</v>
      </c>
      <c r="AJ2181" s="90">
        <v>0</v>
      </c>
      <c r="AM2181" s="90" t="s">
        <v>379</v>
      </c>
      <c r="AN2181" s="90">
        <v>-1</v>
      </c>
      <c r="AQ2181" s="90">
        <v>358</v>
      </c>
      <c r="AR2181" s="90" t="s">
        <v>422</v>
      </c>
      <c r="AS2181" s="90" t="s">
        <v>250</v>
      </c>
      <c r="AT2181" s="90" t="s">
        <v>244</v>
      </c>
      <c r="AU2181" s="90">
        <v>86.412649999999999</v>
      </c>
      <c r="AV2181" s="90">
        <v>74.621540887747798</v>
      </c>
      <c r="AW2181" s="90">
        <v>329.67445083692098</v>
      </c>
      <c r="AX2181" s="90">
        <v>0.24665525520000001</v>
      </c>
    </row>
    <row r="2182" spans="1:50" x14ac:dyDescent="0.25">
      <c r="A2182" s="102">
        <v>830000</v>
      </c>
      <c r="B2182" s="102">
        <v>2400000</v>
      </c>
      <c r="C2182" s="102">
        <v>2400000</v>
      </c>
      <c r="D2182" s="90" t="s">
        <v>374</v>
      </c>
      <c r="E2182" s="90" t="s">
        <v>68</v>
      </c>
      <c r="F2182" s="90" t="s">
        <v>375</v>
      </c>
      <c r="G2182" s="90" t="s">
        <v>376</v>
      </c>
      <c r="H2182" s="90">
        <v>0.59</v>
      </c>
      <c r="I2182" s="90">
        <v>0.64</v>
      </c>
      <c r="J2182" s="90" t="s">
        <v>381</v>
      </c>
      <c r="K2182" s="90">
        <v>8.1454755207999998E-4</v>
      </c>
      <c r="L2182" s="90">
        <v>3733.2403783509999</v>
      </c>
      <c r="M2182" s="90">
        <v>9.4902920631084307</v>
      </c>
      <c r="N2182" s="90">
        <v>1.52641600015278</v>
      </c>
      <c r="O2182" s="90">
        <v>7.7302941685499999E-3</v>
      </c>
      <c r="P2182" s="90">
        <v>1.24333841638E-3</v>
      </c>
      <c r="Q2182" s="90">
        <v>3.04090181152322</v>
      </c>
      <c r="R2182" s="90">
        <v>1210</v>
      </c>
      <c r="S2182" s="90" t="s">
        <v>385</v>
      </c>
      <c r="T2182" s="90">
        <v>1210</v>
      </c>
      <c r="U2182" s="90" t="s">
        <v>382</v>
      </c>
      <c r="V2182" s="90" t="s">
        <v>381</v>
      </c>
      <c r="Z2182" s="90">
        <v>0</v>
      </c>
      <c r="AA2182" s="90">
        <v>1</v>
      </c>
      <c r="AB2182" s="90">
        <v>7.7302941685499999E-3</v>
      </c>
      <c r="AC2182" s="90">
        <v>1.24333841638E-3</v>
      </c>
      <c r="AD2182" s="90">
        <v>3.04090181152471</v>
      </c>
      <c r="AF2182" s="90">
        <v>-1</v>
      </c>
      <c r="AG2182" s="90">
        <v>-1</v>
      </c>
      <c r="AH2182" s="90">
        <v>-1</v>
      </c>
      <c r="AI2182" s="90">
        <v>-1</v>
      </c>
      <c r="AJ2182" s="90">
        <v>0</v>
      </c>
      <c r="AM2182" s="90" t="s">
        <v>379</v>
      </c>
      <c r="AN2182" s="90">
        <v>-1</v>
      </c>
      <c r="AQ2182" s="90">
        <v>358</v>
      </c>
      <c r="AR2182" s="90" t="s">
        <v>422</v>
      </c>
      <c r="AS2182" s="90" t="s">
        <v>250</v>
      </c>
      <c r="AT2182" s="90" t="s">
        <v>244</v>
      </c>
      <c r="AU2182" s="90">
        <v>86.412649999999999</v>
      </c>
      <c r="AV2182" s="90">
        <v>46.105476772898299</v>
      </c>
      <c r="AW2182" s="90">
        <v>3.29635699249889</v>
      </c>
      <c r="AX2182" s="90">
        <v>2.4662626000000001E-3</v>
      </c>
    </row>
    <row r="2183" spans="1:50" x14ac:dyDescent="0.25">
      <c r="A2183" s="102">
        <v>830000</v>
      </c>
      <c r="B2183" s="102">
        <v>2400000</v>
      </c>
      <c r="C2183" s="102">
        <v>2400000</v>
      </c>
      <c r="D2183" s="90" t="s">
        <v>374</v>
      </c>
      <c r="E2183" s="90" t="s">
        <v>68</v>
      </c>
      <c r="F2183" s="90" t="s">
        <v>375</v>
      </c>
      <c r="G2183" s="90" t="s">
        <v>376</v>
      </c>
      <c r="H2183" s="90">
        <v>0.59</v>
      </c>
      <c r="I2183" s="90">
        <v>0.64</v>
      </c>
      <c r="J2183" s="90" t="s">
        <v>244</v>
      </c>
      <c r="K2183" s="90">
        <v>6.7302690204200002E-2</v>
      </c>
      <c r="L2183" s="90">
        <v>3733.2403783509999</v>
      </c>
      <c r="M2183" s="90">
        <v>9.4902920631084307</v>
      </c>
      <c r="N2183" s="90">
        <v>1.52641600015278</v>
      </c>
      <c r="O2183" s="90">
        <v>0.63872218667077996</v>
      </c>
      <c r="P2183" s="90">
        <v>0.10273190318102</v>
      </c>
      <c r="Q2183" s="90">
        <v>251.25712064197501</v>
      </c>
      <c r="R2183" s="90">
        <v>1210</v>
      </c>
      <c r="S2183" s="90" t="s">
        <v>385</v>
      </c>
      <c r="T2183" s="90">
        <v>1210</v>
      </c>
      <c r="U2183" s="90" t="s">
        <v>378</v>
      </c>
      <c r="V2183" s="90" t="s">
        <v>244</v>
      </c>
      <c r="Z2183" s="90">
        <v>0</v>
      </c>
      <c r="AA2183" s="90">
        <v>1</v>
      </c>
      <c r="AB2183" s="90">
        <v>0.63872218667077996</v>
      </c>
      <c r="AC2183" s="90">
        <v>0.10273190318102</v>
      </c>
      <c r="AD2183" s="90">
        <v>251.25712064197501</v>
      </c>
      <c r="AF2183" s="90">
        <v>-1</v>
      </c>
      <c r="AG2183" s="90">
        <v>-1</v>
      </c>
      <c r="AH2183" s="90">
        <v>-1</v>
      </c>
      <c r="AI2183" s="90">
        <v>-1</v>
      </c>
      <c r="AJ2183" s="90">
        <v>0</v>
      </c>
      <c r="AM2183" s="90" t="s">
        <v>379</v>
      </c>
      <c r="AN2183" s="90">
        <v>-1</v>
      </c>
      <c r="AQ2183" s="90">
        <v>358</v>
      </c>
      <c r="AR2183" s="90" t="s">
        <v>422</v>
      </c>
      <c r="AS2183" s="90" t="s">
        <v>250</v>
      </c>
      <c r="AT2183" s="90" t="s">
        <v>244</v>
      </c>
      <c r="AU2183" s="90">
        <v>86.412649999999999</v>
      </c>
      <c r="AV2183" s="90">
        <v>66.115247525065499</v>
      </c>
      <c r="AW2183" s="90">
        <v>272.36432409767201</v>
      </c>
      <c r="AX2183" s="90">
        <v>0.2037770646</v>
      </c>
    </row>
    <row r="2184" spans="1:50" x14ac:dyDescent="0.25">
      <c r="A2184" s="102">
        <v>830000</v>
      </c>
      <c r="B2184" s="102">
        <v>2400000</v>
      </c>
      <c r="C2184" s="102">
        <v>2400000</v>
      </c>
      <c r="D2184" s="90" t="s">
        <v>374</v>
      </c>
      <c r="E2184" s="90" t="s">
        <v>68</v>
      </c>
      <c r="F2184" s="90" t="s">
        <v>375</v>
      </c>
      <c r="G2184" s="90" t="s">
        <v>376</v>
      </c>
      <c r="H2184" s="90">
        <v>0.59</v>
      </c>
      <c r="I2184" s="90">
        <v>0.64</v>
      </c>
      <c r="J2184" s="90" t="s">
        <v>381</v>
      </c>
      <c r="K2184" s="90">
        <v>6.2738806313000002E-4</v>
      </c>
      <c r="L2184" s="90">
        <v>3733.2403783509999</v>
      </c>
      <c r="M2184" s="90">
        <v>9.4902920631084307</v>
      </c>
      <c r="N2184" s="90">
        <v>1.52641600015278</v>
      </c>
      <c r="O2184" s="90">
        <v>5.9540959560599998E-3</v>
      </c>
      <c r="P2184" s="90">
        <v>9.5765517787000005E-4</v>
      </c>
      <c r="Q2184" s="90">
        <v>2.3421904501947401</v>
      </c>
      <c r="R2184" s="90">
        <v>1210</v>
      </c>
      <c r="S2184" s="90" t="s">
        <v>385</v>
      </c>
      <c r="T2184" s="90">
        <v>1210</v>
      </c>
      <c r="U2184" s="90" t="s">
        <v>382</v>
      </c>
      <c r="V2184" s="90" t="s">
        <v>381</v>
      </c>
      <c r="Z2184" s="90">
        <v>0</v>
      </c>
      <c r="AA2184" s="90">
        <v>1</v>
      </c>
      <c r="AB2184" s="90">
        <v>5.9540959560599998E-3</v>
      </c>
      <c r="AC2184" s="90">
        <v>9.5765517787000005E-4</v>
      </c>
      <c r="AD2184" s="90">
        <v>2.3421904501937201</v>
      </c>
      <c r="AF2184" s="90">
        <v>-1</v>
      </c>
      <c r="AG2184" s="90">
        <v>-1</v>
      </c>
      <c r="AH2184" s="90">
        <v>-1</v>
      </c>
      <c r="AI2184" s="90">
        <v>-1</v>
      </c>
      <c r="AJ2184" s="90">
        <v>0</v>
      </c>
      <c r="AM2184" s="90" t="s">
        <v>379</v>
      </c>
      <c r="AN2184" s="90">
        <v>-1</v>
      </c>
      <c r="AQ2184" s="90">
        <v>358</v>
      </c>
      <c r="AR2184" s="90" t="s">
        <v>422</v>
      </c>
      <c r="AS2184" s="90" t="s">
        <v>250</v>
      </c>
      <c r="AT2184" s="90" t="s">
        <v>244</v>
      </c>
      <c r="AU2184" s="90">
        <v>86.412649999999999</v>
      </c>
      <c r="AV2184" s="90">
        <v>35.577303015398499</v>
      </c>
      <c r="AW2184" s="90">
        <v>2.5389494126379102</v>
      </c>
      <c r="AX2184" s="90">
        <v>1.8995867E-3</v>
      </c>
    </row>
    <row r="2185" spans="1:50" x14ac:dyDescent="0.25">
      <c r="A2185" s="102">
        <v>830000</v>
      </c>
      <c r="B2185" s="102">
        <v>2400000</v>
      </c>
      <c r="C2185" s="102">
        <v>2400000</v>
      </c>
      <c r="D2185" s="90" t="s">
        <v>374</v>
      </c>
      <c r="E2185" s="90" t="s">
        <v>68</v>
      </c>
      <c r="F2185" s="90" t="s">
        <v>375</v>
      </c>
      <c r="G2185" s="90" t="s">
        <v>376</v>
      </c>
      <c r="H2185" s="90">
        <v>0.59</v>
      </c>
      <c r="I2185" s="90">
        <v>0.64</v>
      </c>
      <c r="J2185" s="90" t="s">
        <v>244</v>
      </c>
      <c r="K2185" s="90">
        <v>8.0992049728570006E-2</v>
      </c>
      <c r="L2185" s="90">
        <v>3762.0395043854701</v>
      </c>
      <c r="M2185" s="90">
        <v>10.8194896652906</v>
      </c>
      <c r="N2185" s="90">
        <v>2.0842022104801199</v>
      </c>
      <c r="O2185" s="90">
        <v>0.87629264500904003</v>
      </c>
      <c r="P2185" s="90">
        <v>0.16880380907560999</v>
      </c>
      <c r="Q2185" s="90">
        <v>304.69529062005898</v>
      </c>
      <c r="R2185" s="90">
        <v>1300</v>
      </c>
      <c r="S2185" s="90" t="s">
        <v>387</v>
      </c>
      <c r="T2185" s="90">
        <v>1300</v>
      </c>
      <c r="U2185" s="90" t="s">
        <v>378</v>
      </c>
      <c r="V2185" s="90" t="s">
        <v>244</v>
      </c>
      <c r="Z2185" s="90">
        <v>0</v>
      </c>
      <c r="AA2185" s="90">
        <v>1</v>
      </c>
      <c r="AB2185" s="90">
        <v>0.87629264500904003</v>
      </c>
      <c r="AC2185" s="90">
        <v>0.16880380907560999</v>
      </c>
      <c r="AD2185" s="90">
        <v>533.54024409844806</v>
      </c>
      <c r="AF2185" s="90">
        <v>-1</v>
      </c>
      <c r="AG2185" s="90">
        <v>-1</v>
      </c>
      <c r="AH2185" s="90">
        <v>-1</v>
      </c>
      <c r="AI2185" s="90">
        <v>-1</v>
      </c>
      <c r="AJ2185" s="90">
        <v>0</v>
      </c>
      <c r="AM2185" s="90" t="s">
        <v>379</v>
      </c>
      <c r="AN2185" s="90">
        <v>-1</v>
      </c>
      <c r="AQ2185" s="90">
        <v>358</v>
      </c>
      <c r="AR2185" s="90" t="s">
        <v>422</v>
      </c>
      <c r="AS2185" s="90" t="s">
        <v>250</v>
      </c>
      <c r="AT2185" s="90" t="s">
        <v>244</v>
      </c>
      <c r="AU2185" s="90">
        <v>86.412649999999999</v>
      </c>
      <c r="AV2185" s="90">
        <v>113.139974430075</v>
      </c>
      <c r="AW2185" s="90">
        <v>327.76319660743201</v>
      </c>
      <c r="AX2185" s="90">
        <v>0.43271714849999998</v>
      </c>
    </row>
    <row r="2186" spans="1:50" x14ac:dyDescent="0.25">
      <c r="A2186" s="102">
        <v>830000</v>
      </c>
      <c r="B2186" s="102">
        <v>2400000</v>
      </c>
      <c r="C2186" s="102">
        <v>2400000</v>
      </c>
      <c r="D2186" s="90" t="s">
        <v>374</v>
      </c>
      <c r="E2186" s="90" t="s">
        <v>68</v>
      </c>
      <c r="F2186" s="90" t="s">
        <v>375</v>
      </c>
      <c r="G2186" s="90" t="s">
        <v>376</v>
      </c>
      <c r="H2186" s="90">
        <v>0.59</v>
      </c>
      <c r="I2186" s="90">
        <v>0.64</v>
      </c>
      <c r="J2186" s="90" t="s">
        <v>244</v>
      </c>
      <c r="K2186" s="90">
        <v>9.4845399144830006E-2</v>
      </c>
      <c r="L2186" s="90">
        <v>3762.0395043854701</v>
      </c>
      <c r="M2186" s="90">
        <v>10.8194896652906</v>
      </c>
      <c r="N2186" s="90">
        <v>2.0842022104801199</v>
      </c>
      <c r="O2186" s="90">
        <v>1.0261788158479499</v>
      </c>
      <c r="P2186" s="90">
        <v>0.19767699055154</v>
      </c>
      <c r="Q2186" s="90">
        <v>356.81213839209198</v>
      </c>
      <c r="R2186" s="90">
        <v>1300</v>
      </c>
      <c r="S2186" s="90" t="s">
        <v>387</v>
      </c>
      <c r="T2186" s="90">
        <v>1300</v>
      </c>
      <c r="U2186" s="90" t="s">
        <v>378</v>
      </c>
      <c r="V2186" s="90" t="s">
        <v>244</v>
      </c>
      <c r="Z2186" s="90">
        <v>0</v>
      </c>
      <c r="AA2186" s="90">
        <v>1</v>
      </c>
      <c r="AB2186" s="90">
        <v>1.0261788158479499</v>
      </c>
      <c r="AC2186" s="90">
        <v>0.19767699055154</v>
      </c>
      <c r="AD2186" s="90">
        <v>356.812138392093</v>
      </c>
      <c r="AF2186" s="90">
        <v>-1</v>
      </c>
      <c r="AG2186" s="90">
        <v>-1</v>
      </c>
      <c r="AH2186" s="90">
        <v>-1</v>
      </c>
      <c r="AI2186" s="90">
        <v>-1</v>
      </c>
      <c r="AJ2186" s="90">
        <v>0</v>
      </c>
      <c r="AM2186" s="90" t="s">
        <v>379</v>
      </c>
      <c r="AN2186" s="90">
        <v>-1</v>
      </c>
      <c r="AQ2186" s="90">
        <v>358</v>
      </c>
      <c r="AR2186" s="90" t="s">
        <v>422</v>
      </c>
      <c r="AS2186" s="90" t="s">
        <v>250</v>
      </c>
      <c r="AT2186" s="90" t="s">
        <v>244</v>
      </c>
      <c r="AU2186" s="90">
        <v>86.412649999999999</v>
      </c>
      <c r="AV2186" s="90">
        <v>97.699532988237195</v>
      </c>
      <c r="AW2186" s="90">
        <v>383.82571266438401</v>
      </c>
      <c r="AX2186" s="90">
        <v>0.2893853515</v>
      </c>
    </row>
    <row r="2187" spans="1:50" x14ac:dyDescent="0.25">
      <c r="A2187" s="102">
        <v>830000</v>
      </c>
      <c r="B2187" s="102">
        <v>2400000</v>
      </c>
      <c r="C2187" s="102">
        <v>2400000</v>
      </c>
      <c r="D2187" s="90" t="s">
        <v>374</v>
      </c>
      <c r="E2187" s="90" t="s">
        <v>68</v>
      </c>
      <c r="F2187" s="90" t="s">
        <v>375</v>
      </c>
      <c r="G2187" s="90" t="s">
        <v>376</v>
      </c>
      <c r="H2187" s="90">
        <v>0.59</v>
      </c>
      <c r="I2187" s="90">
        <v>0.64</v>
      </c>
      <c r="J2187" s="90" t="s">
        <v>244</v>
      </c>
      <c r="K2187" s="90">
        <v>6.049748114635E-2</v>
      </c>
      <c r="L2187" s="90">
        <v>3762.0395043854701</v>
      </c>
      <c r="M2187" s="90">
        <v>10.8194896652906</v>
      </c>
      <c r="N2187" s="90">
        <v>2.0842022104801199</v>
      </c>
      <c r="O2187" s="90">
        <v>0.65455187203910004</v>
      </c>
      <c r="P2187" s="90">
        <v>0.12608898393371001</v>
      </c>
      <c r="Q2187" s="90">
        <v>227.59391398840299</v>
      </c>
      <c r="R2187" s="90">
        <v>1330</v>
      </c>
      <c r="S2187" s="90" t="s">
        <v>397</v>
      </c>
      <c r="T2187" s="90">
        <v>1330</v>
      </c>
      <c r="U2187" s="90" t="s">
        <v>378</v>
      </c>
      <c r="V2187" s="90" t="s">
        <v>244</v>
      </c>
      <c r="Z2187" s="90">
        <v>0</v>
      </c>
      <c r="AA2187" s="90">
        <v>1</v>
      </c>
      <c r="AB2187" s="90">
        <v>0.65455187203910004</v>
      </c>
      <c r="AC2187" s="90">
        <v>0.12608898393371001</v>
      </c>
      <c r="AD2187" s="90">
        <v>227.59391398840401</v>
      </c>
      <c r="AF2187" s="90">
        <v>-1</v>
      </c>
      <c r="AG2187" s="90">
        <v>-1</v>
      </c>
      <c r="AH2187" s="90">
        <v>-1</v>
      </c>
      <c r="AI2187" s="90">
        <v>-1</v>
      </c>
      <c r="AJ2187" s="90">
        <v>0</v>
      </c>
      <c r="AM2187" s="90" t="s">
        <v>379</v>
      </c>
      <c r="AN2187" s="90">
        <v>-1</v>
      </c>
      <c r="AQ2187" s="90">
        <v>358</v>
      </c>
      <c r="AR2187" s="90" t="s">
        <v>422</v>
      </c>
      <c r="AS2187" s="90" t="s">
        <v>250</v>
      </c>
      <c r="AT2187" s="90" t="s">
        <v>244</v>
      </c>
      <c r="AU2187" s="90">
        <v>86.412649999999999</v>
      </c>
      <c r="AV2187" s="90">
        <v>70.655904579841902</v>
      </c>
      <c r="AW2187" s="90">
        <v>244.82462011615101</v>
      </c>
      <c r="AX2187" s="90">
        <v>0.18458549390000001</v>
      </c>
    </row>
    <row r="2188" spans="1:50" x14ac:dyDescent="0.25">
      <c r="A2188" s="102">
        <v>830000</v>
      </c>
      <c r="B2188" s="102">
        <v>2400000</v>
      </c>
      <c r="C2188" s="102">
        <v>2400000</v>
      </c>
      <c r="D2188" s="90" t="s">
        <v>374</v>
      </c>
      <c r="E2188" s="90" t="s">
        <v>68</v>
      </c>
      <c r="F2188" s="90" t="s">
        <v>375</v>
      </c>
      <c r="G2188" s="90" t="s">
        <v>376</v>
      </c>
      <c r="H2188" s="90">
        <v>0.59</v>
      </c>
      <c r="I2188" s="90">
        <v>0.64</v>
      </c>
      <c r="J2188" s="90" t="s">
        <v>244</v>
      </c>
      <c r="K2188" s="90">
        <v>2.9864315028230001E-2</v>
      </c>
      <c r="L2188" s="90">
        <v>3762.0395043854701</v>
      </c>
      <c r="M2188" s="90">
        <v>10.8194896652906</v>
      </c>
      <c r="N2188" s="90">
        <v>2.0842022104801199</v>
      </c>
      <c r="O2188" s="90">
        <v>0.32311664780900001</v>
      </c>
      <c r="P2188" s="90">
        <v>6.224327139632E-2</v>
      </c>
      <c r="Q2188" s="90">
        <v>112.350732907644</v>
      </c>
      <c r="R2188" s="90">
        <v>1330</v>
      </c>
      <c r="S2188" s="90" t="s">
        <v>397</v>
      </c>
      <c r="T2188" s="90">
        <v>1330</v>
      </c>
      <c r="U2188" s="90" t="s">
        <v>378</v>
      </c>
      <c r="V2188" s="90" t="s">
        <v>244</v>
      </c>
      <c r="Z2188" s="90">
        <v>0</v>
      </c>
      <c r="AA2188" s="90">
        <v>1</v>
      </c>
      <c r="AB2188" s="90">
        <v>0.32311664780900001</v>
      </c>
      <c r="AC2188" s="90">
        <v>6.224327139632E-2</v>
      </c>
      <c r="AD2188" s="90">
        <v>112.350732907645</v>
      </c>
      <c r="AF2188" s="90">
        <v>-1</v>
      </c>
      <c r="AG2188" s="90">
        <v>-1</v>
      </c>
      <c r="AH2188" s="90">
        <v>-1</v>
      </c>
      <c r="AI2188" s="90">
        <v>-1</v>
      </c>
      <c r="AJ2188" s="90">
        <v>0</v>
      </c>
      <c r="AM2188" s="90" t="s">
        <v>379</v>
      </c>
      <c r="AN2188" s="90">
        <v>-1</v>
      </c>
      <c r="AQ2188" s="90">
        <v>358</v>
      </c>
      <c r="AR2188" s="90" t="s">
        <v>422</v>
      </c>
      <c r="AS2188" s="90" t="s">
        <v>250</v>
      </c>
      <c r="AT2188" s="90" t="s">
        <v>244</v>
      </c>
      <c r="AU2188" s="90">
        <v>86.412649999999999</v>
      </c>
      <c r="AV2188" s="90">
        <v>44.205147976046597</v>
      </c>
      <c r="AW2188" s="90">
        <v>120.856595072603</v>
      </c>
      <c r="AX2188" s="90">
        <v>9.1119815800000004E-2</v>
      </c>
    </row>
    <row r="2189" spans="1:50" x14ac:dyDescent="0.25">
      <c r="A2189" s="102">
        <v>830000</v>
      </c>
      <c r="B2189" s="102">
        <v>2400000</v>
      </c>
      <c r="C2189" s="102">
        <v>2400000</v>
      </c>
      <c r="D2189" s="90" t="s">
        <v>374</v>
      </c>
      <c r="E2189" s="90" t="s">
        <v>68</v>
      </c>
      <c r="F2189" s="90" t="s">
        <v>375</v>
      </c>
      <c r="G2189" s="90" t="s">
        <v>376</v>
      </c>
      <c r="H2189" s="90">
        <v>0.59</v>
      </c>
      <c r="I2189" s="90">
        <v>0.64</v>
      </c>
      <c r="J2189" s="90" t="s">
        <v>244</v>
      </c>
      <c r="K2189" s="90">
        <v>0.29073418458330003</v>
      </c>
      <c r="L2189" s="90">
        <v>3762.0395043854701</v>
      </c>
      <c r="M2189" s="90">
        <v>10.8194896652906</v>
      </c>
      <c r="N2189" s="90">
        <v>2.0842022104801199</v>
      </c>
      <c r="O2189" s="90">
        <v>3.14559550544582</v>
      </c>
      <c r="P2189" s="90">
        <v>0.60594883017067003</v>
      </c>
      <c r="Q2189" s="90">
        <v>1093.7534876776999</v>
      </c>
      <c r="R2189" s="90">
        <v>1300</v>
      </c>
      <c r="S2189" s="90" t="s">
        <v>387</v>
      </c>
      <c r="T2189" s="90">
        <v>1300</v>
      </c>
      <c r="U2189" s="90" t="s">
        <v>378</v>
      </c>
      <c r="V2189" s="90" t="s">
        <v>244</v>
      </c>
      <c r="Z2189" s="90">
        <v>0</v>
      </c>
      <c r="AA2189" s="90">
        <v>1</v>
      </c>
      <c r="AB2189" s="90">
        <v>3.14559550544582</v>
      </c>
      <c r="AC2189" s="90">
        <v>0.60594883017067003</v>
      </c>
      <c r="AD2189" s="90">
        <v>1093.7534876776999</v>
      </c>
      <c r="AF2189" s="90">
        <v>-1</v>
      </c>
      <c r="AG2189" s="90">
        <v>-1</v>
      </c>
      <c r="AH2189" s="90">
        <v>-1</v>
      </c>
      <c r="AI2189" s="90">
        <v>-1</v>
      </c>
      <c r="AJ2189" s="90">
        <v>0</v>
      </c>
      <c r="AM2189" s="90" t="s">
        <v>379</v>
      </c>
      <c r="AN2189" s="90">
        <v>-1</v>
      </c>
      <c r="AQ2189" s="90">
        <v>358</v>
      </c>
      <c r="AR2189" s="90" t="s">
        <v>422</v>
      </c>
      <c r="AS2189" s="90" t="s">
        <v>250</v>
      </c>
      <c r="AT2189" s="90" t="s">
        <v>244</v>
      </c>
      <c r="AU2189" s="90">
        <v>86.412649999999999</v>
      </c>
      <c r="AV2189" s="90">
        <v>138.136670395267</v>
      </c>
      <c r="AW2189" s="90">
        <v>1176.5595020921801</v>
      </c>
      <c r="AX2189" s="90">
        <v>0.88706689999999999</v>
      </c>
    </row>
    <row r="2190" spans="1:50" x14ac:dyDescent="0.25">
      <c r="A2190" s="102">
        <v>830000</v>
      </c>
      <c r="B2190" s="102">
        <v>2400000</v>
      </c>
      <c r="C2190" s="102">
        <v>2400000</v>
      </c>
      <c r="D2190" s="90" t="s">
        <v>374</v>
      </c>
      <c r="E2190" s="90" t="s">
        <v>68</v>
      </c>
      <c r="F2190" s="90" t="s">
        <v>375</v>
      </c>
      <c r="G2190" s="90" t="s">
        <v>376</v>
      </c>
      <c r="H2190" s="90">
        <v>0.59</v>
      </c>
      <c r="I2190" s="90">
        <v>0.64</v>
      </c>
      <c r="J2190" s="90" t="s">
        <v>381</v>
      </c>
      <c r="K2190" s="90">
        <v>7.8338729684999996E-4</v>
      </c>
      <c r="L2190" s="90">
        <v>3758.71801339082</v>
      </c>
      <c r="M2190" s="90">
        <v>10.783414843210499</v>
      </c>
      <c r="N2190" s="90">
        <v>2.0681531183242901</v>
      </c>
      <c r="O2190" s="90">
        <v>8.4475902048299998E-3</v>
      </c>
      <c r="P2190" s="90">
        <v>1.62016488083E-3</v>
      </c>
      <c r="Q2190" s="90">
        <v>2.9445319441316302</v>
      </c>
      <c r="R2190" s="90">
        <v>1400</v>
      </c>
      <c r="S2190" s="90" t="s">
        <v>324</v>
      </c>
      <c r="T2190" s="90">
        <v>1400</v>
      </c>
      <c r="U2190" s="90" t="s">
        <v>382</v>
      </c>
      <c r="V2190" s="90" t="s">
        <v>381</v>
      </c>
      <c r="Z2190" s="90">
        <v>0</v>
      </c>
      <c r="AA2190" s="90">
        <v>1</v>
      </c>
      <c r="AB2190" s="90">
        <v>8.4475902048299998E-3</v>
      </c>
      <c r="AC2190" s="90">
        <v>1.62016488083E-3</v>
      </c>
      <c r="AD2190" s="90">
        <v>2.9445319441333502</v>
      </c>
      <c r="AF2190" s="90">
        <v>-1</v>
      </c>
      <c r="AG2190" s="90">
        <v>-1</v>
      </c>
      <c r="AH2190" s="90">
        <v>-1</v>
      </c>
      <c r="AI2190" s="90">
        <v>-1</v>
      </c>
      <c r="AJ2190" s="90">
        <v>0</v>
      </c>
      <c r="AM2190" s="90" t="s">
        <v>379</v>
      </c>
      <c r="AN2190" s="90">
        <v>-1</v>
      </c>
      <c r="AQ2190" s="90">
        <v>358</v>
      </c>
      <c r="AR2190" s="90" t="s">
        <v>422</v>
      </c>
      <c r="AS2190" s="90" t="s">
        <v>250</v>
      </c>
      <c r="AT2190" s="90" t="s">
        <v>244</v>
      </c>
      <c r="AU2190" s="90">
        <v>86.412649999999999</v>
      </c>
      <c r="AV2190" s="90">
        <v>18.768016004810899</v>
      </c>
      <c r="AW2190" s="90">
        <v>3.1702559134858399</v>
      </c>
      <c r="AX2190" s="90">
        <v>2.3881038000000002E-3</v>
      </c>
    </row>
    <row r="2191" spans="1:50" x14ac:dyDescent="0.25">
      <c r="A2191" s="102">
        <v>830000</v>
      </c>
      <c r="B2191" s="102">
        <v>2400000</v>
      </c>
      <c r="C2191" s="102">
        <v>2400000</v>
      </c>
      <c r="D2191" s="90" t="s">
        <v>374</v>
      </c>
      <c r="E2191" s="90" t="s">
        <v>68</v>
      </c>
      <c r="F2191" s="90" t="s">
        <v>375</v>
      </c>
      <c r="G2191" s="90" t="s">
        <v>376</v>
      </c>
      <c r="H2191" s="90">
        <v>0.59</v>
      </c>
      <c r="I2191" s="90">
        <v>0.64</v>
      </c>
      <c r="J2191" s="90" t="s">
        <v>244</v>
      </c>
      <c r="K2191" s="90">
        <v>0.12066794945792</v>
      </c>
      <c r="L2191" s="90">
        <v>3758.71801339082</v>
      </c>
      <c r="M2191" s="90">
        <v>10.783414843210499</v>
      </c>
      <c r="N2191" s="90">
        <v>2.0681531183242901</v>
      </c>
      <c r="O2191" s="90">
        <v>1.3012125572844</v>
      </c>
      <c r="P2191" s="90">
        <v>0.24955979595321001</v>
      </c>
      <c r="Q2191" s="90">
        <v>453.55679526644701</v>
      </c>
      <c r="R2191" s="90">
        <v>1300</v>
      </c>
      <c r="S2191" s="90" t="s">
        <v>387</v>
      </c>
      <c r="T2191" s="90">
        <v>1300</v>
      </c>
      <c r="U2191" s="90" t="s">
        <v>378</v>
      </c>
      <c r="V2191" s="90" t="s">
        <v>244</v>
      </c>
      <c r="Z2191" s="90">
        <v>0</v>
      </c>
      <c r="AA2191" s="90">
        <v>1</v>
      </c>
      <c r="AB2191" s="90">
        <v>1.3012125572844</v>
      </c>
      <c r="AC2191" s="90">
        <v>0.24955979595321001</v>
      </c>
      <c r="AD2191" s="90">
        <v>453.55679526644701</v>
      </c>
      <c r="AF2191" s="90">
        <v>-1</v>
      </c>
      <c r="AG2191" s="90">
        <v>-1</v>
      </c>
      <c r="AH2191" s="90">
        <v>-1</v>
      </c>
      <c r="AI2191" s="90">
        <v>-1</v>
      </c>
      <c r="AJ2191" s="90">
        <v>0</v>
      </c>
      <c r="AM2191" s="90" t="s">
        <v>379</v>
      </c>
      <c r="AN2191" s="90">
        <v>-1</v>
      </c>
      <c r="AQ2191" s="90">
        <v>358</v>
      </c>
      <c r="AR2191" s="90" t="s">
        <v>422</v>
      </c>
      <c r="AS2191" s="90" t="s">
        <v>250</v>
      </c>
      <c r="AT2191" s="90" t="s">
        <v>244</v>
      </c>
      <c r="AU2191" s="90">
        <v>86.412649999999999</v>
      </c>
      <c r="AV2191" s="90">
        <v>157.83051473332199</v>
      </c>
      <c r="AW2191" s="90">
        <v>488.32586624165401</v>
      </c>
      <c r="AX2191" s="90">
        <v>0.36784817130000003</v>
      </c>
    </row>
    <row r="2192" spans="1:50" x14ac:dyDescent="0.25">
      <c r="A2192" s="102">
        <v>830000</v>
      </c>
      <c r="B2192" s="102">
        <v>2400000</v>
      </c>
      <c r="C2192" s="102">
        <v>2400000</v>
      </c>
      <c r="D2192" s="90" t="s">
        <v>374</v>
      </c>
      <c r="E2192" s="90" t="s">
        <v>68</v>
      </c>
      <c r="F2192" s="90" t="s">
        <v>375</v>
      </c>
      <c r="G2192" s="90" t="s">
        <v>376</v>
      </c>
      <c r="H2192" s="90">
        <v>0.59</v>
      </c>
      <c r="I2192" s="90">
        <v>0.64</v>
      </c>
      <c r="J2192" s="90" t="s">
        <v>381</v>
      </c>
      <c r="K2192" s="90">
        <v>0.22694347357954001</v>
      </c>
      <c r="L2192" s="90">
        <v>3758.71801339082</v>
      </c>
      <c r="M2192" s="90">
        <v>10.783414843210499</v>
      </c>
      <c r="N2192" s="90">
        <v>2.0681531183242901</v>
      </c>
      <c r="O2192" s="90">
        <v>2.4472256215674402</v>
      </c>
      <c r="P2192" s="90">
        <v>0.46935385256688</v>
      </c>
      <c r="Q2192" s="90">
        <v>853.01652216492801</v>
      </c>
      <c r="R2192" s="90">
        <v>1300</v>
      </c>
      <c r="S2192" s="90" t="s">
        <v>387</v>
      </c>
      <c r="T2192" s="90">
        <v>1300</v>
      </c>
      <c r="U2192" s="90" t="s">
        <v>382</v>
      </c>
      <c r="V2192" s="90" t="s">
        <v>381</v>
      </c>
      <c r="Z2192" s="90">
        <v>0</v>
      </c>
      <c r="AA2192" s="90">
        <v>1</v>
      </c>
      <c r="AB2192" s="90">
        <v>2.4472256215674402</v>
      </c>
      <c r="AC2192" s="90">
        <v>0.46935385256688</v>
      </c>
      <c r="AD2192" s="90">
        <v>853.01652216492801</v>
      </c>
      <c r="AF2192" s="90">
        <v>-1</v>
      </c>
      <c r="AG2192" s="90">
        <v>-1</v>
      </c>
      <c r="AH2192" s="90">
        <v>-1</v>
      </c>
      <c r="AI2192" s="90">
        <v>-1</v>
      </c>
      <c r="AJ2192" s="90">
        <v>0</v>
      </c>
      <c r="AM2192" s="90" t="s">
        <v>379</v>
      </c>
      <c r="AN2192" s="90">
        <v>-1</v>
      </c>
      <c r="AQ2192" s="90">
        <v>358</v>
      </c>
      <c r="AR2192" s="90" t="s">
        <v>422</v>
      </c>
      <c r="AS2192" s="90" t="s">
        <v>250</v>
      </c>
      <c r="AT2192" s="90" t="s">
        <v>244</v>
      </c>
      <c r="AU2192" s="90">
        <v>86.412649999999999</v>
      </c>
      <c r="AV2192" s="90">
        <v>137.08235438032099</v>
      </c>
      <c r="AW2192" s="90">
        <v>918.40765357715497</v>
      </c>
      <c r="AX2192" s="90">
        <v>0.69182199690000001</v>
      </c>
    </row>
    <row r="2193" spans="1:50" x14ac:dyDescent="0.25">
      <c r="A2193" s="102">
        <v>830000</v>
      </c>
      <c r="B2193" s="102">
        <v>2400000</v>
      </c>
      <c r="C2193" s="102">
        <v>2400000</v>
      </c>
      <c r="D2193" s="90" t="s">
        <v>374</v>
      </c>
      <c r="E2193" s="90" t="s">
        <v>68</v>
      </c>
      <c r="F2193" s="90" t="s">
        <v>375</v>
      </c>
      <c r="G2193" s="90" t="s">
        <v>376</v>
      </c>
      <c r="H2193" s="90">
        <v>0.59</v>
      </c>
      <c r="I2193" s="90">
        <v>0.64</v>
      </c>
      <c r="J2193" s="90" t="s">
        <v>244</v>
      </c>
      <c r="K2193" s="90">
        <v>2.1473894000650001E-2</v>
      </c>
      <c r="L2193" s="90">
        <v>3758.71801339082</v>
      </c>
      <c r="M2193" s="90">
        <v>10.783414843210499</v>
      </c>
      <c r="N2193" s="90">
        <v>2.0681531183242901</v>
      </c>
      <c r="O2193" s="90">
        <v>0.23156190730817999</v>
      </c>
      <c r="P2193" s="90">
        <v>4.441130084001E-2</v>
      </c>
      <c r="Q2193" s="90">
        <v>80.714312197903297</v>
      </c>
      <c r="R2193" s="90">
        <v>1300</v>
      </c>
      <c r="S2193" s="90" t="s">
        <v>387</v>
      </c>
      <c r="T2193" s="90">
        <v>1300</v>
      </c>
      <c r="U2193" s="90" t="s">
        <v>378</v>
      </c>
      <c r="V2193" s="90" t="s">
        <v>244</v>
      </c>
      <c r="Z2193" s="90">
        <v>0</v>
      </c>
      <c r="AA2193" s="90">
        <v>1</v>
      </c>
      <c r="AB2193" s="90">
        <v>0.23156190730817999</v>
      </c>
      <c r="AC2193" s="90">
        <v>4.441130084001E-2</v>
      </c>
      <c r="AD2193" s="90">
        <v>80.714312197904405</v>
      </c>
      <c r="AF2193" s="90">
        <v>-1</v>
      </c>
      <c r="AG2193" s="90">
        <v>-1</v>
      </c>
      <c r="AH2193" s="90">
        <v>-1</v>
      </c>
      <c r="AI2193" s="90">
        <v>-1</v>
      </c>
      <c r="AJ2193" s="90">
        <v>0</v>
      </c>
      <c r="AM2193" s="90" t="s">
        <v>379</v>
      </c>
      <c r="AN2193" s="90">
        <v>-1</v>
      </c>
      <c r="AQ2193" s="90">
        <v>358</v>
      </c>
      <c r="AR2193" s="90" t="s">
        <v>422</v>
      </c>
      <c r="AS2193" s="90" t="s">
        <v>250</v>
      </c>
      <c r="AT2193" s="90" t="s">
        <v>244</v>
      </c>
      <c r="AU2193" s="90">
        <v>86.412649999999999</v>
      </c>
      <c r="AV2193" s="90">
        <v>69.710902847067601</v>
      </c>
      <c r="AW2193" s="90">
        <v>86.901765850484793</v>
      </c>
      <c r="AX2193" s="90">
        <v>6.5461729299999993E-2</v>
      </c>
    </row>
    <row r="2194" spans="1:50" x14ac:dyDescent="0.25">
      <c r="A2194" s="102">
        <v>830000</v>
      </c>
      <c r="B2194" s="102">
        <v>2400000</v>
      </c>
      <c r="C2194" s="102">
        <v>2400000</v>
      </c>
      <c r="D2194" s="90" t="s">
        <v>374</v>
      </c>
      <c r="E2194" s="90" t="s">
        <v>68</v>
      </c>
      <c r="F2194" s="90" t="s">
        <v>375</v>
      </c>
      <c r="G2194" s="90" t="s">
        <v>376</v>
      </c>
      <c r="H2194" s="90">
        <v>0.59</v>
      </c>
      <c r="I2194" s="90">
        <v>0.64</v>
      </c>
      <c r="J2194" s="90" t="s">
        <v>381</v>
      </c>
      <c r="K2194" s="90">
        <v>1.4582983314000001E-4</v>
      </c>
      <c r="L2194" s="90">
        <v>3758.71801339082</v>
      </c>
      <c r="M2194" s="90">
        <v>10.783414843210499</v>
      </c>
      <c r="N2194" s="90">
        <v>2.0681531183242901</v>
      </c>
      <c r="O2194" s="90">
        <v>1.57254358732E-3</v>
      </c>
      <c r="P2194" s="90">
        <v>3.0159842416000002E-4</v>
      </c>
      <c r="Q2194" s="90">
        <v>0.54813322073563997</v>
      </c>
      <c r="R2194" s="90">
        <v>1300</v>
      </c>
      <c r="S2194" s="90" t="s">
        <v>387</v>
      </c>
      <c r="T2194" s="90">
        <v>1300</v>
      </c>
      <c r="U2194" s="90" t="s">
        <v>382</v>
      </c>
      <c r="V2194" s="90" t="s">
        <v>381</v>
      </c>
      <c r="Z2194" s="90">
        <v>0</v>
      </c>
      <c r="AA2194" s="90">
        <v>1</v>
      </c>
      <c r="AB2194" s="90">
        <v>1.57254358732E-3</v>
      </c>
      <c r="AC2194" s="90">
        <v>3.0159842416000002E-4</v>
      </c>
      <c r="AD2194" s="90">
        <v>0.54813322073655002</v>
      </c>
      <c r="AF2194" s="90">
        <v>-1</v>
      </c>
      <c r="AG2194" s="90">
        <v>-1</v>
      </c>
      <c r="AH2194" s="90">
        <v>-1</v>
      </c>
      <c r="AI2194" s="90">
        <v>-1</v>
      </c>
      <c r="AJ2194" s="90">
        <v>0</v>
      </c>
      <c r="AM2194" s="90" t="s">
        <v>379</v>
      </c>
      <c r="AN2194" s="90">
        <v>-1</v>
      </c>
      <c r="AQ2194" s="90">
        <v>358</v>
      </c>
      <c r="AR2194" s="90" t="s">
        <v>422</v>
      </c>
      <c r="AS2194" s="90" t="s">
        <v>250</v>
      </c>
      <c r="AT2194" s="90" t="s">
        <v>244</v>
      </c>
      <c r="AU2194" s="90">
        <v>86.412649999999999</v>
      </c>
      <c r="AV2194" s="90">
        <v>7.7720728557073198</v>
      </c>
      <c r="AW2194" s="90">
        <v>0.59015239684538001</v>
      </c>
      <c r="AX2194" s="90">
        <v>4.4455249999999998E-4</v>
      </c>
    </row>
    <row r="2195" spans="1:50" x14ac:dyDescent="0.25">
      <c r="A2195" s="102">
        <v>830000</v>
      </c>
      <c r="B2195" s="102">
        <v>2400000</v>
      </c>
      <c r="C2195" s="102">
        <v>2400000</v>
      </c>
      <c r="D2195" s="90" t="s">
        <v>374</v>
      </c>
      <c r="E2195" s="90" t="s">
        <v>68</v>
      </c>
      <c r="F2195" s="90" t="s">
        <v>375</v>
      </c>
      <c r="G2195" s="90" t="s">
        <v>376</v>
      </c>
      <c r="H2195" s="90">
        <v>0.59</v>
      </c>
      <c r="I2195" s="90">
        <v>0.64</v>
      </c>
      <c r="J2195" s="90" t="s">
        <v>244</v>
      </c>
      <c r="K2195" s="90">
        <v>1.2115922693280001E-2</v>
      </c>
      <c r="L2195" s="90">
        <v>3758.71801339082</v>
      </c>
      <c r="M2195" s="90">
        <v>10.783414843210499</v>
      </c>
      <c r="N2195" s="90">
        <v>2.0681531183242901</v>
      </c>
      <c r="O2195" s="90">
        <v>0.13065102060997999</v>
      </c>
      <c r="P2195" s="90">
        <v>2.505758329949E-2</v>
      </c>
      <c r="Q2195" s="90">
        <v>45.540336876108498</v>
      </c>
      <c r="R2195" s="90">
        <v>1210</v>
      </c>
      <c r="S2195" s="90" t="s">
        <v>385</v>
      </c>
      <c r="T2195" s="90">
        <v>1210</v>
      </c>
      <c r="U2195" s="90" t="s">
        <v>378</v>
      </c>
      <c r="V2195" s="90" t="s">
        <v>244</v>
      </c>
      <c r="Z2195" s="90">
        <v>0</v>
      </c>
      <c r="AA2195" s="90">
        <v>1</v>
      </c>
      <c r="AB2195" s="90">
        <v>0.13065102060997999</v>
      </c>
      <c r="AC2195" s="90">
        <v>2.505758329949E-2</v>
      </c>
      <c r="AD2195" s="90">
        <v>45.540336876109201</v>
      </c>
      <c r="AF2195" s="90">
        <v>-1</v>
      </c>
      <c r="AG2195" s="90">
        <v>-1</v>
      </c>
      <c r="AH2195" s="90">
        <v>-1</v>
      </c>
      <c r="AI2195" s="90">
        <v>-1</v>
      </c>
      <c r="AJ2195" s="90">
        <v>0</v>
      </c>
      <c r="AM2195" s="90" t="s">
        <v>379</v>
      </c>
      <c r="AN2195" s="90">
        <v>-1</v>
      </c>
      <c r="AQ2195" s="90">
        <v>358</v>
      </c>
      <c r="AR2195" s="90" t="s">
        <v>422</v>
      </c>
      <c r="AS2195" s="90" t="s">
        <v>250</v>
      </c>
      <c r="AT2195" s="90" t="s">
        <v>244</v>
      </c>
      <c r="AU2195" s="90">
        <v>86.412649999999999</v>
      </c>
      <c r="AV2195" s="90">
        <v>64.770364641951801</v>
      </c>
      <c r="AW2195" s="90">
        <v>49.0313995646313</v>
      </c>
      <c r="AX2195" s="90">
        <v>3.6934579799999999E-2</v>
      </c>
    </row>
    <row r="2196" spans="1:50" x14ac:dyDescent="0.25">
      <c r="A2196" s="102">
        <v>830000</v>
      </c>
      <c r="B2196" s="102">
        <v>2400000</v>
      </c>
      <c r="C2196" s="102">
        <v>2400000</v>
      </c>
      <c r="D2196" s="90" t="s">
        <v>374</v>
      </c>
      <c r="E2196" s="90" t="s">
        <v>68</v>
      </c>
      <c r="F2196" s="90" t="s">
        <v>375</v>
      </c>
      <c r="G2196" s="90" t="s">
        <v>376</v>
      </c>
      <c r="H2196" s="90">
        <v>0.59</v>
      </c>
      <c r="I2196" s="90">
        <v>0.64</v>
      </c>
      <c r="J2196" s="90" t="s">
        <v>244</v>
      </c>
      <c r="K2196" s="90">
        <v>0.23563299680649999</v>
      </c>
      <c r="L2196" s="90">
        <v>3758.71801339082</v>
      </c>
      <c r="M2196" s="90">
        <v>10.783414843210499</v>
      </c>
      <c r="N2196" s="90">
        <v>2.0681531183242901</v>
      </c>
      <c r="O2196" s="90">
        <v>2.5409283553133899</v>
      </c>
      <c r="P2196" s="90">
        <v>0.48732511712546001</v>
      </c>
      <c r="Q2196" s="90">
        <v>885.67798964585404</v>
      </c>
      <c r="R2196" s="90">
        <v>1330</v>
      </c>
      <c r="S2196" s="90" t="s">
        <v>397</v>
      </c>
      <c r="T2196" s="90">
        <v>1330</v>
      </c>
      <c r="U2196" s="90" t="s">
        <v>378</v>
      </c>
      <c r="V2196" s="90" t="s">
        <v>244</v>
      </c>
      <c r="Z2196" s="90">
        <v>0</v>
      </c>
      <c r="AA2196" s="90">
        <v>1</v>
      </c>
      <c r="AB2196" s="90">
        <v>2.5409283553133899</v>
      </c>
      <c r="AC2196" s="90">
        <v>0.48732511712546001</v>
      </c>
      <c r="AD2196" s="90">
        <v>885.67798964585404</v>
      </c>
      <c r="AF2196" s="90">
        <v>-1</v>
      </c>
      <c r="AG2196" s="90">
        <v>-1</v>
      </c>
      <c r="AH2196" s="90">
        <v>-1</v>
      </c>
      <c r="AI2196" s="90">
        <v>-1</v>
      </c>
      <c r="AJ2196" s="90">
        <v>0</v>
      </c>
      <c r="AM2196" s="90" t="s">
        <v>379</v>
      </c>
      <c r="AN2196" s="90">
        <v>-1</v>
      </c>
      <c r="AQ2196" s="90">
        <v>358</v>
      </c>
      <c r="AR2196" s="90" t="s">
        <v>422</v>
      </c>
      <c r="AS2196" s="90" t="s">
        <v>250</v>
      </c>
      <c r="AT2196" s="90" t="s">
        <v>244</v>
      </c>
      <c r="AU2196" s="90">
        <v>86.412649999999999</v>
      </c>
      <c r="AV2196" s="90">
        <v>123.536247457427</v>
      </c>
      <c r="AW2196" s="90">
        <v>953.57290645574301</v>
      </c>
      <c r="AX2196" s="90">
        <v>0.71831142709999996</v>
      </c>
    </row>
    <row r="2197" spans="1:50" x14ac:dyDescent="0.25">
      <c r="A2197" s="102">
        <v>830000</v>
      </c>
      <c r="B2197" s="102">
        <v>2400000</v>
      </c>
      <c r="C2197" s="102">
        <v>2400000</v>
      </c>
      <c r="D2197" s="90" t="s">
        <v>374</v>
      </c>
      <c r="E2197" s="90" t="s">
        <v>68</v>
      </c>
      <c r="F2197" s="90" t="s">
        <v>375</v>
      </c>
      <c r="G2197" s="90" t="s">
        <v>376</v>
      </c>
      <c r="H2197" s="90">
        <v>0.59</v>
      </c>
      <c r="I2197" s="90">
        <v>0.64</v>
      </c>
      <c r="J2197" s="90" t="s">
        <v>244</v>
      </c>
      <c r="K2197" s="90">
        <v>4.4689083029700004E-3</v>
      </c>
      <c r="L2197" s="90">
        <v>3741.4473852154501</v>
      </c>
      <c r="M2197" s="90">
        <v>10.259968708689399</v>
      </c>
      <c r="N2197" s="90">
        <v>1.82835640792127</v>
      </c>
      <c r="O2197" s="90">
        <v>4.585085935055E-2</v>
      </c>
      <c r="P2197" s="90">
        <v>8.1707571321600007E-3</v>
      </c>
      <c r="Q2197" s="90">
        <v>16.720185284944598</v>
      </c>
      <c r="R2197" s="90">
        <v>1300</v>
      </c>
      <c r="S2197" s="90" t="s">
        <v>387</v>
      </c>
      <c r="T2197" s="90">
        <v>1300</v>
      </c>
      <c r="U2197" s="90" t="s">
        <v>378</v>
      </c>
      <c r="V2197" s="90" t="s">
        <v>244</v>
      </c>
      <c r="Z2197" s="90">
        <v>0</v>
      </c>
      <c r="AA2197" s="90">
        <v>1</v>
      </c>
      <c r="AB2197" s="90">
        <v>4.585085935055E-2</v>
      </c>
      <c r="AC2197" s="90">
        <v>8.1707571321600007E-3</v>
      </c>
      <c r="AD2197" s="90">
        <v>16.7201852849463</v>
      </c>
      <c r="AF2197" s="90">
        <v>-1</v>
      </c>
      <c r="AG2197" s="90">
        <v>-1</v>
      </c>
      <c r="AH2197" s="90">
        <v>-1</v>
      </c>
      <c r="AI2197" s="90">
        <v>-1</v>
      </c>
      <c r="AJ2197" s="90">
        <v>0</v>
      </c>
      <c r="AM2197" s="90" t="s">
        <v>379</v>
      </c>
      <c r="AN2197" s="90">
        <v>-1</v>
      </c>
      <c r="AQ2197" s="90">
        <v>358</v>
      </c>
      <c r="AR2197" s="90" t="s">
        <v>422</v>
      </c>
      <c r="AS2197" s="90" t="s">
        <v>250</v>
      </c>
      <c r="AT2197" s="90" t="s">
        <v>244</v>
      </c>
      <c r="AU2197" s="90">
        <v>86.412649999999999</v>
      </c>
      <c r="AV2197" s="90">
        <v>78.145849957658498</v>
      </c>
      <c r="AW2197" s="90">
        <v>18.085030267025001</v>
      </c>
      <c r="AX2197" s="90">
        <v>1.3560572E-2</v>
      </c>
    </row>
    <row r="2198" spans="1:50" x14ac:dyDescent="0.25">
      <c r="A2198" s="102">
        <v>830000</v>
      </c>
      <c r="B2198" s="102">
        <v>2400000</v>
      </c>
      <c r="C2198" s="102">
        <v>2400000</v>
      </c>
      <c r="D2198" s="90" t="s">
        <v>374</v>
      </c>
      <c r="E2198" s="90" t="s">
        <v>68</v>
      </c>
      <c r="F2198" s="90" t="s">
        <v>375</v>
      </c>
      <c r="G2198" s="90" t="s">
        <v>376</v>
      </c>
      <c r="H2198" s="90">
        <v>0.59</v>
      </c>
      <c r="I2198" s="90">
        <v>0.64</v>
      </c>
      <c r="J2198" s="90" t="s">
        <v>244</v>
      </c>
      <c r="K2198" s="90">
        <v>4.6976002657200004E-3</v>
      </c>
      <c r="L2198" s="90">
        <v>3741.4473852154501</v>
      </c>
      <c r="M2198" s="90">
        <v>10.259968708689399</v>
      </c>
      <c r="N2198" s="90">
        <v>1.82835640792127</v>
      </c>
      <c r="O2198" s="90">
        <v>4.8197231732239998E-2</v>
      </c>
      <c r="P2198" s="90">
        <v>8.5888875476800002E-3</v>
      </c>
      <c r="Q2198" s="90">
        <v>17.5758242309767</v>
      </c>
      <c r="R2198" s="90">
        <v>1300</v>
      </c>
      <c r="S2198" s="90" t="s">
        <v>387</v>
      </c>
      <c r="T2198" s="90">
        <v>1300</v>
      </c>
      <c r="U2198" s="90" t="s">
        <v>378</v>
      </c>
      <c r="V2198" s="90" t="s">
        <v>244</v>
      </c>
      <c r="Z2198" s="90">
        <v>0</v>
      </c>
      <c r="AA2198" s="90">
        <v>1</v>
      </c>
      <c r="AB2198" s="90">
        <v>4.8197231732239998E-2</v>
      </c>
      <c r="AC2198" s="90">
        <v>8.5888875476800002E-3</v>
      </c>
      <c r="AD2198" s="90">
        <v>17.575824230977702</v>
      </c>
      <c r="AF2198" s="90">
        <v>-1</v>
      </c>
      <c r="AG2198" s="90">
        <v>-1</v>
      </c>
      <c r="AH2198" s="90">
        <v>-1</v>
      </c>
      <c r="AI2198" s="90">
        <v>-1</v>
      </c>
      <c r="AJ2198" s="90">
        <v>0</v>
      </c>
      <c r="AM2198" s="90" t="s">
        <v>379</v>
      </c>
      <c r="AN2198" s="90">
        <v>-1</v>
      </c>
      <c r="AQ2198" s="90">
        <v>358</v>
      </c>
      <c r="AR2198" s="90" t="s">
        <v>422</v>
      </c>
      <c r="AS2198" s="90" t="s">
        <v>250</v>
      </c>
      <c r="AT2198" s="90" t="s">
        <v>244</v>
      </c>
      <c r="AU2198" s="90">
        <v>86.412649999999999</v>
      </c>
      <c r="AV2198" s="90">
        <v>190.95184197704199</v>
      </c>
      <c r="AW2198" s="90">
        <v>19.010513805210099</v>
      </c>
      <c r="AX2198" s="90">
        <v>1.42545209E-2</v>
      </c>
    </row>
    <row r="2199" spans="1:50" x14ac:dyDescent="0.25">
      <c r="A2199" s="102">
        <v>830000</v>
      </c>
      <c r="B2199" s="102">
        <v>2400000</v>
      </c>
      <c r="C2199" s="102">
        <v>2400000</v>
      </c>
      <c r="D2199" s="90" t="s">
        <v>374</v>
      </c>
      <c r="E2199" s="90" t="s">
        <v>68</v>
      </c>
      <c r="F2199" s="90" t="s">
        <v>375</v>
      </c>
      <c r="G2199" s="90" t="s">
        <v>376</v>
      </c>
      <c r="H2199" s="90">
        <v>0.59</v>
      </c>
      <c r="I2199" s="90">
        <v>0.64</v>
      </c>
      <c r="J2199" s="90" t="s">
        <v>381</v>
      </c>
      <c r="K2199" s="90">
        <v>0.23676480013137</v>
      </c>
      <c r="L2199" s="90">
        <v>3741.4473852154501</v>
      </c>
      <c r="M2199" s="90">
        <v>10.259968708689399</v>
      </c>
      <c r="N2199" s="90">
        <v>1.82835640792127</v>
      </c>
      <c r="O2199" s="90">
        <v>2.4291994406670101</v>
      </c>
      <c r="P2199" s="90">
        <v>0.43289043949039002</v>
      </c>
      <c r="Q2199" s="90">
        <v>885.84304236258799</v>
      </c>
      <c r="R2199" s="90">
        <v>1300</v>
      </c>
      <c r="S2199" s="90" t="s">
        <v>387</v>
      </c>
      <c r="T2199" s="90">
        <v>1300</v>
      </c>
      <c r="U2199" s="90" t="s">
        <v>382</v>
      </c>
      <c r="V2199" s="90" t="s">
        <v>381</v>
      </c>
      <c r="Z2199" s="90">
        <v>0</v>
      </c>
      <c r="AA2199" s="90">
        <v>1</v>
      </c>
      <c r="AB2199" s="90">
        <v>2.4291994406670101</v>
      </c>
      <c r="AC2199" s="90">
        <v>0.43289043949039002</v>
      </c>
      <c r="AD2199" s="90">
        <v>885.84304236258799</v>
      </c>
      <c r="AF2199" s="90">
        <v>-1</v>
      </c>
      <c r="AG2199" s="90">
        <v>-1</v>
      </c>
      <c r="AH2199" s="90">
        <v>-1</v>
      </c>
      <c r="AI2199" s="90">
        <v>-1</v>
      </c>
      <c r="AJ2199" s="90">
        <v>0</v>
      </c>
      <c r="AM2199" s="90" t="s">
        <v>379</v>
      </c>
      <c r="AN2199" s="90">
        <v>-1</v>
      </c>
      <c r="AQ2199" s="90">
        <v>358</v>
      </c>
      <c r="AR2199" s="90" t="s">
        <v>422</v>
      </c>
      <c r="AS2199" s="90" t="s">
        <v>250</v>
      </c>
      <c r="AT2199" s="90" t="s">
        <v>244</v>
      </c>
      <c r="AU2199" s="90">
        <v>86.412649999999999</v>
      </c>
      <c r="AV2199" s="90">
        <v>138.24722267017901</v>
      </c>
      <c r="AW2199" s="90">
        <v>958.15315200990506</v>
      </c>
      <c r="AX2199" s="90">
        <v>0.7184452898</v>
      </c>
    </row>
    <row r="2200" spans="1:50" x14ac:dyDescent="0.25">
      <c r="A2200" s="102">
        <v>830000</v>
      </c>
      <c r="B2200" s="102">
        <v>2400000</v>
      </c>
      <c r="C2200" s="102">
        <v>2400000</v>
      </c>
      <c r="D2200" s="90" t="s">
        <v>374</v>
      </c>
      <c r="E2200" s="90" t="s">
        <v>68</v>
      </c>
      <c r="F2200" s="90" t="s">
        <v>375</v>
      </c>
      <c r="G2200" s="90" t="s">
        <v>376</v>
      </c>
      <c r="H2200" s="90">
        <v>0.59</v>
      </c>
      <c r="I2200" s="90">
        <v>0.64</v>
      </c>
      <c r="J2200" s="90" t="s">
        <v>244</v>
      </c>
      <c r="K2200" s="90">
        <v>4.7775357747279999E-2</v>
      </c>
      <c r="L2200" s="90">
        <v>3741.4473852154501</v>
      </c>
      <c r="M2200" s="90">
        <v>10.259968708689399</v>
      </c>
      <c r="N2200" s="90">
        <v>1.82835640792127</v>
      </c>
      <c r="O2200" s="90">
        <v>0.49017367553361002</v>
      </c>
      <c r="P2200" s="90">
        <v>8.7350381477979994E-2</v>
      </c>
      <c r="Q2200" s="90">
        <v>178.74898732131899</v>
      </c>
      <c r="R2200" s="90">
        <v>1330</v>
      </c>
      <c r="S2200" s="90" t="s">
        <v>397</v>
      </c>
      <c r="T2200" s="90">
        <v>1330</v>
      </c>
      <c r="U2200" s="90" t="s">
        <v>378</v>
      </c>
      <c r="V2200" s="90" t="s">
        <v>244</v>
      </c>
      <c r="Z2200" s="90">
        <v>0</v>
      </c>
      <c r="AA2200" s="90">
        <v>1</v>
      </c>
      <c r="AB2200" s="90">
        <v>0.49017367553361002</v>
      </c>
      <c r="AC2200" s="90">
        <v>8.7350381477979994E-2</v>
      </c>
      <c r="AD2200" s="90">
        <v>178.74898732131899</v>
      </c>
      <c r="AF2200" s="90">
        <v>-1</v>
      </c>
      <c r="AG2200" s="90">
        <v>-1</v>
      </c>
      <c r="AH2200" s="90">
        <v>-1</v>
      </c>
      <c r="AI2200" s="90">
        <v>-1</v>
      </c>
      <c r="AJ2200" s="90">
        <v>0</v>
      </c>
      <c r="AM2200" s="90" t="s">
        <v>379</v>
      </c>
      <c r="AN2200" s="90">
        <v>-1</v>
      </c>
      <c r="AQ2200" s="90">
        <v>358</v>
      </c>
      <c r="AR2200" s="90" t="s">
        <v>422</v>
      </c>
      <c r="AS2200" s="90" t="s">
        <v>250</v>
      </c>
      <c r="AT2200" s="90" t="s">
        <v>244</v>
      </c>
      <c r="AU2200" s="90">
        <v>86.412649999999999</v>
      </c>
      <c r="AV2200" s="90">
        <v>72.119934143471895</v>
      </c>
      <c r="AW2200" s="90">
        <v>193.34001333206601</v>
      </c>
      <c r="AX2200" s="90">
        <v>0.14497079260000001</v>
      </c>
    </row>
    <row r="2201" spans="1:50" x14ac:dyDescent="0.25">
      <c r="A2201" s="102">
        <v>830000</v>
      </c>
      <c r="B2201" s="102">
        <v>2400000</v>
      </c>
      <c r="C2201" s="102">
        <v>2400000</v>
      </c>
      <c r="D2201" s="90" t="s">
        <v>374</v>
      </c>
      <c r="E2201" s="90" t="s">
        <v>68</v>
      </c>
      <c r="F2201" s="90" t="s">
        <v>375</v>
      </c>
      <c r="G2201" s="90" t="s">
        <v>376</v>
      </c>
      <c r="H2201" s="90">
        <v>0.59</v>
      </c>
      <c r="I2201" s="90">
        <v>0.64</v>
      </c>
      <c r="J2201" s="90" t="s">
        <v>244</v>
      </c>
      <c r="K2201" s="90">
        <v>4.0326419399899997E-2</v>
      </c>
      <c r="L2201" s="90">
        <v>3741.4473852154501</v>
      </c>
      <c r="M2201" s="90">
        <v>10.259968708689399</v>
      </c>
      <c r="N2201" s="90">
        <v>1.82835640792127</v>
      </c>
      <c r="O2201" s="90">
        <v>0.41374780117650001</v>
      </c>
      <c r="P2201" s="90">
        <v>7.3731067318329999E-2</v>
      </c>
      <c r="Q2201" s="90">
        <v>150.87917641887199</v>
      </c>
      <c r="R2201" s="90">
        <v>1330</v>
      </c>
      <c r="S2201" s="90" t="s">
        <v>397</v>
      </c>
      <c r="T2201" s="90">
        <v>1330</v>
      </c>
      <c r="U2201" s="90" t="s">
        <v>378</v>
      </c>
      <c r="V2201" s="90" t="s">
        <v>244</v>
      </c>
      <c r="Z2201" s="90">
        <v>0</v>
      </c>
      <c r="AA2201" s="90">
        <v>1</v>
      </c>
      <c r="AB2201" s="90">
        <v>0.41374780117650001</v>
      </c>
      <c r="AC2201" s="90">
        <v>7.3731067318329999E-2</v>
      </c>
      <c r="AD2201" s="90">
        <v>150.879176418871</v>
      </c>
      <c r="AF2201" s="90">
        <v>-1</v>
      </c>
      <c r="AG2201" s="90">
        <v>-1</v>
      </c>
      <c r="AH2201" s="90">
        <v>-1</v>
      </c>
      <c r="AI2201" s="90">
        <v>-1</v>
      </c>
      <c r="AJ2201" s="90">
        <v>0</v>
      </c>
      <c r="AM2201" s="90" t="s">
        <v>379</v>
      </c>
      <c r="AN2201" s="90">
        <v>-1</v>
      </c>
      <c r="AQ2201" s="90">
        <v>358</v>
      </c>
      <c r="AR2201" s="90" t="s">
        <v>422</v>
      </c>
      <c r="AS2201" s="90" t="s">
        <v>250</v>
      </c>
      <c r="AT2201" s="90" t="s">
        <v>244</v>
      </c>
      <c r="AU2201" s="90">
        <v>86.412649999999999</v>
      </c>
      <c r="AV2201" s="90">
        <v>73.905689401727201</v>
      </c>
      <c r="AW2201" s="90">
        <v>163.19522934089599</v>
      </c>
      <c r="AX2201" s="90">
        <v>0.1223675397</v>
      </c>
    </row>
    <row r="2202" spans="1:50" x14ac:dyDescent="0.25">
      <c r="A2202" s="102">
        <v>830000</v>
      </c>
      <c r="B2202" s="102">
        <v>2400000</v>
      </c>
      <c r="C2202" s="102">
        <v>2400000</v>
      </c>
      <c r="D2202" s="90" t="s">
        <v>374</v>
      </c>
      <c r="E2202" s="90" t="s">
        <v>68</v>
      </c>
      <c r="F2202" s="90" t="s">
        <v>375</v>
      </c>
      <c r="G2202" s="90" t="s">
        <v>376</v>
      </c>
      <c r="H2202" s="90">
        <v>0.59</v>
      </c>
      <c r="I2202" s="90">
        <v>0.64</v>
      </c>
      <c r="J2202" s="90" t="s">
        <v>244</v>
      </c>
      <c r="K2202" s="90">
        <v>6.6450878652089998E-2</v>
      </c>
      <c r="L2202" s="90">
        <v>3741.4473852154501</v>
      </c>
      <c r="M2202" s="90">
        <v>10.259968708689399</v>
      </c>
      <c r="N2202" s="90">
        <v>1.82835640792127</v>
      </c>
      <c r="O2202" s="90">
        <v>0.68178393563544004</v>
      </c>
      <c r="P2202" s="90">
        <v>0.12149588979556</v>
      </c>
      <c r="Q2202" s="90">
        <v>248.62246617816101</v>
      </c>
      <c r="R2202" s="90">
        <v>1330</v>
      </c>
      <c r="S2202" s="90" t="s">
        <v>397</v>
      </c>
      <c r="T2202" s="90">
        <v>1330</v>
      </c>
      <c r="U2202" s="90" t="s">
        <v>378</v>
      </c>
      <c r="V2202" s="90" t="s">
        <v>244</v>
      </c>
      <c r="Z2202" s="90">
        <v>0</v>
      </c>
      <c r="AA2202" s="90">
        <v>1</v>
      </c>
      <c r="AB2202" s="90">
        <v>0.68178393563544004</v>
      </c>
      <c r="AC2202" s="90">
        <v>0.12149588979556</v>
      </c>
      <c r="AD2202" s="90">
        <v>248.62246617816001</v>
      </c>
      <c r="AF2202" s="90">
        <v>-1</v>
      </c>
      <c r="AG2202" s="90">
        <v>-1</v>
      </c>
      <c r="AH2202" s="90">
        <v>-1</v>
      </c>
      <c r="AI2202" s="90">
        <v>-1</v>
      </c>
      <c r="AJ2202" s="90">
        <v>0</v>
      </c>
      <c r="AM2202" s="90" t="s">
        <v>379</v>
      </c>
      <c r="AN2202" s="90">
        <v>-1</v>
      </c>
      <c r="AQ2202" s="90">
        <v>358</v>
      </c>
      <c r="AR2202" s="90" t="s">
        <v>422</v>
      </c>
      <c r="AS2202" s="90" t="s">
        <v>250</v>
      </c>
      <c r="AT2202" s="90" t="s">
        <v>244</v>
      </c>
      <c r="AU2202" s="90">
        <v>86.412649999999999</v>
      </c>
      <c r="AV2202" s="90">
        <v>85.011664680021497</v>
      </c>
      <c r="AW2202" s="90">
        <v>268.91716504736502</v>
      </c>
      <c r="AX2202" s="90">
        <v>0.20164028079999999</v>
      </c>
    </row>
    <row r="2203" spans="1:50" x14ac:dyDescent="0.25">
      <c r="A2203" s="102">
        <v>830000</v>
      </c>
      <c r="B2203" s="102">
        <v>2400000</v>
      </c>
      <c r="C2203" s="102">
        <v>2400000</v>
      </c>
      <c r="D2203" s="90" t="s">
        <v>374</v>
      </c>
      <c r="E2203" s="90" t="s">
        <v>68</v>
      </c>
      <c r="F2203" s="90" t="s">
        <v>375</v>
      </c>
      <c r="G2203" s="90" t="s">
        <v>376</v>
      </c>
      <c r="H2203" s="90">
        <v>0.59</v>
      </c>
      <c r="I2203" s="90">
        <v>0.64</v>
      </c>
      <c r="J2203" s="90" t="s">
        <v>244</v>
      </c>
      <c r="K2203" s="90">
        <v>0.21727948928360999</v>
      </c>
      <c r="L2203" s="90">
        <v>3741.4473852154501</v>
      </c>
      <c r="M2203" s="90">
        <v>10.259968708689399</v>
      </c>
      <c r="N2203" s="90">
        <v>1.82835640792127</v>
      </c>
      <c r="O2203" s="90">
        <v>2.2292807610899299</v>
      </c>
      <c r="P2203" s="90">
        <v>0.39726434654156001</v>
      </c>
      <c r="Q2203" s="90">
        <v>812.93977704113399</v>
      </c>
      <c r="R2203" s="90">
        <v>1210</v>
      </c>
      <c r="S2203" s="90" t="s">
        <v>385</v>
      </c>
      <c r="T2203" s="90">
        <v>1210</v>
      </c>
      <c r="U2203" s="90" t="s">
        <v>378</v>
      </c>
      <c r="V2203" s="90" t="s">
        <v>244</v>
      </c>
      <c r="Z2203" s="90">
        <v>0</v>
      </c>
      <c r="AA2203" s="90">
        <v>1</v>
      </c>
      <c r="AB2203" s="90">
        <v>2.2292807610899299</v>
      </c>
      <c r="AC2203" s="90">
        <v>0.39726434654156001</v>
      </c>
      <c r="AD2203" s="90">
        <v>812.93977704113399</v>
      </c>
      <c r="AF2203" s="90">
        <v>-1</v>
      </c>
      <c r="AG2203" s="90">
        <v>-1</v>
      </c>
      <c r="AH2203" s="90">
        <v>-1</v>
      </c>
      <c r="AI2203" s="90">
        <v>-1</v>
      </c>
      <c r="AJ2203" s="90">
        <v>0</v>
      </c>
      <c r="AM2203" s="90" t="s">
        <v>379</v>
      </c>
      <c r="AN2203" s="90">
        <v>-1</v>
      </c>
      <c r="AQ2203" s="90">
        <v>358</v>
      </c>
      <c r="AR2203" s="90" t="s">
        <v>422</v>
      </c>
      <c r="AS2203" s="90" t="s">
        <v>250</v>
      </c>
      <c r="AT2203" s="90" t="s">
        <v>244</v>
      </c>
      <c r="AU2203" s="90">
        <v>86.412649999999999</v>
      </c>
      <c r="AV2203" s="90">
        <v>118.656121742907</v>
      </c>
      <c r="AW2203" s="90">
        <v>879.29889666319298</v>
      </c>
      <c r="AX2203" s="90">
        <v>0.65931855399999995</v>
      </c>
    </row>
    <row r="2204" spans="1:50" x14ac:dyDescent="0.25">
      <c r="A2204" s="102">
        <v>830000</v>
      </c>
      <c r="B2204" s="102">
        <v>2400000</v>
      </c>
      <c r="C2204" s="102">
        <v>2400000</v>
      </c>
      <c r="D2204" s="90" t="s">
        <v>374</v>
      </c>
      <c r="E2204" s="90" t="s">
        <v>68</v>
      </c>
      <c r="F2204" s="90" t="s">
        <v>375</v>
      </c>
      <c r="G2204" s="90" t="s">
        <v>376</v>
      </c>
      <c r="H2204" s="90">
        <v>0.59</v>
      </c>
      <c r="I2204" s="90">
        <v>0.64</v>
      </c>
      <c r="J2204" s="90" t="s">
        <v>244</v>
      </c>
      <c r="K2204" s="90">
        <v>1.474449023843E-2</v>
      </c>
      <c r="L2204" s="90">
        <v>3777.7388730708099</v>
      </c>
      <c r="M2204" s="90">
        <v>9.8672962632328094</v>
      </c>
      <c r="N2204" s="90">
        <v>1.7833472465904301</v>
      </c>
      <c r="O2204" s="90">
        <v>0.14548825343294999</v>
      </c>
      <c r="P2204" s="90">
        <v>2.6294546069080001E-2</v>
      </c>
      <c r="Q2204" s="90">
        <v>55.700833937337698</v>
      </c>
      <c r="R2204" s="90">
        <v>1300</v>
      </c>
      <c r="S2204" s="90" t="s">
        <v>387</v>
      </c>
      <c r="T2204" s="90">
        <v>1300</v>
      </c>
      <c r="U2204" s="90" t="s">
        <v>378</v>
      </c>
      <c r="V2204" s="90" t="s">
        <v>244</v>
      </c>
      <c r="Z2204" s="90">
        <v>0</v>
      </c>
      <c r="AA2204" s="90">
        <v>1</v>
      </c>
      <c r="AB2204" s="90">
        <v>0.14548825343294999</v>
      </c>
      <c r="AC2204" s="90">
        <v>2.6294546069080001E-2</v>
      </c>
      <c r="AD2204" s="90">
        <v>287.942342793926</v>
      </c>
      <c r="AF2204" s="90">
        <v>-1</v>
      </c>
      <c r="AG2204" s="90">
        <v>-1</v>
      </c>
      <c r="AH2204" s="90">
        <v>-1</v>
      </c>
      <c r="AI2204" s="90">
        <v>-1</v>
      </c>
      <c r="AJ2204" s="90">
        <v>0</v>
      </c>
      <c r="AM2204" s="90" t="s">
        <v>379</v>
      </c>
      <c r="AN2204" s="90">
        <v>-1</v>
      </c>
      <c r="AQ2204" s="90">
        <v>358</v>
      </c>
      <c r="AR2204" s="90" t="s">
        <v>422</v>
      </c>
      <c r="AS2204" s="90" t="s">
        <v>250</v>
      </c>
      <c r="AT2204" s="90" t="s">
        <v>244</v>
      </c>
      <c r="AU2204" s="90">
        <v>86.412649999999999</v>
      </c>
      <c r="AV2204" s="90">
        <v>107.872203230529</v>
      </c>
      <c r="AW2204" s="90">
        <v>59.668835016413297</v>
      </c>
      <c r="AX2204" s="90">
        <v>0.23352988059999999</v>
      </c>
    </row>
    <row r="2205" spans="1:50" x14ac:dyDescent="0.25">
      <c r="A2205" s="102">
        <v>830000</v>
      </c>
      <c r="B2205" s="102">
        <v>2400000</v>
      </c>
      <c r="C2205" s="102">
        <v>2400000</v>
      </c>
      <c r="D2205" s="90" t="s">
        <v>374</v>
      </c>
      <c r="E2205" s="90" t="s">
        <v>68</v>
      </c>
      <c r="F2205" s="90" t="s">
        <v>375</v>
      </c>
      <c r="G2205" s="90" t="s">
        <v>376</v>
      </c>
      <c r="H2205" s="90">
        <v>0.59</v>
      </c>
      <c r="I2205" s="90">
        <v>0.64</v>
      </c>
      <c r="J2205" s="90" t="s">
        <v>381</v>
      </c>
      <c r="K2205" s="90">
        <v>0.11741359172054</v>
      </c>
      <c r="L2205" s="90">
        <v>3777.7388730708099</v>
      </c>
      <c r="M2205" s="90">
        <v>9.8672962632328094</v>
      </c>
      <c r="N2205" s="90">
        <v>1.7833472465904301</v>
      </c>
      <c r="O2205" s="90">
        <v>1.1585546948368799</v>
      </c>
      <c r="P2205" s="90">
        <v>0.20938920550713</v>
      </c>
      <c r="Q2205" s="90">
        <v>443.55788966957198</v>
      </c>
      <c r="R2205" s="90">
        <v>1300</v>
      </c>
      <c r="S2205" s="90" t="s">
        <v>387</v>
      </c>
      <c r="T2205" s="90">
        <v>1300</v>
      </c>
      <c r="U2205" s="90" t="s">
        <v>382</v>
      </c>
      <c r="V2205" s="90" t="s">
        <v>381</v>
      </c>
      <c r="Z2205" s="90">
        <v>0</v>
      </c>
      <c r="AA2205" s="90">
        <v>1</v>
      </c>
      <c r="AB2205" s="90">
        <v>1.1585546948368799</v>
      </c>
      <c r="AC2205" s="90">
        <v>0.20938920550713</v>
      </c>
      <c r="AD2205" s="90">
        <v>715.931462472769</v>
      </c>
      <c r="AF2205" s="90">
        <v>-1</v>
      </c>
      <c r="AG2205" s="90">
        <v>-1</v>
      </c>
      <c r="AH2205" s="90">
        <v>-1</v>
      </c>
      <c r="AI2205" s="90">
        <v>-1</v>
      </c>
      <c r="AJ2205" s="90">
        <v>0</v>
      </c>
      <c r="AM2205" s="90" t="s">
        <v>379</v>
      </c>
      <c r="AN2205" s="90">
        <v>-1</v>
      </c>
      <c r="AQ2205" s="90">
        <v>358</v>
      </c>
      <c r="AR2205" s="90" t="s">
        <v>422</v>
      </c>
      <c r="AS2205" s="90" t="s">
        <v>250</v>
      </c>
      <c r="AT2205" s="90" t="s">
        <v>244</v>
      </c>
      <c r="AU2205" s="90">
        <v>86.412649999999999</v>
      </c>
      <c r="AV2205" s="90">
        <v>119.519478387289</v>
      </c>
      <c r="AW2205" s="90">
        <v>475.15594773134399</v>
      </c>
      <c r="AX2205" s="90">
        <v>0.58064189980000003</v>
      </c>
    </row>
    <row r="2206" spans="1:50" x14ac:dyDescent="0.25">
      <c r="A2206" s="102">
        <v>830000</v>
      </c>
      <c r="B2206" s="102">
        <v>2400000</v>
      </c>
      <c r="C2206" s="102">
        <v>2400000</v>
      </c>
      <c r="D2206" s="90" t="s">
        <v>374</v>
      </c>
      <c r="E2206" s="90" t="s">
        <v>68</v>
      </c>
      <c r="F2206" s="90" t="s">
        <v>375</v>
      </c>
      <c r="G2206" s="90" t="s">
        <v>376</v>
      </c>
      <c r="H2206" s="90">
        <v>0.59</v>
      </c>
      <c r="I2206" s="90">
        <v>0.64</v>
      </c>
      <c r="J2206" s="90" t="s">
        <v>244</v>
      </c>
      <c r="K2206" s="90">
        <v>3.3267406104799998E-3</v>
      </c>
      <c r="L2206" s="90">
        <v>3777.7388730708099</v>
      </c>
      <c r="M2206" s="90">
        <v>9.8672962632328094</v>
      </c>
      <c r="N2206" s="90">
        <v>1.7833472465904301</v>
      </c>
      <c r="O2206" s="90">
        <v>3.2825935194589997E-2</v>
      </c>
      <c r="P2206" s="90">
        <v>5.9327337078300003E-3</v>
      </c>
      <c r="Q2206" s="90">
        <v>12.567557324856301</v>
      </c>
      <c r="R2206" s="90">
        <v>1210</v>
      </c>
      <c r="S2206" s="90" t="s">
        <v>385</v>
      </c>
      <c r="T2206" s="90">
        <v>1210</v>
      </c>
      <c r="U2206" s="90" t="s">
        <v>378</v>
      </c>
      <c r="V2206" s="90" t="s">
        <v>244</v>
      </c>
      <c r="Z2206" s="90">
        <v>0</v>
      </c>
      <c r="AA2206" s="90">
        <v>1</v>
      </c>
      <c r="AB2206" s="90">
        <v>3.2825935194589997E-2</v>
      </c>
      <c r="AC2206" s="90">
        <v>5.9327337078300003E-3</v>
      </c>
      <c r="AD2206" s="90">
        <v>12.5675573248571</v>
      </c>
      <c r="AF2206" s="90">
        <v>-1</v>
      </c>
      <c r="AG2206" s="90">
        <v>-1</v>
      </c>
      <c r="AH2206" s="90">
        <v>-1</v>
      </c>
      <c r="AI2206" s="90">
        <v>-1</v>
      </c>
      <c r="AJ2206" s="90">
        <v>0</v>
      </c>
      <c r="AM2206" s="90" t="s">
        <v>379</v>
      </c>
      <c r="AN2206" s="90">
        <v>-1</v>
      </c>
      <c r="AQ2206" s="90">
        <v>358</v>
      </c>
      <c r="AR2206" s="90" t="s">
        <v>422</v>
      </c>
      <c r="AS2206" s="90" t="s">
        <v>250</v>
      </c>
      <c r="AT2206" s="90" t="s">
        <v>244</v>
      </c>
      <c r="AU2206" s="90">
        <v>86.412649999999999</v>
      </c>
      <c r="AV2206" s="90">
        <v>14.716295766570299</v>
      </c>
      <c r="AW2206" s="90">
        <v>13.462841605205099</v>
      </c>
      <c r="AX2206" s="90">
        <v>1.0192666100000001E-2</v>
      </c>
    </row>
    <row r="2207" spans="1:50" x14ac:dyDescent="0.25">
      <c r="A2207" s="102">
        <v>830000</v>
      </c>
      <c r="B2207" s="102">
        <v>2400000</v>
      </c>
      <c r="C2207" s="102">
        <v>2400000</v>
      </c>
      <c r="D2207" s="90" t="s">
        <v>374</v>
      </c>
      <c r="E2207" s="90" t="s">
        <v>68</v>
      </c>
      <c r="F2207" s="90" t="s">
        <v>375</v>
      </c>
      <c r="G2207" s="90" t="s">
        <v>376</v>
      </c>
      <c r="H2207" s="90">
        <v>0.59</v>
      </c>
      <c r="I2207" s="90">
        <v>0.64</v>
      </c>
      <c r="J2207" s="90" t="s">
        <v>244</v>
      </c>
      <c r="K2207" s="90">
        <v>1.684156982743E-2</v>
      </c>
      <c r="L2207" s="90">
        <v>3777.7388730708099</v>
      </c>
      <c r="M2207" s="90">
        <v>9.8672962632328094</v>
      </c>
      <c r="N2207" s="90">
        <v>1.7833472465904301</v>
      </c>
      <c r="O2207" s="90">
        <v>0.16618075902523999</v>
      </c>
      <c r="P2207" s="90">
        <v>3.0034367180020002E-2</v>
      </c>
      <c r="Q2207" s="90">
        <v>63.623053020645301</v>
      </c>
      <c r="R2207" s="90">
        <v>1330</v>
      </c>
      <c r="S2207" s="90" t="s">
        <v>397</v>
      </c>
      <c r="T2207" s="90">
        <v>1330</v>
      </c>
      <c r="U2207" s="90" t="s">
        <v>378</v>
      </c>
      <c r="V2207" s="90" t="s">
        <v>244</v>
      </c>
      <c r="Z2207" s="90">
        <v>0</v>
      </c>
      <c r="AA2207" s="90">
        <v>1</v>
      </c>
      <c r="AB2207" s="90">
        <v>0.16618075902523999</v>
      </c>
      <c r="AC2207" s="90">
        <v>3.0034367180020002E-2</v>
      </c>
      <c r="AD2207" s="90">
        <v>63.6230530206468</v>
      </c>
      <c r="AF2207" s="90">
        <v>-1</v>
      </c>
      <c r="AG2207" s="90">
        <v>-1</v>
      </c>
      <c r="AH2207" s="90">
        <v>-1</v>
      </c>
      <c r="AI2207" s="90">
        <v>-1</v>
      </c>
      <c r="AJ2207" s="90">
        <v>0</v>
      </c>
      <c r="AM2207" s="90" t="s">
        <v>379</v>
      </c>
      <c r="AN2207" s="90">
        <v>-1</v>
      </c>
      <c r="AQ2207" s="90">
        <v>358</v>
      </c>
      <c r="AR2207" s="90" t="s">
        <v>422</v>
      </c>
      <c r="AS2207" s="90" t="s">
        <v>250</v>
      </c>
      <c r="AT2207" s="90" t="s">
        <v>244</v>
      </c>
      <c r="AU2207" s="90">
        <v>86.412649999999999</v>
      </c>
      <c r="AV2207" s="90">
        <v>40.352505100938103</v>
      </c>
      <c r="AW2207" s="90">
        <v>68.155415019462893</v>
      </c>
      <c r="AX2207" s="90">
        <v>5.1600205199999999E-2</v>
      </c>
    </row>
    <row r="2208" spans="1:50" x14ac:dyDescent="0.25">
      <c r="A2208" s="102">
        <v>830000</v>
      </c>
      <c r="B2208" s="102">
        <v>2400000</v>
      </c>
      <c r="C2208" s="102">
        <v>2400000</v>
      </c>
      <c r="D2208" s="90" t="s">
        <v>374</v>
      </c>
      <c r="E2208" s="90" t="s">
        <v>68</v>
      </c>
      <c r="F2208" s="90" t="s">
        <v>375</v>
      </c>
      <c r="G2208" s="90" t="s">
        <v>376</v>
      </c>
      <c r="H2208" s="90">
        <v>0.59</v>
      </c>
      <c r="I2208" s="90">
        <v>0.64</v>
      </c>
      <c r="J2208" s="90" t="s">
        <v>244</v>
      </c>
      <c r="K2208" s="90">
        <v>1.790673533447E-2</v>
      </c>
      <c r="L2208" s="90">
        <v>3777.7388730708099</v>
      </c>
      <c r="M2208" s="90">
        <v>9.8672962632328094</v>
      </c>
      <c r="N2208" s="90">
        <v>1.7833472465904301</v>
      </c>
      <c r="O2208" s="90">
        <v>0.17669106265251</v>
      </c>
      <c r="P2208" s="90">
        <v>3.1933927154149999E-2</v>
      </c>
      <c r="Q2208" s="90">
        <v>67.646970162817993</v>
      </c>
      <c r="R2208" s="90">
        <v>1330</v>
      </c>
      <c r="S2208" s="90" t="s">
        <v>397</v>
      </c>
      <c r="T2208" s="90">
        <v>1330</v>
      </c>
      <c r="U2208" s="90" t="s">
        <v>378</v>
      </c>
      <c r="V2208" s="90" t="s">
        <v>244</v>
      </c>
      <c r="Z2208" s="90">
        <v>0</v>
      </c>
      <c r="AA2208" s="90">
        <v>1</v>
      </c>
      <c r="AB2208" s="90">
        <v>0.17669106265251</v>
      </c>
      <c r="AC2208" s="90">
        <v>3.1933927154149999E-2</v>
      </c>
      <c r="AD2208" s="90">
        <v>67.6469701628195</v>
      </c>
      <c r="AF2208" s="90">
        <v>-1</v>
      </c>
      <c r="AG2208" s="90">
        <v>-1</v>
      </c>
      <c r="AH2208" s="90">
        <v>-1</v>
      </c>
      <c r="AI2208" s="90">
        <v>-1</v>
      </c>
      <c r="AJ2208" s="90">
        <v>0</v>
      </c>
      <c r="AM2208" s="90" t="s">
        <v>379</v>
      </c>
      <c r="AN2208" s="90">
        <v>-1</v>
      </c>
      <c r="AQ2208" s="90">
        <v>358</v>
      </c>
      <c r="AR2208" s="90" t="s">
        <v>422</v>
      </c>
      <c r="AS2208" s="90" t="s">
        <v>250</v>
      </c>
      <c r="AT2208" s="90" t="s">
        <v>244</v>
      </c>
      <c r="AU2208" s="90">
        <v>86.412649999999999</v>
      </c>
      <c r="AV2208" s="90">
        <v>40.370379883308203</v>
      </c>
      <c r="AW2208" s="90">
        <v>72.465986892518401</v>
      </c>
      <c r="AX2208" s="90">
        <v>5.48637228E-2</v>
      </c>
    </row>
    <row r="2209" spans="1:50" x14ac:dyDescent="0.25">
      <c r="A2209" s="102">
        <v>830000</v>
      </c>
      <c r="B2209" s="102">
        <v>2400000</v>
      </c>
      <c r="C2209" s="102">
        <v>2400000</v>
      </c>
      <c r="D2209" s="90" t="s">
        <v>374</v>
      </c>
      <c r="E2209" s="90" t="s">
        <v>68</v>
      </c>
      <c r="F2209" s="90" t="s">
        <v>375</v>
      </c>
      <c r="G2209" s="90" t="s">
        <v>376</v>
      </c>
      <c r="H2209" s="90">
        <v>0.59</v>
      </c>
      <c r="I2209" s="90">
        <v>0.64</v>
      </c>
      <c r="J2209" s="90" t="s">
        <v>244</v>
      </c>
      <c r="K2209" s="90">
        <v>1.1421878476599999E-3</v>
      </c>
      <c r="L2209" s="90">
        <v>3777.7388730708099</v>
      </c>
      <c r="M2209" s="90">
        <v>9.8672962632328094</v>
      </c>
      <c r="N2209" s="90">
        <v>1.7833472465904301</v>
      </c>
      <c r="O2209" s="90">
        <v>1.127030588113E-2</v>
      </c>
      <c r="P2209" s="90">
        <v>2.03691755321E-3</v>
      </c>
      <c r="Q2209" s="90">
        <v>4.3148874324580397</v>
      </c>
      <c r="R2209" s="90">
        <v>1300</v>
      </c>
      <c r="S2209" s="90" t="s">
        <v>387</v>
      </c>
      <c r="T2209" s="90">
        <v>1300</v>
      </c>
      <c r="U2209" s="90" t="s">
        <v>378</v>
      </c>
      <c r="V2209" s="90" t="s">
        <v>244</v>
      </c>
      <c r="Z2209" s="90">
        <v>0</v>
      </c>
      <c r="AA2209" s="90">
        <v>1</v>
      </c>
      <c r="AB2209" s="90">
        <v>1.127030588113E-2</v>
      </c>
      <c r="AC2209" s="90">
        <v>2.03691755321E-3</v>
      </c>
      <c r="AD2209" s="90">
        <v>4.3148874324570201</v>
      </c>
      <c r="AF2209" s="90">
        <v>-1</v>
      </c>
      <c r="AG2209" s="90">
        <v>-1</v>
      </c>
      <c r="AH2209" s="90">
        <v>-1</v>
      </c>
      <c r="AI2209" s="90">
        <v>-1</v>
      </c>
      <c r="AJ2209" s="90">
        <v>0</v>
      </c>
      <c r="AM2209" s="90" t="s">
        <v>379</v>
      </c>
      <c r="AN2209" s="90">
        <v>-1</v>
      </c>
      <c r="AQ2209" s="90">
        <v>358</v>
      </c>
      <c r="AR2209" s="90" t="s">
        <v>422</v>
      </c>
      <c r="AS2209" s="90" t="s">
        <v>250</v>
      </c>
      <c r="AT2209" s="90" t="s">
        <v>244</v>
      </c>
      <c r="AU2209" s="90">
        <v>86.412649999999999</v>
      </c>
      <c r="AV2209" s="90">
        <v>11.6471707357511</v>
      </c>
      <c r="AW2209" s="90">
        <v>4.62227022689307</v>
      </c>
      <c r="AX2209" s="90">
        <v>3.4995031999999998E-3</v>
      </c>
    </row>
    <row r="2210" spans="1:50" x14ac:dyDescent="0.25">
      <c r="A2210" s="102">
        <v>830000</v>
      </c>
      <c r="B2210" s="102">
        <v>2400000</v>
      </c>
      <c r="C2210" s="102">
        <v>2400000</v>
      </c>
      <c r="D2210" s="90" t="s">
        <v>374</v>
      </c>
      <c r="E2210" s="90" t="s">
        <v>68</v>
      </c>
      <c r="F2210" s="90" t="s">
        <v>375</v>
      </c>
      <c r="G2210" s="90" t="s">
        <v>376</v>
      </c>
      <c r="H2210" s="90">
        <v>0.59</v>
      </c>
      <c r="I2210" s="90">
        <v>0.64</v>
      </c>
      <c r="J2210" s="90" t="s">
        <v>244</v>
      </c>
      <c r="K2210" s="90">
        <v>3.1687210194730003E-2</v>
      </c>
      <c r="L2210" s="90">
        <v>3756.5087152749502</v>
      </c>
      <c r="M2210" s="90">
        <v>10.731421619887399</v>
      </c>
      <c r="N2210" s="90">
        <v>2.04574033894882</v>
      </c>
      <c r="O2210" s="90">
        <v>0.34004881255766001</v>
      </c>
      <c r="P2210" s="90">
        <v>6.4823804124109999E-2</v>
      </c>
      <c r="Q2210" s="90">
        <v>119.03328125925999</v>
      </c>
      <c r="R2210" s="90">
        <v>1200</v>
      </c>
      <c r="S2210" s="90" t="s">
        <v>384</v>
      </c>
      <c r="T2210" s="90">
        <v>1200</v>
      </c>
      <c r="U2210" s="90" t="s">
        <v>378</v>
      </c>
      <c r="V2210" s="90" t="s">
        <v>244</v>
      </c>
      <c r="Z2210" s="90">
        <v>0</v>
      </c>
      <c r="AA2210" s="90">
        <v>1</v>
      </c>
      <c r="AB2210" s="90">
        <v>0.34004881255766001</v>
      </c>
      <c r="AC2210" s="90">
        <v>6.4823804124109999E-2</v>
      </c>
      <c r="AD2210" s="90">
        <v>119.033281259259</v>
      </c>
      <c r="AF2210" s="90">
        <v>-1</v>
      </c>
      <c r="AG2210" s="90">
        <v>-1</v>
      </c>
      <c r="AH2210" s="90">
        <v>-1</v>
      </c>
      <c r="AI2210" s="90">
        <v>-1</v>
      </c>
      <c r="AJ2210" s="90">
        <v>0</v>
      </c>
      <c r="AM2210" s="90" t="s">
        <v>379</v>
      </c>
      <c r="AN2210" s="90">
        <v>-1</v>
      </c>
      <c r="AQ2210" s="90">
        <v>358</v>
      </c>
      <c r="AR2210" s="90" t="s">
        <v>422</v>
      </c>
      <c r="AS2210" s="90" t="s">
        <v>250</v>
      </c>
      <c r="AT2210" s="90" t="s">
        <v>244</v>
      </c>
      <c r="AU2210" s="90">
        <v>86.412649999999999</v>
      </c>
      <c r="AV2210" s="90">
        <v>105.20916181052699</v>
      </c>
      <c r="AW2210" s="90">
        <v>128.23359008448901</v>
      </c>
      <c r="AX2210" s="90">
        <v>9.6539563100000003E-2</v>
      </c>
    </row>
    <row r="2211" spans="1:50" x14ac:dyDescent="0.25">
      <c r="A2211" s="102">
        <v>830000</v>
      </c>
      <c r="B2211" s="102">
        <v>2400000</v>
      </c>
      <c r="C2211" s="102">
        <v>2400000</v>
      </c>
      <c r="D2211" s="90" t="s">
        <v>374</v>
      </c>
      <c r="E2211" s="90" t="s">
        <v>68</v>
      </c>
      <c r="F2211" s="90" t="s">
        <v>375</v>
      </c>
      <c r="G2211" s="90" t="s">
        <v>376</v>
      </c>
      <c r="H2211" s="90">
        <v>0.59</v>
      </c>
      <c r="I2211" s="90">
        <v>0.64</v>
      </c>
      <c r="J2211" s="90" t="s">
        <v>244</v>
      </c>
      <c r="K2211" s="90">
        <v>0.17163911631980999</v>
      </c>
      <c r="L2211" s="90">
        <v>3756.5087152749502</v>
      </c>
      <c r="M2211" s="90">
        <v>10.731421619887399</v>
      </c>
      <c r="N2211" s="90">
        <v>2.04574033894882</v>
      </c>
      <c r="O2211" s="90">
        <v>1.8419317236927799</v>
      </c>
      <c r="P2211" s="90">
        <v>0.35112906399695998</v>
      </c>
      <c r="Q2211" s="90">
        <v>644.76383633745695</v>
      </c>
      <c r="R2211" s="90">
        <v>1300</v>
      </c>
      <c r="S2211" s="90" t="s">
        <v>387</v>
      </c>
      <c r="T2211" s="90">
        <v>1300</v>
      </c>
      <c r="U2211" s="90" t="s">
        <v>378</v>
      </c>
      <c r="V2211" s="90" t="s">
        <v>244</v>
      </c>
      <c r="Z2211" s="90">
        <v>0</v>
      </c>
      <c r="AA2211" s="90">
        <v>1</v>
      </c>
      <c r="AB2211" s="90">
        <v>1.8419317236927799</v>
      </c>
      <c r="AC2211" s="90">
        <v>0.35112906399695998</v>
      </c>
      <c r="AD2211" s="90">
        <v>644.76383633745695</v>
      </c>
      <c r="AF2211" s="90">
        <v>-1</v>
      </c>
      <c r="AG2211" s="90">
        <v>-1</v>
      </c>
      <c r="AH2211" s="90">
        <v>-1</v>
      </c>
      <c r="AI2211" s="90">
        <v>-1</v>
      </c>
      <c r="AJ2211" s="90">
        <v>0</v>
      </c>
      <c r="AM2211" s="90" t="s">
        <v>379</v>
      </c>
      <c r="AN2211" s="90">
        <v>-1</v>
      </c>
      <c r="AQ2211" s="90">
        <v>358</v>
      </c>
      <c r="AR2211" s="90" t="s">
        <v>422</v>
      </c>
      <c r="AS2211" s="90" t="s">
        <v>250</v>
      </c>
      <c r="AT2211" s="90" t="s">
        <v>244</v>
      </c>
      <c r="AU2211" s="90">
        <v>86.412649999999999</v>
      </c>
      <c r="AV2211" s="90">
        <v>200.71495747836801</v>
      </c>
      <c r="AW2211" s="90">
        <v>694.59886021388195</v>
      </c>
      <c r="AX2211" s="90">
        <v>0.52292281939999996</v>
      </c>
    </row>
    <row r="2212" spans="1:50" x14ac:dyDescent="0.25">
      <c r="A2212" s="102">
        <v>830000</v>
      </c>
      <c r="B2212" s="102">
        <v>2400000</v>
      </c>
      <c r="C2212" s="102">
        <v>2400000</v>
      </c>
      <c r="D2212" s="90" t="s">
        <v>374</v>
      </c>
      <c r="E2212" s="90" t="s">
        <v>68</v>
      </c>
      <c r="F2212" s="90" t="s">
        <v>375</v>
      </c>
      <c r="G2212" s="90" t="s">
        <v>376</v>
      </c>
      <c r="H2212" s="90">
        <v>0.59</v>
      </c>
      <c r="I2212" s="90">
        <v>0.64</v>
      </c>
      <c r="J2212" s="90" t="s">
        <v>381</v>
      </c>
      <c r="K2212" s="90">
        <v>5.3421895988859998E-2</v>
      </c>
      <c r="L2212" s="90">
        <v>3756.5087152749502</v>
      </c>
      <c r="M2212" s="90">
        <v>10.731421619887399</v>
      </c>
      <c r="N2212" s="90">
        <v>2.04574033894882</v>
      </c>
      <c r="O2212" s="90">
        <v>0.5732928895903</v>
      </c>
      <c r="P2212" s="90">
        <v>0.10928732760755</v>
      </c>
      <c r="Q2212" s="90">
        <v>200.67981786869001</v>
      </c>
      <c r="R2212" s="90">
        <v>1300</v>
      </c>
      <c r="S2212" s="90" t="s">
        <v>387</v>
      </c>
      <c r="T2212" s="90">
        <v>1300</v>
      </c>
      <c r="U2212" s="90" t="s">
        <v>382</v>
      </c>
      <c r="V2212" s="90" t="s">
        <v>381</v>
      </c>
      <c r="Z2212" s="90">
        <v>0</v>
      </c>
      <c r="AA2212" s="90">
        <v>1</v>
      </c>
      <c r="AB2212" s="90">
        <v>0.5732928895903</v>
      </c>
      <c r="AC2212" s="90">
        <v>0.10928732760755</v>
      </c>
      <c r="AD2212" s="90">
        <v>200.67981786868901</v>
      </c>
      <c r="AF2212" s="90">
        <v>-1</v>
      </c>
      <c r="AG2212" s="90">
        <v>-1</v>
      </c>
      <c r="AH2212" s="90">
        <v>-1</v>
      </c>
      <c r="AI2212" s="90">
        <v>-1</v>
      </c>
      <c r="AJ2212" s="90">
        <v>0</v>
      </c>
      <c r="AM2212" s="90" t="s">
        <v>379</v>
      </c>
      <c r="AN2212" s="90">
        <v>-1</v>
      </c>
      <c r="AQ2212" s="90">
        <v>358</v>
      </c>
      <c r="AR2212" s="90" t="s">
        <v>422</v>
      </c>
      <c r="AS2212" s="90" t="s">
        <v>250</v>
      </c>
      <c r="AT2212" s="90" t="s">
        <v>244</v>
      </c>
      <c r="AU2212" s="90">
        <v>86.412649999999999</v>
      </c>
      <c r="AV2212" s="90">
        <v>109.652962226767</v>
      </c>
      <c r="AW2212" s="90">
        <v>216.19074287932901</v>
      </c>
      <c r="AX2212" s="90">
        <v>0.16275735429999999</v>
      </c>
    </row>
    <row r="2213" spans="1:50" x14ac:dyDescent="0.25">
      <c r="A2213" s="102">
        <v>830000</v>
      </c>
      <c r="B2213" s="102">
        <v>2400000</v>
      </c>
      <c r="C2213" s="102">
        <v>2400000</v>
      </c>
      <c r="D2213" s="90" t="s">
        <v>374</v>
      </c>
      <c r="E2213" s="90" t="s">
        <v>68</v>
      </c>
      <c r="F2213" s="90" t="s">
        <v>375</v>
      </c>
      <c r="G2213" s="90" t="s">
        <v>376</v>
      </c>
      <c r="H2213" s="90">
        <v>0.59</v>
      </c>
      <c r="I2213" s="90">
        <v>0.64</v>
      </c>
      <c r="J2213" s="90" t="s">
        <v>244</v>
      </c>
      <c r="K2213" s="90">
        <v>0.36101522898521998</v>
      </c>
      <c r="L2213" s="90">
        <v>3756.5087152749502</v>
      </c>
      <c r="M2213" s="90">
        <v>10.731421619887399</v>
      </c>
      <c r="N2213" s="90">
        <v>2.04574033894882</v>
      </c>
      <c r="O2213" s="90">
        <v>3.87420663344066</v>
      </c>
      <c r="P2213" s="90">
        <v>0.73854341690991998</v>
      </c>
      <c r="Q2213" s="90">
        <v>1356.15685402997</v>
      </c>
      <c r="R2213" s="90">
        <v>1340</v>
      </c>
      <c r="S2213" s="90" t="s">
        <v>407</v>
      </c>
      <c r="T2213" s="90">
        <v>1340</v>
      </c>
      <c r="U2213" s="90" t="s">
        <v>378</v>
      </c>
      <c r="V2213" s="90" t="s">
        <v>244</v>
      </c>
      <c r="Z2213" s="90">
        <v>0</v>
      </c>
      <c r="AA2213" s="90">
        <v>1</v>
      </c>
      <c r="AB2213" s="90">
        <v>3.87420663344066</v>
      </c>
      <c r="AC2213" s="90">
        <v>0.73854341690991998</v>
      </c>
      <c r="AD2213" s="90">
        <v>1356.15685402997</v>
      </c>
      <c r="AF2213" s="90">
        <v>-1</v>
      </c>
      <c r="AG2213" s="90">
        <v>-1</v>
      </c>
      <c r="AH2213" s="90">
        <v>-1</v>
      </c>
      <c r="AI2213" s="90">
        <v>-1</v>
      </c>
      <c r="AJ2213" s="90">
        <v>0</v>
      </c>
      <c r="AM2213" s="90" t="s">
        <v>379</v>
      </c>
      <c r="AN2213" s="90">
        <v>-1</v>
      </c>
      <c r="AQ2213" s="90">
        <v>358</v>
      </c>
      <c r="AR2213" s="90" t="s">
        <v>422</v>
      </c>
      <c r="AS2213" s="90" t="s">
        <v>250</v>
      </c>
      <c r="AT2213" s="90" t="s">
        <v>244</v>
      </c>
      <c r="AU2213" s="90">
        <v>86.412649999999999</v>
      </c>
      <c r="AV2213" s="90">
        <v>154.48446233079</v>
      </c>
      <c r="AW2213" s="90">
        <v>1460.9767980030599</v>
      </c>
      <c r="AX2213" s="90">
        <v>1.0998839042999999</v>
      </c>
    </row>
    <row r="2214" spans="1:50" x14ac:dyDescent="0.25">
      <c r="A2214" s="102">
        <v>830000</v>
      </c>
      <c r="B2214" s="102">
        <v>2400000</v>
      </c>
      <c r="C2214" s="102">
        <v>2400000</v>
      </c>
      <c r="D2214" s="90" t="s">
        <v>374</v>
      </c>
      <c r="E2214" s="90" t="s">
        <v>68</v>
      </c>
      <c r="F2214" s="90" t="s">
        <v>375</v>
      </c>
      <c r="G2214" s="90" t="s">
        <v>376</v>
      </c>
      <c r="H2214" s="90">
        <v>0.59</v>
      </c>
      <c r="I2214" s="90">
        <v>0.64</v>
      </c>
      <c r="J2214" s="90" t="s">
        <v>244</v>
      </c>
      <c r="K2214" s="90">
        <v>0.32235283546034998</v>
      </c>
      <c r="L2214" s="90">
        <v>3778.2816775415799</v>
      </c>
      <c r="M2214" s="90">
        <v>9.7984706664496404</v>
      </c>
      <c r="N2214" s="90">
        <v>1.7632746418069201</v>
      </c>
      <c r="O2214" s="90">
        <v>3.1585648025051798</v>
      </c>
      <c r="P2214" s="90">
        <v>0.56839658048179997</v>
      </c>
      <c r="Q2214" s="90">
        <v>1217.9398119234399</v>
      </c>
      <c r="R2214" s="90">
        <v>1300</v>
      </c>
      <c r="S2214" s="90" t="s">
        <v>387</v>
      </c>
      <c r="T2214" s="90">
        <v>1300</v>
      </c>
      <c r="U2214" s="90" t="s">
        <v>378</v>
      </c>
      <c r="V2214" s="90" t="s">
        <v>244</v>
      </c>
      <c r="Z2214" s="90">
        <v>0</v>
      </c>
      <c r="AA2214" s="90">
        <v>1</v>
      </c>
      <c r="AB2214" s="90">
        <v>3.1585648025051798</v>
      </c>
      <c r="AC2214" s="90">
        <v>0.56839658048179997</v>
      </c>
      <c r="AD2214" s="90">
        <v>1217.9398119234399</v>
      </c>
      <c r="AF2214" s="90">
        <v>-1</v>
      </c>
      <c r="AG2214" s="90">
        <v>-1</v>
      </c>
      <c r="AH2214" s="90">
        <v>-1</v>
      </c>
      <c r="AI2214" s="90">
        <v>-1</v>
      </c>
      <c r="AJ2214" s="90">
        <v>0</v>
      </c>
      <c r="AM2214" s="90" t="s">
        <v>379</v>
      </c>
      <c r="AN2214" s="90">
        <v>-1</v>
      </c>
      <c r="AQ2214" s="90">
        <v>358</v>
      </c>
      <c r="AR2214" s="90" t="s">
        <v>422</v>
      </c>
      <c r="AS2214" s="90" t="s">
        <v>250</v>
      </c>
      <c r="AT2214" s="90" t="s">
        <v>244</v>
      </c>
      <c r="AU2214" s="90">
        <v>86.412649999999999</v>
      </c>
      <c r="AV2214" s="90">
        <v>197.45818675736001</v>
      </c>
      <c r="AW2214" s="90">
        <v>1304.5156424616</v>
      </c>
      <c r="AX2214" s="90">
        <v>0.98778573550000004</v>
      </c>
    </row>
    <row r="2215" spans="1:50" x14ac:dyDescent="0.25">
      <c r="A2215" s="102">
        <v>830000</v>
      </c>
      <c r="B2215" s="102">
        <v>2400000</v>
      </c>
      <c r="C2215" s="102">
        <v>2400000</v>
      </c>
      <c r="D2215" s="90" t="s">
        <v>374</v>
      </c>
      <c r="E2215" s="90" t="s">
        <v>68</v>
      </c>
      <c r="F2215" s="90" t="s">
        <v>375</v>
      </c>
      <c r="G2215" s="90" t="s">
        <v>376</v>
      </c>
      <c r="H2215" s="90">
        <v>0.59</v>
      </c>
      <c r="I2215" s="90">
        <v>0.64</v>
      </c>
      <c r="J2215" s="90" t="s">
        <v>244</v>
      </c>
      <c r="K2215" s="90">
        <v>0.24969591077348</v>
      </c>
      <c r="L2215" s="90">
        <v>3778.2816775415799</v>
      </c>
      <c r="M2215" s="90">
        <v>9.7984706664496404</v>
      </c>
      <c r="N2215" s="90">
        <v>1.7632746418069201</v>
      </c>
      <c r="O2215" s="90">
        <v>2.4466380572464099</v>
      </c>
      <c r="P2215" s="90">
        <v>0.44028246762975998</v>
      </c>
      <c r="Q2215" s="90">
        <v>943.42148463251203</v>
      </c>
      <c r="R2215" s="90">
        <v>1300</v>
      </c>
      <c r="S2215" s="90" t="s">
        <v>387</v>
      </c>
      <c r="T2215" s="90">
        <v>1300</v>
      </c>
      <c r="U2215" s="90" t="s">
        <v>378</v>
      </c>
      <c r="V2215" s="90" t="s">
        <v>244</v>
      </c>
      <c r="Z2215" s="90">
        <v>0</v>
      </c>
      <c r="AA2215" s="90">
        <v>1</v>
      </c>
      <c r="AB2215" s="90">
        <v>2.4466380572464099</v>
      </c>
      <c r="AC2215" s="90">
        <v>0.44028246762975998</v>
      </c>
      <c r="AD2215" s="90">
        <v>943.42148463251203</v>
      </c>
      <c r="AF2215" s="90">
        <v>-1</v>
      </c>
      <c r="AG2215" s="90">
        <v>-1</v>
      </c>
      <c r="AH2215" s="90">
        <v>-1</v>
      </c>
      <c r="AI2215" s="90">
        <v>-1</v>
      </c>
      <c r="AJ2215" s="90">
        <v>0</v>
      </c>
      <c r="AM2215" s="90" t="s">
        <v>379</v>
      </c>
      <c r="AN2215" s="90">
        <v>-1</v>
      </c>
      <c r="AQ2215" s="90">
        <v>358</v>
      </c>
      <c r="AR2215" s="90" t="s">
        <v>422</v>
      </c>
      <c r="AS2215" s="90" t="s">
        <v>250</v>
      </c>
      <c r="AT2215" s="90" t="s">
        <v>244</v>
      </c>
      <c r="AU2215" s="90">
        <v>86.412649999999999</v>
      </c>
      <c r="AV2215" s="90">
        <v>128.473112366077</v>
      </c>
      <c r="AW2215" s="90">
        <v>1010.48350016069</v>
      </c>
      <c r="AX2215" s="90">
        <v>0.76514313430000003</v>
      </c>
    </row>
    <row r="2216" spans="1:50" x14ac:dyDescent="0.25">
      <c r="A2216" s="102">
        <v>830000</v>
      </c>
      <c r="B2216" s="102">
        <v>2400000</v>
      </c>
      <c r="C2216" s="102">
        <v>2400000</v>
      </c>
      <c r="D2216" s="90" t="s">
        <v>374</v>
      </c>
      <c r="E2216" s="90" t="s">
        <v>68</v>
      </c>
      <c r="F2216" s="90" t="s">
        <v>375</v>
      </c>
      <c r="G2216" s="90" t="s">
        <v>376</v>
      </c>
      <c r="H2216" s="90">
        <v>0.59</v>
      </c>
      <c r="I2216" s="90">
        <v>0.64</v>
      </c>
      <c r="J2216" s="90" t="s">
        <v>244</v>
      </c>
      <c r="K2216" s="90">
        <v>4.5714707249959997E-2</v>
      </c>
      <c r="L2216" s="90">
        <v>3778.2816775415799</v>
      </c>
      <c r="M2216" s="90">
        <v>9.7984706664496404</v>
      </c>
      <c r="N2216" s="90">
        <v>1.7632746418069201</v>
      </c>
      <c r="O2216" s="90">
        <v>0.44793421801409</v>
      </c>
      <c r="P2216" s="90">
        <v>8.0607584051479997E-2</v>
      </c>
      <c r="Q2216" s="90">
        <v>172.72304079671201</v>
      </c>
      <c r="R2216" s="90">
        <v>1300</v>
      </c>
      <c r="S2216" s="90" t="s">
        <v>387</v>
      </c>
      <c r="T2216" s="90">
        <v>1300</v>
      </c>
      <c r="U2216" s="90" t="s">
        <v>378</v>
      </c>
      <c r="V2216" s="90" t="s">
        <v>244</v>
      </c>
      <c r="Z2216" s="90">
        <v>0</v>
      </c>
      <c r="AA2216" s="90">
        <v>1</v>
      </c>
      <c r="AB2216" s="90">
        <v>0.44793421801409</v>
      </c>
      <c r="AC2216" s="90">
        <v>8.0607584051479997E-2</v>
      </c>
      <c r="AD2216" s="90">
        <v>172.723040796714</v>
      </c>
      <c r="AF2216" s="90">
        <v>-1</v>
      </c>
      <c r="AG2216" s="90">
        <v>-1</v>
      </c>
      <c r="AH2216" s="90">
        <v>-1</v>
      </c>
      <c r="AI2216" s="90">
        <v>-1</v>
      </c>
      <c r="AJ2216" s="90">
        <v>0</v>
      </c>
      <c r="AM2216" s="90" t="s">
        <v>379</v>
      </c>
      <c r="AN2216" s="90">
        <v>-1</v>
      </c>
      <c r="AQ2216" s="90">
        <v>358</v>
      </c>
      <c r="AR2216" s="90" t="s">
        <v>422</v>
      </c>
      <c r="AS2216" s="90" t="s">
        <v>250</v>
      </c>
      <c r="AT2216" s="90" t="s">
        <v>244</v>
      </c>
      <c r="AU2216" s="90">
        <v>86.412649999999999</v>
      </c>
      <c r="AV2216" s="90">
        <v>54.500754980064499</v>
      </c>
      <c r="AW2216" s="90">
        <v>185.00085663265</v>
      </c>
      <c r="AX2216" s="90">
        <v>0.14008356920000001</v>
      </c>
    </row>
    <row r="2217" spans="1:50" x14ac:dyDescent="0.25">
      <c r="A2217" s="102">
        <v>830000</v>
      </c>
      <c r="B2217" s="102">
        <v>2400000</v>
      </c>
      <c r="C2217" s="102">
        <v>2400000</v>
      </c>
      <c r="D2217" s="90" t="s">
        <v>374</v>
      </c>
      <c r="E2217" s="90" t="s">
        <v>68</v>
      </c>
      <c r="F2217" s="90" t="s">
        <v>375</v>
      </c>
      <c r="G2217" s="90" t="s">
        <v>376</v>
      </c>
      <c r="H2217" s="90">
        <v>0.59</v>
      </c>
      <c r="I2217" s="90">
        <v>0.64</v>
      </c>
      <c r="J2217" s="90" t="s">
        <v>244</v>
      </c>
      <c r="K2217" s="90">
        <v>2.916858394915E-2</v>
      </c>
      <c r="L2217" s="90">
        <v>2365.8964729934901</v>
      </c>
      <c r="M2217" s="90">
        <v>6.6479893454949197</v>
      </c>
      <c r="N2217" s="90">
        <v>0.92303951773994997</v>
      </c>
      <c r="O2217" s="90">
        <v>0.19391243531714</v>
      </c>
      <c r="P2217" s="90">
        <v>2.692375566158E-2</v>
      </c>
      <c r="Q2217" s="90">
        <v>69.009849887515699</v>
      </c>
      <c r="R2217" s="90">
        <v>1400</v>
      </c>
      <c r="S2217" s="90" t="s">
        <v>324</v>
      </c>
      <c r="T2217" s="90">
        <v>1400</v>
      </c>
      <c r="U2217" s="90" t="s">
        <v>378</v>
      </c>
      <c r="V2217" s="90" t="s">
        <v>244</v>
      </c>
      <c r="Z2217" s="90">
        <v>0</v>
      </c>
      <c r="AA2217" s="90">
        <v>1</v>
      </c>
      <c r="AB2217" s="90">
        <v>0.19391243531714</v>
      </c>
      <c r="AC2217" s="90">
        <v>2.692375566158E-2</v>
      </c>
      <c r="AD2217" s="90">
        <v>400.46961239008601</v>
      </c>
      <c r="AF2217" s="90">
        <v>-1</v>
      </c>
      <c r="AG2217" s="90">
        <v>-1</v>
      </c>
      <c r="AH2217" s="90">
        <v>-1</v>
      </c>
      <c r="AI2217" s="90">
        <v>-1</v>
      </c>
      <c r="AJ2217" s="90">
        <v>0</v>
      </c>
      <c r="AM2217" s="90" t="s">
        <v>379</v>
      </c>
      <c r="AN2217" s="90">
        <v>-1</v>
      </c>
      <c r="AQ2217" s="90">
        <v>358</v>
      </c>
      <c r="AR2217" s="90" t="s">
        <v>422</v>
      </c>
      <c r="AS2217" s="90" t="s">
        <v>250</v>
      </c>
      <c r="AT2217" s="90" t="s">
        <v>244</v>
      </c>
      <c r="AU2217" s="90">
        <v>86.412649999999999</v>
      </c>
      <c r="AV2217" s="90">
        <v>104.736379559114</v>
      </c>
      <c r="AW2217" s="90">
        <v>118.04107128694299</v>
      </c>
      <c r="AX2217" s="90">
        <v>0.32479287299999998</v>
      </c>
    </row>
    <row r="2218" spans="1:50" x14ac:dyDescent="0.25">
      <c r="A2218" s="102">
        <v>830000</v>
      </c>
      <c r="B2218" s="102">
        <v>2400000</v>
      </c>
      <c r="C2218" s="102">
        <v>2400000</v>
      </c>
      <c r="D2218" s="90" t="s">
        <v>374</v>
      </c>
      <c r="E2218" s="90" t="s">
        <v>68</v>
      </c>
      <c r="F2218" s="90" t="s">
        <v>375</v>
      </c>
      <c r="G2218" s="90" t="s">
        <v>376</v>
      </c>
      <c r="H2218" s="90">
        <v>0.59</v>
      </c>
      <c r="I2218" s="90">
        <v>0.64</v>
      </c>
      <c r="J2218" s="90" t="s">
        <v>244</v>
      </c>
      <c r="K2218" s="90">
        <v>3.915856245774E-2</v>
      </c>
      <c r="L2218" s="90">
        <v>3734.2478507076298</v>
      </c>
      <c r="M2218" s="90">
        <v>10.036262974184099</v>
      </c>
      <c r="N2218" s="90">
        <v>1.72523240886408</v>
      </c>
      <c r="O2218" s="90">
        <v>0.39300563051694998</v>
      </c>
      <c r="P2218" s="90">
        <v>6.7557621036630003E-2</v>
      </c>
      <c r="Q2218" s="90">
        <v>146.22777769463801</v>
      </c>
      <c r="R2218" s="90">
        <v>1200</v>
      </c>
      <c r="S2218" s="90" t="s">
        <v>384</v>
      </c>
      <c r="T2218" s="90">
        <v>1200</v>
      </c>
      <c r="U2218" s="90" t="s">
        <v>378</v>
      </c>
      <c r="V2218" s="90" t="s">
        <v>244</v>
      </c>
      <c r="Z2218" s="90">
        <v>0</v>
      </c>
      <c r="AA2218" s="90">
        <v>1</v>
      </c>
      <c r="AB2218" s="90">
        <v>0.39300563051694998</v>
      </c>
      <c r="AC2218" s="90">
        <v>6.7557621036630003E-2</v>
      </c>
      <c r="AD2218" s="90">
        <v>146.22777769463801</v>
      </c>
      <c r="AF2218" s="90">
        <v>-1</v>
      </c>
      <c r="AG2218" s="90">
        <v>-1</v>
      </c>
      <c r="AH2218" s="90">
        <v>-1</v>
      </c>
      <c r="AI2218" s="90">
        <v>-1</v>
      </c>
      <c r="AJ2218" s="90">
        <v>0</v>
      </c>
      <c r="AM2218" s="90" t="s">
        <v>379</v>
      </c>
      <c r="AN2218" s="90">
        <v>-1</v>
      </c>
      <c r="AQ2218" s="90">
        <v>358</v>
      </c>
      <c r="AR2218" s="90" t="s">
        <v>422</v>
      </c>
      <c r="AS2218" s="90" t="s">
        <v>250</v>
      </c>
      <c r="AT2218" s="90" t="s">
        <v>244</v>
      </c>
      <c r="AU2218" s="90">
        <v>86.412649999999999</v>
      </c>
      <c r="AV2218" s="90">
        <v>55.800112319930697</v>
      </c>
      <c r="AW2218" s="90">
        <v>158.46907997407999</v>
      </c>
      <c r="AX2218" s="90">
        <v>0.1185951157</v>
      </c>
    </row>
    <row r="2219" spans="1:50" x14ac:dyDescent="0.25">
      <c r="A2219" s="102">
        <v>830000</v>
      </c>
      <c r="B2219" s="102">
        <v>2400000</v>
      </c>
      <c r="C2219" s="102">
        <v>2400000</v>
      </c>
      <c r="D2219" s="90" t="s">
        <v>374</v>
      </c>
      <c r="E2219" s="90" t="s">
        <v>68</v>
      </c>
      <c r="F2219" s="90" t="s">
        <v>375</v>
      </c>
      <c r="G2219" s="90" t="s">
        <v>376</v>
      </c>
      <c r="H2219" s="90">
        <v>0.59</v>
      </c>
      <c r="I2219" s="90">
        <v>0.64</v>
      </c>
      <c r="J2219" s="90" t="s">
        <v>381</v>
      </c>
      <c r="K2219" s="90">
        <v>6.5266187123330002E-2</v>
      </c>
      <c r="L2219" s="90">
        <v>3734.2478507076298</v>
      </c>
      <c r="M2219" s="90">
        <v>10.036262974184099</v>
      </c>
      <c r="N2219" s="90">
        <v>1.72523240886408</v>
      </c>
      <c r="O2219" s="90">
        <v>0.65502861729205997</v>
      </c>
      <c r="P2219" s="90">
        <v>0.11259934122815</v>
      </c>
      <c r="Q2219" s="90">
        <v>243.72011898918001</v>
      </c>
      <c r="R2219" s="90">
        <v>1200</v>
      </c>
      <c r="S2219" s="90" t="s">
        <v>384</v>
      </c>
      <c r="T2219" s="90">
        <v>1200</v>
      </c>
      <c r="U2219" s="90" t="s">
        <v>382</v>
      </c>
      <c r="V2219" s="90" t="s">
        <v>381</v>
      </c>
      <c r="Z2219" s="90">
        <v>0</v>
      </c>
      <c r="AA2219" s="90">
        <v>1</v>
      </c>
      <c r="AB2219" s="90">
        <v>0.65502861729205997</v>
      </c>
      <c r="AC2219" s="90">
        <v>0.11259934122815</v>
      </c>
      <c r="AD2219" s="90">
        <v>243.72011898917901</v>
      </c>
      <c r="AF2219" s="90">
        <v>-1</v>
      </c>
      <c r="AG2219" s="90">
        <v>-1</v>
      </c>
      <c r="AH2219" s="90">
        <v>-1</v>
      </c>
      <c r="AI2219" s="90">
        <v>-1</v>
      </c>
      <c r="AJ2219" s="90">
        <v>0</v>
      </c>
      <c r="AM2219" s="90" t="s">
        <v>379</v>
      </c>
      <c r="AN2219" s="90">
        <v>-1</v>
      </c>
      <c r="AQ2219" s="90">
        <v>358</v>
      </c>
      <c r="AR2219" s="90" t="s">
        <v>422</v>
      </c>
      <c r="AS2219" s="90" t="s">
        <v>250</v>
      </c>
      <c r="AT2219" s="90" t="s">
        <v>244</v>
      </c>
      <c r="AU2219" s="90">
        <v>86.412649999999999</v>
      </c>
      <c r="AV2219" s="90">
        <v>98.7069939347992</v>
      </c>
      <c r="AW2219" s="90">
        <v>264.12288852560999</v>
      </c>
      <c r="AX2219" s="90">
        <v>0.19766433010000001</v>
      </c>
    </row>
    <row r="2220" spans="1:50" x14ac:dyDescent="0.25">
      <c r="A2220" s="102">
        <v>830000</v>
      </c>
      <c r="B2220" s="102">
        <v>2400000</v>
      </c>
      <c r="C2220" s="102">
        <v>2400000</v>
      </c>
      <c r="D2220" s="90" t="s">
        <v>374</v>
      </c>
      <c r="E2220" s="90" t="s">
        <v>68</v>
      </c>
      <c r="F2220" s="90" t="s">
        <v>375</v>
      </c>
      <c r="G2220" s="90" t="s">
        <v>376</v>
      </c>
      <c r="H2220" s="90">
        <v>0.59</v>
      </c>
      <c r="I2220" s="90">
        <v>0.64</v>
      </c>
      <c r="J2220" s="90" t="s">
        <v>244</v>
      </c>
      <c r="K2220" s="90">
        <v>3.1604553108919999E-2</v>
      </c>
      <c r="L2220" s="90">
        <v>3734.2478507076298</v>
      </c>
      <c r="M2220" s="90">
        <v>10.036262974184099</v>
      </c>
      <c r="N2220" s="90">
        <v>1.72523240886408</v>
      </c>
      <c r="O2220" s="90">
        <v>0.31719160618272002</v>
      </c>
      <c r="P2220" s="90">
        <v>5.452519929118E-2</v>
      </c>
      <c r="Q2220" s="90">
        <v>118.01923451957001</v>
      </c>
      <c r="R2220" s="90">
        <v>1390</v>
      </c>
      <c r="S2220" s="90" t="s">
        <v>402</v>
      </c>
      <c r="T2220" s="90">
        <v>1390</v>
      </c>
      <c r="U2220" s="90" t="s">
        <v>378</v>
      </c>
      <c r="V2220" s="90" t="s">
        <v>244</v>
      </c>
      <c r="Z2220" s="90">
        <v>0</v>
      </c>
      <c r="AA2220" s="90">
        <v>1</v>
      </c>
      <c r="AB2220" s="90">
        <v>0.31719160618272002</v>
      </c>
      <c r="AC2220" s="90">
        <v>5.452519929118E-2</v>
      </c>
      <c r="AD2220" s="90">
        <v>118.019234519572</v>
      </c>
      <c r="AF2220" s="90">
        <v>-1</v>
      </c>
      <c r="AG2220" s="90">
        <v>-1</v>
      </c>
      <c r="AH2220" s="90">
        <v>-1</v>
      </c>
      <c r="AI2220" s="90">
        <v>-1</v>
      </c>
      <c r="AJ2220" s="90">
        <v>0</v>
      </c>
      <c r="AM2220" s="90" t="s">
        <v>379</v>
      </c>
      <c r="AN2220" s="90">
        <v>-1</v>
      </c>
      <c r="AQ2220" s="90">
        <v>358</v>
      </c>
      <c r="AR2220" s="90" t="s">
        <v>422</v>
      </c>
      <c r="AS2220" s="90" t="s">
        <v>250</v>
      </c>
      <c r="AT2220" s="90" t="s">
        <v>244</v>
      </c>
      <c r="AU2220" s="90">
        <v>86.412649999999999</v>
      </c>
      <c r="AV2220" s="90">
        <v>54.946465186663602</v>
      </c>
      <c r="AW2220" s="90">
        <v>127.899088725928</v>
      </c>
      <c r="AX2220" s="90">
        <v>9.5717140699999995E-2</v>
      </c>
    </row>
    <row r="2221" spans="1:50" x14ac:dyDescent="0.25">
      <c r="A2221" s="102">
        <v>830000</v>
      </c>
      <c r="B2221" s="102">
        <v>2400000</v>
      </c>
      <c r="C2221" s="102">
        <v>2400000</v>
      </c>
      <c r="D2221" s="90" t="s">
        <v>374</v>
      </c>
      <c r="E2221" s="90" t="s">
        <v>68</v>
      </c>
      <c r="F2221" s="90" t="s">
        <v>375</v>
      </c>
      <c r="G2221" s="90" t="s">
        <v>376</v>
      </c>
      <c r="H2221" s="90">
        <v>0.59</v>
      </c>
      <c r="I2221" s="90">
        <v>0.64</v>
      </c>
      <c r="J2221" s="90" t="s">
        <v>381</v>
      </c>
      <c r="K2221" s="90">
        <v>7.3334163135400001E-3</v>
      </c>
      <c r="L2221" s="90">
        <v>3734.2478507076298</v>
      </c>
      <c r="M2221" s="90">
        <v>10.036262974184099</v>
      </c>
      <c r="N2221" s="90">
        <v>1.72523240886408</v>
      </c>
      <c r="O2221" s="90">
        <v>7.3600094621949996E-2</v>
      </c>
      <c r="P2221" s="90">
        <v>1.265184749182E-2</v>
      </c>
      <c r="Q2221" s="90">
        <v>27.384794107214599</v>
      </c>
      <c r="R2221" s="90">
        <v>1390</v>
      </c>
      <c r="S2221" s="90" t="s">
        <v>402</v>
      </c>
      <c r="T2221" s="90">
        <v>1390</v>
      </c>
      <c r="U2221" s="90" t="s">
        <v>382</v>
      </c>
      <c r="V2221" s="90" t="s">
        <v>381</v>
      </c>
      <c r="Z2221" s="90">
        <v>0</v>
      </c>
      <c r="AA2221" s="90">
        <v>1</v>
      </c>
      <c r="AB2221" s="90">
        <v>7.3600094621949996E-2</v>
      </c>
      <c r="AC2221" s="90">
        <v>1.265184749182E-2</v>
      </c>
      <c r="AD2221" s="90">
        <v>27.384794107213299</v>
      </c>
      <c r="AF2221" s="90">
        <v>-1</v>
      </c>
      <c r="AG2221" s="90">
        <v>-1</v>
      </c>
      <c r="AH2221" s="90">
        <v>-1</v>
      </c>
      <c r="AI2221" s="90">
        <v>-1</v>
      </c>
      <c r="AJ2221" s="90">
        <v>0</v>
      </c>
      <c r="AM2221" s="90" t="s">
        <v>379</v>
      </c>
      <c r="AN2221" s="90">
        <v>-1</v>
      </c>
      <c r="AQ2221" s="90">
        <v>358</v>
      </c>
      <c r="AR2221" s="90" t="s">
        <v>422</v>
      </c>
      <c r="AS2221" s="90" t="s">
        <v>250</v>
      </c>
      <c r="AT2221" s="90" t="s">
        <v>244</v>
      </c>
      <c r="AU2221" s="90">
        <v>86.412649999999999</v>
      </c>
      <c r="AV2221" s="90">
        <v>22.487064086754199</v>
      </c>
      <c r="AW2221" s="90">
        <v>29.6772829066173</v>
      </c>
      <c r="AX2221" s="90">
        <v>2.22098898E-2</v>
      </c>
    </row>
    <row r="2222" spans="1:50" x14ac:dyDescent="0.25">
      <c r="A2222" s="102">
        <v>830000</v>
      </c>
      <c r="B2222" s="102">
        <v>2400000</v>
      </c>
      <c r="C2222" s="102">
        <v>2400000</v>
      </c>
      <c r="D2222" s="90" t="s">
        <v>374</v>
      </c>
      <c r="E2222" s="90" t="s">
        <v>68</v>
      </c>
      <c r="F2222" s="90" t="s">
        <v>375</v>
      </c>
      <c r="G2222" s="90" t="s">
        <v>376</v>
      </c>
      <c r="H2222" s="90">
        <v>0.59</v>
      </c>
      <c r="I2222" s="90">
        <v>0.64</v>
      </c>
      <c r="J2222" s="90" t="s">
        <v>244</v>
      </c>
      <c r="K2222" s="90">
        <v>3.5420431633899997E-2</v>
      </c>
      <c r="L2222" s="90">
        <v>3734.2478507076298</v>
      </c>
      <c r="M2222" s="90">
        <v>10.036262974184099</v>
      </c>
      <c r="N2222" s="90">
        <v>1.72523240886408</v>
      </c>
      <c r="O2222" s="90">
        <v>0.35548876653694</v>
      </c>
      <c r="P2222" s="90">
        <v>6.1108476590759998E-2</v>
      </c>
      <c r="Q2222" s="90">
        <v>132.26867070003101</v>
      </c>
      <c r="R2222" s="90">
        <v>1300</v>
      </c>
      <c r="S2222" s="90" t="s">
        <v>387</v>
      </c>
      <c r="T2222" s="90">
        <v>1300</v>
      </c>
      <c r="U2222" s="90" t="s">
        <v>378</v>
      </c>
      <c r="V2222" s="90" t="s">
        <v>244</v>
      </c>
      <c r="Z2222" s="90">
        <v>0</v>
      </c>
      <c r="AA2222" s="90">
        <v>1</v>
      </c>
      <c r="AB2222" s="90">
        <v>0.35548876653694</v>
      </c>
      <c r="AC2222" s="90">
        <v>6.1108476590759998E-2</v>
      </c>
      <c r="AD2222" s="90">
        <v>132.26867070003101</v>
      </c>
      <c r="AF2222" s="90">
        <v>-1</v>
      </c>
      <c r="AG2222" s="90">
        <v>-1</v>
      </c>
      <c r="AH2222" s="90">
        <v>-1</v>
      </c>
      <c r="AI2222" s="90">
        <v>-1</v>
      </c>
      <c r="AJ2222" s="90">
        <v>0</v>
      </c>
      <c r="AM2222" s="90" t="s">
        <v>379</v>
      </c>
      <c r="AN2222" s="90">
        <v>-1</v>
      </c>
      <c r="AQ2222" s="90">
        <v>358</v>
      </c>
      <c r="AR2222" s="90" t="s">
        <v>422</v>
      </c>
      <c r="AS2222" s="90" t="s">
        <v>250</v>
      </c>
      <c r="AT2222" s="90" t="s">
        <v>244</v>
      </c>
      <c r="AU2222" s="90">
        <v>86.412649999999999</v>
      </c>
      <c r="AV2222" s="90">
        <v>123.17954069841601</v>
      </c>
      <c r="AW2222" s="90">
        <v>143.34140124183199</v>
      </c>
      <c r="AX2222" s="90">
        <v>0.10727386110000001</v>
      </c>
    </row>
    <row r="2223" spans="1:50" x14ac:dyDescent="0.25">
      <c r="A2223" s="102">
        <v>830000</v>
      </c>
      <c r="B2223" s="102">
        <v>2400000</v>
      </c>
      <c r="C2223" s="102">
        <v>2400000</v>
      </c>
      <c r="D2223" s="90" t="s">
        <v>374</v>
      </c>
      <c r="E2223" s="90" t="s">
        <v>68</v>
      </c>
      <c r="F2223" s="90" t="s">
        <v>375</v>
      </c>
      <c r="G2223" s="90" t="s">
        <v>376</v>
      </c>
      <c r="H2223" s="90">
        <v>0.59</v>
      </c>
      <c r="I2223" s="90">
        <v>0.64</v>
      </c>
      <c r="J2223" s="90" t="s">
        <v>381</v>
      </c>
      <c r="K2223" s="90">
        <v>0.15436774382043</v>
      </c>
      <c r="L2223" s="90">
        <v>3734.2478507076298</v>
      </c>
      <c r="M2223" s="90">
        <v>10.036262974184099</v>
      </c>
      <c r="N2223" s="90">
        <v>1.72523240886408</v>
      </c>
      <c r="O2223" s="90">
        <v>1.54927527171334</v>
      </c>
      <c r="P2223" s="90">
        <v>0.26632023452223003</v>
      </c>
      <c r="Q2223" s="90">
        <v>576.44741558003398</v>
      </c>
      <c r="R2223" s="90">
        <v>1300</v>
      </c>
      <c r="S2223" s="90" t="s">
        <v>387</v>
      </c>
      <c r="T2223" s="90">
        <v>1300</v>
      </c>
      <c r="U2223" s="90" t="s">
        <v>382</v>
      </c>
      <c r="V2223" s="90" t="s">
        <v>381</v>
      </c>
      <c r="Z2223" s="90">
        <v>0</v>
      </c>
      <c r="AA2223" s="90">
        <v>1</v>
      </c>
      <c r="AB2223" s="90">
        <v>1.54927527171334</v>
      </c>
      <c r="AC2223" s="90">
        <v>0.26632023452223003</v>
      </c>
      <c r="AD2223" s="90">
        <v>576.44741558003398</v>
      </c>
      <c r="AF2223" s="90">
        <v>-1</v>
      </c>
      <c r="AG2223" s="90">
        <v>-1</v>
      </c>
      <c r="AH2223" s="90">
        <v>-1</v>
      </c>
      <c r="AI2223" s="90">
        <v>-1</v>
      </c>
      <c r="AJ2223" s="90">
        <v>0</v>
      </c>
      <c r="AM2223" s="90" t="s">
        <v>379</v>
      </c>
      <c r="AN2223" s="90">
        <v>-1</v>
      </c>
      <c r="AQ2223" s="90">
        <v>358</v>
      </c>
      <c r="AR2223" s="90" t="s">
        <v>422</v>
      </c>
      <c r="AS2223" s="90" t="s">
        <v>250</v>
      </c>
      <c r="AT2223" s="90" t="s">
        <v>244</v>
      </c>
      <c r="AU2223" s="90">
        <v>86.412649999999999</v>
      </c>
      <c r="AV2223" s="90">
        <v>127.783409122248</v>
      </c>
      <c r="AW2223" s="90">
        <v>624.70409549111105</v>
      </c>
      <c r="AX2223" s="90">
        <v>0.46751615210000003</v>
      </c>
    </row>
    <row r="2224" spans="1:50" x14ac:dyDescent="0.25">
      <c r="A2224" s="102">
        <v>830000</v>
      </c>
      <c r="B2224" s="102">
        <v>2400000</v>
      </c>
      <c r="C2224" s="102">
        <v>2400000</v>
      </c>
      <c r="D2224" s="90" t="s">
        <v>374</v>
      </c>
      <c r="E2224" s="90" t="s">
        <v>68</v>
      </c>
      <c r="F2224" s="90" t="s">
        <v>375</v>
      </c>
      <c r="G2224" s="90" t="s">
        <v>376</v>
      </c>
      <c r="H2224" s="90">
        <v>0.59</v>
      </c>
      <c r="I2224" s="90">
        <v>0.64</v>
      </c>
      <c r="J2224" s="90" t="s">
        <v>244</v>
      </c>
      <c r="K2224" s="90">
        <v>4.2787071706249999E-2</v>
      </c>
      <c r="L2224" s="90">
        <v>3734.2478507076298</v>
      </c>
      <c r="M2224" s="90">
        <v>10.036262974184099</v>
      </c>
      <c r="N2224" s="90">
        <v>1.72523240886408</v>
      </c>
      <c r="O2224" s="90">
        <v>0.42942230353928001</v>
      </c>
      <c r="P2224" s="90">
        <v>7.3817642788030005E-2</v>
      </c>
      <c r="Q2224" s="90">
        <v>159.77753055717</v>
      </c>
      <c r="R2224" s="90">
        <v>1210</v>
      </c>
      <c r="S2224" s="90" t="s">
        <v>385</v>
      </c>
      <c r="T2224" s="90">
        <v>1210</v>
      </c>
      <c r="U2224" s="90" t="s">
        <v>378</v>
      </c>
      <c r="V2224" s="90" t="s">
        <v>244</v>
      </c>
      <c r="Z2224" s="90">
        <v>0</v>
      </c>
      <c r="AA2224" s="90">
        <v>1</v>
      </c>
      <c r="AB2224" s="90">
        <v>0.42942230353928001</v>
      </c>
      <c r="AC2224" s="90">
        <v>7.3817642788030005E-2</v>
      </c>
      <c r="AD2224" s="90">
        <v>159.77753055717201</v>
      </c>
      <c r="AF2224" s="90">
        <v>-1</v>
      </c>
      <c r="AG2224" s="90">
        <v>-1</v>
      </c>
      <c r="AH2224" s="90">
        <v>-1</v>
      </c>
      <c r="AI2224" s="90">
        <v>-1</v>
      </c>
      <c r="AJ2224" s="90">
        <v>0</v>
      </c>
      <c r="AM2224" s="90" t="s">
        <v>379</v>
      </c>
      <c r="AN2224" s="90">
        <v>-1</v>
      </c>
      <c r="AQ2224" s="90">
        <v>358</v>
      </c>
      <c r="AR2224" s="90" t="s">
        <v>422</v>
      </c>
      <c r="AS2224" s="90" t="s">
        <v>250</v>
      </c>
      <c r="AT2224" s="90" t="s">
        <v>244</v>
      </c>
      <c r="AU2224" s="90">
        <v>86.412649999999999</v>
      </c>
      <c r="AV2224" s="90">
        <v>53.029849599612398</v>
      </c>
      <c r="AW2224" s="90">
        <v>173.15313593016501</v>
      </c>
      <c r="AX2224" s="90">
        <v>0.12958437189999999</v>
      </c>
    </row>
    <row r="2225" spans="1:50" x14ac:dyDescent="0.25">
      <c r="A2225" s="102">
        <v>830000</v>
      </c>
      <c r="B2225" s="102">
        <v>2400000</v>
      </c>
      <c r="C2225" s="102">
        <v>2400000</v>
      </c>
      <c r="D2225" s="90" t="s">
        <v>374</v>
      </c>
      <c r="E2225" s="90" t="s">
        <v>68</v>
      </c>
      <c r="F2225" s="90" t="s">
        <v>375</v>
      </c>
      <c r="G2225" s="90" t="s">
        <v>376</v>
      </c>
      <c r="H2225" s="90">
        <v>0.59</v>
      </c>
      <c r="I2225" s="90">
        <v>0.64</v>
      </c>
      <c r="J2225" s="90" t="s">
        <v>244</v>
      </c>
      <c r="K2225" s="90">
        <v>7.7598447977150001E-2</v>
      </c>
      <c r="L2225" s="90">
        <v>3734.2478507076298</v>
      </c>
      <c r="M2225" s="90">
        <v>10.036262974184099</v>
      </c>
      <c r="N2225" s="90">
        <v>1.72523240886408</v>
      </c>
      <c r="O2225" s="90">
        <v>0.77879843028724005</v>
      </c>
      <c r="P2225" s="90">
        <v>0.13387535732773001</v>
      </c>
      <c r="Q2225" s="90">
        <v>289.771837576927</v>
      </c>
      <c r="R2225" s="90">
        <v>1300</v>
      </c>
      <c r="S2225" s="90" t="s">
        <v>387</v>
      </c>
      <c r="T2225" s="90">
        <v>1300</v>
      </c>
      <c r="U2225" s="90" t="s">
        <v>378</v>
      </c>
      <c r="V2225" s="90" t="s">
        <v>244</v>
      </c>
      <c r="Z2225" s="90">
        <v>0</v>
      </c>
      <c r="AA2225" s="90">
        <v>1</v>
      </c>
      <c r="AB2225" s="90">
        <v>0.77879843028724005</v>
      </c>
      <c r="AC2225" s="90">
        <v>0.13387535732773001</v>
      </c>
      <c r="AD2225" s="90">
        <v>289.77183757692598</v>
      </c>
      <c r="AF2225" s="90">
        <v>-1</v>
      </c>
      <c r="AG2225" s="90">
        <v>-1</v>
      </c>
      <c r="AH2225" s="90">
        <v>-1</v>
      </c>
      <c r="AI2225" s="90">
        <v>-1</v>
      </c>
      <c r="AJ2225" s="90">
        <v>0</v>
      </c>
      <c r="AM2225" s="90" t="s">
        <v>379</v>
      </c>
      <c r="AN2225" s="90">
        <v>-1</v>
      </c>
      <c r="AQ2225" s="90">
        <v>358</v>
      </c>
      <c r="AR2225" s="90" t="s">
        <v>422</v>
      </c>
      <c r="AS2225" s="90" t="s">
        <v>250</v>
      </c>
      <c r="AT2225" s="90" t="s">
        <v>244</v>
      </c>
      <c r="AU2225" s="90">
        <v>86.412649999999999</v>
      </c>
      <c r="AV2225" s="90">
        <v>73.3442573758104</v>
      </c>
      <c r="AW2225" s="90">
        <v>314.02977756460803</v>
      </c>
      <c r="AX2225" s="90">
        <v>0.2350136558</v>
      </c>
    </row>
    <row r="2226" spans="1:50" x14ac:dyDescent="0.25">
      <c r="A2226" s="102">
        <v>830000</v>
      </c>
      <c r="B2226" s="102">
        <v>2400000</v>
      </c>
      <c r="C2226" s="102">
        <v>2400000</v>
      </c>
      <c r="D2226" s="90" t="s">
        <v>374</v>
      </c>
      <c r="E2226" s="90" t="s">
        <v>68</v>
      </c>
      <c r="F2226" s="90" t="s">
        <v>375</v>
      </c>
      <c r="G2226" s="90" t="s">
        <v>376</v>
      </c>
      <c r="H2226" s="90">
        <v>0.59</v>
      </c>
      <c r="I2226" s="90">
        <v>0.64</v>
      </c>
      <c r="J2226" s="90" t="s">
        <v>244</v>
      </c>
      <c r="K2226" s="90">
        <v>2.292259509992E-2</v>
      </c>
      <c r="L2226" s="90">
        <v>3734.2478507076298</v>
      </c>
      <c r="M2226" s="90">
        <v>10.036262974184099</v>
      </c>
      <c r="N2226" s="90">
        <v>1.72523240886408</v>
      </c>
      <c r="O2226" s="90">
        <v>0.23005719247359999</v>
      </c>
      <c r="P2226" s="90">
        <v>3.954680396166E-2</v>
      </c>
      <c r="Q2226" s="90">
        <v>85.5986514845399</v>
      </c>
      <c r="R2226" s="90">
        <v>1210</v>
      </c>
      <c r="S2226" s="90" t="s">
        <v>385</v>
      </c>
      <c r="T2226" s="90">
        <v>1210</v>
      </c>
      <c r="U2226" s="90" t="s">
        <v>378</v>
      </c>
      <c r="V2226" s="90" t="s">
        <v>244</v>
      </c>
      <c r="Z2226" s="90">
        <v>0</v>
      </c>
      <c r="AA2226" s="90">
        <v>1</v>
      </c>
      <c r="AB2226" s="90">
        <v>0.23005719247359999</v>
      </c>
      <c r="AC2226" s="90">
        <v>3.954680396166E-2</v>
      </c>
      <c r="AD2226" s="90">
        <v>85.5986514845399</v>
      </c>
      <c r="AF2226" s="90">
        <v>-1</v>
      </c>
      <c r="AG2226" s="90">
        <v>-1</v>
      </c>
      <c r="AH2226" s="90">
        <v>-1</v>
      </c>
      <c r="AI2226" s="90">
        <v>-1</v>
      </c>
      <c r="AJ2226" s="90">
        <v>0</v>
      </c>
      <c r="AM2226" s="90" t="s">
        <v>379</v>
      </c>
      <c r="AN2226" s="90">
        <v>-1</v>
      </c>
      <c r="AQ2226" s="90">
        <v>358</v>
      </c>
      <c r="AR2226" s="90" t="s">
        <v>422</v>
      </c>
      <c r="AS2226" s="90" t="s">
        <v>250</v>
      </c>
      <c r="AT2226" s="90" t="s">
        <v>244</v>
      </c>
      <c r="AU2226" s="90">
        <v>86.412649999999999</v>
      </c>
      <c r="AV2226" s="90">
        <v>44.296126960687403</v>
      </c>
      <c r="AW2226" s="90">
        <v>92.764451198210196</v>
      </c>
      <c r="AX2226" s="90">
        <v>6.9423075000000001E-2</v>
      </c>
    </row>
    <row r="2227" spans="1:50" x14ac:dyDescent="0.25">
      <c r="A2227" s="102">
        <v>830000</v>
      </c>
      <c r="B2227" s="102">
        <v>2400000</v>
      </c>
      <c r="C2227" s="102">
        <v>2400000</v>
      </c>
      <c r="D2227" s="90" t="s">
        <v>374</v>
      </c>
      <c r="E2227" s="90" t="s">
        <v>68</v>
      </c>
      <c r="F2227" s="90" t="s">
        <v>375</v>
      </c>
      <c r="G2227" s="90" t="s">
        <v>376</v>
      </c>
      <c r="H2227" s="90">
        <v>0.59</v>
      </c>
      <c r="I2227" s="90">
        <v>0.64</v>
      </c>
      <c r="J2227" s="90" t="s">
        <v>381</v>
      </c>
      <c r="K2227" s="90">
        <v>1.8719755064999999E-4</v>
      </c>
      <c r="L2227" s="90">
        <v>3734.2478507076298</v>
      </c>
      <c r="M2227" s="90">
        <v>10.036262974184099</v>
      </c>
      <c r="N2227" s="90">
        <v>1.72523240886408</v>
      </c>
      <c r="O2227" s="90">
        <v>1.8787638464600001E-3</v>
      </c>
      <c r="P2227" s="90">
        <v>3.2295928123999998E-4</v>
      </c>
      <c r="Q2227" s="90">
        <v>0.69904205117995999</v>
      </c>
      <c r="R2227" s="90">
        <v>1210</v>
      </c>
      <c r="S2227" s="90" t="s">
        <v>385</v>
      </c>
      <c r="T2227" s="90">
        <v>1210</v>
      </c>
      <c r="U2227" s="90" t="s">
        <v>382</v>
      </c>
      <c r="V2227" s="90" t="s">
        <v>381</v>
      </c>
      <c r="Z2227" s="90">
        <v>0</v>
      </c>
      <c r="AA2227" s="90">
        <v>1</v>
      </c>
      <c r="AB2227" s="90">
        <v>1.8787638464600001E-3</v>
      </c>
      <c r="AC2227" s="90">
        <v>3.2295928123999998E-4</v>
      </c>
      <c r="AD2227" s="90">
        <v>0.69904205117869</v>
      </c>
      <c r="AF2227" s="90">
        <v>-1</v>
      </c>
      <c r="AG2227" s="90">
        <v>-1</v>
      </c>
      <c r="AH2227" s="90">
        <v>-1</v>
      </c>
      <c r="AI2227" s="90">
        <v>-1</v>
      </c>
      <c r="AJ2227" s="90">
        <v>0</v>
      </c>
      <c r="AM2227" s="90" t="s">
        <v>379</v>
      </c>
      <c r="AN2227" s="90">
        <v>-1</v>
      </c>
      <c r="AQ2227" s="90">
        <v>358</v>
      </c>
      <c r="AR2227" s="90" t="s">
        <v>422</v>
      </c>
      <c r="AS2227" s="90" t="s">
        <v>250</v>
      </c>
      <c r="AT2227" s="90" t="s">
        <v>244</v>
      </c>
      <c r="AU2227" s="90">
        <v>86.412649999999999</v>
      </c>
      <c r="AV2227" s="90">
        <v>10.8164240464901</v>
      </c>
      <c r="AW2227" s="90">
        <v>0.75756161011221002</v>
      </c>
      <c r="AX2227" s="90">
        <v>5.6694410000000003E-4</v>
      </c>
    </row>
    <row r="2228" spans="1:50" x14ac:dyDescent="0.25">
      <c r="A2228" s="102">
        <v>830000</v>
      </c>
      <c r="B2228" s="102">
        <v>2400000</v>
      </c>
      <c r="C2228" s="102">
        <v>2400000</v>
      </c>
      <c r="D2228" s="90" t="s">
        <v>374</v>
      </c>
      <c r="E2228" s="90" t="s">
        <v>68</v>
      </c>
      <c r="F2228" s="90" t="s">
        <v>375</v>
      </c>
      <c r="G2228" s="90" t="s">
        <v>376</v>
      </c>
      <c r="H2228" s="90">
        <v>0.59</v>
      </c>
      <c r="I2228" s="90">
        <v>0.64</v>
      </c>
      <c r="J2228" s="90" t="s">
        <v>244</v>
      </c>
      <c r="K2228" s="90">
        <v>0.13393216357990001</v>
      </c>
      <c r="L2228" s="90">
        <v>3734.2478507076298</v>
      </c>
      <c r="M2228" s="90">
        <v>10.036262974184099</v>
      </c>
      <c r="N2228" s="90">
        <v>1.72523240886408</v>
      </c>
      <c r="O2228" s="90">
        <v>1.34417841438934</v>
      </c>
      <c r="P2228" s="90">
        <v>0.23106410919733</v>
      </c>
      <c r="Q2228" s="90">
        <v>500.13589398887098</v>
      </c>
      <c r="R2228" s="90">
        <v>1210</v>
      </c>
      <c r="S2228" s="90" t="s">
        <v>385</v>
      </c>
      <c r="T2228" s="90">
        <v>1210</v>
      </c>
      <c r="U2228" s="90" t="s">
        <v>378</v>
      </c>
      <c r="V2228" s="90" t="s">
        <v>244</v>
      </c>
      <c r="Z2228" s="90">
        <v>0</v>
      </c>
      <c r="AA2228" s="90">
        <v>1</v>
      </c>
      <c r="AB2228" s="90">
        <v>1.34417841438934</v>
      </c>
      <c r="AC2228" s="90">
        <v>0.23106410919733</v>
      </c>
      <c r="AD2228" s="90">
        <v>500.13589398887098</v>
      </c>
      <c r="AF2228" s="90">
        <v>-1</v>
      </c>
      <c r="AG2228" s="90">
        <v>-1</v>
      </c>
      <c r="AH2228" s="90">
        <v>-1</v>
      </c>
      <c r="AI2228" s="90">
        <v>-1</v>
      </c>
      <c r="AJ2228" s="90">
        <v>0</v>
      </c>
      <c r="AM2228" s="90" t="s">
        <v>379</v>
      </c>
      <c r="AN2228" s="90">
        <v>-1</v>
      </c>
      <c r="AQ2228" s="90">
        <v>358</v>
      </c>
      <c r="AR2228" s="90" t="s">
        <v>422</v>
      </c>
      <c r="AS2228" s="90" t="s">
        <v>250</v>
      </c>
      <c r="AT2228" s="90" t="s">
        <v>244</v>
      </c>
      <c r="AU2228" s="90">
        <v>86.412649999999999</v>
      </c>
      <c r="AV2228" s="90">
        <v>96.674138699303398</v>
      </c>
      <c r="AW2228" s="90">
        <v>542.00423634925403</v>
      </c>
      <c r="AX2228" s="90">
        <v>0.40562521820000003</v>
      </c>
    </row>
    <row r="2229" spans="1:50" x14ac:dyDescent="0.25">
      <c r="A2229" s="102">
        <v>830000</v>
      </c>
      <c r="B2229" s="102">
        <v>2400000</v>
      </c>
      <c r="C2229" s="102">
        <v>2400000</v>
      </c>
      <c r="D2229" s="90" t="s">
        <v>374</v>
      </c>
      <c r="E2229" s="90" t="s">
        <v>68</v>
      </c>
      <c r="F2229" s="90" t="s">
        <v>375</v>
      </c>
      <c r="G2229" s="90" t="s">
        <v>376</v>
      </c>
      <c r="H2229" s="90">
        <v>0.59</v>
      </c>
      <c r="I2229" s="90">
        <v>0.64</v>
      </c>
      <c r="J2229" s="90" t="s">
        <v>381</v>
      </c>
      <c r="K2229" s="90">
        <v>1.0833736877699999E-3</v>
      </c>
      <c r="L2229" s="90">
        <v>3734.2478507076298</v>
      </c>
      <c r="M2229" s="90">
        <v>10.036262974184099</v>
      </c>
      <c r="N2229" s="90">
        <v>1.72523240886408</v>
      </c>
      <c r="O2229" s="90">
        <v>1.0873023229849999E-2</v>
      </c>
      <c r="P2229" s="90">
        <v>1.86907139706E-3</v>
      </c>
      <c r="Q2229" s="90">
        <v>4.0455858650981904</v>
      </c>
      <c r="R2229" s="90">
        <v>1210</v>
      </c>
      <c r="S2229" s="90" t="s">
        <v>385</v>
      </c>
      <c r="T2229" s="90">
        <v>1210</v>
      </c>
      <c r="U2229" s="90" t="s">
        <v>382</v>
      </c>
      <c r="V2229" s="90" t="s">
        <v>381</v>
      </c>
      <c r="Z2229" s="90">
        <v>0</v>
      </c>
      <c r="AA2229" s="90">
        <v>1</v>
      </c>
      <c r="AB2229" s="90">
        <v>1.0873023229849999E-2</v>
      </c>
      <c r="AC2229" s="90">
        <v>1.86907139706E-3</v>
      </c>
      <c r="AD2229" s="90">
        <v>4.0455858650991603</v>
      </c>
      <c r="AF2229" s="90">
        <v>-1</v>
      </c>
      <c r="AG2229" s="90">
        <v>-1</v>
      </c>
      <c r="AH2229" s="90">
        <v>-1</v>
      </c>
      <c r="AI2229" s="90">
        <v>-1</v>
      </c>
      <c r="AJ2229" s="90">
        <v>0</v>
      </c>
      <c r="AM2229" s="90" t="s">
        <v>379</v>
      </c>
      <c r="AN2229" s="90">
        <v>-1</v>
      </c>
      <c r="AQ2229" s="90">
        <v>358</v>
      </c>
      <c r="AR2229" s="90" t="s">
        <v>422</v>
      </c>
      <c r="AS2229" s="90" t="s">
        <v>250</v>
      </c>
      <c r="AT2229" s="90" t="s">
        <v>244</v>
      </c>
      <c r="AU2229" s="90">
        <v>86.412649999999999</v>
      </c>
      <c r="AV2229" s="90">
        <v>61.325138923943904</v>
      </c>
      <c r="AW2229" s="90">
        <v>4.38425776624464</v>
      </c>
      <c r="AX2229" s="90">
        <v>3.2810915E-3</v>
      </c>
    </row>
    <row r="2230" spans="1:50" x14ac:dyDescent="0.25">
      <c r="A2230" s="102">
        <v>830000</v>
      </c>
      <c r="B2230" s="102">
        <v>2400000</v>
      </c>
      <c r="C2230" s="102">
        <v>2400000</v>
      </c>
      <c r="D2230" s="90" t="s">
        <v>374</v>
      </c>
      <c r="E2230" s="90" t="s">
        <v>68</v>
      </c>
      <c r="F2230" s="90" t="s">
        <v>375</v>
      </c>
      <c r="G2230" s="90" t="s">
        <v>376</v>
      </c>
      <c r="H2230" s="90">
        <v>0.59</v>
      </c>
      <c r="I2230" s="90">
        <v>0.64</v>
      </c>
      <c r="J2230" s="90" t="s">
        <v>244</v>
      </c>
      <c r="K2230" s="90">
        <v>6.10170965439E-3</v>
      </c>
      <c r="L2230" s="90">
        <v>3734.2478507076298</v>
      </c>
      <c r="M2230" s="90">
        <v>10.036262974184099</v>
      </c>
      <c r="N2230" s="90">
        <v>1.72523240886408</v>
      </c>
      <c r="O2230" s="90">
        <v>6.1238362683569997E-2</v>
      </c>
      <c r="P2230" s="90">
        <v>1.052686724523E-2</v>
      </c>
      <c r="Q2230" s="90">
        <v>22.785296162547802</v>
      </c>
      <c r="R2230" s="90">
        <v>1340</v>
      </c>
      <c r="S2230" s="90" t="s">
        <v>407</v>
      </c>
      <c r="T2230" s="90">
        <v>1340</v>
      </c>
      <c r="U2230" s="90" t="s">
        <v>378</v>
      </c>
      <c r="V2230" s="90" t="s">
        <v>244</v>
      </c>
      <c r="Z2230" s="90">
        <v>0</v>
      </c>
      <c r="AA2230" s="90">
        <v>1</v>
      </c>
      <c r="AB2230" s="90">
        <v>6.1238362683569997E-2</v>
      </c>
      <c r="AC2230" s="90">
        <v>1.052686724523E-2</v>
      </c>
      <c r="AD2230" s="90">
        <v>22.785296162549098</v>
      </c>
      <c r="AF2230" s="90">
        <v>-1</v>
      </c>
      <c r="AG2230" s="90">
        <v>-1</v>
      </c>
      <c r="AH2230" s="90">
        <v>-1</v>
      </c>
      <c r="AI2230" s="90">
        <v>-1</v>
      </c>
      <c r="AJ2230" s="90">
        <v>0</v>
      </c>
      <c r="AM2230" s="90" t="s">
        <v>379</v>
      </c>
      <c r="AN2230" s="90">
        <v>-1</v>
      </c>
      <c r="AQ2230" s="90">
        <v>358</v>
      </c>
      <c r="AR2230" s="90" t="s">
        <v>422</v>
      </c>
      <c r="AS2230" s="90" t="s">
        <v>250</v>
      </c>
      <c r="AT2230" s="90" t="s">
        <v>244</v>
      </c>
      <c r="AU2230" s="90">
        <v>86.412649999999999</v>
      </c>
      <c r="AV2230" s="90">
        <v>23.300055323303202</v>
      </c>
      <c r="AW2230" s="90">
        <v>24.692742902489599</v>
      </c>
      <c r="AX2230" s="90">
        <v>1.8479558900000002E-2</v>
      </c>
    </row>
    <row r="2231" spans="1:50" x14ac:dyDescent="0.25">
      <c r="A2231" s="102">
        <v>830000</v>
      </c>
      <c r="B2231" s="102">
        <v>2400000</v>
      </c>
      <c r="C2231" s="102">
        <v>2400000</v>
      </c>
      <c r="D2231" s="90" t="s">
        <v>374</v>
      </c>
      <c r="E2231" s="90" t="s">
        <v>68</v>
      </c>
      <c r="F2231" s="90" t="s">
        <v>375</v>
      </c>
      <c r="G2231" s="90" t="s">
        <v>376</v>
      </c>
      <c r="H2231" s="90">
        <v>0.59</v>
      </c>
      <c r="I2231" s="90">
        <v>0.64</v>
      </c>
      <c r="J2231" s="90" t="s">
        <v>244</v>
      </c>
      <c r="K2231" s="90">
        <v>0.45307599987898001</v>
      </c>
      <c r="L2231" s="90">
        <v>3779.8564062927298</v>
      </c>
      <c r="M2231" s="90">
        <v>11.6128504088834</v>
      </c>
      <c r="N2231" s="90">
        <v>1.53319680449746</v>
      </c>
      <c r="O2231" s="90">
        <v>5.2615038104499003</v>
      </c>
      <c r="P2231" s="90">
        <v>0.69465467520893998</v>
      </c>
      <c r="Q2231" s="90">
        <v>1712.5622206800499</v>
      </c>
      <c r="R2231" s="90">
        <v>1400</v>
      </c>
      <c r="S2231" s="90" t="s">
        <v>324</v>
      </c>
      <c r="T2231" s="90">
        <v>1400</v>
      </c>
      <c r="U2231" s="90" t="s">
        <v>378</v>
      </c>
      <c r="V2231" s="90" t="s">
        <v>244</v>
      </c>
      <c r="Z2231" s="90">
        <v>0</v>
      </c>
      <c r="AA2231" s="90">
        <v>1</v>
      </c>
      <c r="AB2231" s="90">
        <v>5.2615038104499003</v>
      </c>
      <c r="AC2231" s="90">
        <v>0.69465467520893998</v>
      </c>
      <c r="AD2231" s="90">
        <v>1712.5622206800499</v>
      </c>
      <c r="AF2231" s="90">
        <v>-1</v>
      </c>
      <c r="AG2231" s="90">
        <v>-1</v>
      </c>
      <c r="AH2231" s="90">
        <v>-1</v>
      </c>
      <c r="AI2231" s="90">
        <v>-1</v>
      </c>
      <c r="AJ2231" s="90">
        <v>0</v>
      </c>
      <c r="AM2231" s="90" t="s">
        <v>379</v>
      </c>
      <c r="AN2231" s="90">
        <v>-1</v>
      </c>
      <c r="AQ2231" s="90">
        <v>358</v>
      </c>
      <c r="AR2231" s="90" t="s">
        <v>422</v>
      </c>
      <c r="AS2231" s="90" t="s">
        <v>250</v>
      </c>
      <c r="AT2231" s="90" t="s">
        <v>244</v>
      </c>
      <c r="AU2231" s="90">
        <v>86.412649999999999</v>
      </c>
      <c r="AV2231" s="90">
        <v>173.34505775402101</v>
      </c>
      <c r="AW2231" s="90">
        <v>1833.5335199455601</v>
      </c>
      <c r="AX2231" s="90">
        <v>1.3889393516999999</v>
      </c>
    </row>
    <row r="2232" spans="1:50" x14ac:dyDescent="0.25">
      <c r="A2232" s="102">
        <v>830000</v>
      </c>
      <c r="B2232" s="102">
        <v>2400000</v>
      </c>
      <c r="C2232" s="102">
        <v>2400000</v>
      </c>
      <c r="D2232" s="90" t="s">
        <v>374</v>
      </c>
      <c r="E2232" s="90" t="s">
        <v>68</v>
      </c>
      <c r="F2232" s="90" t="s">
        <v>375</v>
      </c>
      <c r="G2232" s="90" t="s">
        <v>376</v>
      </c>
      <c r="H2232" s="90">
        <v>0.59</v>
      </c>
      <c r="I2232" s="90">
        <v>0.64</v>
      </c>
      <c r="J2232" s="90" t="s">
        <v>381</v>
      </c>
      <c r="K2232" s="90">
        <v>0.16468745390399001</v>
      </c>
      <c r="L2232" s="90">
        <v>3779.8564062927298</v>
      </c>
      <c r="M2232" s="90">
        <v>11.6128504088834</v>
      </c>
      <c r="N2232" s="90">
        <v>1.53319680449746</v>
      </c>
      <c r="O2232" s="90">
        <v>1.9124907664070201</v>
      </c>
      <c r="P2232" s="90">
        <v>0.25249827806642999</v>
      </c>
      <c r="Q2232" s="90">
        <v>622.49492767507002</v>
      </c>
      <c r="R2232" s="90">
        <v>1400</v>
      </c>
      <c r="S2232" s="90" t="s">
        <v>324</v>
      </c>
      <c r="T2232" s="90">
        <v>1400</v>
      </c>
      <c r="U2232" s="90" t="s">
        <v>382</v>
      </c>
      <c r="V2232" s="90" t="s">
        <v>381</v>
      </c>
      <c r="Z2232" s="90">
        <v>0</v>
      </c>
      <c r="AA2232" s="90">
        <v>1</v>
      </c>
      <c r="AB2232" s="90">
        <v>1.9124907664070201</v>
      </c>
      <c r="AC2232" s="90">
        <v>0.25249827806642999</v>
      </c>
      <c r="AD2232" s="90">
        <v>622.49492767507002</v>
      </c>
      <c r="AF2232" s="90">
        <v>-1</v>
      </c>
      <c r="AG2232" s="90">
        <v>-1</v>
      </c>
      <c r="AH2232" s="90">
        <v>-1</v>
      </c>
      <c r="AI2232" s="90">
        <v>-1</v>
      </c>
      <c r="AJ2232" s="90">
        <v>0</v>
      </c>
      <c r="AM2232" s="90" t="s">
        <v>379</v>
      </c>
      <c r="AN2232" s="90">
        <v>-1</v>
      </c>
      <c r="AQ2232" s="90">
        <v>358</v>
      </c>
      <c r="AR2232" s="90" t="s">
        <v>422</v>
      </c>
      <c r="AS2232" s="90" t="s">
        <v>250</v>
      </c>
      <c r="AT2232" s="90" t="s">
        <v>244</v>
      </c>
      <c r="AU2232" s="90">
        <v>86.412649999999999</v>
      </c>
      <c r="AV2232" s="90">
        <v>126.69902760366701</v>
      </c>
      <c r="AW2232" s="90">
        <v>666.46648052010005</v>
      </c>
      <c r="AX2232" s="90">
        <v>0.50486206619999996</v>
      </c>
    </row>
    <row r="2233" spans="1:50" x14ac:dyDescent="0.25">
      <c r="A2233" s="102">
        <v>830000</v>
      </c>
      <c r="B2233" s="102">
        <v>2400000</v>
      </c>
      <c r="C2233" s="102">
        <v>2400000</v>
      </c>
      <c r="D2233" s="90" t="s">
        <v>374</v>
      </c>
      <c r="E2233" s="90" t="s">
        <v>68</v>
      </c>
      <c r="F2233" s="90" t="s">
        <v>375</v>
      </c>
      <c r="G2233" s="90" t="s">
        <v>376</v>
      </c>
      <c r="H2233" s="90">
        <v>0.59</v>
      </c>
      <c r="I2233" s="90">
        <v>0.64</v>
      </c>
      <c r="J2233" s="90" t="s">
        <v>244</v>
      </c>
      <c r="K2233" s="90">
        <v>9.5885091530200001E-2</v>
      </c>
      <c r="L2233" s="90">
        <v>3732.0426686706601</v>
      </c>
      <c r="M2233" s="90">
        <v>9.9427544770995198</v>
      </c>
      <c r="N2233" s="90">
        <v>1.6815567378901699</v>
      </c>
      <c r="O2233" s="90">
        <v>0.95336192309907997</v>
      </c>
      <c r="P2233" s="90">
        <v>0.16123622172582999</v>
      </c>
      <c r="Q2233" s="90">
        <v>357.84725288013198</v>
      </c>
      <c r="R2233" s="90">
        <v>1200</v>
      </c>
      <c r="S2233" s="90" t="s">
        <v>384</v>
      </c>
      <c r="T2233" s="90">
        <v>1200</v>
      </c>
      <c r="U2233" s="90" t="s">
        <v>378</v>
      </c>
      <c r="V2233" s="90" t="s">
        <v>244</v>
      </c>
      <c r="Z2233" s="90">
        <v>0</v>
      </c>
      <c r="AA2233" s="90">
        <v>1</v>
      </c>
      <c r="AB2233" s="90">
        <v>0.95336192309907997</v>
      </c>
      <c r="AC2233" s="90">
        <v>0.16123622172582999</v>
      </c>
      <c r="AD2233" s="90">
        <v>357.84725288013198</v>
      </c>
      <c r="AF2233" s="90">
        <v>-1</v>
      </c>
      <c r="AG2233" s="90">
        <v>-1</v>
      </c>
      <c r="AH2233" s="90">
        <v>-1</v>
      </c>
      <c r="AI2233" s="90">
        <v>-1</v>
      </c>
      <c r="AJ2233" s="90">
        <v>0</v>
      </c>
      <c r="AM2233" s="90" t="s">
        <v>379</v>
      </c>
      <c r="AN2233" s="90">
        <v>-1</v>
      </c>
      <c r="AQ2233" s="90">
        <v>358</v>
      </c>
      <c r="AR2233" s="90" t="s">
        <v>422</v>
      </c>
      <c r="AS2233" s="90" t="s">
        <v>250</v>
      </c>
      <c r="AT2233" s="90" t="s">
        <v>244</v>
      </c>
      <c r="AU2233" s="90">
        <v>86.412649999999999</v>
      </c>
      <c r="AV2233" s="90">
        <v>123.44625290662</v>
      </c>
      <c r="AW2233" s="90">
        <v>388.033198471437</v>
      </c>
      <c r="AX2233" s="90">
        <v>0.29022486040000001</v>
      </c>
    </row>
    <row r="2234" spans="1:50" x14ac:dyDescent="0.25">
      <c r="A2234" s="102">
        <v>830000</v>
      </c>
      <c r="B2234" s="102">
        <v>2400000</v>
      </c>
      <c r="C2234" s="102">
        <v>2400000</v>
      </c>
      <c r="D2234" s="90" t="s">
        <v>374</v>
      </c>
      <c r="E2234" s="90" t="s">
        <v>68</v>
      </c>
      <c r="F2234" s="90" t="s">
        <v>375</v>
      </c>
      <c r="G2234" s="90" t="s">
        <v>376</v>
      </c>
      <c r="H2234" s="90">
        <v>0.59</v>
      </c>
      <c r="I2234" s="90">
        <v>0.64</v>
      </c>
      <c r="J2234" s="90" t="s">
        <v>244</v>
      </c>
      <c r="K2234" s="90">
        <v>0.1095178424898</v>
      </c>
      <c r="L2234" s="90">
        <v>3732.0426686706601</v>
      </c>
      <c r="M2234" s="90">
        <v>9.9427544770995198</v>
      </c>
      <c r="N2234" s="90">
        <v>1.6815567378901699</v>
      </c>
      <c r="O2234" s="90">
        <v>1.0889090187377799</v>
      </c>
      <c r="P2234" s="90">
        <v>0.18416046595791999</v>
      </c>
      <c r="Q2234" s="90">
        <v>408.725261152705</v>
      </c>
      <c r="R2234" s="90">
        <v>1300</v>
      </c>
      <c r="S2234" s="90" t="s">
        <v>387</v>
      </c>
      <c r="T2234" s="90">
        <v>1300</v>
      </c>
      <c r="U2234" s="90" t="s">
        <v>378</v>
      </c>
      <c r="V2234" s="90" t="s">
        <v>244</v>
      </c>
      <c r="Z2234" s="90">
        <v>0</v>
      </c>
      <c r="AA2234" s="90">
        <v>1</v>
      </c>
      <c r="AB2234" s="90">
        <v>1.0889090187377799</v>
      </c>
      <c r="AC2234" s="90">
        <v>0.18416046595791999</v>
      </c>
      <c r="AD2234" s="90">
        <v>408.725261152705</v>
      </c>
      <c r="AF2234" s="90">
        <v>-1</v>
      </c>
      <c r="AG2234" s="90">
        <v>-1</v>
      </c>
      <c r="AH2234" s="90">
        <v>-1</v>
      </c>
      <c r="AI2234" s="90">
        <v>-1</v>
      </c>
      <c r="AJ2234" s="90">
        <v>0</v>
      </c>
      <c r="AM2234" s="90" t="s">
        <v>379</v>
      </c>
      <c r="AN2234" s="90">
        <v>-1</v>
      </c>
      <c r="AQ2234" s="90">
        <v>358</v>
      </c>
      <c r="AR2234" s="90" t="s">
        <v>422</v>
      </c>
      <c r="AS2234" s="90" t="s">
        <v>250</v>
      </c>
      <c r="AT2234" s="90" t="s">
        <v>244</v>
      </c>
      <c r="AU2234" s="90">
        <v>86.412649999999999</v>
      </c>
      <c r="AV2234" s="90">
        <v>117.16855882177499</v>
      </c>
      <c r="AW2234" s="90">
        <v>443.20298424725701</v>
      </c>
      <c r="AX2234" s="90">
        <v>0.33148845189999998</v>
      </c>
    </row>
    <row r="2235" spans="1:50" x14ac:dyDescent="0.25">
      <c r="A2235" s="102">
        <v>830000</v>
      </c>
      <c r="B2235" s="102">
        <v>2400000</v>
      </c>
      <c r="C2235" s="102">
        <v>2400000</v>
      </c>
      <c r="D2235" s="90" t="s">
        <v>374</v>
      </c>
      <c r="E2235" s="90" t="s">
        <v>68</v>
      </c>
      <c r="F2235" s="90" t="s">
        <v>375</v>
      </c>
      <c r="G2235" s="90" t="s">
        <v>376</v>
      </c>
      <c r="H2235" s="90">
        <v>0.59</v>
      </c>
      <c r="I2235" s="90">
        <v>0.64</v>
      </c>
      <c r="J2235" s="90" t="s">
        <v>381</v>
      </c>
      <c r="K2235" s="90">
        <v>2.9658542216E-3</v>
      </c>
      <c r="L2235" s="90">
        <v>3732.0426686706601</v>
      </c>
      <c r="M2235" s="90">
        <v>9.9427544770995198</v>
      </c>
      <c r="N2235" s="90">
        <v>1.6815567378901699</v>
      </c>
      <c r="O2235" s="90">
        <v>2.948876034029E-2</v>
      </c>
      <c r="P2235" s="90">
        <v>4.9872521499399998E-3</v>
      </c>
      <c r="Q2235" s="90">
        <v>11.068694504090599</v>
      </c>
      <c r="R2235" s="90">
        <v>1300</v>
      </c>
      <c r="S2235" s="90" t="s">
        <v>387</v>
      </c>
      <c r="T2235" s="90">
        <v>1300</v>
      </c>
      <c r="U2235" s="90" t="s">
        <v>382</v>
      </c>
      <c r="V2235" s="90" t="s">
        <v>381</v>
      </c>
      <c r="Z2235" s="90">
        <v>0</v>
      </c>
      <c r="AA2235" s="90">
        <v>1</v>
      </c>
      <c r="AB2235" s="90">
        <v>2.948876034029E-2</v>
      </c>
      <c r="AC2235" s="90">
        <v>4.9872521499399998E-3</v>
      </c>
      <c r="AD2235" s="90">
        <v>11.0686945040922</v>
      </c>
      <c r="AF2235" s="90">
        <v>-1</v>
      </c>
      <c r="AG2235" s="90">
        <v>-1</v>
      </c>
      <c r="AH2235" s="90">
        <v>-1</v>
      </c>
      <c r="AI2235" s="90">
        <v>-1</v>
      </c>
      <c r="AJ2235" s="90">
        <v>0</v>
      </c>
      <c r="AM2235" s="90" t="s">
        <v>379</v>
      </c>
      <c r="AN2235" s="90">
        <v>-1</v>
      </c>
      <c r="AQ2235" s="90">
        <v>358</v>
      </c>
      <c r="AR2235" s="90" t="s">
        <v>422</v>
      </c>
      <c r="AS2235" s="90" t="s">
        <v>250</v>
      </c>
      <c r="AT2235" s="90" t="s">
        <v>244</v>
      </c>
      <c r="AU2235" s="90">
        <v>86.412649999999999</v>
      </c>
      <c r="AV2235" s="90">
        <v>42.474422721070098</v>
      </c>
      <c r="AW2235" s="90">
        <v>12.002386204610101</v>
      </c>
      <c r="AX2235" s="90">
        <v>8.9770434000000007E-3</v>
      </c>
    </row>
    <row r="2236" spans="1:50" x14ac:dyDescent="0.25">
      <c r="A2236" s="102">
        <v>830000</v>
      </c>
      <c r="B2236" s="102">
        <v>2400000</v>
      </c>
      <c r="C2236" s="102">
        <v>2400000</v>
      </c>
      <c r="D2236" s="90" t="s">
        <v>374</v>
      </c>
      <c r="E2236" s="90" t="s">
        <v>68</v>
      </c>
      <c r="F2236" s="90" t="s">
        <v>375</v>
      </c>
      <c r="G2236" s="90" t="s">
        <v>376</v>
      </c>
      <c r="H2236" s="90">
        <v>0.59</v>
      </c>
      <c r="I2236" s="90">
        <v>0.64</v>
      </c>
      <c r="J2236" s="90" t="s">
        <v>244</v>
      </c>
      <c r="K2236" s="90">
        <v>2.4307288675450001E-2</v>
      </c>
      <c r="L2236" s="90">
        <v>3732.0426686706601</v>
      </c>
      <c r="M2236" s="90">
        <v>9.9427544770995198</v>
      </c>
      <c r="N2236" s="90">
        <v>1.6815567378901699</v>
      </c>
      <c r="O2236" s="90">
        <v>0.24168140330405999</v>
      </c>
      <c r="P2236" s="90">
        <v>4.0874085052050001E-2</v>
      </c>
      <c r="Q2236" s="90">
        <v>90.715838496504503</v>
      </c>
      <c r="R2236" s="90">
        <v>1210</v>
      </c>
      <c r="S2236" s="90" t="s">
        <v>385</v>
      </c>
      <c r="T2236" s="90">
        <v>1210</v>
      </c>
      <c r="U2236" s="90" t="s">
        <v>378</v>
      </c>
      <c r="V2236" s="90" t="s">
        <v>244</v>
      </c>
      <c r="Z2236" s="90">
        <v>0</v>
      </c>
      <c r="AA2236" s="90">
        <v>1</v>
      </c>
      <c r="AB2236" s="90">
        <v>0.24168140330405999</v>
      </c>
      <c r="AC2236" s="90">
        <v>4.0874085052050001E-2</v>
      </c>
      <c r="AD2236" s="90">
        <v>90.715838496505597</v>
      </c>
      <c r="AF2236" s="90">
        <v>-1</v>
      </c>
      <c r="AG2236" s="90">
        <v>-1</v>
      </c>
      <c r="AH2236" s="90">
        <v>-1</v>
      </c>
      <c r="AI2236" s="90">
        <v>-1</v>
      </c>
      <c r="AJ2236" s="90">
        <v>0</v>
      </c>
      <c r="AM2236" s="90" t="s">
        <v>379</v>
      </c>
      <c r="AN2236" s="90">
        <v>-1</v>
      </c>
      <c r="AQ2236" s="90">
        <v>358</v>
      </c>
      <c r="AR2236" s="90" t="s">
        <v>422</v>
      </c>
      <c r="AS2236" s="90" t="s">
        <v>250</v>
      </c>
      <c r="AT2236" s="90" t="s">
        <v>244</v>
      </c>
      <c r="AU2236" s="90">
        <v>86.412649999999999</v>
      </c>
      <c r="AV2236" s="90">
        <v>50.063352901273902</v>
      </c>
      <c r="AW2236" s="90">
        <v>98.368107287409003</v>
      </c>
      <c r="AX2236" s="90">
        <v>7.35732672E-2</v>
      </c>
    </row>
    <row r="2237" spans="1:50" x14ac:dyDescent="0.25">
      <c r="A2237" s="102">
        <v>830000</v>
      </c>
      <c r="B2237" s="102">
        <v>2400000</v>
      </c>
      <c r="C2237" s="102">
        <v>2400000</v>
      </c>
      <c r="D2237" s="90" t="s">
        <v>374</v>
      </c>
      <c r="E2237" s="90" t="s">
        <v>68</v>
      </c>
      <c r="F2237" s="90" t="s">
        <v>375</v>
      </c>
      <c r="G2237" s="90" t="s">
        <v>376</v>
      </c>
      <c r="H2237" s="90">
        <v>0.59</v>
      </c>
      <c r="I2237" s="90">
        <v>0.64</v>
      </c>
      <c r="J2237" s="90" t="s">
        <v>244</v>
      </c>
      <c r="K2237" s="90">
        <v>2.010001445901E-2</v>
      </c>
      <c r="L2237" s="90">
        <v>3732.0426686706601</v>
      </c>
      <c r="M2237" s="90">
        <v>9.9427544770995198</v>
      </c>
      <c r="N2237" s="90">
        <v>1.6815567378901699</v>
      </c>
      <c r="O2237" s="90">
        <v>0.19984950875217</v>
      </c>
      <c r="P2237" s="90">
        <v>3.3799314745249998E-2</v>
      </c>
      <c r="Q2237" s="90">
        <v>75.014111601956202</v>
      </c>
      <c r="R2237" s="90">
        <v>1210</v>
      </c>
      <c r="S2237" s="90" t="s">
        <v>385</v>
      </c>
      <c r="T2237" s="90">
        <v>1210</v>
      </c>
      <c r="U2237" s="90" t="s">
        <v>378</v>
      </c>
      <c r="V2237" s="90" t="s">
        <v>244</v>
      </c>
      <c r="Z2237" s="90">
        <v>0</v>
      </c>
      <c r="AA2237" s="90">
        <v>1</v>
      </c>
      <c r="AB2237" s="90">
        <v>0.19984950875217</v>
      </c>
      <c r="AC2237" s="90">
        <v>3.3799314745249998E-2</v>
      </c>
      <c r="AD2237" s="90">
        <v>75.014111601954696</v>
      </c>
      <c r="AF2237" s="90">
        <v>-1</v>
      </c>
      <c r="AG2237" s="90">
        <v>-1</v>
      </c>
      <c r="AH2237" s="90">
        <v>-1</v>
      </c>
      <c r="AI2237" s="90">
        <v>-1</v>
      </c>
      <c r="AJ2237" s="90">
        <v>0</v>
      </c>
      <c r="AM2237" s="90" t="s">
        <v>379</v>
      </c>
      <c r="AN2237" s="90">
        <v>-1</v>
      </c>
      <c r="AQ2237" s="90">
        <v>358</v>
      </c>
      <c r="AR2237" s="90" t="s">
        <v>422</v>
      </c>
      <c r="AS2237" s="90" t="s">
        <v>250</v>
      </c>
      <c r="AT2237" s="90" t="s">
        <v>244</v>
      </c>
      <c r="AU2237" s="90">
        <v>86.412649999999999</v>
      </c>
      <c r="AV2237" s="90">
        <v>43.479142288174799</v>
      </c>
      <c r="AW2237" s="90">
        <v>81.341872603812206</v>
      </c>
      <c r="AX2237" s="90">
        <v>6.0838695499999998E-2</v>
      </c>
    </row>
    <row r="2238" spans="1:50" x14ac:dyDescent="0.25">
      <c r="A2238" s="102">
        <v>830000</v>
      </c>
      <c r="B2238" s="102">
        <v>2400000</v>
      </c>
      <c r="C2238" s="102">
        <v>2400000</v>
      </c>
      <c r="D2238" s="90" t="s">
        <v>374</v>
      </c>
      <c r="E2238" s="90" t="s">
        <v>68</v>
      </c>
      <c r="F2238" s="90" t="s">
        <v>375</v>
      </c>
      <c r="G2238" s="90" t="s">
        <v>376</v>
      </c>
      <c r="H2238" s="90">
        <v>0.59</v>
      </c>
      <c r="I2238" s="90">
        <v>0.64</v>
      </c>
      <c r="J2238" s="90" t="s">
        <v>244</v>
      </c>
      <c r="K2238" s="90">
        <v>0.12087581394827</v>
      </c>
      <c r="L2238" s="90">
        <v>3743.6912227973398</v>
      </c>
      <c r="M2238" s="90">
        <v>10.2396116376063</v>
      </c>
      <c r="N2238" s="90">
        <v>1.4718028344476599</v>
      </c>
      <c r="O2238" s="90">
        <v>1.2377213912098399</v>
      </c>
      <c r="P2238" s="90">
        <v>0.17790536558523001</v>
      </c>
      <c r="Q2238" s="90">
        <v>452.52172372662199</v>
      </c>
      <c r="R2238" s="90">
        <v>1200</v>
      </c>
      <c r="S2238" s="90" t="s">
        <v>384</v>
      </c>
      <c r="T2238" s="90">
        <v>1200</v>
      </c>
      <c r="U2238" s="90" t="s">
        <v>378</v>
      </c>
      <c r="V2238" s="90" t="s">
        <v>244</v>
      </c>
      <c r="Z2238" s="90">
        <v>0</v>
      </c>
      <c r="AA2238" s="90">
        <v>1</v>
      </c>
      <c r="AB2238" s="90">
        <v>1.2377213912098399</v>
      </c>
      <c r="AC2238" s="90">
        <v>0.17790536558523001</v>
      </c>
      <c r="AD2238" s="90">
        <v>452.52172372662199</v>
      </c>
      <c r="AF2238" s="90">
        <v>-1</v>
      </c>
      <c r="AG2238" s="90">
        <v>-1</v>
      </c>
      <c r="AH2238" s="90">
        <v>-1</v>
      </c>
      <c r="AI2238" s="90">
        <v>-1</v>
      </c>
      <c r="AJ2238" s="90">
        <v>0</v>
      </c>
      <c r="AM2238" s="90" t="s">
        <v>379</v>
      </c>
      <c r="AN2238" s="90">
        <v>-1</v>
      </c>
      <c r="AQ2238" s="90">
        <v>358</v>
      </c>
      <c r="AR2238" s="90" t="s">
        <v>422</v>
      </c>
      <c r="AS2238" s="90" t="s">
        <v>250</v>
      </c>
      <c r="AT2238" s="90" t="s">
        <v>244</v>
      </c>
      <c r="AU2238" s="90">
        <v>86.412649999999999</v>
      </c>
      <c r="AV2238" s="90">
        <v>102.44762457203601</v>
      </c>
      <c r="AW2238" s="90">
        <v>489.16706398938402</v>
      </c>
      <c r="AX2238" s="90">
        <v>0.36700869730000002</v>
      </c>
    </row>
    <row r="2239" spans="1:50" x14ac:dyDescent="0.25">
      <c r="A2239" s="102">
        <v>830000</v>
      </c>
      <c r="B2239" s="102">
        <v>2400000</v>
      </c>
      <c r="C2239" s="102">
        <v>2400000</v>
      </c>
      <c r="D2239" s="90" t="s">
        <v>374</v>
      </c>
      <c r="E2239" s="90" t="s">
        <v>68</v>
      </c>
      <c r="F2239" s="90" t="s">
        <v>375</v>
      </c>
      <c r="G2239" s="90" t="s">
        <v>376</v>
      </c>
      <c r="H2239" s="90">
        <v>0.59</v>
      </c>
      <c r="I2239" s="90">
        <v>0.64</v>
      </c>
      <c r="J2239" s="90" t="s">
        <v>244</v>
      </c>
      <c r="K2239" s="90">
        <v>3.5808352592799999E-3</v>
      </c>
      <c r="L2239" s="90">
        <v>3743.6912227973398</v>
      </c>
      <c r="M2239" s="90">
        <v>10.2396116376063</v>
      </c>
      <c r="N2239" s="90">
        <v>1.4718028344476599</v>
      </c>
      <c r="O2239" s="90">
        <v>3.6666362393320003E-2</v>
      </c>
      <c r="P2239" s="90">
        <v>5.2702834843E-3</v>
      </c>
      <c r="Q2239" s="90">
        <v>13.405541530468399</v>
      </c>
      <c r="R2239" s="90">
        <v>1300</v>
      </c>
      <c r="S2239" s="90" t="s">
        <v>387</v>
      </c>
      <c r="T2239" s="90">
        <v>1300</v>
      </c>
      <c r="U2239" s="90" t="s">
        <v>378</v>
      </c>
      <c r="V2239" s="90" t="s">
        <v>244</v>
      </c>
      <c r="Z2239" s="90">
        <v>0</v>
      </c>
      <c r="AA2239" s="90">
        <v>1</v>
      </c>
      <c r="AB2239" s="90">
        <v>3.6666362393320003E-2</v>
      </c>
      <c r="AC2239" s="90">
        <v>5.2702834843E-3</v>
      </c>
      <c r="AD2239" s="90">
        <v>134.65168977424401</v>
      </c>
      <c r="AF2239" s="90">
        <v>-1</v>
      </c>
      <c r="AG2239" s="90">
        <v>-1</v>
      </c>
      <c r="AH2239" s="90">
        <v>-1</v>
      </c>
      <c r="AI2239" s="90">
        <v>-1</v>
      </c>
      <c r="AJ2239" s="90">
        <v>0</v>
      </c>
      <c r="AM2239" s="90" t="s">
        <v>379</v>
      </c>
      <c r="AN2239" s="90">
        <v>-1</v>
      </c>
      <c r="AQ2239" s="90">
        <v>358</v>
      </c>
      <c r="AR2239" s="90" t="s">
        <v>422</v>
      </c>
      <c r="AS2239" s="90" t="s">
        <v>250</v>
      </c>
      <c r="AT2239" s="90" t="s">
        <v>244</v>
      </c>
      <c r="AU2239" s="90">
        <v>86.412649999999999</v>
      </c>
      <c r="AV2239" s="90">
        <v>27.6357952794577</v>
      </c>
      <c r="AW2239" s="90">
        <v>14.4911261665948</v>
      </c>
      <c r="AX2239" s="90">
        <v>0.10920656099999999</v>
      </c>
    </row>
    <row r="2240" spans="1:50" x14ac:dyDescent="0.25">
      <c r="A2240" s="102">
        <v>830000</v>
      </c>
      <c r="B2240" s="102">
        <v>2400000</v>
      </c>
      <c r="C2240" s="102">
        <v>2400000</v>
      </c>
      <c r="D2240" s="90" t="s">
        <v>374</v>
      </c>
      <c r="E2240" s="90" t="s">
        <v>68</v>
      </c>
      <c r="F2240" s="90" t="s">
        <v>375</v>
      </c>
      <c r="G2240" s="90" t="s">
        <v>376</v>
      </c>
      <c r="H2240" s="90">
        <v>0.59</v>
      </c>
      <c r="I2240" s="90">
        <v>0.64</v>
      </c>
      <c r="J2240" s="90" t="s">
        <v>244</v>
      </c>
      <c r="K2240" s="90">
        <v>6.7604489350750002E-2</v>
      </c>
      <c r="L2240" s="90">
        <v>3743.6912227973398</v>
      </c>
      <c r="M2240" s="90">
        <v>10.2396116376063</v>
      </c>
      <c r="N2240" s="90">
        <v>1.4718028344476599</v>
      </c>
      <c r="O2240" s="90">
        <v>0.69224371591039002</v>
      </c>
      <c r="P2240" s="90">
        <v>9.9500479047820001E-2</v>
      </c>
      <c r="Q2240" s="90">
        <v>253.09033340410599</v>
      </c>
      <c r="R2240" s="90">
        <v>1400</v>
      </c>
      <c r="S2240" s="90" t="s">
        <v>324</v>
      </c>
      <c r="T2240" s="90">
        <v>1400</v>
      </c>
      <c r="U2240" s="90" t="s">
        <v>378</v>
      </c>
      <c r="V2240" s="90" t="s">
        <v>244</v>
      </c>
      <c r="Z2240" s="90">
        <v>0</v>
      </c>
      <c r="AA2240" s="90">
        <v>1</v>
      </c>
      <c r="AB2240" s="90">
        <v>0.69224371591039002</v>
      </c>
      <c r="AC2240" s="90">
        <v>9.9500479047820001E-2</v>
      </c>
      <c r="AD2240" s="90">
        <v>287.76371524380602</v>
      </c>
      <c r="AF2240" s="90">
        <v>-1</v>
      </c>
      <c r="AG2240" s="90">
        <v>-1</v>
      </c>
      <c r="AH2240" s="90">
        <v>-1</v>
      </c>
      <c r="AI2240" s="90">
        <v>-1</v>
      </c>
      <c r="AJ2240" s="90">
        <v>0</v>
      </c>
      <c r="AM2240" s="90" t="s">
        <v>379</v>
      </c>
      <c r="AN2240" s="90">
        <v>-1</v>
      </c>
      <c r="AQ2240" s="90">
        <v>358</v>
      </c>
      <c r="AR2240" s="90" t="s">
        <v>422</v>
      </c>
      <c r="AS2240" s="90" t="s">
        <v>250</v>
      </c>
      <c r="AT2240" s="90" t="s">
        <v>244</v>
      </c>
      <c r="AU2240" s="90">
        <v>86.412649999999999</v>
      </c>
      <c r="AV2240" s="90">
        <v>200.08776291803301</v>
      </c>
      <c r="AW2240" s="90">
        <v>273.58566191216198</v>
      </c>
      <c r="AX2240" s="90">
        <v>0.2333850083</v>
      </c>
    </row>
    <row r="2241" spans="1:50" x14ac:dyDescent="0.25">
      <c r="A2241" s="102">
        <v>830000</v>
      </c>
      <c r="B2241" s="102">
        <v>2400000</v>
      </c>
      <c r="C2241" s="102">
        <v>2400000</v>
      </c>
      <c r="D2241" s="90" t="s">
        <v>374</v>
      </c>
      <c r="E2241" s="90" t="s">
        <v>68</v>
      </c>
      <c r="F2241" s="90" t="s">
        <v>375</v>
      </c>
      <c r="G2241" s="90" t="s">
        <v>376</v>
      </c>
      <c r="H2241" s="90">
        <v>0.59</v>
      </c>
      <c r="I2241" s="90">
        <v>0.64</v>
      </c>
      <c r="J2241" s="90" t="s">
        <v>381</v>
      </c>
      <c r="K2241" s="90">
        <v>6.4760569228510007E-2</v>
      </c>
      <c r="L2241" s="90">
        <v>3743.6912227973398</v>
      </c>
      <c r="M2241" s="90">
        <v>10.2396116376063</v>
      </c>
      <c r="N2241" s="90">
        <v>1.4718028344476599</v>
      </c>
      <c r="O2241" s="90">
        <v>0.66312307833035</v>
      </c>
      <c r="P2241" s="90">
        <v>9.531478935097E-2</v>
      </c>
      <c r="Q2241" s="90">
        <v>242.443574604166</v>
      </c>
      <c r="R2241" s="90">
        <v>1400</v>
      </c>
      <c r="S2241" s="90" t="s">
        <v>324</v>
      </c>
      <c r="T2241" s="90">
        <v>1400</v>
      </c>
      <c r="U2241" s="90" t="s">
        <v>382</v>
      </c>
      <c r="V2241" s="90" t="s">
        <v>381</v>
      </c>
      <c r="Z2241" s="90">
        <v>0</v>
      </c>
      <c r="AA2241" s="90">
        <v>1</v>
      </c>
      <c r="AB2241" s="90">
        <v>0.66312307833035</v>
      </c>
      <c r="AC2241" s="90">
        <v>9.531478935097E-2</v>
      </c>
      <c r="AD2241" s="90">
        <v>244.808448825098</v>
      </c>
      <c r="AF2241" s="90">
        <v>-1</v>
      </c>
      <c r="AG2241" s="90">
        <v>-1</v>
      </c>
      <c r="AH2241" s="90">
        <v>-1</v>
      </c>
      <c r="AI2241" s="90">
        <v>-1</v>
      </c>
      <c r="AJ2241" s="90">
        <v>0</v>
      </c>
      <c r="AM2241" s="90" t="s">
        <v>379</v>
      </c>
      <c r="AN2241" s="90">
        <v>-1</v>
      </c>
      <c r="AQ2241" s="90">
        <v>358</v>
      </c>
      <c r="AR2241" s="90" t="s">
        <v>422</v>
      </c>
      <c r="AS2241" s="90" t="s">
        <v>250</v>
      </c>
      <c r="AT2241" s="90" t="s">
        <v>244</v>
      </c>
      <c r="AU2241" s="90">
        <v>86.412649999999999</v>
      </c>
      <c r="AV2241" s="90">
        <v>108.819343216641</v>
      </c>
      <c r="AW2241" s="90">
        <v>262.076725500713</v>
      </c>
      <c r="AX2241" s="90">
        <v>0.19854699819999999</v>
      </c>
    </row>
    <row r="2242" spans="1:50" x14ac:dyDescent="0.25">
      <c r="A2242" s="102">
        <v>830000</v>
      </c>
      <c r="B2242" s="102">
        <v>2400000</v>
      </c>
      <c r="C2242" s="102">
        <v>2400000</v>
      </c>
      <c r="D2242" s="90" t="s">
        <v>374</v>
      </c>
      <c r="E2242" s="90" t="s">
        <v>68</v>
      </c>
      <c r="F2242" s="90" t="s">
        <v>375</v>
      </c>
      <c r="G2242" s="90" t="s">
        <v>376</v>
      </c>
      <c r="H2242" s="90">
        <v>0.59</v>
      </c>
      <c r="I2242" s="90">
        <v>0.64</v>
      </c>
      <c r="J2242" s="90" t="s">
        <v>381</v>
      </c>
      <c r="K2242" s="90">
        <v>4.4098190158750002E-2</v>
      </c>
      <c r="L2242" s="90">
        <v>3753.6642463209801</v>
      </c>
      <c r="M2242" s="90">
        <v>10.6148698419462</v>
      </c>
      <c r="N2242" s="90">
        <v>1.99133584753139</v>
      </c>
      <c r="O2242" s="90">
        <v>0.46809654880052998</v>
      </c>
      <c r="P2242" s="90">
        <v>8.7814306874370002E-2</v>
      </c>
      <c r="Q2242" s="90">
        <v>165.529799726367</v>
      </c>
      <c r="R2242" s="90">
        <v>1200</v>
      </c>
      <c r="S2242" s="90" t="s">
        <v>384</v>
      </c>
      <c r="T2242" s="90">
        <v>1200</v>
      </c>
      <c r="U2242" s="90" t="s">
        <v>382</v>
      </c>
      <c r="V2242" s="90" t="s">
        <v>381</v>
      </c>
      <c r="Z2242" s="90">
        <v>0</v>
      </c>
      <c r="AA2242" s="90">
        <v>1</v>
      </c>
      <c r="AB2242" s="90">
        <v>0.46809654880052998</v>
      </c>
      <c r="AC2242" s="90">
        <v>8.7814306874370002E-2</v>
      </c>
      <c r="AD2242" s="90">
        <v>165.52979972636601</v>
      </c>
      <c r="AF2242" s="90">
        <v>-1</v>
      </c>
      <c r="AG2242" s="90">
        <v>-1</v>
      </c>
      <c r="AH2242" s="90">
        <v>-1</v>
      </c>
      <c r="AI2242" s="90">
        <v>-1</v>
      </c>
      <c r="AJ2242" s="90">
        <v>0</v>
      </c>
      <c r="AM2242" s="90" t="s">
        <v>379</v>
      </c>
      <c r="AN2242" s="90">
        <v>-1</v>
      </c>
      <c r="AQ2242" s="90">
        <v>358</v>
      </c>
      <c r="AR2242" s="90" t="s">
        <v>422</v>
      </c>
      <c r="AS2242" s="90" t="s">
        <v>250</v>
      </c>
      <c r="AT2242" s="90" t="s">
        <v>244</v>
      </c>
      <c r="AU2242" s="90">
        <v>86.412649999999999</v>
      </c>
      <c r="AV2242" s="90">
        <v>107.535182119103</v>
      </c>
      <c r="AW2242" s="90">
        <v>178.459044060157</v>
      </c>
      <c r="AX2242" s="90">
        <v>0.13424963479999999</v>
      </c>
    </row>
    <row r="2243" spans="1:50" x14ac:dyDescent="0.25">
      <c r="A2243" s="102">
        <v>830000</v>
      </c>
      <c r="B2243" s="102">
        <v>2400000</v>
      </c>
      <c r="C2243" s="102">
        <v>2400000</v>
      </c>
      <c r="D2243" s="90" t="s">
        <v>374</v>
      </c>
      <c r="E2243" s="90" t="s">
        <v>68</v>
      </c>
      <c r="F2243" s="90" t="s">
        <v>375</v>
      </c>
      <c r="G2243" s="90" t="s">
        <v>376</v>
      </c>
      <c r="H2243" s="90">
        <v>0.59</v>
      </c>
      <c r="I2243" s="90">
        <v>0.64</v>
      </c>
      <c r="J2243" s="90" t="s">
        <v>244</v>
      </c>
      <c r="K2243" s="90">
        <v>1.7810974057300001E-3</v>
      </c>
      <c r="L2243" s="90">
        <v>3753.6642463209801</v>
      </c>
      <c r="M2243" s="90">
        <v>10.6148698419462</v>
      </c>
      <c r="N2243" s="90">
        <v>1.99133584753139</v>
      </c>
      <c r="O2243" s="90">
        <v>1.8906117137689998E-2</v>
      </c>
      <c r="P2243" s="90">
        <v>3.54676311198E-3</v>
      </c>
      <c r="Q2243" s="90">
        <v>6.68564165111877</v>
      </c>
      <c r="R2243" s="90">
        <v>1300</v>
      </c>
      <c r="S2243" s="90" t="s">
        <v>387</v>
      </c>
      <c r="T2243" s="90">
        <v>1300</v>
      </c>
      <c r="U2243" s="90" t="s">
        <v>378</v>
      </c>
      <c r="V2243" s="90" t="s">
        <v>244</v>
      </c>
      <c r="Z2243" s="90">
        <v>0</v>
      </c>
      <c r="AA2243" s="90">
        <v>1</v>
      </c>
      <c r="AB2243" s="90">
        <v>1.8906117137689998E-2</v>
      </c>
      <c r="AC2243" s="90">
        <v>3.54676311198E-3</v>
      </c>
      <c r="AD2243" s="90">
        <v>6.6856416511178001</v>
      </c>
      <c r="AF2243" s="90">
        <v>-1</v>
      </c>
      <c r="AG2243" s="90">
        <v>-1</v>
      </c>
      <c r="AH2243" s="90">
        <v>-1</v>
      </c>
      <c r="AI2243" s="90">
        <v>-1</v>
      </c>
      <c r="AJ2243" s="90">
        <v>0</v>
      </c>
      <c r="AM2243" s="90" t="s">
        <v>379</v>
      </c>
      <c r="AN2243" s="90">
        <v>-1</v>
      </c>
      <c r="AQ2243" s="90">
        <v>358</v>
      </c>
      <c r="AR2243" s="90" t="s">
        <v>422</v>
      </c>
      <c r="AS2243" s="90" t="s">
        <v>250</v>
      </c>
      <c r="AT2243" s="90" t="s">
        <v>244</v>
      </c>
      <c r="AU2243" s="90">
        <v>86.412649999999999</v>
      </c>
      <c r="AV2243" s="90">
        <v>100.517057218535</v>
      </c>
      <c r="AW2243" s="90">
        <v>7.2078454753135599</v>
      </c>
      <c r="AX2243" s="90">
        <v>5.4222560000000003E-3</v>
      </c>
    </row>
    <row r="2244" spans="1:50" x14ac:dyDescent="0.25">
      <c r="A2244" s="102">
        <v>830000</v>
      </c>
      <c r="B2244" s="102">
        <v>2400000</v>
      </c>
      <c r="C2244" s="102">
        <v>2400000</v>
      </c>
      <c r="D2244" s="90" t="s">
        <v>374</v>
      </c>
      <c r="E2244" s="90" t="s">
        <v>68</v>
      </c>
      <c r="F2244" s="90" t="s">
        <v>375</v>
      </c>
      <c r="G2244" s="90" t="s">
        <v>376</v>
      </c>
      <c r="H2244" s="90">
        <v>0.59</v>
      </c>
      <c r="I2244" s="90">
        <v>0.64</v>
      </c>
      <c r="J2244" s="90" t="s">
        <v>381</v>
      </c>
      <c r="K2244" s="90">
        <v>0.16131703413407</v>
      </c>
      <c r="L2244" s="90">
        <v>3753.6642463209801</v>
      </c>
      <c r="M2244" s="90">
        <v>10.6148698419462</v>
      </c>
      <c r="N2244" s="90">
        <v>1.99133584753139</v>
      </c>
      <c r="O2244" s="90">
        <v>1.71235932062199</v>
      </c>
      <c r="P2244" s="90">
        <v>0.32123639288861999</v>
      </c>
      <c r="Q2244" s="90">
        <v>605.52998335161499</v>
      </c>
      <c r="R2244" s="90">
        <v>1300</v>
      </c>
      <c r="S2244" s="90" t="s">
        <v>387</v>
      </c>
      <c r="T2244" s="90">
        <v>1300</v>
      </c>
      <c r="U2244" s="90" t="s">
        <v>382</v>
      </c>
      <c r="V2244" s="90" t="s">
        <v>381</v>
      </c>
      <c r="Z2244" s="90">
        <v>0</v>
      </c>
      <c r="AA2244" s="90">
        <v>1</v>
      </c>
      <c r="AB2244" s="90">
        <v>1.71235932062199</v>
      </c>
      <c r="AC2244" s="90">
        <v>0.32123639288861999</v>
      </c>
      <c r="AD2244" s="90">
        <v>605.52998335161499</v>
      </c>
      <c r="AF2244" s="90">
        <v>-1</v>
      </c>
      <c r="AG2244" s="90">
        <v>-1</v>
      </c>
      <c r="AH2244" s="90">
        <v>-1</v>
      </c>
      <c r="AI2244" s="90">
        <v>-1</v>
      </c>
      <c r="AJ2244" s="90">
        <v>0</v>
      </c>
      <c r="AM2244" s="90" t="s">
        <v>379</v>
      </c>
      <c r="AN2244" s="90">
        <v>-1</v>
      </c>
      <c r="AQ2244" s="90">
        <v>358</v>
      </c>
      <c r="AR2244" s="90" t="s">
        <v>422</v>
      </c>
      <c r="AS2244" s="90" t="s">
        <v>250</v>
      </c>
      <c r="AT2244" s="90" t="s">
        <v>244</v>
      </c>
      <c r="AU2244" s="90">
        <v>86.412649999999999</v>
      </c>
      <c r="AV2244" s="90">
        <v>126.350987536989</v>
      </c>
      <c r="AW2244" s="90">
        <v>652.82687562799595</v>
      </c>
      <c r="AX2244" s="90">
        <v>0.49110298730000002</v>
      </c>
    </row>
    <row r="2245" spans="1:50" x14ac:dyDescent="0.25">
      <c r="A2245" s="102">
        <v>830000</v>
      </c>
      <c r="B2245" s="102">
        <v>2400000</v>
      </c>
      <c r="C2245" s="102">
        <v>2400000</v>
      </c>
      <c r="D2245" s="90" t="s">
        <v>374</v>
      </c>
      <c r="E2245" s="90" t="s">
        <v>68</v>
      </c>
      <c r="F2245" s="90" t="s">
        <v>375</v>
      </c>
      <c r="G2245" s="90" t="s">
        <v>376</v>
      </c>
      <c r="H2245" s="90">
        <v>0.59</v>
      </c>
      <c r="I2245" s="90">
        <v>0.64</v>
      </c>
      <c r="J2245" s="90" t="s">
        <v>244</v>
      </c>
      <c r="K2245" s="90">
        <v>3.5938569709299999E-3</v>
      </c>
      <c r="L2245" s="90">
        <v>3753.6642463209801</v>
      </c>
      <c r="M2245" s="90">
        <v>10.6148698419462</v>
      </c>
      <c r="N2245" s="90">
        <v>1.99133584753139</v>
      </c>
      <c r="O2245" s="90">
        <v>3.8148323976990001E-2</v>
      </c>
      <c r="P2245" s="90">
        <v>7.1565762171099997E-3</v>
      </c>
      <c r="Q2245" s="90">
        <v>13.490132418171299</v>
      </c>
      <c r="R2245" s="90">
        <v>1210</v>
      </c>
      <c r="S2245" s="90" t="s">
        <v>385</v>
      </c>
      <c r="T2245" s="90">
        <v>1210</v>
      </c>
      <c r="U2245" s="90" t="s">
        <v>378</v>
      </c>
      <c r="V2245" s="90" t="s">
        <v>244</v>
      </c>
      <c r="Z2245" s="90">
        <v>0</v>
      </c>
      <c r="AA2245" s="90">
        <v>1</v>
      </c>
      <c r="AB2245" s="90">
        <v>3.8148323976990001E-2</v>
      </c>
      <c r="AC2245" s="90">
        <v>7.1565762171099997E-3</v>
      </c>
      <c r="AD2245" s="90">
        <v>13.490132418170701</v>
      </c>
      <c r="AF2245" s="90">
        <v>-1</v>
      </c>
      <c r="AG2245" s="90">
        <v>-1</v>
      </c>
      <c r="AH2245" s="90">
        <v>-1</v>
      </c>
      <c r="AI2245" s="90">
        <v>-1</v>
      </c>
      <c r="AJ2245" s="90">
        <v>0</v>
      </c>
      <c r="AM2245" s="90" t="s">
        <v>379</v>
      </c>
      <c r="AN2245" s="90">
        <v>-1</v>
      </c>
      <c r="AQ2245" s="90">
        <v>358</v>
      </c>
      <c r="AR2245" s="90" t="s">
        <v>422</v>
      </c>
      <c r="AS2245" s="90" t="s">
        <v>250</v>
      </c>
      <c r="AT2245" s="90" t="s">
        <v>244</v>
      </c>
      <c r="AU2245" s="90">
        <v>86.412649999999999</v>
      </c>
      <c r="AV2245" s="90">
        <v>24.906197167850902</v>
      </c>
      <c r="AW2245" s="90">
        <v>14.5438231639944</v>
      </c>
      <c r="AX2245" s="90">
        <v>1.09409022E-2</v>
      </c>
    </row>
    <row r="2246" spans="1:50" x14ac:dyDescent="0.25">
      <c r="A2246" s="102">
        <v>830000</v>
      </c>
      <c r="B2246" s="102">
        <v>2400000</v>
      </c>
      <c r="C2246" s="102">
        <v>2400000</v>
      </c>
      <c r="D2246" s="90" t="s">
        <v>374</v>
      </c>
      <c r="E2246" s="90" t="s">
        <v>68</v>
      </c>
      <c r="F2246" s="90" t="s">
        <v>375</v>
      </c>
      <c r="G2246" s="90" t="s">
        <v>376</v>
      </c>
      <c r="H2246" s="90">
        <v>0.59</v>
      </c>
      <c r="I2246" s="90">
        <v>0.64</v>
      </c>
      <c r="J2246" s="90" t="s">
        <v>381</v>
      </c>
      <c r="K2246" s="90">
        <v>3.8077930988999998E-4</v>
      </c>
      <c r="L2246" s="90">
        <v>3753.6642463209801</v>
      </c>
      <c r="M2246" s="90">
        <v>10.6148698419462</v>
      </c>
      <c r="N2246" s="90">
        <v>1.99133584753139</v>
      </c>
      <c r="O2246" s="90">
        <v>4.0419228130200002E-3</v>
      </c>
      <c r="P2246" s="90">
        <v>7.5825948978000004E-4</v>
      </c>
      <c r="Q2246" s="90">
        <v>1.4293176812841299</v>
      </c>
      <c r="R2246" s="90">
        <v>1210</v>
      </c>
      <c r="S2246" s="90" t="s">
        <v>385</v>
      </c>
      <c r="T2246" s="90">
        <v>1210</v>
      </c>
      <c r="U2246" s="90" t="s">
        <v>382</v>
      </c>
      <c r="V2246" s="90" t="s">
        <v>381</v>
      </c>
      <c r="Z2246" s="90">
        <v>0</v>
      </c>
      <c r="AA2246" s="90">
        <v>1</v>
      </c>
      <c r="AB2246" s="90">
        <v>4.0419228130200002E-3</v>
      </c>
      <c r="AC2246" s="90">
        <v>7.5825948978000004E-4</v>
      </c>
      <c r="AD2246" s="90">
        <v>1.42931768128292</v>
      </c>
      <c r="AF2246" s="90">
        <v>-1</v>
      </c>
      <c r="AG2246" s="90">
        <v>-1</v>
      </c>
      <c r="AH2246" s="90">
        <v>-1</v>
      </c>
      <c r="AI2246" s="90">
        <v>-1</v>
      </c>
      <c r="AJ2246" s="90">
        <v>0</v>
      </c>
      <c r="AM2246" s="90" t="s">
        <v>379</v>
      </c>
      <c r="AN2246" s="90">
        <v>-1</v>
      </c>
      <c r="AQ2246" s="90">
        <v>358</v>
      </c>
      <c r="AR2246" s="90" t="s">
        <v>422</v>
      </c>
      <c r="AS2246" s="90" t="s">
        <v>250</v>
      </c>
      <c r="AT2246" s="90" t="s">
        <v>244</v>
      </c>
      <c r="AU2246" s="90">
        <v>86.412649999999999</v>
      </c>
      <c r="AV2246" s="90">
        <v>22.4969522494318</v>
      </c>
      <c r="AW2246" s="90">
        <v>1.5409591957562201</v>
      </c>
      <c r="AX2246" s="90">
        <v>1.1592194999999999E-3</v>
      </c>
    </row>
    <row r="2247" spans="1:50" x14ac:dyDescent="0.25">
      <c r="A2247" s="102">
        <v>830000</v>
      </c>
      <c r="B2247" s="102">
        <v>2400000</v>
      </c>
      <c r="C2247" s="102">
        <v>2400000</v>
      </c>
      <c r="D2247" s="90" t="s">
        <v>374</v>
      </c>
      <c r="E2247" s="90" t="s">
        <v>68</v>
      </c>
      <c r="F2247" s="90" t="s">
        <v>375</v>
      </c>
      <c r="G2247" s="90" t="s">
        <v>376</v>
      </c>
      <c r="H2247" s="90">
        <v>0.59</v>
      </c>
      <c r="I2247" s="90">
        <v>0.64</v>
      </c>
      <c r="J2247" s="90" t="s">
        <v>244</v>
      </c>
      <c r="K2247" s="90">
        <v>8.5114726963700007E-3</v>
      </c>
      <c r="L2247" s="90">
        <v>3753.6642463209801</v>
      </c>
      <c r="M2247" s="90">
        <v>10.6148698419462</v>
      </c>
      <c r="N2247" s="90">
        <v>1.99133584753139</v>
      </c>
      <c r="O2247" s="90">
        <v>9.0348174835240005E-2</v>
      </c>
      <c r="P2247" s="90">
        <v>1.694920069556E-2</v>
      </c>
      <c r="Q2247" s="90">
        <v>31.9492107439013</v>
      </c>
      <c r="R2247" s="90">
        <v>1210</v>
      </c>
      <c r="S2247" s="90" t="s">
        <v>385</v>
      </c>
      <c r="T2247" s="90">
        <v>1210</v>
      </c>
      <c r="U2247" s="90" t="s">
        <v>378</v>
      </c>
      <c r="V2247" s="90" t="s">
        <v>244</v>
      </c>
      <c r="Z2247" s="90">
        <v>0</v>
      </c>
      <c r="AA2247" s="90">
        <v>1</v>
      </c>
      <c r="AB2247" s="90">
        <v>9.0348174835240005E-2</v>
      </c>
      <c r="AC2247" s="90">
        <v>1.694920069556E-2</v>
      </c>
      <c r="AD2247" s="90">
        <v>31.949210743899702</v>
      </c>
      <c r="AF2247" s="90">
        <v>-1</v>
      </c>
      <c r="AG2247" s="90">
        <v>-1</v>
      </c>
      <c r="AH2247" s="90">
        <v>-1</v>
      </c>
      <c r="AI2247" s="90">
        <v>-1</v>
      </c>
      <c r="AJ2247" s="90">
        <v>0</v>
      </c>
      <c r="AM2247" s="90" t="s">
        <v>379</v>
      </c>
      <c r="AN2247" s="90">
        <v>-1</v>
      </c>
      <c r="AQ2247" s="90">
        <v>358</v>
      </c>
      <c r="AR2247" s="90" t="s">
        <v>422</v>
      </c>
      <c r="AS2247" s="90" t="s">
        <v>250</v>
      </c>
      <c r="AT2247" s="90" t="s">
        <v>244</v>
      </c>
      <c r="AU2247" s="90">
        <v>86.412649999999999</v>
      </c>
      <c r="AV2247" s="90">
        <v>35.1287327677842</v>
      </c>
      <c r="AW2247" s="90">
        <v>34.444707945385503</v>
      </c>
      <c r="AX2247" s="90">
        <v>2.5911768599999999E-2</v>
      </c>
    </row>
    <row r="2248" spans="1:50" x14ac:dyDescent="0.25">
      <c r="A2248" s="102">
        <v>830000</v>
      </c>
      <c r="B2248" s="102">
        <v>2400000</v>
      </c>
      <c r="C2248" s="102">
        <v>2400000</v>
      </c>
      <c r="D2248" s="90" t="s">
        <v>374</v>
      </c>
      <c r="E2248" s="90" t="s">
        <v>68</v>
      </c>
      <c r="F2248" s="90" t="s">
        <v>375</v>
      </c>
      <c r="G2248" s="90" t="s">
        <v>376</v>
      </c>
      <c r="H2248" s="90">
        <v>0.59</v>
      </c>
      <c r="I2248" s="90">
        <v>0.64</v>
      </c>
      <c r="J2248" s="90" t="s">
        <v>381</v>
      </c>
      <c r="K2248" s="90">
        <v>5.4779775338000003E-4</v>
      </c>
      <c r="L2248" s="90">
        <v>3753.6642463209801</v>
      </c>
      <c r="M2248" s="90">
        <v>10.6148698419462</v>
      </c>
      <c r="N2248" s="90">
        <v>1.99133584753139</v>
      </c>
      <c r="O2248" s="90">
        <v>5.81480185189E-3</v>
      </c>
      <c r="P2248" s="90">
        <v>1.09084930351E-3</v>
      </c>
      <c r="Q2248" s="90">
        <v>2.0562488410962301</v>
      </c>
      <c r="R2248" s="90">
        <v>1210</v>
      </c>
      <c r="S2248" s="90" t="s">
        <v>385</v>
      </c>
      <c r="T2248" s="90">
        <v>1210</v>
      </c>
      <c r="U2248" s="90" t="s">
        <v>382</v>
      </c>
      <c r="V2248" s="90" t="s">
        <v>381</v>
      </c>
      <c r="Z2248" s="90">
        <v>0</v>
      </c>
      <c r="AA2248" s="90">
        <v>1</v>
      </c>
      <c r="AB2248" s="90">
        <v>5.81480185189E-3</v>
      </c>
      <c r="AC2248" s="90">
        <v>1.09084930351E-3</v>
      </c>
      <c r="AD2248" s="90">
        <v>2.0562488410967199</v>
      </c>
      <c r="AF2248" s="90">
        <v>-1</v>
      </c>
      <c r="AG2248" s="90">
        <v>-1</v>
      </c>
      <c r="AH2248" s="90">
        <v>-1</v>
      </c>
      <c r="AI2248" s="90">
        <v>-1</v>
      </c>
      <c r="AJ2248" s="90">
        <v>0</v>
      </c>
      <c r="AM2248" s="90" t="s">
        <v>379</v>
      </c>
      <c r="AN2248" s="90">
        <v>-1</v>
      </c>
      <c r="AQ2248" s="90">
        <v>358</v>
      </c>
      <c r="AR2248" s="90" t="s">
        <v>422</v>
      </c>
      <c r="AS2248" s="90" t="s">
        <v>250</v>
      </c>
      <c r="AT2248" s="90" t="s">
        <v>244</v>
      </c>
      <c r="AU2248" s="90">
        <v>86.412649999999999</v>
      </c>
      <c r="AV2248" s="90">
        <v>30.859877082125699</v>
      </c>
      <c r="AW2248" s="90">
        <v>2.2168588564628999</v>
      </c>
      <c r="AX2248" s="90">
        <v>1.6676795E-3</v>
      </c>
    </row>
    <row r="2249" spans="1:50" x14ac:dyDescent="0.25">
      <c r="A2249" s="102">
        <v>830000</v>
      </c>
      <c r="B2249" s="102">
        <v>2400000</v>
      </c>
      <c r="C2249" s="102">
        <v>2400000</v>
      </c>
      <c r="D2249" s="90" t="s">
        <v>374</v>
      </c>
      <c r="E2249" s="90" t="s">
        <v>68</v>
      </c>
      <c r="F2249" s="90" t="s">
        <v>375</v>
      </c>
      <c r="G2249" s="90" t="s">
        <v>376</v>
      </c>
      <c r="H2249" s="90">
        <v>0.59</v>
      </c>
      <c r="I2249" s="90">
        <v>0.64</v>
      </c>
      <c r="J2249" s="90" t="s">
        <v>244</v>
      </c>
      <c r="K2249" s="90">
        <v>1.166453530565E-2</v>
      </c>
      <c r="L2249" s="90">
        <v>3753.6642463209801</v>
      </c>
      <c r="M2249" s="90">
        <v>10.6148698419462</v>
      </c>
      <c r="N2249" s="90">
        <v>1.99133584753139</v>
      </c>
      <c r="O2249" s="90">
        <v>0.12381752403632</v>
      </c>
      <c r="P2249" s="90">
        <v>2.322800729894E-2</v>
      </c>
      <c r="Q2249" s="90">
        <v>43.784749126789698</v>
      </c>
      <c r="R2249" s="90">
        <v>1210</v>
      </c>
      <c r="S2249" s="90" t="s">
        <v>385</v>
      </c>
      <c r="T2249" s="90">
        <v>1210</v>
      </c>
      <c r="U2249" s="90" t="s">
        <v>378</v>
      </c>
      <c r="V2249" s="90" t="s">
        <v>244</v>
      </c>
      <c r="Z2249" s="90">
        <v>0</v>
      </c>
      <c r="AA2249" s="90">
        <v>1</v>
      </c>
      <c r="AB2249" s="90">
        <v>0.12381752403632</v>
      </c>
      <c r="AC2249" s="90">
        <v>2.322800729894E-2</v>
      </c>
      <c r="AD2249" s="90">
        <v>43.784749126788597</v>
      </c>
      <c r="AF2249" s="90">
        <v>-1</v>
      </c>
      <c r="AG2249" s="90">
        <v>-1</v>
      </c>
      <c r="AH2249" s="90">
        <v>-1</v>
      </c>
      <c r="AI2249" s="90">
        <v>-1</v>
      </c>
      <c r="AJ2249" s="90">
        <v>0</v>
      </c>
      <c r="AM2249" s="90" t="s">
        <v>379</v>
      </c>
      <c r="AN2249" s="90">
        <v>-1</v>
      </c>
      <c r="AQ2249" s="90">
        <v>358</v>
      </c>
      <c r="AR2249" s="90" t="s">
        <v>422</v>
      </c>
      <c r="AS2249" s="90" t="s">
        <v>250</v>
      </c>
      <c r="AT2249" s="90" t="s">
        <v>244</v>
      </c>
      <c r="AU2249" s="90">
        <v>86.412649999999999</v>
      </c>
      <c r="AV2249" s="90">
        <v>35.753243477153397</v>
      </c>
      <c r="AW2249" s="90">
        <v>47.204699616004099</v>
      </c>
      <c r="AX2249" s="90">
        <v>3.5510745400000002E-2</v>
      </c>
    </row>
    <row r="2250" spans="1:50" x14ac:dyDescent="0.25">
      <c r="A2250" s="102">
        <v>830000</v>
      </c>
      <c r="B2250" s="102">
        <v>2400000</v>
      </c>
      <c r="C2250" s="102">
        <v>2400000</v>
      </c>
      <c r="D2250" s="90" t="s">
        <v>374</v>
      </c>
      <c r="E2250" s="90" t="s">
        <v>68</v>
      </c>
      <c r="F2250" s="90" t="s">
        <v>375</v>
      </c>
      <c r="G2250" s="90" t="s">
        <v>376</v>
      </c>
      <c r="H2250" s="90">
        <v>0.59</v>
      </c>
      <c r="I2250" s="90">
        <v>0.64</v>
      </c>
      <c r="J2250" s="90" t="s">
        <v>381</v>
      </c>
      <c r="K2250" s="90">
        <v>5.2405096819000004E-4</v>
      </c>
      <c r="L2250" s="90">
        <v>3753.6642463209801</v>
      </c>
      <c r="M2250" s="90">
        <v>10.6148698419462</v>
      </c>
      <c r="N2250" s="90">
        <v>1.99133584753139</v>
      </c>
      <c r="O2250" s="90">
        <v>5.5627328179100001E-3</v>
      </c>
      <c r="P2250" s="90">
        <v>1.0435614788900001E-3</v>
      </c>
      <c r="Q2250" s="90">
        <v>1.9671113825559601</v>
      </c>
      <c r="R2250" s="90">
        <v>1210</v>
      </c>
      <c r="S2250" s="90" t="s">
        <v>385</v>
      </c>
      <c r="T2250" s="90">
        <v>1210</v>
      </c>
      <c r="U2250" s="90" t="s">
        <v>382</v>
      </c>
      <c r="V2250" s="90" t="s">
        <v>381</v>
      </c>
      <c r="Z2250" s="90">
        <v>0</v>
      </c>
      <c r="AA2250" s="90">
        <v>1</v>
      </c>
      <c r="AB2250" s="90">
        <v>5.5627328179100001E-3</v>
      </c>
      <c r="AC2250" s="90">
        <v>1.0435614788900001E-3</v>
      </c>
      <c r="AD2250" s="90">
        <v>1.96711138255712</v>
      </c>
      <c r="AF2250" s="90">
        <v>-1</v>
      </c>
      <c r="AG2250" s="90">
        <v>-1</v>
      </c>
      <c r="AH2250" s="90">
        <v>-1</v>
      </c>
      <c r="AI2250" s="90">
        <v>-1</v>
      </c>
      <c r="AJ2250" s="90">
        <v>0</v>
      </c>
      <c r="AM2250" s="90" t="s">
        <v>379</v>
      </c>
      <c r="AN2250" s="90">
        <v>-1</v>
      </c>
      <c r="AQ2250" s="90">
        <v>358</v>
      </c>
      <c r="AR2250" s="90" t="s">
        <v>422</v>
      </c>
      <c r="AS2250" s="90" t="s">
        <v>250</v>
      </c>
      <c r="AT2250" s="90" t="s">
        <v>244</v>
      </c>
      <c r="AU2250" s="90">
        <v>86.412649999999999</v>
      </c>
      <c r="AV2250" s="90">
        <v>29.6352389838809</v>
      </c>
      <c r="AW2250" s="90">
        <v>2.12075902629803</v>
      </c>
      <c r="AX2250" s="90">
        <v>1.5953864E-3</v>
      </c>
    </row>
    <row r="2251" spans="1:50" x14ac:dyDescent="0.25">
      <c r="A2251" s="102">
        <v>830000</v>
      </c>
      <c r="B2251" s="102">
        <v>2400000</v>
      </c>
      <c r="C2251" s="102">
        <v>2400000</v>
      </c>
      <c r="D2251" s="90" t="s">
        <v>374</v>
      </c>
      <c r="E2251" s="90" t="s">
        <v>68</v>
      </c>
      <c r="F2251" s="90" t="s">
        <v>375</v>
      </c>
      <c r="G2251" s="90" t="s">
        <v>376</v>
      </c>
      <c r="H2251" s="90">
        <v>0.59</v>
      </c>
      <c r="I2251" s="90">
        <v>0.64</v>
      </c>
      <c r="J2251" s="90" t="s">
        <v>244</v>
      </c>
      <c r="K2251" s="90">
        <v>8.81788471207E-3</v>
      </c>
      <c r="L2251" s="90">
        <v>3753.6642463209801</v>
      </c>
      <c r="M2251" s="90">
        <v>10.6148698419462</v>
      </c>
      <c r="N2251" s="90">
        <v>1.99133584753139</v>
      </c>
      <c r="O2251" s="90">
        <v>9.3600698499970006E-2</v>
      </c>
      <c r="P2251" s="90">
        <v>1.7559369926550002E-2</v>
      </c>
      <c r="Q2251" s="90">
        <v>33.099378571900097</v>
      </c>
      <c r="R2251" s="90">
        <v>1210</v>
      </c>
      <c r="S2251" s="90" t="s">
        <v>385</v>
      </c>
      <c r="T2251" s="90">
        <v>1210</v>
      </c>
      <c r="U2251" s="90" t="s">
        <v>378</v>
      </c>
      <c r="V2251" s="90" t="s">
        <v>244</v>
      </c>
      <c r="Z2251" s="90">
        <v>0</v>
      </c>
      <c r="AA2251" s="90">
        <v>1</v>
      </c>
      <c r="AB2251" s="90">
        <v>9.3600698499970006E-2</v>
      </c>
      <c r="AC2251" s="90">
        <v>1.7559369926550002E-2</v>
      </c>
      <c r="AD2251" s="90">
        <v>33.099378571899898</v>
      </c>
      <c r="AF2251" s="90">
        <v>-1</v>
      </c>
      <c r="AG2251" s="90">
        <v>-1</v>
      </c>
      <c r="AH2251" s="90">
        <v>-1</v>
      </c>
      <c r="AI2251" s="90">
        <v>-1</v>
      </c>
      <c r="AJ2251" s="90">
        <v>0</v>
      </c>
      <c r="AM2251" s="90" t="s">
        <v>379</v>
      </c>
      <c r="AN2251" s="90">
        <v>-1</v>
      </c>
      <c r="AQ2251" s="90">
        <v>358</v>
      </c>
      <c r="AR2251" s="90" t="s">
        <v>422</v>
      </c>
      <c r="AS2251" s="90" t="s">
        <v>250</v>
      </c>
      <c r="AT2251" s="90" t="s">
        <v>244</v>
      </c>
      <c r="AU2251" s="90">
        <v>86.412649999999999</v>
      </c>
      <c r="AV2251" s="90">
        <v>25.876665143859299</v>
      </c>
      <c r="AW2251" s="90">
        <v>35.684713379047302</v>
      </c>
      <c r="AX2251" s="90">
        <v>2.6844589299999999E-2</v>
      </c>
    </row>
    <row r="2252" spans="1:50" x14ac:dyDescent="0.25">
      <c r="A2252" s="102">
        <v>830000</v>
      </c>
      <c r="B2252" s="102">
        <v>2400000</v>
      </c>
      <c r="C2252" s="102">
        <v>2400000</v>
      </c>
      <c r="D2252" s="90" t="s">
        <v>374</v>
      </c>
      <c r="E2252" s="90" t="s">
        <v>68</v>
      </c>
      <c r="F2252" s="90" t="s">
        <v>375</v>
      </c>
      <c r="G2252" s="90" t="s">
        <v>376</v>
      </c>
      <c r="H2252" s="90">
        <v>0.59</v>
      </c>
      <c r="I2252" s="90">
        <v>0.64</v>
      </c>
      <c r="J2252" s="90" t="s">
        <v>381</v>
      </c>
      <c r="K2252" s="90">
        <v>3.2464345199000001E-4</v>
      </c>
      <c r="L2252" s="90">
        <v>3753.6642463209801</v>
      </c>
      <c r="M2252" s="90">
        <v>10.6148698419462</v>
      </c>
      <c r="N2252" s="90">
        <v>1.99133584753139</v>
      </c>
      <c r="O2252" s="90">
        <v>3.44604798792E-3</v>
      </c>
      <c r="P2252" s="90">
        <v>6.4647414361000005E-4</v>
      </c>
      <c r="Q2252" s="90">
        <v>1.21860251854084</v>
      </c>
      <c r="R2252" s="90">
        <v>1210</v>
      </c>
      <c r="S2252" s="90" t="s">
        <v>385</v>
      </c>
      <c r="T2252" s="90">
        <v>1210</v>
      </c>
      <c r="U2252" s="90" t="s">
        <v>382</v>
      </c>
      <c r="V2252" s="90" t="s">
        <v>381</v>
      </c>
      <c r="Z2252" s="90">
        <v>0</v>
      </c>
      <c r="AA2252" s="90">
        <v>1</v>
      </c>
      <c r="AB2252" s="90">
        <v>3.44604798792E-3</v>
      </c>
      <c r="AC2252" s="90">
        <v>6.4647414361000005E-4</v>
      </c>
      <c r="AD2252" s="90">
        <v>1.21860251854199</v>
      </c>
      <c r="AF2252" s="90">
        <v>-1</v>
      </c>
      <c r="AG2252" s="90">
        <v>-1</v>
      </c>
      <c r="AH2252" s="90">
        <v>-1</v>
      </c>
      <c r="AI2252" s="90">
        <v>-1</v>
      </c>
      <c r="AJ2252" s="90">
        <v>0</v>
      </c>
      <c r="AM2252" s="90" t="s">
        <v>379</v>
      </c>
      <c r="AN2252" s="90">
        <v>-1</v>
      </c>
      <c r="AQ2252" s="90">
        <v>358</v>
      </c>
      <c r="AR2252" s="90" t="s">
        <v>422</v>
      </c>
      <c r="AS2252" s="90" t="s">
        <v>250</v>
      </c>
      <c r="AT2252" s="90" t="s">
        <v>244</v>
      </c>
      <c r="AU2252" s="90">
        <v>86.412649999999999</v>
      </c>
      <c r="AV2252" s="90">
        <v>18.4006335035955</v>
      </c>
      <c r="AW2252" s="90">
        <v>1.3137854386811201</v>
      </c>
      <c r="AX2252" s="90">
        <v>9.883232E-4</v>
      </c>
    </row>
    <row r="2253" spans="1:50" x14ac:dyDescent="0.25">
      <c r="A2253" s="102">
        <v>830000</v>
      </c>
      <c r="B2253" s="102">
        <v>2400000</v>
      </c>
      <c r="C2253" s="102">
        <v>2400000</v>
      </c>
      <c r="D2253" s="90" t="s">
        <v>374</v>
      </c>
      <c r="E2253" s="90" t="s">
        <v>68</v>
      </c>
      <c r="F2253" s="90" t="s">
        <v>375</v>
      </c>
      <c r="G2253" s="90" t="s">
        <v>376</v>
      </c>
      <c r="H2253" s="90">
        <v>0.59</v>
      </c>
      <c r="I2253" s="90">
        <v>0.64</v>
      </c>
      <c r="J2253" s="90" t="s">
        <v>244</v>
      </c>
      <c r="K2253" s="90">
        <v>0.28768526236726</v>
      </c>
      <c r="L2253" s="90">
        <v>3753.6642463209801</v>
      </c>
      <c r="M2253" s="90">
        <v>10.6148698419462</v>
      </c>
      <c r="N2253" s="90">
        <v>1.99133584753139</v>
      </c>
      <c r="O2253" s="90">
        <v>3.0537416154746202</v>
      </c>
      <c r="P2253" s="90">
        <v>0.57287797575840005</v>
      </c>
      <c r="Q2253" s="90">
        <v>1079.8738835414499</v>
      </c>
      <c r="R2253" s="90">
        <v>1300</v>
      </c>
      <c r="S2253" s="90" t="s">
        <v>387</v>
      </c>
      <c r="T2253" s="90">
        <v>1300</v>
      </c>
      <c r="U2253" s="90" t="s">
        <v>378</v>
      </c>
      <c r="V2253" s="90" t="s">
        <v>244</v>
      </c>
      <c r="Z2253" s="90">
        <v>0</v>
      </c>
      <c r="AA2253" s="90">
        <v>1</v>
      </c>
      <c r="AB2253" s="90">
        <v>3.0537416154746202</v>
      </c>
      <c r="AC2253" s="90">
        <v>0.57287797575840005</v>
      </c>
      <c r="AD2253" s="90">
        <v>1079.8738835414499</v>
      </c>
      <c r="AF2253" s="90">
        <v>-1</v>
      </c>
      <c r="AG2253" s="90">
        <v>-1</v>
      </c>
      <c r="AH2253" s="90">
        <v>-1</v>
      </c>
      <c r="AI2253" s="90">
        <v>-1</v>
      </c>
      <c r="AJ2253" s="90">
        <v>0</v>
      </c>
      <c r="AM2253" s="90" t="s">
        <v>379</v>
      </c>
      <c r="AN2253" s="90">
        <v>-1</v>
      </c>
      <c r="AQ2253" s="90">
        <v>358</v>
      </c>
      <c r="AR2253" s="90" t="s">
        <v>422</v>
      </c>
      <c r="AS2253" s="90" t="s">
        <v>250</v>
      </c>
      <c r="AT2253" s="90" t="s">
        <v>244</v>
      </c>
      <c r="AU2253" s="90">
        <v>86.412649999999999</v>
      </c>
      <c r="AV2253" s="90">
        <v>137.239941728395</v>
      </c>
      <c r="AW2253" s="90">
        <v>1164.22095164077</v>
      </c>
      <c r="AX2253" s="90">
        <v>0.87581012449999995</v>
      </c>
    </row>
    <row r="2254" spans="1:50" x14ac:dyDescent="0.25">
      <c r="A2254" s="102">
        <v>830000</v>
      </c>
      <c r="B2254" s="102">
        <v>2400000</v>
      </c>
      <c r="C2254" s="102">
        <v>2400000</v>
      </c>
      <c r="D2254" s="90" t="s">
        <v>374</v>
      </c>
      <c r="E2254" s="90" t="s">
        <v>68</v>
      </c>
      <c r="F2254" s="90" t="s">
        <v>375</v>
      </c>
      <c r="G2254" s="90" t="s">
        <v>376</v>
      </c>
      <c r="H2254" s="90">
        <v>0.59</v>
      </c>
      <c r="I2254" s="90">
        <v>0.64</v>
      </c>
      <c r="J2254" s="90" t="s">
        <v>244</v>
      </c>
      <c r="K2254" s="90">
        <v>8.8516848433599998E-2</v>
      </c>
      <c r="L2254" s="90">
        <v>3753.6642463209801</v>
      </c>
      <c r="M2254" s="90">
        <v>10.6148698419462</v>
      </c>
      <c r="N2254" s="90">
        <v>1.99133584753139</v>
      </c>
      <c r="O2254" s="90">
        <v>0.93959482494195001</v>
      </c>
      <c r="P2254" s="90">
        <v>0.17626677339633001</v>
      </c>
      <c r="Q2254" s="90">
        <v>332.26252916222103</v>
      </c>
      <c r="R2254" s="90">
        <v>1300</v>
      </c>
      <c r="S2254" s="90" t="s">
        <v>387</v>
      </c>
      <c r="T2254" s="90">
        <v>1300</v>
      </c>
      <c r="U2254" s="90" t="s">
        <v>378</v>
      </c>
      <c r="V2254" s="90" t="s">
        <v>244</v>
      </c>
      <c r="Z2254" s="90">
        <v>0</v>
      </c>
      <c r="AA2254" s="90">
        <v>1</v>
      </c>
      <c r="AB2254" s="90">
        <v>0.93959482494195001</v>
      </c>
      <c r="AC2254" s="90">
        <v>0.17626677339633001</v>
      </c>
      <c r="AD2254" s="90">
        <v>332.26252916222103</v>
      </c>
      <c r="AF2254" s="90">
        <v>-1</v>
      </c>
      <c r="AG2254" s="90">
        <v>-1</v>
      </c>
      <c r="AH2254" s="90">
        <v>-1</v>
      </c>
      <c r="AI2254" s="90">
        <v>-1</v>
      </c>
      <c r="AJ2254" s="90">
        <v>0</v>
      </c>
      <c r="AM2254" s="90" t="s">
        <v>379</v>
      </c>
      <c r="AN2254" s="90">
        <v>-1</v>
      </c>
      <c r="AQ2254" s="90">
        <v>358</v>
      </c>
      <c r="AR2254" s="90" t="s">
        <v>422</v>
      </c>
      <c r="AS2254" s="90" t="s">
        <v>250</v>
      </c>
      <c r="AT2254" s="90" t="s">
        <v>244</v>
      </c>
      <c r="AU2254" s="90">
        <v>86.412649999999999</v>
      </c>
      <c r="AV2254" s="90">
        <v>82.913998132223497</v>
      </c>
      <c r="AW2254" s="90">
        <v>358.21497657412499</v>
      </c>
      <c r="AX2254" s="90">
        <v>0.2694748817</v>
      </c>
    </row>
    <row r="2255" spans="1:50" x14ac:dyDescent="0.25">
      <c r="A2255" s="102">
        <v>830000</v>
      </c>
      <c r="B2255" s="102">
        <v>2400000</v>
      </c>
      <c r="C2255" s="102">
        <v>2400000</v>
      </c>
      <c r="D2255" s="90" t="s">
        <v>374</v>
      </c>
      <c r="E2255" s="90" t="s">
        <v>68</v>
      </c>
      <c r="F2255" s="90" t="s">
        <v>375</v>
      </c>
      <c r="G2255" s="90" t="s">
        <v>376</v>
      </c>
      <c r="H2255" s="90">
        <v>0.59</v>
      </c>
      <c r="I2255" s="90">
        <v>0.64</v>
      </c>
      <c r="J2255" s="90" t="s">
        <v>244</v>
      </c>
      <c r="K2255" s="90">
        <v>8.0991921828469995E-2</v>
      </c>
      <c r="L2255" s="90">
        <v>3761.2322547292601</v>
      </c>
      <c r="M2255" s="90">
        <v>10.8173987223118</v>
      </c>
      <c r="N2255" s="90">
        <v>2.08382626605027</v>
      </c>
      <c r="O2255" s="90">
        <v>0.87612191170488996</v>
      </c>
      <c r="P2255" s="90">
        <v>0.16877309404405999</v>
      </c>
      <c r="Q2255" s="90">
        <v>304.62942875375899</v>
      </c>
      <c r="R2255" s="90">
        <v>1300</v>
      </c>
      <c r="S2255" s="90" t="s">
        <v>387</v>
      </c>
      <c r="T2255" s="90">
        <v>1300</v>
      </c>
      <c r="U2255" s="90" t="s">
        <v>378</v>
      </c>
      <c r="V2255" s="90" t="s">
        <v>244</v>
      </c>
      <c r="Z2255" s="90">
        <v>0</v>
      </c>
      <c r="AA2255" s="90">
        <v>1</v>
      </c>
      <c r="AB2255" s="90">
        <v>0.87612191170488996</v>
      </c>
      <c r="AC2255" s="90">
        <v>0.16877309404405999</v>
      </c>
      <c r="AD2255" s="90">
        <v>477.00766593812301</v>
      </c>
      <c r="AF2255" s="90">
        <v>-1</v>
      </c>
      <c r="AG2255" s="90">
        <v>-1</v>
      </c>
      <c r="AH2255" s="90">
        <v>-1</v>
      </c>
      <c r="AI2255" s="90">
        <v>-1</v>
      </c>
      <c r="AJ2255" s="90">
        <v>0</v>
      </c>
      <c r="AM2255" s="90" t="s">
        <v>379</v>
      </c>
      <c r="AN2255" s="90">
        <v>-1</v>
      </c>
      <c r="AQ2255" s="90">
        <v>358</v>
      </c>
      <c r="AR2255" s="90" t="s">
        <v>422</v>
      </c>
      <c r="AS2255" s="90" t="s">
        <v>250</v>
      </c>
      <c r="AT2255" s="90" t="s">
        <v>244</v>
      </c>
      <c r="AU2255" s="90">
        <v>86.412649999999999</v>
      </c>
      <c r="AV2255" s="90">
        <v>113.14001630306301</v>
      </c>
      <c r="AW2255" s="90">
        <v>327.76267901407101</v>
      </c>
      <c r="AX2255" s="90">
        <v>0.3868675312</v>
      </c>
    </row>
    <row r="2256" spans="1:50" x14ac:dyDescent="0.25">
      <c r="A2256" s="102">
        <v>830000</v>
      </c>
      <c r="B2256" s="102">
        <v>2400000</v>
      </c>
      <c r="C2256" s="102">
        <v>2400000</v>
      </c>
      <c r="D2256" s="90" t="s">
        <v>374</v>
      </c>
      <c r="E2256" s="90" t="s">
        <v>68</v>
      </c>
      <c r="F2256" s="90" t="s">
        <v>375</v>
      </c>
      <c r="G2256" s="90" t="s">
        <v>376</v>
      </c>
      <c r="H2256" s="90">
        <v>0.59</v>
      </c>
      <c r="I2256" s="90">
        <v>0.64</v>
      </c>
      <c r="J2256" s="90" t="s">
        <v>244</v>
      </c>
      <c r="K2256" s="90">
        <v>5.2442674855639998E-2</v>
      </c>
      <c r="L2256" s="90">
        <v>3761.2322547292601</v>
      </c>
      <c r="M2256" s="90">
        <v>10.8173987223118</v>
      </c>
      <c r="N2256" s="90">
        <v>2.08382626605027</v>
      </c>
      <c r="O2256" s="90">
        <v>0.56729332397801002</v>
      </c>
      <c r="P2256" s="90">
        <v>0.10928142332611</v>
      </c>
      <c r="Q2256" s="90">
        <v>197.249080191312</v>
      </c>
      <c r="R2256" s="90">
        <v>1300</v>
      </c>
      <c r="S2256" s="90" t="s">
        <v>387</v>
      </c>
      <c r="T2256" s="90">
        <v>1300</v>
      </c>
      <c r="U2256" s="90" t="s">
        <v>378</v>
      </c>
      <c r="V2256" s="90" t="s">
        <v>244</v>
      </c>
      <c r="Z2256" s="90">
        <v>0</v>
      </c>
      <c r="AA2256" s="90">
        <v>1</v>
      </c>
      <c r="AB2256" s="90">
        <v>0.56729332397801002</v>
      </c>
      <c r="AC2256" s="90">
        <v>0.10928142332611</v>
      </c>
      <c r="AD2256" s="90">
        <v>197.249080191312</v>
      </c>
      <c r="AF2256" s="90">
        <v>-1</v>
      </c>
      <c r="AG2256" s="90">
        <v>-1</v>
      </c>
      <c r="AH2256" s="90">
        <v>-1</v>
      </c>
      <c r="AI2256" s="90">
        <v>-1</v>
      </c>
      <c r="AJ2256" s="90">
        <v>0</v>
      </c>
      <c r="AM2256" s="90" t="s">
        <v>379</v>
      </c>
      <c r="AN2256" s="90">
        <v>-1</v>
      </c>
      <c r="AQ2256" s="90">
        <v>358</v>
      </c>
      <c r="AR2256" s="90" t="s">
        <v>422</v>
      </c>
      <c r="AS2256" s="90" t="s">
        <v>250</v>
      </c>
      <c r="AT2256" s="90" t="s">
        <v>244</v>
      </c>
      <c r="AU2256" s="90">
        <v>86.412649999999999</v>
      </c>
      <c r="AV2256" s="90">
        <v>89.219337700633403</v>
      </c>
      <c r="AW2256" s="90">
        <v>212.22797554738099</v>
      </c>
      <c r="AX2256" s="90">
        <v>0.1599749231</v>
      </c>
    </row>
    <row r="2257" spans="1:50" x14ac:dyDescent="0.25">
      <c r="A2257" s="102">
        <v>830000</v>
      </c>
      <c r="B2257" s="102">
        <v>2400000</v>
      </c>
      <c r="C2257" s="102">
        <v>2400000</v>
      </c>
      <c r="D2257" s="90" t="s">
        <v>374</v>
      </c>
      <c r="E2257" s="90" t="s">
        <v>68</v>
      </c>
      <c r="F2257" s="90" t="s">
        <v>375</v>
      </c>
      <c r="G2257" s="90" t="s">
        <v>376</v>
      </c>
      <c r="H2257" s="90">
        <v>0.59</v>
      </c>
      <c r="I2257" s="90">
        <v>0.64</v>
      </c>
      <c r="J2257" s="90" t="s">
        <v>244</v>
      </c>
      <c r="K2257" s="90">
        <v>7.4684193701400003E-2</v>
      </c>
      <c r="L2257" s="90">
        <v>3761.2322547292601</v>
      </c>
      <c r="M2257" s="90">
        <v>10.8173987223118</v>
      </c>
      <c r="N2257" s="90">
        <v>2.08382626605027</v>
      </c>
      <c r="O2257" s="90">
        <v>0.80788870152245995</v>
      </c>
      <c r="P2257" s="90">
        <v>0.15562888449376999</v>
      </c>
      <c r="Q2257" s="90">
        <v>280.904598268168</v>
      </c>
      <c r="R2257" s="90">
        <v>1330</v>
      </c>
      <c r="S2257" s="90" t="s">
        <v>397</v>
      </c>
      <c r="T2257" s="90">
        <v>1330</v>
      </c>
      <c r="U2257" s="90" t="s">
        <v>378</v>
      </c>
      <c r="V2257" s="90" t="s">
        <v>244</v>
      </c>
      <c r="Z2257" s="90">
        <v>0</v>
      </c>
      <c r="AA2257" s="90">
        <v>1</v>
      </c>
      <c r="AB2257" s="90">
        <v>0.80788870152245995</v>
      </c>
      <c r="AC2257" s="90">
        <v>0.15562888449376999</v>
      </c>
      <c r="AD2257" s="90">
        <v>280.90459826816902</v>
      </c>
      <c r="AF2257" s="90">
        <v>-1</v>
      </c>
      <c r="AG2257" s="90">
        <v>-1</v>
      </c>
      <c r="AH2257" s="90">
        <v>-1</v>
      </c>
      <c r="AI2257" s="90">
        <v>-1</v>
      </c>
      <c r="AJ2257" s="90">
        <v>0</v>
      </c>
      <c r="AM2257" s="90" t="s">
        <v>379</v>
      </c>
      <c r="AN2257" s="90">
        <v>-1</v>
      </c>
      <c r="AQ2257" s="90">
        <v>358</v>
      </c>
      <c r="AR2257" s="90" t="s">
        <v>422</v>
      </c>
      <c r="AS2257" s="90" t="s">
        <v>250</v>
      </c>
      <c r="AT2257" s="90" t="s">
        <v>244</v>
      </c>
      <c r="AU2257" s="90">
        <v>86.412649999999999</v>
      </c>
      <c r="AV2257" s="90">
        <v>83.084621883866006</v>
      </c>
      <c r="AW2257" s="90">
        <v>302.23620893229298</v>
      </c>
      <c r="AX2257" s="90">
        <v>0.22782205859999999</v>
      </c>
    </row>
    <row r="2258" spans="1:50" x14ac:dyDescent="0.25">
      <c r="A2258" s="102">
        <v>830000</v>
      </c>
      <c r="B2258" s="102">
        <v>2400000</v>
      </c>
      <c r="C2258" s="102">
        <v>2400000</v>
      </c>
      <c r="D2258" s="90" t="s">
        <v>374</v>
      </c>
      <c r="E2258" s="90" t="s">
        <v>68</v>
      </c>
      <c r="F2258" s="90" t="s">
        <v>375</v>
      </c>
      <c r="G2258" s="90" t="s">
        <v>376</v>
      </c>
      <c r="H2258" s="90">
        <v>0.59</v>
      </c>
      <c r="I2258" s="90">
        <v>0.64</v>
      </c>
      <c r="J2258" s="90" t="s">
        <v>244</v>
      </c>
      <c r="K2258" s="90">
        <v>5.2878242908650001E-2</v>
      </c>
      <c r="L2258" s="90">
        <v>3761.2322547292601</v>
      </c>
      <c r="M2258" s="90">
        <v>10.8173987223118</v>
      </c>
      <c r="N2258" s="90">
        <v>2.08382626605027</v>
      </c>
      <c r="O2258" s="90">
        <v>0.57200503727819996</v>
      </c>
      <c r="P2258" s="90">
        <v>0.11018907147564</v>
      </c>
      <c r="Q2258" s="90">
        <v>198.887352801449</v>
      </c>
      <c r="R2258" s="90">
        <v>1330</v>
      </c>
      <c r="S2258" s="90" t="s">
        <v>397</v>
      </c>
      <c r="T2258" s="90">
        <v>1330</v>
      </c>
      <c r="U2258" s="90" t="s">
        <v>378</v>
      </c>
      <c r="V2258" s="90" t="s">
        <v>244</v>
      </c>
      <c r="Z2258" s="90">
        <v>0</v>
      </c>
      <c r="AA2258" s="90">
        <v>1</v>
      </c>
      <c r="AB2258" s="90">
        <v>0.57200503727819996</v>
      </c>
      <c r="AC2258" s="90">
        <v>0.11018907147564</v>
      </c>
      <c r="AD2258" s="90">
        <v>198.887352801448</v>
      </c>
      <c r="AF2258" s="90">
        <v>-1</v>
      </c>
      <c r="AG2258" s="90">
        <v>-1</v>
      </c>
      <c r="AH2258" s="90">
        <v>-1</v>
      </c>
      <c r="AI2258" s="90">
        <v>-1</v>
      </c>
      <c r="AJ2258" s="90">
        <v>0</v>
      </c>
      <c r="AM2258" s="90" t="s">
        <v>379</v>
      </c>
      <c r="AN2258" s="90">
        <v>-1</v>
      </c>
      <c r="AQ2258" s="90">
        <v>358</v>
      </c>
      <c r="AR2258" s="90" t="s">
        <v>422</v>
      </c>
      <c r="AS2258" s="90" t="s">
        <v>250</v>
      </c>
      <c r="AT2258" s="90" t="s">
        <v>244</v>
      </c>
      <c r="AU2258" s="90">
        <v>86.412649999999999</v>
      </c>
      <c r="AV2258" s="90">
        <v>66.333969361999493</v>
      </c>
      <c r="AW2258" s="90">
        <v>213.990656920124</v>
      </c>
      <c r="AX2258" s="90">
        <v>0.16130361139999999</v>
      </c>
    </row>
    <row r="2259" spans="1:50" x14ac:dyDescent="0.25">
      <c r="A2259" s="102">
        <v>830000</v>
      </c>
      <c r="B2259" s="102">
        <v>2400000</v>
      </c>
      <c r="C2259" s="102">
        <v>2400000</v>
      </c>
      <c r="D2259" s="90" t="s">
        <v>374</v>
      </c>
      <c r="E2259" s="90" t="s">
        <v>68</v>
      </c>
      <c r="F2259" s="90" t="s">
        <v>375</v>
      </c>
      <c r="G2259" s="90" t="s">
        <v>376</v>
      </c>
      <c r="H2259" s="90">
        <v>0.59</v>
      </c>
      <c r="I2259" s="90">
        <v>0.64</v>
      </c>
      <c r="J2259" s="90" t="s">
        <v>244</v>
      </c>
      <c r="K2259" s="90">
        <v>5.2828926467289997E-2</v>
      </c>
      <c r="L2259" s="90">
        <v>3761.2322547292601</v>
      </c>
      <c r="M2259" s="90">
        <v>10.8173987223118</v>
      </c>
      <c r="N2259" s="90">
        <v>2.08382626605027</v>
      </c>
      <c r="O2259" s="90">
        <v>0.57147156166838997</v>
      </c>
      <c r="P2259" s="90">
        <v>0.11008630457978</v>
      </c>
      <c r="Q2259" s="90">
        <v>198.70186221149899</v>
      </c>
      <c r="R2259" s="90">
        <v>1330</v>
      </c>
      <c r="S2259" s="90" t="s">
        <v>397</v>
      </c>
      <c r="T2259" s="90">
        <v>1330</v>
      </c>
      <c r="U2259" s="90" t="s">
        <v>378</v>
      </c>
      <c r="V2259" s="90" t="s">
        <v>244</v>
      </c>
      <c r="Z2259" s="90">
        <v>0</v>
      </c>
      <c r="AA2259" s="90">
        <v>1</v>
      </c>
      <c r="AB2259" s="90">
        <v>0.57147156166838997</v>
      </c>
      <c r="AC2259" s="90">
        <v>0.11008630457978</v>
      </c>
      <c r="AD2259" s="90">
        <v>198.701862211498</v>
      </c>
      <c r="AF2259" s="90">
        <v>-1</v>
      </c>
      <c r="AG2259" s="90">
        <v>-1</v>
      </c>
      <c r="AH2259" s="90">
        <v>-1</v>
      </c>
      <c r="AI2259" s="90">
        <v>-1</v>
      </c>
      <c r="AJ2259" s="90">
        <v>0</v>
      </c>
      <c r="AM2259" s="90" t="s">
        <v>379</v>
      </c>
      <c r="AN2259" s="90">
        <v>-1</v>
      </c>
      <c r="AQ2259" s="90">
        <v>358</v>
      </c>
      <c r="AR2259" s="90" t="s">
        <v>422</v>
      </c>
      <c r="AS2259" s="90" t="s">
        <v>250</v>
      </c>
      <c r="AT2259" s="90" t="s">
        <v>244</v>
      </c>
      <c r="AU2259" s="90">
        <v>86.412649999999999</v>
      </c>
      <c r="AV2259" s="90">
        <v>66.318051599793904</v>
      </c>
      <c r="AW2259" s="90">
        <v>213.791080362657</v>
      </c>
      <c r="AX2259" s="90">
        <v>0.1611531729</v>
      </c>
    </row>
    <row r="2260" spans="1:50" x14ac:dyDescent="0.25">
      <c r="A2260" s="102">
        <v>830000</v>
      </c>
      <c r="B2260" s="102">
        <v>2400000</v>
      </c>
      <c r="C2260" s="102">
        <v>2400000</v>
      </c>
      <c r="D2260" s="90" t="s">
        <v>374</v>
      </c>
      <c r="E2260" s="90" t="s">
        <v>68</v>
      </c>
      <c r="F2260" s="90" t="s">
        <v>375</v>
      </c>
      <c r="G2260" s="90" t="s">
        <v>376</v>
      </c>
      <c r="H2260" s="90">
        <v>0.59</v>
      </c>
      <c r="I2260" s="90">
        <v>0.64</v>
      </c>
      <c r="J2260" s="90" t="s">
        <v>244</v>
      </c>
      <c r="K2260" s="90">
        <v>2.972531496901E-2</v>
      </c>
      <c r="L2260" s="90">
        <v>3761.2322547292601</v>
      </c>
      <c r="M2260" s="90">
        <v>10.8173987223118</v>
      </c>
      <c r="N2260" s="90">
        <v>2.08382626605027</v>
      </c>
      <c r="O2260" s="90">
        <v>0.32155058416611998</v>
      </c>
      <c r="P2260" s="90">
        <v>6.1942392099039997E-2</v>
      </c>
      <c r="Q2260" s="90">
        <v>111.803813443438</v>
      </c>
      <c r="R2260" s="90">
        <v>1330</v>
      </c>
      <c r="S2260" s="90" t="s">
        <v>397</v>
      </c>
      <c r="T2260" s="90">
        <v>1330</v>
      </c>
      <c r="U2260" s="90" t="s">
        <v>378</v>
      </c>
      <c r="V2260" s="90" t="s">
        <v>244</v>
      </c>
      <c r="Z2260" s="90">
        <v>0</v>
      </c>
      <c r="AA2260" s="90">
        <v>1</v>
      </c>
      <c r="AB2260" s="90">
        <v>0.32155058416611998</v>
      </c>
      <c r="AC2260" s="90">
        <v>6.1942392099039997E-2</v>
      </c>
      <c r="AD2260" s="90">
        <v>111.803813443439</v>
      </c>
      <c r="AF2260" s="90">
        <v>-1</v>
      </c>
      <c r="AG2260" s="90">
        <v>-1</v>
      </c>
      <c r="AH2260" s="90">
        <v>-1</v>
      </c>
      <c r="AI2260" s="90">
        <v>-1</v>
      </c>
      <c r="AJ2260" s="90">
        <v>0</v>
      </c>
      <c r="AM2260" s="90" t="s">
        <v>379</v>
      </c>
      <c r="AN2260" s="90">
        <v>-1</v>
      </c>
      <c r="AQ2260" s="90">
        <v>358</v>
      </c>
      <c r="AR2260" s="90" t="s">
        <v>422</v>
      </c>
      <c r="AS2260" s="90" t="s">
        <v>250</v>
      </c>
      <c r="AT2260" s="90" t="s">
        <v>244</v>
      </c>
      <c r="AU2260" s="90">
        <v>86.412649999999999</v>
      </c>
      <c r="AV2260" s="90">
        <v>58.658103558523898</v>
      </c>
      <c r="AW2260" s="90">
        <v>120.29408179021399</v>
      </c>
      <c r="AX2260" s="90">
        <v>9.0676247700000004E-2</v>
      </c>
    </row>
    <row r="2261" spans="1:50" x14ac:dyDescent="0.25">
      <c r="A2261" s="102">
        <v>830000</v>
      </c>
      <c r="B2261" s="102">
        <v>2400000</v>
      </c>
      <c r="C2261" s="102">
        <v>2400000</v>
      </c>
      <c r="D2261" s="90" t="s">
        <v>374</v>
      </c>
      <c r="E2261" s="90" t="s">
        <v>68</v>
      </c>
      <c r="F2261" s="90" t="s">
        <v>375</v>
      </c>
      <c r="G2261" s="90" t="s">
        <v>376</v>
      </c>
      <c r="H2261" s="90">
        <v>0.59</v>
      </c>
      <c r="I2261" s="90">
        <v>0.64</v>
      </c>
      <c r="J2261" s="90" t="s">
        <v>244</v>
      </c>
      <c r="K2261" s="90">
        <v>0.17880890496697999</v>
      </c>
      <c r="L2261" s="90">
        <v>3761.2322547292601</v>
      </c>
      <c r="M2261" s="90">
        <v>10.8173987223118</v>
      </c>
      <c r="N2261" s="90">
        <v>2.08382626605027</v>
      </c>
      <c r="O2261" s="90">
        <v>1.93424722012787</v>
      </c>
      <c r="P2261" s="90">
        <v>0.37260669277389002</v>
      </c>
      <c r="Q2261" s="90">
        <v>672.54182079464999</v>
      </c>
      <c r="R2261" s="90">
        <v>1330</v>
      </c>
      <c r="S2261" s="90" t="s">
        <v>397</v>
      </c>
      <c r="T2261" s="90">
        <v>1330</v>
      </c>
      <c r="U2261" s="90" t="s">
        <v>378</v>
      </c>
      <c r="V2261" s="90" t="s">
        <v>244</v>
      </c>
      <c r="Z2261" s="90">
        <v>0</v>
      </c>
      <c r="AA2261" s="90">
        <v>1</v>
      </c>
      <c r="AB2261" s="90">
        <v>1.93424722012787</v>
      </c>
      <c r="AC2261" s="90">
        <v>0.37260669277389002</v>
      </c>
      <c r="AD2261" s="90">
        <v>672.54182079464999</v>
      </c>
      <c r="AF2261" s="90">
        <v>-1</v>
      </c>
      <c r="AG2261" s="90">
        <v>-1</v>
      </c>
      <c r="AH2261" s="90">
        <v>-1</v>
      </c>
      <c r="AI2261" s="90">
        <v>-1</v>
      </c>
      <c r="AJ2261" s="90">
        <v>0</v>
      </c>
      <c r="AM2261" s="90" t="s">
        <v>379</v>
      </c>
      <c r="AN2261" s="90">
        <v>-1</v>
      </c>
      <c r="AQ2261" s="90">
        <v>358</v>
      </c>
      <c r="AR2261" s="90" t="s">
        <v>422</v>
      </c>
      <c r="AS2261" s="90" t="s">
        <v>250</v>
      </c>
      <c r="AT2261" s="90" t="s">
        <v>244</v>
      </c>
      <c r="AU2261" s="90">
        <v>86.412649999999999</v>
      </c>
      <c r="AV2261" s="90">
        <v>125.37234824534499</v>
      </c>
      <c r="AW2261" s="90">
        <v>723.61396544796105</v>
      </c>
      <c r="AX2261" s="90">
        <v>0.54545159840000002</v>
      </c>
    </row>
    <row r="2262" spans="1:50" x14ac:dyDescent="0.25">
      <c r="A2262" s="102">
        <v>830000</v>
      </c>
      <c r="B2262" s="102">
        <v>2400000</v>
      </c>
      <c r="C2262" s="102">
        <v>2400000</v>
      </c>
      <c r="D2262" s="90" t="s">
        <v>374</v>
      </c>
      <c r="E2262" s="90" t="s">
        <v>68</v>
      </c>
      <c r="F2262" s="90" t="s">
        <v>375</v>
      </c>
      <c r="G2262" s="90" t="s">
        <v>376</v>
      </c>
      <c r="H2262" s="90">
        <v>0.59</v>
      </c>
      <c r="I2262" s="90">
        <v>0.64</v>
      </c>
      <c r="J2262" s="90" t="s">
        <v>244</v>
      </c>
      <c r="K2262" s="90">
        <v>4.9573017904569999E-2</v>
      </c>
      <c r="L2262" s="90">
        <v>3761.2322547292601</v>
      </c>
      <c r="M2262" s="90">
        <v>10.8173987223118</v>
      </c>
      <c r="N2262" s="90">
        <v>2.08382626605027</v>
      </c>
      <c r="O2262" s="90">
        <v>0.53625110054203995</v>
      </c>
      <c r="P2262" s="90">
        <v>0.10330155679692</v>
      </c>
      <c r="Q2262" s="90">
        <v>186.455633906939</v>
      </c>
      <c r="R2262" s="90">
        <v>1330</v>
      </c>
      <c r="S2262" s="90" t="s">
        <v>397</v>
      </c>
      <c r="T2262" s="90">
        <v>1330</v>
      </c>
      <c r="U2262" s="90" t="s">
        <v>378</v>
      </c>
      <c r="V2262" s="90" t="s">
        <v>244</v>
      </c>
      <c r="Z2262" s="90">
        <v>0</v>
      </c>
      <c r="AA2262" s="90">
        <v>1</v>
      </c>
      <c r="AB2262" s="90">
        <v>0.53625110054203995</v>
      </c>
      <c r="AC2262" s="90">
        <v>0.10330155679692</v>
      </c>
      <c r="AD2262" s="90">
        <v>186.45563390694099</v>
      </c>
      <c r="AF2262" s="90">
        <v>-1</v>
      </c>
      <c r="AG2262" s="90">
        <v>-1</v>
      </c>
      <c r="AH2262" s="90">
        <v>-1</v>
      </c>
      <c r="AI2262" s="90">
        <v>-1</v>
      </c>
      <c r="AJ2262" s="90">
        <v>0</v>
      </c>
      <c r="AM2262" s="90" t="s">
        <v>379</v>
      </c>
      <c r="AN2262" s="90">
        <v>-1</v>
      </c>
      <c r="AQ2262" s="90">
        <v>358</v>
      </c>
      <c r="AR2262" s="90" t="s">
        <v>422</v>
      </c>
      <c r="AS2262" s="90" t="s">
        <v>250</v>
      </c>
      <c r="AT2262" s="90" t="s">
        <v>244</v>
      </c>
      <c r="AU2262" s="90">
        <v>86.412649999999999</v>
      </c>
      <c r="AV2262" s="90">
        <v>59.8974334421086</v>
      </c>
      <c r="AW2262" s="90">
        <v>200.61488588486</v>
      </c>
      <c r="AX2262" s="90">
        <v>0.15122111429999999</v>
      </c>
    </row>
    <row r="2263" spans="1:50" x14ac:dyDescent="0.25">
      <c r="A2263" s="102">
        <v>830000</v>
      </c>
      <c r="B2263" s="102">
        <v>2400000</v>
      </c>
      <c r="C2263" s="102">
        <v>2400000</v>
      </c>
      <c r="D2263" s="90" t="s">
        <v>374</v>
      </c>
      <c r="E2263" s="90" t="s">
        <v>68</v>
      </c>
      <c r="F2263" s="90" t="s">
        <v>375</v>
      </c>
      <c r="G2263" s="90" t="s">
        <v>376</v>
      </c>
      <c r="H2263" s="90">
        <v>0.59</v>
      </c>
      <c r="I2263" s="90">
        <v>0.64</v>
      </c>
      <c r="J2263" s="90" t="s">
        <v>244</v>
      </c>
      <c r="K2263" s="90">
        <v>6.5637630701700003E-3</v>
      </c>
      <c r="L2263" s="90">
        <v>3763.12416624753</v>
      </c>
      <c r="M2263" s="90">
        <v>10.7038603260537</v>
      </c>
      <c r="N2263" s="90">
        <v>2.048110078154</v>
      </c>
      <c r="O2263" s="90">
        <v>7.0257603116479994E-2</v>
      </c>
      <c r="P2263" s="90">
        <v>1.344330929464E-2</v>
      </c>
      <c r="Q2263" s="90">
        <v>24.7002554309062</v>
      </c>
      <c r="R2263" s="90">
        <v>1300</v>
      </c>
      <c r="S2263" s="90" t="s">
        <v>387</v>
      </c>
      <c r="T2263" s="90">
        <v>1300</v>
      </c>
      <c r="U2263" s="90" t="s">
        <v>378</v>
      </c>
      <c r="V2263" s="90" t="s">
        <v>244</v>
      </c>
      <c r="Z2263" s="90">
        <v>0</v>
      </c>
      <c r="AA2263" s="90">
        <v>1</v>
      </c>
      <c r="AB2263" s="90">
        <v>7.0257603116479994E-2</v>
      </c>
      <c r="AC2263" s="90">
        <v>1.344330929464E-2</v>
      </c>
      <c r="AD2263" s="90">
        <v>24.700255430907401</v>
      </c>
      <c r="AF2263" s="90">
        <v>-1</v>
      </c>
      <c r="AG2263" s="90">
        <v>-1</v>
      </c>
      <c r="AH2263" s="90">
        <v>-1</v>
      </c>
      <c r="AI2263" s="90">
        <v>-1</v>
      </c>
      <c r="AJ2263" s="90">
        <v>0</v>
      </c>
      <c r="AM2263" s="90" t="s">
        <v>379</v>
      </c>
      <c r="AN2263" s="90">
        <v>-1</v>
      </c>
      <c r="AQ2263" s="90">
        <v>358</v>
      </c>
      <c r="AR2263" s="90" t="s">
        <v>422</v>
      </c>
      <c r="AS2263" s="90" t="s">
        <v>250</v>
      </c>
      <c r="AT2263" s="90" t="s">
        <v>244</v>
      </c>
      <c r="AU2263" s="90">
        <v>86.412649999999999</v>
      </c>
      <c r="AV2263" s="90">
        <v>94.105083614263506</v>
      </c>
      <c r="AW2263" s="90">
        <v>26.562606735659099</v>
      </c>
      <c r="AX2263" s="90">
        <v>2.0032648399999999E-2</v>
      </c>
    </row>
    <row r="2264" spans="1:50" x14ac:dyDescent="0.25">
      <c r="A2264" s="102">
        <v>830000</v>
      </c>
      <c r="B2264" s="102">
        <v>2400000</v>
      </c>
      <c r="C2264" s="102">
        <v>2400000</v>
      </c>
      <c r="D2264" s="90" t="s">
        <v>374</v>
      </c>
      <c r="E2264" s="90" t="s">
        <v>68</v>
      </c>
      <c r="F2264" s="90" t="s">
        <v>375</v>
      </c>
      <c r="G2264" s="90" t="s">
        <v>376</v>
      </c>
      <c r="H2264" s="90">
        <v>0.59</v>
      </c>
      <c r="I2264" s="90">
        <v>0.64</v>
      </c>
      <c r="J2264" s="90" t="s">
        <v>244</v>
      </c>
      <c r="K2264" s="90">
        <v>0.53319981271711003</v>
      </c>
      <c r="L2264" s="90">
        <v>3763.12416624753</v>
      </c>
      <c r="M2264" s="90">
        <v>10.7038603260537</v>
      </c>
      <c r="N2264" s="90">
        <v>2.048110078154</v>
      </c>
      <c r="O2264" s="90">
        <v>5.70729632120206</v>
      </c>
      <c r="P2264" s="90">
        <v>1.09205191009575</v>
      </c>
      <c r="Q2264" s="90">
        <v>2006.4971006744499</v>
      </c>
      <c r="R2264" s="90">
        <v>1300</v>
      </c>
      <c r="S2264" s="90" t="s">
        <v>387</v>
      </c>
      <c r="T2264" s="90">
        <v>1300</v>
      </c>
      <c r="U2264" s="90" t="s">
        <v>378</v>
      </c>
      <c r="V2264" s="90" t="s">
        <v>244</v>
      </c>
      <c r="Z2264" s="90">
        <v>0</v>
      </c>
      <c r="AA2264" s="90">
        <v>1</v>
      </c>
      <c r="AB2264" s="90">
        <v>5.70729632120206</v>
      </c>
      <c r="AC2264" s="90">
        <v>1.09205191009575</v>
      </c>
      <c r="AD2264" s="90">
        <v>2006.4971006744499</v>
      </c>
      <c r="AF2264" s="90">
        <v>-1</v>
      </c>
      <c r="AG2264" s="90">
        <v>-1</v>
      </c>
      <c r="AH2264" s="90">
        <v>-1</v>
      </c>
      <c r="AI2264" s="90">
        <v>-1</v>
      </c>
      <c r="AJ2264" s="90">
        <v>0</v>
      </c>
      <c r="AM2264" s="90" t="s">
        <v>379</v>
      </c>
      <c r="AN2264" s="90">
        <v>-1</v>
      </c>
      <c r="AQ2264" s="90">
        <v>358</v>
      </c>
      <c r="AR2264" s="90" t="s">
        <v>422</v>
      </c>
      <c r="AS2264" s="90" t="s">
        <v>250</v>
      </c>
      <c r="AT2264" s="90" t="s">
        <v>244</v>
      </c>
      <c r="AU2264" s="90">
        <v>86.412649999999999</v>
      </c>
      <c r="AV2264" s="90">
        <v>211.20995641149599</v>
      </c>
      <c r="AW2264" s="90">
        <v>2157.7830865167398</v>
      </c>
      <c r="AX2264" s="90">
        <v>1.6273293598</v>
      </c>
    </row>
    <row r="2265" spans="1:50" x14ac:dyDescent="0.25">
      <c r="A2265" s="102">
        <v>830000</v>
      </c>
      <c r="B2265" s="102">
        <v>2400000</v>
      </c>
      <c r="C2265" s="102">
        <v>2400000</v>
      </c>
      <c r="D2265" s="90" t="s">
        <v>374</v>
      </c>
      <c r="E2265" s="90" t="s">
        <v>68</v>
      </c>
      <c r="F2265" s="90" t="s">
        <v>375</v>
      </c>
      <c r="G2265" s="90" t="s">
        <v>376</v>
      </c>
      <c r="H2265" s="90">
        <v>0.59</v>
      </c>
      <c r="I2265" s="90">
        <v>0.64</v>
      </c>
      <c r="J2265" s="90" t="s">
        <v>244</v>
      </c>
      <c r="K2265" s="90">
        <v>2.7737762133399999E-2</v>
      </c>
      <c r="L2265" s="90">
        <v>3763.12416624753</v>
      </c>
      <c r="M2265" s="90">
        <v>10.7038603260537</v>
      </c>
      <c r="N2265" s="90">
        <v>2.048110078154</v>
      </c>
      <c r="O2265" s="90">
        <v>0.29690113163328002</v>
      </c>
      <c r="P2265" s="90">
        <v>5.6809990170859997E-2</v>
      </c>
      <c r="Q2265" s="90">
        <v>104.380643001846</v>
      </c>
      <c r="R2265" s="90">
        <v>1300</v>
      </c>
      <c r="S2265" s="90" t="s">
        <v>387</v>
      </c>
      <c r="T2265" s="90">
        <v>1300</v>
      </c>
      <c r="U2265" s="90" t="s">
        <v>378</v>
      </c>
      <c r="V2265" s="90" t="s">
        <v>244</v>
      </c>
      <c r="Z2265" s="90">
        <v>0</v>
      </c>
      <c r="AA2265" s="90">
        <v>1</v>
      </c>
      <c r="AB2265" s="90">
        <v>0.29690113163328002</v>
      </c>
      <c r="AC2265" s="90">
        <v>5.6809990170859997E-2</v>
      </c>
      <c r="AD2265" s="90">
        <v>104.380643001846</v>
      </c>
      <c r="AF2265" s="90">
        <v>-1</v>
      </c>
      <c r="AG2265" s="90">
        <v>-1</v>
      </c>
      <c r="AH2265" s="90">
        <v>-1</v>
      </c>
      <c r="AI2265" s="90">
        <v>-1</v>
      </c>
      <c r="AJ2265" s="90">
        <v>0</v>
      </c>
      <c r="AM2265" s="90" t="s">
        <v>379</v>
      </c>
      <c r="AN2265" s="90">
        <v>-1</v>
      </c>
      <c r="AQ2265" s="90">
        <v>358</v>
      </c>
      <c r="AR2265" s="90" t="s">
        <v>422</v>
      </c>
      <c r="AS2265" s="90" t="s">
        <v>250</v>
      </c>
      <c r="AT2265" s="90" t="s">
        <v>244</v>
      </c>
      <c r="AU2265" s="90">
        <v>86.412649999999999</v>
      </c>
      <c r="AV2265" s="90">
        <v>72.530060663938997</v>
      </c>
      <c r="AW2265" s="90">
        <v>112.25074083257699</v>
      </c>
      <c r="AX2265" s="90">
        <v>8.4655833700000002E-2</v>
      </c>
    </row>
    <row r="2266" spans="1:50" x14ac:dyDescent="0.25">
      <c r="A2266" s="102">
        <v>830000</v>
      </c>
      <c r="B2266" s="102">
        <v>2400000</v>
      </c>
      <c r="C2266" s="102">
        <v>2400000</v>
      </c>
      <c r="D2266" s="90" t="s">
        <v>374</v>
      </c>
      <c r="E2266" s="90" t="s">
        <v>68</v>
      </c>
      <c r="F2266" s="90" t="s">
        <v>375</v>
      </c>
      <c r="G2266" s="90" t="s">
        <v>376</v>
      </c>
      <c r="H2266" s="90">
        <v>0.59</v>
      </c>
      <c r="I2266" s="90">
        <v>0.64</v>
      </c>
      <c r="J2266" s="90" t="s">
        <v>244</v>
      </c>
      <c r="K2266" s="90">
        <v>5.02621155631E-2</v>
      </c>
      <c r="L2266" s="90">
        <v>3763.12416624753</v>
      </c>
      <c r="M2266" s="90">
        <v>10.7038603260537</v>
      </c>
      <c r="N2266" s="90">
        <v>2.048110078154</v>
      </c>
      <c r="O2266" s="90">
        <v>0.53799866467942004</v>
      </c>
      <c r="P2266" s="90">
        <v>0.10294234543413</v>
      </c>
      <c r="Q2266" s="90">
        <v>189.14258172223899</v>
      </c>
      <c r="R2266" s="90">
        <v>1300</v>
      </c>
      <c r="S2266" s="90" t="s">
        <v>387</v>
      </c>
      <c r="T2266" s="90">
        <v>1300</v>
      </c>
      <c r="U2266" s="90" t="s">
        <v>378</v>
      </c>
      <c r="V2266" s="90" t="s">
        <v>244</v>
      </c>
      <c r="Z2266" s="90">
        <v>0</v>
      </c>
      <c r="AA2266" s="90">
        <v>1</v>
      </c>
      <c r="AB2266" s="90">
        <v>0.53799866467942004</v>
      </c>
      <c r="AC2266" s="90">
        <v>0.10294234543413</v>
      </c>
      <c r="AD2266" s="90">
        <v>189.14258172224001</v>
      </c>
      <c r="AF2266" s="90">
        <v>-1</v>
      </c>
      <c r="AG2266" s="90">
        <v>-1</v>
      </c>
      <c r="AH2266" s="90">
        <v>-1</v>
      </c>
      <c r="AI2266" s="90">
        <v>-1</v>
      </c>
      <c r="AJ2266" s="90">
        <v>0</v>
      </c>
      <c r="AM2266" s="90" t="s">
        <v>379</v>
      </c>
      <c r="AN2266" s="90">
        <v>-1</v>
      </c>
      <c r="AQ2266" s="90">
        <v>358</v>
      </c>
      <c r="AR2266" s="90" t="s">
        <v>422</v>
      </c>
      <c r="AS2266" s="90" t="s">
        <v>250</v>
      </c>
      <c r="AT2266" s="90" t="s">
        <v>244</v>
      </c>
      <c r="AU2266" s="90">
        <v>86.412649999999999</v>
      </c>
      <c r="AV2266" s="90">
        <v>105.731814933666</v>
      </c>
      <c r="AW2266" s="90">
        <v>203.40356516995499</v>
      </c>
      <c r="AX2266" s="90">
        <v>0.15340030960000001</v>
      </c>
    </row>
    <row r="2267" spans="1:50" x14ac:dyDescent="0.25">
      <c r="A2267" s="102">
        <v>830000</v>
      </c>
      <c r="B2267" s="102">
        <v>2400000</v>
      </c>
      <c r="C2267" s="102">
        <v>2400000</v>
      </c>
      <c r="D2267" s="90" t="s">
        <v>374</v>
      </c>
      <c r="E2267" s="90" t="s">
        <v>68</v>
      </c>
      <c r="F2267" s="90" t="s">
        <v>375</v>
      </c>
      <c r="G2267" s="90" t="s">
        <v>376</v>
      </c>
      <c r="H2267" s="90">
        <v>0.59</v>
      </c>
      <c r="I2267" s="90">
        <v>0.64</v>
      </c>
      <c r="J2267" s="90" t="s">
        <v>244</v>
      </c>
      <c r="K2267" s="90">
        <v>5.592529271169E-2</v>
      </c>
      <c r="L2267" s="90">
        <v>3736.5451476027401</v>
      </c>
      <c r="M2267" s="90">
        <v>9.8570122895771597</v>
      </c>
      <c r="N2267" s="90">
        <v>1.66619383769896</v>
      </c>
      <c r="O2267" s="90">
        <v>0.55125629755733996</v>
      </c>
      <c r="P2267" s="90">
        <v>9.318237808773E-2</v>
      </c>
      <c r="Q2267" s="90">
        <v>208.96738111013499</v>
      </c>
      <c r="R2267" s="90">
        <v>1200</v>
      </c>
      <c r="S2267" s="90" t="s">
        <v>384</v>
      </c>
      <c r="T2267" s="90">
        <v>1200</v>
      </c>
      <c r="U2267" s="90" t="s">
        <v>378</v>
      </c>
      <c r="V2267" s="90" t="s">
        <v>244</v>
      </c>
      <c r="Z2267" s="90">
        <v>0</v>
      </c>
      <c r="AA2267" s="90">
        <v>1</v>
      </c>
      <c r="AB2267" s="90">
        <v>0.55125629755733996</v>
      </c>
      <c r="AC2267" s="90">
        <v>9.318237808773E-2</v>
      </c>
      <c r="AD2267" s="90">
        <v>208.96738111013599</v>
      </c>
      <c r="AF2267" s="90">
        <v>-1</v>
      </c>
      <c r="AG2267" s="90">
        <v>-1</v>
      </c>
      <c r="AH2267" s="90">
        <v>-1</v>
      </c>
      <c r="AI2267" s="90">
        <v>-1</v>
      </c>
      <c r="AJ2267" s="90">
        <v>0</v>
      </c>
      <c r="AM2267" s="90" t="s">
        <v>379</v>
      </c>
      <c r="AN2267" s="90">
        <v>-1</v>
      </c>
      <c r="AQ2267" s="90">
        <v>358</v>
      </c>
      <c r="AR2267" s="90" t="s">
        <v>422</v>
      </c>
      <c r="AS2267" s="90" t="s">
        <v>250</v>
      </c>
      <c r="AT2267" s="90" t="s">
        <v>244</v>
      </c>
      <c r="AU2267" s="90">
        <v>86.412649999999999</v>
      </c>
      <c r="AV2267" s="90">
        <v>71.844301726132997</v>
      </c>
      <c r="AW2267" s="90">
        <v>226.321629984911</v>
      </c>
      <c r="AX2267" s="90">
        <v>0.16947881679999999</v>
      </c>
    </row>
    <row r="2268" spans="1:50" x14ac:dyDescent="0.25">
      <c r="A2268" s="102">
        <v>830000</v>
      </c>
      <c r="B2268" s="102">
        <v>2400000</v>
      </c>
      <c r="C2268" s="102">
        <v>2400000</v>
      </c>
      <c r="D2268" s="90" t="s">
        <v>374</v>
      </c>
      <c r="E2268" s="90" t="s">
        <v>68</v>
      </c>
      <c r="F2268" s="90" t="s">
        <v>375</v>
      </c>
      <c r="G2268" s="90" t="s">
        <v>376</v>
      </c>
      <c r="H2268" s="90">
        <v>0.59</v>
      </c>
      <c r="I2268" s="90">
        <v>0.64</v>
      </c>
      <c r="J2268" s="90" t="s">
        <v>244</v>
      </c>
      <c r="K2268" s="90">
        <v>3.2073175801490002E-2</v>
      </c>
      <c r="L2268" s="90">
        <v>3736.5451476027401</v>
      </c>
      <c r="M2268" s="90">
        <v>9.8570122895771597</v>
      </c>
      <c r="N2268" s="90">
        <v>1.66619383769896</v>
      </c>
      <c r="O2268" s="90">
        <v>0.31614568804110998</v>
      </c>
      <c r="P2268" s="90">
        <v>5.3440127875879997E-2</v>
      </c>
      <c r="Q2268" s="90">
        <v>119.84286940928899</v>
      </c>
      <c r="R2268" s="90">
        <v>1390</v>
      </c>
      <c r="S2268" s="90" t="s">
        <v>402</v>
      </c>
      <c r="T2268" s="90">
        <v>1390</v>
      </c>
      <c r="U2268" s="90" t="s">
        <v>378</v>
      </c>
      <c r="V2268" s="90" t="s">
        <v>244</v>
      </c>
      <c r="Z2268" s="90">
        <v>0</v>
      </c>
      <c r="AA2268" s="90">
        <v>1</v>
      </c>
      <c r="AB2268" s="90">
        <v>0.31614568804110998</v>
      </c>
      <c r="AC2268" s="90">
        <v>5.3440127875879997E-2</v>
      </c>
      <c r="AD2268" s="90">
        <v>119.84286940928899</v>
      </c>
      <c r="AF2268" s="90">
        <v>-1</v>
      </c>
      <c r="AG2268" s="90">
        <v>-1</v>
      </c>
      <c r="AH2268" s="90">
        <v>-1</v>
      </c>
      <c r="AI2268" s="90">
        <v>-1</v>
      </c>
      <c r="AJ2268" s="90">
        <v>0</v>
      </c>
      <c r="AM2268" s="90" t="s">
        <v>379</v>
      </c>
      <c r="AN2268" s="90">
        <v>-1</v>
      </c>
      <c r="AQ2268" s="90">
        <v>358</v>
      </c>
      <c r="AR2268" s="90" t="s">
        <v>422</v>
      </c>
      <c r="AS2268" s="90" t="s">
        <v>250</v>
      </c>
      <c r="AT2268" s="90" t="s">
        <v>244</v>
      </c>
      <c r="AU2268" s="90">
        <v>86.412649999999999</v>
      </c>
      <c r="AV2268" s="90">
        <v>64.359638084650101</v>
      </c>
      <c r="AW2268" s="90">
        <v>129.795537479047</v>
      </c>
      <c r="AX2268" s="90">
        <v>9.7196163299999999E-2</v>
      </c>
    </row>
    <row r="2269" spans="1:50" x14ac:dyDescent="0.25">
      <c r="A2269" s="102">
        <v>830000</v>
      </c>
      <c r="B2269" s="102">
        <v>2400000</v>
      </c>
      <c r="C2269" s="102">
        <v>2400000</v>
      </c>
      <c r="D2269" s="90" t="s">
        <v>374</v>
      </c>
      <c r="E2269" s="90" t="s">
        <v>68</v>
      </c>
      <c r="F2269" s="90" t="s">
        <v>375</v>
      </c>
      <c r="G2269" s="90" t="s">
        <v>376</v>
      </c>
      <c r="H2269" s="90">
        <v>0.59</v>
      </c>
      <c r="I2269" s="90">
        <v>0.64</v>
      </c>
      <c r="J2269" s="90" t="s">
        <v>244</v>
      </c>
      <c r="K2269" s="90">
        <v>6.5337214228480003E-2</v>
      </c>
      <c r="L2269" s="90">
        <v>3736.5451476027401</v>
      </c>
      <c r="M2269" s="90">
        <v>9.8570122895771597</v>
      </c>
      <c r="N2269" s="90">
        <v>1.66619383769896</v>
      </c>
      <c r="O2269" s="90">
        <v>0.64402972361694</v>
      </c>
      <c r="P2269" s="90">
        <v>0.10886446371991999</v>
      </c>
      <c r="Q2269" s="90">
        <v>244.13545078333701</v>
      </c>
      <c r="R2269" s="90">
        <v>1300</v>
      </c>
      <c r="S2269" s="90" t="s">
        <v>387</v>
      </c>
      <c r="T2269" s="90">
        <v>1300</v>
      </c>
      <c r="U2269" s="90" t="s">
        <v>378</v>
      </c>
      <c r="V2269" s="90" t="s">
        <v>244</v>
      </c>
      <c r="Z2269" s="90">
        <v>0</v>
      </c>
      <c r="AA2269" s="90">
        <v>1</v>
      </c>
      <c r="AB2269" s="90">
        <v>0.64402972361694</v>
      </c>
      <c r="AC2269" s="90">
        <v>0.10886446371991999</v>
      </c>
      <c r="AD2269" s="90">
        <v>244.135450783339</v>
      </c>
      <c r="AF2269" s="90">
        <v>-1</v>
      </c>
      <c r="AG2269" s="90">
        <v>-1</v>
      </c>
      <c r="AH2269" s="90">
        <v>-1</v>
      </c>
      <c r="AI2269" s="90">
        <v>-1</v>
      </c>
      <c r="AJ2269" s="90">
        <v>0</v>
      </c>
      <c r="AM2269" s="90" t="s">
        <v>379</v>
      </c>
      <c r="AN2269" s="90">
        <v>-1</v>
      </c>
      <c r="AQ2269" s="90">
        <v>358</v>
      </c>
      <c r="AR2269" s="90" t="s">
        <v>422</v>
      </c>
      <c r="AS2269" s="90" t="s">
        <v>250</v>
      </c>
      <c r="AT2269" s="90" t="s">
        <v>244</v>
      </c>
      <c r="AU2269" s="90">
        <v>86.412649999999999</v>
      </c>
      <c r="AV2269" s="90">
        <v>68.361208642119195</v>
      </c>
      <c r="AW2269" s="90">
        <v>264.410325022282</v>
      </c>
      <c r="AX2269" s="90">
        <v>0.1980011766</v>
      </c>
    </row>
    <row r="2270" spans="1:50" x14ac:dyDescent="0.25">
      <c r="A2270" s="102">
        <v>830000</v>
      </c>
      <c r="B2270" s="102">
        <v>2400000</v>
      </c>
      <c r="C2270" s="102">
        <v>2400000</v>
      </c>
      <c r="D2270" s="90" t="s">
        <v>374</v>
      </c>
      <c r="E2270" s="90" t="s">
        <v>68</v>
      </c>
      <c r="F2270" s="90" t="s">
        <v>375</v>
      </c>
      <c r="G2270" s="90" t="s">
        <v>376</v>
      </c>
      <c r="H2270" s="90">
        <v>0.59</v>
      </c>
      <c r="I2270" s="90">
        <v>0.64</v>
      </c>
      <c r="J2270" s="90" t="s">
        <v>244</v>
      </c>
      <c r="K2270" s="90">
        <v>0.16835613205153999</v>
      </c>
      <c r="L2270" s="90">
        <v>3736.5451476027401</v>
      </c>
      <c r="M2270" s="90">
        <v>9.8570122895771597</v>
      </c>
      <c r="N2270" s="90">
        <v>1.66619383769896</v>
      </c>
      <c r="O2270" s="90">
        <v>1.65948846265772</v>
      </c>
      <c r="P2270" s="90">
        <v>0.28051394976311</v>
      </c>
      <c r="Q2270" s="90">
        <v>629.070288286356</v>
      </c>
      <c r="R2270" s="90">
        <v>1300</v>
      </c>
      <c r="S2270" s="90" t="s">
        <v>387</v>
      </c>
      <c r="T2270" s="90">
        <v>1300</v>
      </c>
      <c r="U2270" s="90" t="s">
        <v>378</v>
      </c>
      <c r="V2270" s="90" t="s">
        <v>244</v>
      </c>
      <c r="Z2270" s="90">
        <v>0</v>
      </c>
      <c r="AA2270" s="90">
        <v>1</v>
      </c>
      <c r="AB2270" s="90">
        <v>1.65948846265772</v>
      </c>
      <c r="AC2270" s="90">
        <v>0.28051394976311</v>
      </c>
      <c r="AD2270" s="90">
        <v>629.070288286356</v>
      </c>
      <c r="AF2270" s="90">
        <v>-1</v>
      </c>
      <c r="AG2270" s="90">
        <v>-1</v>
      </c>
      <c r="AH2270" s="90">
        <v>-1</v>
      </c>
      <c r="AI2270" s="90">
        <v>-1</v>
      </c>
      <c r="AJ2270" s="90">
        <v>0</v>
      </c>
      <c r="AM2270" s="90" t="s">
        <v>379</v>
      </c>
      <c r="AN2270" s="90">
        <v>-1</v>
      </c>
      <c r="AQ2270" s="90">
        <v>358</v>
      </c>
      <c r="AR2270" s="90" t="s">
        <v>422</v>
      </c>
      <c r="AS2270" s="90" t="s">
        <v>250</v>
      </c>
      <c r="AT2270" s="90" t="s">
        <v>244</v>
      </c>
      <c r="AU2270" s="90">
        <v>86.412649999999999</v>
      </c>
      <c r="AV2270" s="90">
        <v>105.732455825112</v>
      </c>
      <c r="AW2270" s="90">
        <v>681.313094243205</v>
      </c>
      <c r="AX2270" s="90">
        <v>0.51019488099999999</v>
      </c>
    </row>
    <row r="2271" spans="1:50" x14ac:dyDescent="0.25">
      <c r="A2271" s="102">
        <v>830000</v>
      </c>
      <c r="B2271" s="102">
        <v>2400000</v>
      </c>
      <c r="C2271" s="102">
        <v>2400000</v>
      </c>
      <c r="D2271" s="90" t="s">
        <v>374</v>
      </c>
      <c r="E2271" s="90" t="s">
        <v>68</v>
      </c>
      <c r="F2271" s="90" t="s">
        <v>375</v>
      </c>
      <c r="G2271" s="90" t="s">
        <v>376</v>
      </c>
      <c r="H2271" s="90">
        <v>0.59</v>
      </c>
      <c r="I2271" s="90">
        <v>0.64</v>
      </c>
      <c r="J2271" s="90" t="s">
        <v>244</v>
      </c>
      <c r="K2271" s="90">
        <v>4.7124525758769999E-2</v>
      </c>
      <c r="L2271" s="90">
        <v>3736.5451476027401</v>
      </c>
      <c r="M2271" s="90">
        <v>9.8570122895771597</v>
      </c>
      <c r="N2271" s="90">
        <v>1.66619383769896</v>
      </c>
      <c r="O2271" s="90">
        <v>0.46450702954473999</v>
      </c>
      <c r="P2271" s="90">
        <v>7.8518594423750004E-2</v>
      </c>
      <c r="Q2271" s="90">
        <v>176.08291805703101</v>
      </c>
      <c r="R2271" s="90">
        <v>1210</v>
      </c>
      <c r="S2271" s="90" t="s">
        <v>385</v>
      </c>
      <c r="T2271" s="90">
        <v>1210</v>
      </c>
      <c r="U2271" s="90" t="s">
        <v>378</v>
      </c>
      <c r="V2271" s="90" t="s">
        <v>244</v>
      </c>
      <c r="Z2271" s="90">
        <v>0</v>
      </c>
      <c r="AA2271" s="90">
        <v>1</v>
      </c>
      <c r="AB2271" s="90">
        <v>0.46450702954473999</v>
      </c>
      <c r="AC2271" s="90">
        <v>7.8518594423750004E-2</v>
      </c>
      <c r="AD2271" s="90">
        <v>176.08291805703001</v>
      </c>
      <c r="AF2271" s="90">
        <v>-1</v>
      </c>
      <c r="AG2271" s="90">
        <v>-1</v>
      </c>
      <c r="AH2271" s="90">
        <v>-1</v>
      </c>
      <c r="AI2271" s="90">
        <v>-1</v>
      </c>
      <c r="AJ2271" s="90">
        <v>0</v>
      </c>
      <c r="AM2271" s="90" t="s">
        <v>379</v>
      </c>
      <c r="AN2271" s="90">
        <v>-1</v>
      </c>
      <c r="AQ2271" s="90">
        <v>358</v>
      </c>
      <c r="AR2271" s="90" t="s">
        <v>422</v>
      </c>
      <c r="AS2271" s="90" t="s">
        <v>250</v>
      </c>
      <c r="AT2271" s="90" t="s">
        <v>244</v>
      </c>
      <c r="AU2271" s="90">
        <v>86.412649999999999</v>
      </c>
      <c r="AV2271" s="90">
        <v>71.156639302238801</v>
      </c>
      <c r="AW2271" s="90">
        <v>190.706189719452</v>
      </c>
      <c r="AX2271" s="90">
        <v>0.1428085305</v>
      </c>
    </row>
    <row r="2272" spans="1:50" x14ac:dyDescent="0.25">
      <c r="A2272" s="102">
        <v>830000</v>
      </c>
      <c r="B2272" s="102">
        <v>2400000</v>
      </c>
      <c r="C2272" s="102">
        <v>2400000</v>
      </c>
      <c r="D2272" s="90" t="s">
        <v>374</v>
      </c>
      <c r="E2272" s="90" t="s">
        <v>68</v>
      </c>
      <c r="F2272" s="90" t="s">
        <v>375</v>
      </c>
      <c r="G2272" s="90" t="s">
        <v>376</v>
      </c>
      <c r="H2272" s="90">
        <v>0.59</v>
      </c>
      <c r="I2272" s="90">
        <v>0.64</v>
      </c>
      <c r="J2272" s="90" t="s">
        <v>244</v>
      </c>
      <c r="K2272" s="90">
        <v>0.20925737334229</v>
      </c>
      <c r="L2272" s="90">
        <v>3736.5451476027401</v>
      </c>
      <c r="M2272" s="90">
        <v>9.8570122895771597</v>
      </c>
      <c r="N2272" s="90">
        <v>1.66619383769896</v>
      </c>
      <c r="O2272" s="90">
        <v>2.0626525007196101</v>
      </c>
      <c r="P2272" s="90">
        <v>0.34866334595600001</v>
      </c>
      <c r="Q2272" s="90">
        <v>781.89962296223996</v>
      </c>
      <c r="R2272" s="90">
        <v>1210</v>
      </c>
      <c r="S2272" s="90" t="s">
        <v>385</v>
      </c>
      <c r="T2272" s="90">
        <v>1210</v>
      </c>
      <c r="U2272" s="90" t="s">
        <v>378</v>
      </c>
      <c r="V2272" s="90" t="s">
        <v>244</v>
      </c>
      <c r="Z2272" s="90">
        <v>0</v>
      </c>
      <c r="AA2272" s="90">
        <v>1</v>
      </c>
      <c r="AB2272" s="90">
        <v>2.0626525007196101</v>
      </c>
      <c r="AC2272" s="90">
        <v>0.34866334595600001</v>
      </c>
      <c r="AD2272" s="90">
        <v>781.89962296223996</v>
      </c>
      <c r="AF2272" s="90">
        <v>-1</v>
      </c>
      <c r="AG2272" s="90">
        <v>-1</v>
      </c>
      <c r="AH2272" s="90">
        <v>-1</v>
      </c>
      <c r="AI2272" s="90">
        <v>-1</v>
      </c>
      <c r="AJ2272" s="90">
        <v>0</v>
      </c>
      <c r="AM2272" s="90" t="s">
        <v>379</v>
      </c>
      <c r="AN2272" s="90">
        <v>-1</v>
      </c>
      <c r="AQ2272" s="90">
        <v>358</v>
      </c>
      <c r="AR2272" s="90" t="s">
        <v>422</v>
      </c>
      <c r="AS2272" s="90" t="s">
        <v>250</v>
      </c>
      <c r="AT2272" s="90" t="s">
        <v>244</v>
      </c>
      <c r="AU2272" s="90">
        <v>86.412649999999999</v>
      </c>
      <c r="AV2272" s="90">
        <v>116.5738504495</v>
      </c>
      <c r="AW2272" s="90">
        <v>846.83454524481294</v>
      </c>
      <c r="AX2272" s="90">
        <v>0.63414405760000003</v>
      </c>
    </row>
    <row r="2273" spans="1:50" x14ac:dyDescent="0.25">
      <c r="A2273" s="102">
        <v>830000</v>
      </c>
      <c r="B2273" s="102">
        <v>2400000</v>
      </c>
      <c r="C2273" s="102">
        <v>2400000</v>
      </c>
      <c r="D2273" s="90" t="s">
        <v>374</v>
      </c>
      <c r="E2273" s="90" t="s">
        <v>68</v>
      </c>
      <c r="F2273" s="90" t="s">
        <v>375</v>
      </c>
      <c r="G2273" s="90" t="s">
        <v>376</v>
      </c>
      <c r="H2273" s="90">
        <v>0.59</v>
      </c>
      <c r="I2273" s="90">
        <v>0.64</v>
      </c>
      <c r="J2273" s="90" t="s">
        <v>244</v>
      </c>
      <c r="K2273" s="90">
        <v>3.9689739773620003E-2</v>
      </c>
      <c r="L2273" s="90">
        <v>3736.5451476027401</v>
      </c>
      <c r="M2273" s="90">
        <v>9.8570122895771597</v>
      </c>
      <c r="N2273" s="90">
        <v>1.66619383769896</v>
      </c>
      <c r="O2273" s="90">
        <v>0.39122225271875999</v>
      </c>
      <c r="P2273" s="90">
        <v>6.6130799830690007E-2</v>
      </c>
      <c r="Q2273" s="90">
        <v>148.30250456076101</v>
      </c>
      <c r="R2273" s="90">
        <v>1300</v>
      </c>
      <c r="S2273" s="90" t="s">
        <v>387</v>
      </c>
      <c r="T2273" s="90">
        <v>1300</v>
      </c>
      <c r="U2273" s="90" t="s">
        <v>378</v>
      </c>
      <c r="V2273" s="90" t="s">
        <v>244</v>
      </c>
      <c r="Z2273" s="90">
        <v>0</v>
      </c>
      <c r="AA2273" s="90">
        <v>1</v>
      </c>
      <c r="AB2273" s="90">
        <v>0.39122225271875999</v>
      </c>
      <c r="AC2273" s="90">
        <v>6.6130799830690007E-2</v>
      </c>
      <c r="AD2273" s="90">
        <v>148.30250456076101</v>
      </c>
      <c r="AF2273" s="90">
        <v>-1</v>
      </c>
      <c r="AG2273" s="90">
        <v>-1</v>
      </c>
      <c r="AH2273" s="90">
        <v>-1</v>
      </c>
      <c r="AI2273" s="90">
        <v>-1</v>
      </c>
      <c r="AJ2273" s="90">
        <v>0</v>
      </c>
      <c r="AM2273" s="90" t="s">
        <v>379</v>
      </c>
      <c r="AN2273" s="90">
        <v>-1</v>
      </c>
      <c r="AQ2273" s="90">
        <v>358</v>
      </c>
      <c r="AR2273" s="90" t="s">
        <v>422</v>
      </c>
      <c r="AS2273" s="90" t="s">
        <v>250</v>
      </c>
      <c r="AT2273" s="90" t="s">
        <v>244</v>
      </c>
      <c r="AU2273" s="90">
        <v>86.412649999999999</v>
      </c>
      <c r="AV2273" s="90">
        <v>57.344799732007402</v>
      </c>
      <c r="AW2273" s="90">
        <v>160.618678306286</v>
      </c>
      <c r="AX2273" s="90">
        <v>0.1202777815</v>
      </c>
    </row>
    <row r="2274" spans="1:50" x14ac:dyDescent="0.25">
      <c r="A2274" s="102">
        <v>830000</v>
      </c>
      <c r="B2274" s="102">
        <v>2400000</v>
      </c>
      <c r="C2274" s="102">
        <v>2400000</v>
      </c>
      <c r="D2274" s="90" t="s">
        <v>374</v>
      </c>
      <c r="E2274" s="90" t="s">
        <v>68</v>
      </c>
      <c r="F2274" s="90" t="s">
        <v>375</v>
      </c>
      <c r="G2274" s="90" t="s">
        <v>376</v>
      </c>
      <c r="H2274" s="90">
        <v>0.59</v>
      </c>
      <c r="I2274" s="90">
        <v>0.64</v>
      </c>
      <c r="J2274" s="90" t="s">
        <v>244</v>
      </c>
      <c r="K2274" s="90">
        <v>4.466840404538E-2</v>
      </c>
      <c r="L2274" s="90">
        <v>2240.08209311362</v>
      </c>
      <c r="M2274" s="90">
        <v>6.4464406966650998</v>
      </c>
      <c r="N2274" s="90">
        <v>0.88509513281274999</v>
      </c>
      <c r="O2274" s="90">
        <v>0.28795221769326002</v>
      </c>
      <c r="P2274" s="90">
        <v>3.9535787011080001E-2</v>
      </c>
      <c r="Q2274" s="90">
        <v>100.06089203003501</v>
      </c>
      <c r="R2274" s="90">
        <v>1400</v>
      </c>
      <c r="S2274" s="90" t="s">
        <v>324</v>
      </c>
      <c r="T2274" s="90">
        <v>1400</v>
      </c>
      <c r="U2274" s="90" t="s">
        <v>378</v>
      </c>
      <c r="V2274" s="90" t="s">
        <v>244</v>
      </c>
      <c r="Z2274" s="90">
        <v>0</v>
      </c>
      <c r="AA2274" s="90">
        <v>1</v>
      </c>
      <c r="AB2274" s="90">
        <v>0.28795221769326002</v>
      </c>
      <c r="AC2274" s="90">
        <v>3.9535787011080001E-2</v>
      </c>
      <c r="AD2274" s="90">
        <v>446.336493541989</v>
      </c>
      <c r="AF2274" s="90">
        <v>-1</v>
      </c>
      <c r="AG2274" s="90">
        <v>-1</v>
      </c>
      <c r="AH2274" s="90">
        <v>-1</v>
      </c>
      <c r="AI2274" s="90">
        <v>-1</v>
      </c>
      <c r="AJ2274" s="90">
        <v>0</v>
      </c>
      <c r="AM2274" s="90" t="s">
        <v>379</v>
      </c>
      <c r="AN2274" s="90">
        <v>-1</v>
      </c>
      <c r="AQ2274" s="90">
        <v>358</v>
      </c>
      <c r="AR2274" s="90" t="s">
        <v>422</v>
      </c>
      <c r="AS2274" s="90" t="s">
        <v>250</v>
      </c>
      <c r="AT2274" s="90" t="s">
        <v>244</v>
      </c>
      <c r="AU2274" s="90">
        <v>86.412649999999999</v>
      </c>
      <c r="AV2274" s="90">
        <v>87.009349344038</v>
      </c>
      <c r="AW2274" s="90">
        <v>180.76661778943199</v>
      </c>
      <c r="AX2274" s="90">
        <v>0.36199228999999999</v>
      </c>
    </row>
    <row r="2275" spans="1:50" x14ac:dyDescent="0.25">
      <c r="A2275" s="102">
        <v>830000</v>
      </c>
      <c r="B2275" s="102">
        <v>2400000</v>
      </c>
      <c r="C2275" s="102">
        <v>2400000</v>
      </c>
      <c r="D2275" s="90" t="s">
        <v>374</v>
      </c>
      <c r="E2275" s="90" t="s">
        <v>68</v>
      </c>
      <c r="F2275" s="90" t="s">
        <v>375</v>
      </c>
      <c r="G2275" s="90" t="s">
        <v>376</v>
      </c>
      <c r="H2275" s="90">
        <v>0.59</v>
      </c>
      <c r="I2275" s="90">
        <v>0.64</v>
      </c>
      <c r="J2275" s="90" t="s">
        <v>244</v>
      </c>
      <c r="K2275" s="90">
        <v>6.5748096607700004E-3</v>
      </c>
      <c r="L2275" s="90">
        <v>3746.5678660132098</v>
      </c>
      <c r="M2275" s="90">
        <v>10.035655865858001</v>
      </c>
      <c r="N2275" s="90">
        <v>1.76393448973801</v>
      </c>
      <c r="O2275" s="90">
        <v>6.5982527139000005E-2</v>
      </c>
      <c r="P2275" s="90">
        <v>1.1597533524090001E-2</v>
      </c>
      <c r="Q2275" s="90">
        <v>24.632970600194099</v>
      </c>
      <c r="R2275" s="90">
        <v>1400</v>
      </c>
      <c r="S2275" s="90" t="s">
        <v>324</v>
      </c>
      <c r="T2275" s="90">
        <v>1400</v>
      </c>
      <c r="U2275" s="90" t="s">
        <v>378</v>
      </c>
      <c r="V2275" s="90" t="s">
        <v>244</v>
      </c>
      <c r="Z2275" s="90">
        <v>0</v>
      </c>
      <c r="AA2275" s="90">
        <v>1</v>
      </c>
      <c r="AB2275" s="90">
        <v>6.5982527139000005E-2</v>
      </c>
      <c r="AC2275" s="90">
        <v>1.1597533524090001E-2</v>
      </c>
      <c r="AD2275" s="90">
        <v>25.485227314517399</v>
      </c>
      <c r="AF2275" s="90">
        <v>-1</v>
      </c>
      <c r="AG2275" s="90">
        <v>-1</v>
      </c>
      <c r="AH2275" s="90">
        <v>-1</v>
      </c>
      <c r="AI2275" s="90">
        <v>-1</v>
      </c>
      <c r="AJ2275" s="90">
        <v>0</v>
      </c>
      <c r="AM2275" s="90" t="s">
        <v>379</v>
      </c>
      <c r="AN2275" s="90">
        <v>-1</v>
      </c>
      <c r="AQ2275" s="90">
        <v>358</v>
      </c>
      <c r="AR2275" s="90" t="s">
        <v>422</v>
      </c>
      <c r="AS2275" s="90" t="s">
        <v>250</v>
      </c>
      <c r="AT2275" s="90" t="s">
        <v>244</v>
      </c>
      <c r="AU2275" s="90">
        <v>86.412649999999999</v>
      </c>
      <c r="AV2275" s="90">
        <v>79.199497045323</v>
      </c>
      <c r="AW2275" s="90">
        <v>26.607310701742598</v>
      </c>
      <c r="AX2275" s="90">
        <v>2.0669284100000001E-2</v>
      </c>
    </row>
    <row r="2276" spans="1:50" x14ac:dyDescent="0.25">
      <c r="A2276" s="102">
        <v>830000</v>
      </c>
      <c r="B2276" s="102">
        <v>2400000</v>
      </c>
      <c r="C2276" s="102">
        <v>2400000</v>
      </c>
      <c r="D2276" s="90" t="s">
        <v>374</v>
      </c>
      <c r="E2276" s="90" t="s">
        <v>68</v>
      </c>
      <c r="F2276" s="90" t="s">
        <v>375</v>
      </c>
      <c r="G2276" s="90" t="s">
        <v>376</v>
      </c>
      <c r="H2276" s="90">
        <v>0.59</v>
      </c>
      <c r="I2276" s="90">
        <v>0.64</v>
      </c>
      <c r="J2276" s="90" t="s">
        <v>244</v>
      </c>
      <c r="K2276" s="90">
        <v>3.9548636699590002E-2</v>
      </c>
      <c r="L2276" s="90">
        <v>3746.5678660132098</v>
      </c>
      <c r="M2276" s="90">
        <v>10.035655865858001</v>
      </c>
      <c r="N2276" s="90">
        <v>1.76393448973801</v>
      </c>
      <c r="O2276" s="90">
        <v>0.39689650788092001</v>
      </c>
      <c r="P2276" s="90">
        <v>6.9761204296519996E-2</v>
      </c>
      <c r="Q2276" s="90">
        <v>148.171651403314</v>
      </c>
      <c r="R2276" s="90">
        <v>1410</v>
      </c>
      <c r="S2276" s="90" t="s">
        <v>325</v>
      </c>
      <c r="T2276" s="90">
        <v>1410</v>
      </c>
      <c r="U2276" s="90" t="s">
        <v>378</v>
      </c>
      <c r="V2276" s="90" t="s">
        <v>244</v>
      </c>
      <c r="Z2276" s="90">
        <v>0</v>
      </c>
      <c r="AA2276" s="90">
        <v>1</v>
      </c>
      <c r="AB2276" s="90">
        <v>0.39689650788092001</v>
      </c>
      <c r="AC2276" s="90">
        <v>6.9761204296519996E-2</v>
      </c>
      <c r="AD2276" s="90">
        <v>190.49280001907201</v>
      </c>
      <c r="AF2276" s="90">
        <v>-1</v>
      </c>
      <c r="AG2276" s="90">
        <v>-1</v>
      </c>
      <c r="AH2276" s="90">
        <v>-1</v>
      </c>
      <c r="AI2276" s="90">
        <v>-1</v>
      </c>
      <c r="AJ2276" s="90">
        <v>0</v>
      </c>
      <c r="AM2276" s="90" t="s">
        <v>379</v>
      </c>
      <c r="AN2276" s="90">
        <v>-1</v>
      </c>
      <c r="AQ2276" s="90">
        <v>358</v>
      </c>
      <c r="AR2276" s="90" t="s">
        <v>422</v>
      </c>
      <c r="AS2276" s="90" t="s">
        <v>250</v>
      </c>
      <c r="AT2276" s="90" t="s">
        <v>244</v>
      </c>
      <c r="AU2276" s="90">
        <v>86.412649999999999</v>
      </c>
      <c r="AV2276" s="90">
        <v>88.132905131939793</v>
      </c>
      <c r="AW2276" s="90">
        <v>160.047654424901</v>
      </c>
      <c r="AX2276" s="90">
        <v>0.1544953771</v>
      </c>
    </row>
    <row r="2277" spans="1:50" x14ac:dyDescent="0.25">
      <c r="A2277" s="102">
        <v>830000</v>
      </c>
      <c r="B2277" s="102">
        <v>2400000</v>
      </c>
      <c r="C2277" s="102">
        <v>2400000</v>
      </c>
      <c r="D2277" s="90" t="s">
        <v>374</v>
      </c>
      <c r="E2277" s="90" t="s">
        <v>68</v>
      </c>
      <c r="F2277" s="90" t="s">
        <v>375</v>
      </c>
      <c r="G2277" s="90" t="s">
        <v>376</v>
      </c>
      <c r="H2277" s="90">
        <v>0.59</v>
      </c>
      <c r="I2277" s="90">
        <v>0.64</v>
      </c>
      <c r="J2277" s="90" t="s">
        <v>244</v>
      </c>
      <c r="K2277" s="90">
        <v>0.17104305256784</v>
      </c>
      <c r="L2277" s="90">
        <v>3746.5678660132098</v>
      </c>
      <c r="M2277" s="90">
        <v>10.035655865858001</v>
      </c>
      <c r="N2277" s="90">
        <v>1.76393448973801</v>
      </c>
      <c r="O2277" s="90">
        <v>1.7165292138167301</v>
      </c>
      <c r="P2277" s="90">
        <v>0.30170873965449002</v>
      </c>
      <c r="Q2277" s="90">
        <v>640.824404455489</v>
      </c>
      <c r="R2277" s="90">
        <v>1300</v>
      </c>
      <c r="S2277" s="90" t="s">
        <v>387</v>
      </c>
      <c r="T2277" s="90">
        <v>1300</v>
      </c>
      <c r="U2277" s="90" t="s">
        <v>378</v>
      </c>
      <c r="V2277" s="90" t="s">
        <v>244</v>
      </c>
      <c r="Z2277" s="90">
        <v>0</v>
      </c>
      <c r="AA2277" s="90">
        <v>1</v>
      </c>
      <c r="AB2277" s="90">
        <v>1.7165292138167301</v>
      </c>
      <c r="AC2277" s="90">
        <v>0.30170873965449002</v>
      </c>
      <c r="AD2277" s="90">
        <v>640.824404455489</v>
      </c>
      <c r="AF2277" s="90">
        <v>-1</v>
      </c>
      <c r="AG2277" s="90">
        <v>-1</v>
      </c>
      <c r="AH2277" s="90">
        <v>-1</v>
      </c>
      <c r="AI2277" s="90">
        <v>-1</v>
      </c>
      <c r="AJ2277" s="90">
        <v>0</v>
      </c>
      <c r="AM2277" s="90" t="s">
        <v>379</v>
      </c>
      <c r="AN2277" s="90">
        <v>-1</v>
      </c>
      <c r="AQ2277" s="90">
        <v>358</v>
      </c>
      <c r="AR2277" s="90" t="s">
        <v>422</v>
      </c>
      <c r="AS2277" s="90" t="s">
        <v>250</v>
      </c>
      <c r="AT2277" s="90" t="s">
        <v>244</v>
      </c>
      <c r="AU2277" s="90">
        <v>86.412649999999999</v>
      </c>
      <c r="AV2277" s="90">
        <v>121.19787725055301</v>
      </c>
      <c r="AW2277" s="90">
        <v>692.186675791075</v>
      </c>
      <c r="AX2277" s="90">
        <v>0.5197278219</v>
      </c>
    </row>
    <row r="2278" spans="1:50" x14ac:dyDescent="0.25">
      <c r="A2278" s="102">
        <v>830000</v>
      </c>
      <c r="B2278" s="102">
        <v>2400000</v>
      </c>
      <c r="C2278" s="102">
        <v>2400000</v>
      </c>
      <c r="D2278" s="90" t="s">
        <v>374</v>
      </c>
      <c r="E2278" s="90" t="s">
        <v>68</v>
      </c>
      <c r="F2278" s="90" t="s">
        <v>375</v>
      </c>
      <c r="G2278" s="90" t="s">
        <v>376</v>
      </c>
      <c r="H2278" s="90">
        <v>0.59</v>
      </c>
      <c r="I2278" s="90">
        <v>0.64</v>
      </c>
      <c r="J2278" s="90" t="s">
        <v>244</v>
      </c>
      <c r="K2278" s="90">
        <v>5.9026813785419997E-2</v>
      </c>
      <c r="L2278" s="90">
        <v>3746.5678660132098</v>
      </c>
      <c r="M2278" s="90">
        <v>10.035655865858001</v>
      </c>
      <c r="N2278" s="90">
        <v>1.76393448973801</v>
      </c>
      <c r="O2278" s="90">
        <v>0.59237279000862997</v>
      </c>
      <c r="P2278" s="90">
        <v>0.10411943265545</v>
      </c>
      <c r="Q2278" s="90">
        <v>221.14796376162599</v>
      </c>
      <c r="R2278" s="90">
        <v>1330</v>
      </c>
      <c r="S2278" s="90" t="s">
        <v>397</v>
      </c>
      <c r="T2278" s="90">
        <v>1330</v>
      </c>
      <c r="U2278" s="90" t="s">
        <v>378</v>
      </c>
      <c r="V2278" s="90" t="s">
        <v>244</v>
      </c>
      <c r="Z2278" s="90">
        <v>0</v>
      </c>
      <c r="AA2278" s="90">
        <v>1</v>
      </c>
      <c r="AB2278" s="90">
        <v>0.59237279000862997</v>
      </c>
      <c r="AC2278" s="90">
        <v>0.10411943265545</v>
      </c>
      <c r="AD2278" s="90">
        <v>221.14796376162701</v>
      </c>
      <c r="AF2278" s="90">
        <v>-1</v>
      </c>
      <c r="AG2278" s="90">
        <v>-1</v>
      </c>
      <c r="AH2278" s="90">
        <v>-1</v>
      </c>
      <c r="AI2278" s="90">
        <v>-1</v>
      </c>
      <c r="AJ2278" s="90">
        <v>0</v>
      </c>
      <c r="AM2278" s="90" t="s">
        <v>379</v>
      </c>
      <c r="AN2278" s="90">
        <v>-1</v>
      </c>
      <c r="AQ2278" s="90">
        <v>358</v>
      </c>
      <c r="AR2278" s="90" t="s">
        <v>422</v>
      </c>
      <c r="AS2278" s="90" t="s">
        <v>250</v>
      </c>
      <c r="AT2278" s="90" t="s">
        <v>244</v>
      </c>
      <c r="AU2278" s="90">
        <v>86.412649999999999</v>
      </c>
      <c r="AV2278" s="90">
        <v>101.19990848629899</v>
      </c>
      <c r="AW2278" s="90">
        <v>238.87304046136401</v>
      </c>
      <c r="AX2278" s="90">
        <v>0.1793576348</v>
      </c>
    </row>
    <row r="2279" spans="1:50" x14ac:dyDescent="0.25">
      <c r="A2279" s="102">
        <v>830000</v>
      </c>
      <c r="B2279" s="102">
        <v>2400000</v>
      </c>
      <c r="C2279" s="102">
        <v>2400000</v>
      </c>
      <c r="D2279" s="90" t="s">
        <v>374</v>
      </c>
      <c r="E2279" s="90" t="s">
        <v>68</v>
      </c>
      <c r="F2279" s="90" t="s">
        <v>375</v>
      </c>
      <c r="G2279" s="90" t="s">
        <v>376</v>
      </c>
      <c r="H2279" s="90">
        <v>0.59</v>
      </c>
      <c r="I2279" s="90">
        <v>0.64</v>
      </c>
      <c r="J2279" s="90" t="s">
        <v>244</v>
      </c>
      <c r="K2279" s="90">
        <v>0.17617378278142001</v>
      </c>
      <c r="L2279" s="90">
        <v>3746.5678660132098</v>
      </c>
      <c r="M2279" s="90">
        <v>10.035655865858001</v>
      </c>
      <c r="N2279" s="90">
        <v>1.76393448973801</v>
      </c>
      <c r="O2279" s="90">
        <v>1.7680194565807801</v>
      </c>
      <c r="P2279" s="90">
        <v>0.31075901163575997</v>
      </c>
      <c r="Q2279" s="90">
        <v>660.04703340287097</v>
      </c>
      <c r="R2279" s="90">
        <v>1300</v>
      </c>
      <c r="S2279" s="90" t="s">
        <v>387</v>
      </c>
      <c r="T2279" s="90">
        <v>1300</v>
      </c>
      <c r="U2279" s="90" t="s">
        <v>378</v>
      </c>
      <c r="V2279" s="90" t="s">
        <v>244</v>
      </c>
      <c r="Z2279" s="90">
        <v>0</v>
      </c>
      <c r="AA2279" s="90">
        <v>1</v>
      </c>
      <c r="AB2279" s="90">
        <v>1.7680194565807801</v>
      </c>
      <c r="AC2279" s="90">
        <v>0.31075901163575997</v>
      </c>
      <c r="AD2279" s="90">
        <v>660.04703340287097</v>
      </c>
      <c r="AF2279" s="90">
        <v>-1</v>
      </c>
      <c r="AG2279" s="90">
        <v>-1</v>
      </c>
      <c r="AH2279" s="90">
        <v>-1</v>
      </c>
      <c r="AI2279" s="90">
        <v>-1</v>
      </c>
      <c r="AJ2279" s="90">
        <v>0</v>
      </c>
      <c r="AM2279" s="90" t="s">
        <v>379</v>
      </c>
      <c r="AN2279" s="90">
        <v>-1</v>
      </c>
      <c r="AQ2279" s="90">
        <v>358</v>
      </c>
      <c r="AR2279" s="90" t="s">
        <v>422</v>
      </c>
      <c r="AS2279" s="90" t="s">
        <v>250</v>
      </c>
      <c r="AT2279" s="90" t="s">
        <v>244</v>
      </c>
      <c r="AU2279" s="90">
        <v>86.412649999999999</v>
      </c>
      <c r="AV2279" s="90">
        <v>122.111040682123</v>
      </c>
      <c r="AW2279" s="90">
        <v>712.95000430750599</v>
      </c>
      <c r="AX2279" s="90">
        <v>0.53531795090000001</v>
      </c>
    </row>
    <row r="2280" spans="1:50" x14ac:dyDescent="0.25">
      <c r="A2280" s="102">
        <v>830000</v>
      </c>
      <c r="B2280" s="102">
        <v>2400000</v>
      </c>
      <c r="C2280" s="102">
        <v>2400000</v>
      </c>
      <c r="D2280" s="90" t="s">
        <v>374</v>
      </c>
      <c r="E2280" s="90" t="s">
        <v>68</v>
      </c>
      <c r="F2280" s="90" t="s">
        <v>375</v>
      </c>
      <c r="G2280" s="90" t="s">
        <v>376</v>
      </c>
      <c r="H2280" s="90">
        <v>0.59</v>
      </c>
      <c r="I2280" s="90">
        <v>0.64</v>
      </c>
      <c r="J2280" s="90" t="s">
        <v>244</v>
      </c>
      <c r="K2280" s="90">
        <v>7.9827057735390006E-2</v>
      </c>
      <c r="L2280" s="90">
        <v>3709.0486293050399</v>
      </c>
      <c r="M2280" s="90">
        <v>9.3118554636098292</v>
      </c>
      <c r="N2280" s="90">
        <v>1.3927760784021801</v>
      </c>
      <c r="O2280" s="90">
        <v>0.74333802371721003</v>
      </c>
      <c r="P2280" s="90">
        <v>0.11118121642308</v>
      </c>
      <c r="Q2280" s="90">
        <v>296.08243907491402</v>
      </c>
      <c r="R2280" s="90">
        <v>1200</v>
      </c>
      <c r="S2280" s="90" t="s">
        <v>384</v>
      </c>
      <c r="T2280" s="90">
        <v>1200</v>
      </c>
      <c r="U2280" s="90" t="s">
        <v>378</v>
      </c>
      <c r="V2280" s="90" t="s">
        <v>244</v>
      </c>
      <c r="Z2280" s="90">
        <v>0</v>
      </c>
      <c r="AA2280" s="90">
        <v>1</v>
      </c>
      <c r="AB2280" s="90">
        <v>0.74333802371721003</v>
      </c>
      <c r="AC2280" s="90">
        <v>0.11118121642308</v>
      </c>
      <c r="AD2280" s="90">
        <v>296.08243907491197</v>
      </c>
      <c r="AF2280" s="90">
        <v>-1</v>
      </c>
      <c r="AG2280" s="90">
        <v>-1</v>
      </c>
      <c r="AH2280" s="90">
        <v>-1</v>
      </c>
      <c r="AI2280" s="90">
        <v>-1</v>
      </c>
      <c r="AJ2280" s="90">
        <v>0</v>
      </c>
      <c r="AM2280" s="90" t="s">
        <v>379</v>
      </c>
      <c r="AN2280" s="90">
        <v>-1</v>
      </c>
      <c r="AQ2280" s="90">
        <v>358</v>
      </c>
      <c r="AR2280" s="90" t="s">
        <v>422</v>
      </c>
      <c r="AS2280" s="90" t="s">
        <v>250</v>
      </c>
      <c r="AT2280" s="90" t="s">
        <v>244</v>
      </c>
      <c r="AU2280" s="90">
        <v>86.412649999999999</v>
      </c>
      <c r="AV2280" s="90">
        <v>119.037360288898</v>
      </c>
      <c r="AW2280" s="90">
        <v>323.04864127776898</v>
      </c>
      <c r="AX2280" s="90">
        <v>0.24013174300000001</v>
      </c>
    </row>
    <row r="2281" spans="1:50" x14ac:dyDescent="0.25">
      <c r="A2281" s="102">
        <v>830000</v>
      </c>
      <c r="B2281" s="102">
        <v>2400000</v>
      </c>
      <c r="C2281" s="102">
        <v>2400000</v>
      </c>
      <c r="D2281" s="90" t="s">
        <v>374</v>
      </c>
      <c r="E2281" s="90" t="s">
        <v>68</v>
      </c>
      <c r="F2281" s="90" t="s">
        <v>375</v>
      </c>
      <c r="G2281" s="90" t="s">
        <v>376</v>
      </c>
      <c r="H2281" s="90">
        <v>0.59</v>
      </c>
      <c r="I2281" s="90">
        <v>0.64</v>
      </c>
      <c r="J2281" s="90" t="s">
        <v>244</v>
      </c>
      <c r="K2281" s="90">
        <v>6.1311610769600004E-3</v>
      </c>
      <c r="L2281" s="90">
        <v>3709.0486293050399</v>
      </c>
      <c r="M2281" s="90">
        <v>9.3118554636098292</v>
      </c>
      <c r="N2281" s="90">
        <v>1.3927760784021801</v>
      </c>
      <c r="O2281" s="90">
        <v>5.709248577276E-2</v>
      </c>
      <c r="P2281" s="90">
        <v>8.5393344808199993E-3</v>
      </c>
      <c r="Q2281" s="90">
        <v>22.740774588546898</v>
      </c>
      <c r="R2281" s="90">
        <v>1300</v>
      </c>
      <c r="S2281" s="90" t="s">
        <v>387</v>
      </c>
      <c r="T2281" s="90">
        <v>1300</v>
      </c>
      <c r="U2281" s="90" t="s">
        <v>378</v>
      </c>
      <c r="V2281" s="90" t="s">
        <v>244</v>
      </c>
      <c r="Z2281" s="90">
        <v>0</v>
      </c>
      <c r="AA2281" s="90">
        <v>1</v>
      </c>
      <c r="AB2281" s="90">
        <v>5.709248577276E-2</v>
      </c>
      <c r="AC2281" s="90">
        <v>8.5393344808199993E-3</v>
      </c>
      <c r="AD2281" s="90">
        <v>22.740774588546302</v>
      </c>
      <c r="AF2281" s="90">
        <v>-1</v>
      </c>
      <c r="AG2281" s="90">
        <v>-1</v>
      </c>
      <c r="AH2281" s="90">
        <v>-1</v>
      </c>
      <c r="AI2281" s="90">
        <v>-1</v>
      </c>
      <c r="AJ2281" s="90">
        <v>0</v>
      </c>
      <c r="AM2281" s="90" t="s">
        <v>379</v>
      </c>
      <c r="AN2281" s="90">
        <v>-1</v>
      </c>
      <c r="AQ2281" s="90">
        <v>358</v>
      </c>
      <c r="AR2281" s="90" t="s">
        <v>422</v>
      </c>
      <c r="AS2281" s="90" t="s">
        <v>250</v>
      </c>
      <c r="AT2281" s="90" t="s">
        <v>244</v>
      </c>
      <c r="AU2281" s="90">
        <v>86.412649999999999</v>
      </c>
      <c r="AV2281" s="90">
        <v>60.980293862916099</v>
      </c>
      <c r="AW2281" s="90">
        <v>24.8119285810638</v>
      </c>
      <c r="AX2281" s="90">
        <v>1.8443450600000001E-2</v>
      </c>
    </row>
    <row r="2282" spans="1:50" x14ac:dyDescent="0.25">
      <c r="A2282" s="102">
        <v>830000</v>
      </c>
      <c r="B2282" s="102">
        <v>2400000</v>
      </c>
      <c r="C2282" s="102">
        <v>2400000</v>
      </c>
      <c r="D2282" s="90" t="s">
        <v>374</v>
      </c>
      <c r="E2282" s="90" t="s">
        <v>68</v>
      </c>
      <c r="F2282" s="90" t="s">
        <v>375</v>
      </c>
      <c r="G2282" s="90" t="s">
        <v>376</v>
      </c>
      <c r="H2282" s="90">
        <v>0.59</v>
      </c>
      <c r="I2282" s="90">
        <v>0.64</v>
      </c>
      <c r="J2282" s="90" t="s">
        <v>244</v>
      </c>
      <c r="K2282" s="90">
        <v>2.187280456425E-2</v>
      </c>
      <c r="L2282" s="90">
        <v>3709.0486293050399</v>
      </c>
      <c r="M2282" s="90">
        <v>9.3118554636098292</v>
      </c>
      <c r="N2282" s="90">
        <v>1.3927760784021801</v>
      </c>
      <c r="O2282" s="90">
        <v>0.20367639468609</v>
      </c>
      <c r="P2282" s="90">
        <v>3.0463918964649998E-2</v>
      </c>
      <c r="Q2282" s="90">
        <v>81.127295788092297</v>
      </c>
      <c r="R2282" s="90">
        <v>1210</v>
      </c>
      <c r="S2282" s="90" t="s">
        <v>385</v>
      </c>
      <c r="T2282" s="90">
        <v>1210</v>
      </c>
      <c r="U2282" s="90" t="s">
        <v>378</v>
      </c>
      <c r="V2282" s="90" t="s">
        <v>244</v>
      </c>
      <c r="Z2282" s="90">
        <v>0</v>
      </c>
      <c r="AA2282" s="90">
        <v>1</v>
      </c>
      <c r="AB2282" s="90">
        <v>0.20367639468609</v>
      </c>
      <c r="AC2282" s="90">
        <v>3.0463918964649998E-2</v>
      </c>
      <c r="AD2282" s="90">
        <v>81.127295788090805</v>
      </c>
      <c r="AF2282" s="90">
        <v>-1</v>
      </c>
      <c r="AG2282" s="90">
        <v>-1</v>
      </c>
      <c r="AH2282" s="90">
        <v>-1</v>
      </c>
      <c r="AI2282" s="90">
        <v>-1</v>
      </c>
      <c r="AJ2282" s="90">
        <v>0</v>
      </c>
      <c r="AM2282" s="90" t="s">
        <v>379</v>
      </c>
      <c r="AN2282" s="90">
        <v>-1</v>
      </c>
      <c r="AQ2282" s="90">
        <v>358</v>
      </c>
      <c r="AR2282" s="90" t="s">
        <v>422</v>
      </c>
      <c r="AS2282" s="90" t="s">
        <v>250</v>
      </c>
      <c r="AT2282" s="90" t="s">
        <v>244</v>
      </c>
      <c r="AU2282" s="90">
        <v>86.412649999999999</v>
      </c>
      <c r="AV2282" s="90">
        <v>52.910903012734302</v>
      </c>
      <c r="AW2282" s="90">
        <v>88.516099626737599</v>
      </c>
      <c r="AX2282" s="90">
        <v>6.5796671400000006E-2</v>
      </c>
    </row>
    <row r="2283" spans="1:50" x14ac:dyDescent="0.25">
      <c r="A2283" s="102">
        <v>830000</v>
      </c>
      <c r="B2283" s="102">
        <v>2400000</v>
      </c>
      <c r="C2283" s="102">
        <v>2400000</v>
      </c>
      <c r="D2283" s="90" t="s">
        <v>374</v>
      </c>
      <c r="E2283" s="90" t="s">
        <v>68</v>
      </c>
      <c r="F2283" s="90" t="s">
        <v>375</v>
      </c>
      <c r="G2283" s="90" t="s">
        <v>376</v>
      </c>
      <c r="H2283" s="90">
        <v>0.59</v>
      </c>
      <c r="I2283" s="90">
        <v>0.64</v>
      </c>
      <c r="J2283" s="90" t="s">
        <v>244</v>
      </c>
      <c r="K2283" s="90">
        <v>2.1718720913280001E-2</v>
      </c>
      <c r="L2283" s="90">
        <v>3709.0486293050399</v>
      </c>
      <c r="M2283" s="90">
        <v>9.3118554636098292</v>
      </c>
      <c r="N2283" s="90">
        <v>1.3927760784021801</v>
      </c>
      <c r="O2283" s="90">
        <v>0.20224158999902</v>
      </c>
      <c r="P2283" s="90">
        <v>3.024931494152E-2</v>
      </c>
      <c r="Q2283" s="90">
        <v>80.555792033693393</v>
      </c>
      <c r="R2283" s="90">
        <v>1210</v>
      </c>
      <c r="S2283" s="90" t="s">
        <v>385</v>
      </c>
      <c r="T2283" s="90">
        <v>1210</v>
      </c>
      <c r="U2283" s="90" t="s">
        <v>378</v>
      </c>
      <c r="V2283" s="90" t="s">
        <v>244</v>
      </c>
      <c r="Z2283" s="90">
        <v>0</v>
      </c>
      <c r="AA2283" s="90">
        <v>1</v>
      </c>
      <c r="AB2283" s="90">
        <v>0.20224158999902</v>
      </c>
      <c r="AC2283" s="90">
        <v>3.024931494152E-2</v>
      </c>
      <c r="AD2283" s="90">
        <v>80.555792033692995</v>
      </c>
      <c r="AF2283" s="90">
        <v>-1</v>
      </c>
      <c r="AG2283" s="90">
        <v>-1</v>
      </c>
      <c r="AH2283" s="90">
        <v>-1</v>
      </c>
      <c r="AI2283" s="90">
        <v>-1</v>
      </c>
      <c r="AJ2283" s="90">
        <v>0</v>
      </c>
      <c r="AM2283" s="90" t="s">
        <v>379</v>
      </c>
      <c r="AN2283" s="90">
        <v>-1</v>
      </c>
      <c r="AQ2283" s="90">
        <v>358</v>
      </c>
      <c r="AR2283" s="90" t="s">
        <v>422</v>
      </c>
      <c r="AS2283" s="90" t="s">
        <v>250</v>
      </c>
      <c r="AT2283" s="90" t="s">
        <v>244</v>
      </c>
      <c r="AU2283" s="90">
        <v>86.412649999999999</v>
      </c>
      <c r="AV2283" s="90">
        <v>53.079852021794501</v>
      </c>
      <c r="AW2283" s="90">
        <v>87.892545214256302</v>
      </c>
      <c r="AX2283" s="90">
        <v>6.5333164700000002E-2</v>
      </c>
    </row>
    <row r="2284" spans="1:50" x14ac:dyDescent="0.25">
      <c r="A2284" s="102">
        <v>830000</v>
      </c>
      <c r="B2284" s="102">
        <v>2400000</v>
      </c>
      <c r="C2284" s="102">
        <v>2400000</v>
      </c>
      <c r="D2284" s="90" t="s">
        <v>374</v>
      </c>
      <c r="E2284" s="90" t="s">
        <v>68</v>
      </c>
      <c r="F2284" s="90" t="s">
        <v>375</v>
      </c>
      <c r="G2284" s="90" t="s">
        <v>376</v>
      </c>
      <c r="H2284" s="90">
        <v>0.59</v>
      </c>
      <c r="I2284" s="90">
        <v>0.64</v>
      </c>
      <c r="J2284" s="90" t="s">
        <v>244</v>
      </c>
      <c r="K2284" s="90">
        <v>4.7568789603800003E-3</v>
      </c>
      <c r="L2284" s="90">
        <v>3743.9656146775001</v>
      </c>
      <c r="M2284" s="90">
        <v>10.3355993703754</v>
      </c>
      <c r="N2284" s="90">
        <v>1.8688019530939901</v>
      </c>
      <c r="O2284" s="90">
        <v>4.9165195187910002E-2</v>
      </c>
      <c r="P2284" s="90">
        <v>8.8896646917999995E-3</v>
      </c>
      <c r="Q2284" s="90">
        <v>17.809591260868</v>
      </c>
      <c r="R2284" s="90">
        <v>1200</v>
      </c>
      <c r="S2284" s="90" t="s">
        <v>384</v>
      </c>
      <c r="T2284" s="90">
        <v>1200</v>
      </c>
      <c r="U2284" s="90" t="s">
        <v>378</v>
      </c>
      <c r="V2284" s="90" t="s">
        <v>244</v>
      </c>
      <c r="Z2284" s="90">
        <v>0</v>
      </c>
      <c r="AA2284" s="90">
        <v>1</v>
      </c>
      <c r="AB2284" s="90">
        <v>4.9165195187910002E-2</v>
      </c>
      <c r="AC2284" s="90">
        <v>8.8896646917999995E-3</v>
      </c>
      <c r="AD2284" s="90">
        <v>17.809591260869102</v>
      </c>
      <c r="AF2284" s="90">
        <v>-1</v>
      </c>
      <c r="AG2284" s="90">
        <v>-1</v>
      </c>
      <c r="AH2284" s="90">
        <v>-1</v>
      </c>
      <c r="AI2284" s="90">
        <v>-1</v>
      </c>
      <c r="AJ2284" s="90">
        <v>0</v>
      </c>
      <c r="AM2284" s="90" t="s">
        <v>379</v>
      </c>
      <c r="AN2284" s="90">
        <v>-1</v>
      </c>
      <c r="AQ2284" s="90">
        <v>358</v>
      </c>
      <c r="AR2284" s="90" t="s">
        <v>422</v>
      </c>
      <c r="AS2284" s="90" t="s">
        <v>250</v>
      </c>
      <c r="AT2284" s="90" t="s">
        <v>244</v>
      </c>
      <c r="AU2284" s="90">
        <v>86.412649999999999</v>
      </c>
      <c r="AV2284" s="90">
        <v>18.831737910081699</v>
      </c>
      <c r="AW2284" s="90">
        <v>19.2504061714186</v>
      </c>
      <c r="AX2284" s="90">
        <v>1.44441129E-2</v>
      </c>
    </row>
    <row r="2285" spans="1:50" x14ac:dyDescent="0.25">
      <c r="A2285" s="102">
        <v>830000</v>
      </c>
      <c r="B2285" s="102">
        <v>2400000</v>
      </c>
      <c r="C2285" s="102">
        <v>2400000</v>
      </c>
      <c r="D2285" s="90" t="s">
        <v>374</v>
      </c>
      <c r="E2285" s="90" t="s">
        <v>68</v>
      </c>
      <c r="F2285" s="90" t="s">
        <v>375</v>
      </c>
      <c r="G2285" s="90" t="s">
        <v>376</v>
      </c>
      <c r="H2285" s="90">
        <v>0.59</v>
      </c>
      <c r="I2285" s="90">
        <v>0.64</v>
      </c>
      <c r="J2285" s="90" t="s">
        <v>381</v>
      </c>
      <c r="K2285" s="90">
        <v>6.8524333061730003E-2</v>
      </c>
      <c r="L2285" s="90">
        <v>3743.9656146775001</v>
      </c>
      <c r="M2285" s="90">
        <v>10.3355993703754</v>
      </c>
      <c r="N2285" s="90">
        <v>1.8688019530939901</v>
      </c>
      <c r="O2285" s="90">
        <v>0.70824005364830001</v>
      </c>
      <c r="P2285" s="90">
        <v>0.12805840746024</v>
      </c>
      <c r="Q2285" s="90">
        <v>256.55274675186001</v>
      </c>
      <c r="R2285" s="90">
        <v>1200</v>
      </c>
      <c r="S2285" s="90" t="s">
        <v>384</v>
      </c>
      <c r="T2285" s="90">
        <v>1200</v>
      </c>
      <c r="U2285" s="90" t="s">
        <v>382</v>
      </c>
      <c r="V2285" s="90" t="s">
        <v>381</v>
      </c>
      <c r="Z2285" s="90">
        <v>0</v>
      </c>
      <c r="AA2285" s="90">
        <v>1</v>
      </c>
      <c r="AB2285" s="90">
        <v>0.70824005364830001</v>
      </c>
      <c r="AC2285" s="90">
        <v>0.12805840746024</v>
      </c>
      <c r="AD2285" s="90">
        <v>256.55274675185802</v>
      </c>
      <c r="AF2285" s="90">
        <v>-1</v>
      </c>
      <c r="AG2285" s="90">
        <v>-1</v>
      </c>
      <c r="AH2285" s="90">
        <v>-1</v>
      </c>
      <c r="AI2285" s="90">
        <v>-1</v>
      </c>
      <c r="AJ2285" s="90">
        <v>0</v>
      </c>
      <c r="AM2285" s="90" t="s">
        <v>379</v>
      </c>
      <c r="AN2285" s="90">
        <v>-1</v>
      </c>
      <c r="AQ2285" s="90">
        <v>358</v>
      </c>
      <c r="AR2285" s="90" t="s">
        <v>422</v>
      </c>
      <c r="AS2285" s="90" t="s">
        <v>250</v>
      </c>
      <c r="AT2285" s="90" t="s">
        <v>244</v>
      </c>
      <c r="AU2285" s="90">
        <v>86.412649999999999</v>
      </c>
      <c r="AV2285" s="90">
        <v>111.427474264616</v>
      </c>
      <c r="AW2285" s="90">
        <v>277.308137341573</v>
      </c>
      <c r="AX2285" s="90">
        <v>0.20807197629999999</v>
      </c>
    </row>
    <row r="2286" spans="1:50" x14ac:dyDescent="0.25">
      <c r="A2286" s="102">
        <v>830000</v>
      </c>
      <c r="B2286" s="102">
        <v>2400000</v>
      </c>
      <c r="C2286" s="102">
        <v>2400000</v>
      </c>
      <c r="D2286" s="90" t="s">
        <v>374</v>
      </c>
      <c r="E2286" s="90" t="s">
        <v>68</v>
      </c>
      <c r="F2286" s="90" t="s">
        <v>375</v>
      </c>
      <c r="G2286" s="90" t="s">
        <v>376</v>
      </c>
      <c r="H2286" s="90">
        <v>0.59</v>
      </c>
      <c r="I2286" s="90">
        <v>0.64</v>
      </c>
      <c r="J2286" s="90" t="s">
        <v>244</v>
      </c>
      <c r="K2286" s="90">
        <v>1.78337787472E-3</v>
      </c>
      <c r="L2286" s="90">
        <v>3743.9656146775001</v>
      </c>
      <c r="M2286" s="90">
        <v>10.3355993703754</v>
      </c>
      <c r="N2286" s="90">
        <v>1.8688019530939901</v>
      </c>
      <c r="O2286" s="90">
        <v>1.84322792391E-2</v>
      </c>
      <c r="P2286" s="90">
        <v>3.3327800553800001E-3</v>
      </c>
      <c r="Q2286" s="90">
        <v>6.6769054409320701</v>
      </c>
      <c r="R2286" s="90">
        <v>1300</v>
      </c>
      <c r="S2286" s="90" t="s">
        <v>387</v>
      </c>
      <c r="T2286" s="90">
        <v>1300</v>
      </c>
      <c r="U2286" s="90" t="s">
        <v>378</v>
      </c>
      <c r="V2286" s="90" t="s">
        <v>244</v>
      </c>
      <c r="Z2286" s="90">
        <v>0</v>
      </c>
      <c r="AA2286" s="90">
        <v>1</v>
      </c>
      <c r="AB2286" s="90">
        <v>1.84322792391E-2</v>
      </c>
      <c r="AC2286" s="90">
        <v>3.3327800553800001E-3</v>
      </c>
      <c r="AD2286" s="90">
        <v>6.6769054409335</v>
      </c>
      <c r="AF2286" s="90">
        <v>-1</v>
      </c>
      <c r="AG2286" s="90">
        <v>-1</v>
      </c>
      <c r="AH2286" s="90">
        <v>-1</v>
      </c>
      <c r="AI2286" s="90">
        <v>-1</v>
      </c>
      <c r="AJ2286" s="90">
        <v>0</v>
      </c>
      <c r="AM2286" s="90" t="s">
        <v>379</v>
      </c>
      <c r="AN2286" s="90">
        <v>-1</v>
      </c>
      <c r="AQ2286" s="90">
        <v>358</v>
      </c>
      <c r="AR2286" s="90" t="s">
        <v>422</v>
      </c>
      <c r="AS2286" s="90" t="s">
        <v>250</v>
      </c>
      <c r="AT2286" s="90" t="s">
        <v>244</v>
      </c>
      <c r="AU2286" s="90">
        <v>86.412649999999999</v>
      </c>
      <c r="AV2286" s="90">
        <v>100.517385823456</v>
      </c>
      <c r="AW2286" s="90">
        <v>7.2170742058822803</v>
      </c>
      <c r="AX2286" s="90">
        <v>5.4151707000000002E-3</v>
      </c>
    </row>
    <row r="2287" spans="1:50" x14ac:dyDescent="0.25">
      <c r="A2287" s="102">
        <v>830000</v>
      </c>
      <c r="B2287" s="102">
        <v>2400000</v>
      </c>
      <c r="C2287" s="102">
        <v>2400000</v>
      </c>
      <c r="D2287" s="90" t="s">
        <v>374</v>
      </c>
      <c r="E2287" s="90" t="s">
        <v>68</v>
      </c>
      <c r="F2287" s="90" t="s">
        <v>375</v>
      </c>
      <c r="G2287" s="90" t="s">
        <v>376</v>
      </c>
      <c r="H2287" s="90">
        <v>0.59</v>
      </c>
      <c r="I2287" s="90">
        <v>0.64</v>
      </c>
      <c r="J2287" s="90" t="s">
        <v>381</v>
      </c>
      <c r="K2287" s="90">
        <v>0.15566440089714001</v>
      </c>
      <c r="L2287" s="90">
        <v>3743.9656146775001</v>
      </c>
      <c r="M2287" s="90">
        <v>10.3355993703754</v>
      </c>
      <c r="N2287" s="90">
        <v>1.8688019530939901</v>
      </c>
      <c r="O2287" s="90">
        <v>1.6088848839024199</v>
      </c>
      <c r="P2287" s="90">
        <v>0.29090593642378998</v>
      </c>
      <c r="Q2287" s="90">
        <v>582.80216438829302</v>
      </c>
      <c r="R2287" s="90">
        <v>1300</v>
      </c>
      <c r="S2287" s="90" t="s">
        <v>387</v>
      </c>
      <c r="T2287" s="90">
        <v>1300</v>
      </c>
      <c r="U2287" s="90" t="s">
        <v>382</v>
      </c>
      <c r="V2287" s="90" t="s">
        <v>381</v>
      </c>
      <c r="Z2287" s="90">
        <v>0</v>
      </c>
      <c r="AA2287" s="90">
        <v>1</v>
      </c>
      <c r="AB2287" s="90">
        <v>1.6088848839024199</v>
      </c>
      <c r="AC2287" s="90">
        <v>0.29090593642378998</v>
      </c>
      <c r="AD2287" s="90">
        <v>582.80216438829302</v>
      </c>
      <c r="AF2287" s="90">
        <v>-1</v>
      </c>
      <c r="AG2287" s="90">
        <v>-1</v>
      </c>
      <c r="AH2287" s="90">
        <v>-1</v>
      </c>
      <c r="AI2287" s="90">
        <v>-1</v>
      </c>
      <c r="AJ2287" s="90">
        <v>0</v>
      </c>
      <c r="AM2287" s="90" t="s">
        <v>379</v>
      </c>
      <c r="AN2287" s="90">
        <v>-1</v>
      </c>
      <c r="AQ2287" s="90">
        <v>358</v>
      </c>
      <c r="AR2287" s="90" t="s">
        <v>422</v>
      </c>
      <c r="AS2287" s="90" t="s">
        <v>250</v>
      </c>
      <c r="AT2287" s="90" t="s">
        <v>244</v>
      </c>
      <c r="AU2287" s="90">
        <v>86.412649999999999</v>
      </c>
      <c r="AV2287" s="90">
        <v>125.45973666275999</v>
      </c>
      <c r="AW2287" s="90">
        <v>629.95148050966804</v>
      </c>
      <c r="AX2287" s="90">
        <v>0.47267004410000002</v>
      </c>
    </row>
    <row r="2288" spans="1:50" x14ac:dyDescent="0.25">
      <c r="A2288" s="102">
        <v>830000</v>
      </c>
      <c r="B2288" s="102">
        <v>2400000</v>
      </c>
      <c r="C2288" s="102">
        <v>2400000</v>
      </c>
      <c r="D2288" s="90" t="s">
        <v>374</v>
      </c>
      <c r="E2288" s="90" t="s">
        <v>68</v>
      </c>
      <c r="F2288" s="90" t="s">
        <v>375</v>
      </c>
      <c r="G2288" s="90" t="s">
        <v>376</v>
      </c>
      <c r="H2288" s="90">
        <v>0.59</v>
      </c>
      <c r="I2288" s="90">
        <v>0.64</v>
      </c>
      <c r="J2288" s="90" t="s">
        <v>244</v>
      </c>
      <c r="K2288" s="90">
        <v>3.9597318987710003E-2</v>
      </c>
      <c r="L2288" s="90">
        <v>3743.9656146775001</v>
      </c>
      <c r="M2288" s="90">
        <v>10.3355993703754</v>
      </c>
      <c r="N2288" s="90">
        <v>1.8688019530939901</v>
      </c>
      <c r="O2288" s="90">
        <v>0.40926202519798999</v>
      </c>
      <c r="P2288" s="90">
        <v>7.3999547061530002E-2</v>
      </c>
      <c r="Q2288" s="90">
        <v>148.25100072342499</v>
      </c>
      <c r="R2288" s="90">
        <v>1210</v>
      </c>
      <c r="S2288" s="90" t="s">
        <v>385</v>
      </c>
      <c r="T2288" s="90">
        <v>1210</v>
      </c>
      <c r="U2288" s="90" t="s">
        <v>378</v>
      </c>
      <c r="V2288" s="90" t="s">
        <v>244</v>
      </c>
      <c r="Z2288" s="90">
        <v>0</v>
      </c>
      <c r="AA2288" s="90">
        <v>1</v>
      </c>
      <c r="AB2288" s="90">
        <v>0.40926202519798999</v>
      </c>
      <c r="AC2288" s="90">
        <v>7.3999547061530002E-2</v>
      </c>
      <c r="AD2288" s="90">
        <v>148.251000723423</v>
      </c>
      <c r="AF2288" s="90">
        <v>-1</v>
      </c>
      <c r="AG2288" s="90">
        <v>-1</v>
      </c>
      <c r="AH2288" s="90">
        <v>-1</v>
      </c>
      <c r="AI2288" s="90">
        <v>-1</v>
      </c>
      <c r="AJ2288" s="90">
        <v>0</v>
      </c>
      <c r="AM2288" s="90" t="s">
        <v>379</v>
      </c>
      <c r="AN2288" s="90">
        <v>-1</v>
      </c>
      <c r="AQ2288" s="90">
        <v>358</v>
      </c>
      <c r="AR2288" s="90" t="s">
        <v>422</v>
      </c>
      <c r="AS2288" s="90" t="s">
        <v>250</v>
      </c>
      <c r="AT2288" s="90" t="s">
        <v>244</v>
      </c>
      <c r="AU2288" s="90">
        <v>86.412649999999999</v>
      </c>
      <c r="AV2288" s="90">
        <v>55.1648185080874</v>
      </c>
      <c r="AW2288" s="90">
        <v>160.244664655257</v>
      </c>
      <c r="AX2288" s="90">
        <v>0.1202360103</v>
      </c>
    </row>
    <row r="2289" spans="1:50" x14ac:dyDescent="0.25">
      <c r="A2289" s="102">
        <v>830000</v>
      </c>
      <c r="B2289" s="102">
        <v>2400000</v>
      </c>
      <c r="C2289" s="102">
        <v>2400000</v>
      </c>
      <c r="D2289" s="90" t="s">
        <v>374</v>
      </c>
      <c r="E2289" s="90" t="s">
        <v>68</v>
      </c>
      <c r="F2289" s="90" t="s">
        <v>375</v>
      </c>
      <c r="G2289" s="90" t="s">
        <v>376</v>
      </c>
      <c r="H2289" s="90">
        <v>0.59</v>
      </c>
      <c r="I2289" s="90">
        <v>0.64</v>
      </c>
      <c r="J2289" s="90" t="s">
        <v>381</v>
      </c>
      <c r="K2289" s="90">
        <v>6.8435702125999997E-4</v>
      </c>
      <c r="L2289" s="90">
        <v>3743.9656146775001</v>
      </c>
      <c r="M2289" s="90">
        <v>10.3355993703754</v>
      </c>
      <c r="N2289" s="90">
        <v>1.8688019530939901</v>
      </c>
      <c r="O2289" s="90">
        <v>7.0732399981299999E-3</v>
      </c>
      <c r="P2289" s="90">
        <v>1.27892773795E-3</v>
      </c>
      <c r="Q2289" s="90">
        <v>2.56220915579051</v>
      </c>
      <c r="R2289" s="90">
        <v>1210</v>
      </c>
      <c r="S2289" s="90" t="s">
        <v>385</v>
      </c>
      <c r="T2289" s="90">
        <v>1210</v>
      </c>
      <c r="U2289" s="90" t="s">
        <v>382</v>
      </c>
      <c r="V2289" s="90" t="s">
        <v>381</v>
      </c>
      <c r="Z2289" s="90">
        <v>0</v>
      </c>
      <c r="AA2289" s="90">
        <v>1</v>
      </c>
      <c r="AB2289" s="90">
        <v>7.0732399981299999E-3</v>
      </c>
      <c r="AC2289" s="90">
        <v>1.27892773795E-3</v>
      </c>
      <c r="AD2289" s="90">
        <v>2.56220915579196</v>
      </c>
      <c r="AF2289" s="90">
        <v>-1</v>
      </c>
      <c r="AG2289" s="90">
        <v>-1</v>
      </c>
      <c r="AH2289" s="90">
        <v>-1</v>
      </c>
      <c r="AI2289" s="90">
        <v>-1</v>
      </c>
      <c r="AJ2289" s="90">
        <v>0</v>
      </c>
      <c r="AM2289" s="90" t="s">
        <v>379</v>
      </c>
      <c r="AN2289" s="90">
        <v>-1</v>
      </c>
      <c r="AQ2289" s="90">
        <v>358</v>
      </c>
      <c r="AR2289" s="90" t="s">
        <v>422</v>
      </c>
      <c r="AS2289" s="90" t="s">
        <v>250</v>
      </c>
      <c r="AT2289" s="90" t="s">
        <v>244</v>
      </c>
      <c r="AU2289" s="90">
        <v>86.412649999999999</v>
      </c>
      <c r="AV2289" s="90">
        <v>38.786859452968301</v>
      </c>
      <c r="AW2289" s="90">
        <v>2.7694946067344999</v>
      </c>
      <c r="AX2289" s="90">
        <v>2.0780285000000002E-3</v>
      </c>
    </row>
    <row r="2290" spans="1:50" x14ac:dyDescent="0.25">
      <c r="A2290" s="102">
        <v>830000</v>
      </c>
      <c r="B2290" s="102">
        <v>2400000</v>
      </c>
      <c r="C2290" s="102">
        <v>2400000</v>
      </c>
      <c r="D2290" s="90" t="s">
        <v>374</v>
      </c>
      <c r="E2290" s="90" t="s">
        <v>68</v>
      </c>
      <c r="F2290" s="90" t="s">
        <v>375</v>
      </c>
      <c r="G2290" s="90" t="s">
        <v>376</v>
      </c>
      <c r="H2290" s="90">
        <v>0.59</v>
      </c>
      <c r="I2290" s="90">
        <v>0.64</v>
      </c>
      <c r="J2290" s="90" t="s">
        <v>244</v>
      </c>
      <c r="K2290" s="90">
        <v>2.0238277918909999E-2</v>
      </c>
      <c r="L2290" s="90">
        <v>3743.9656146775001</v>
      </c>
      <c r="M2290" s="90">
        <v>10.3355993703754</v>
      </c>
      <c r="N2290" s="90">
        <v>1.8688019530939901</v>
      </c>
      <c r="O2290" s="90">
        <v>0.2091747325162</v>
      </c>
      <c r="P2290" s="90">
        <v>3.7821333302120001E-2</v>
      </c>
      <c r="Q2290" s="90">
        <v>75.771416628697295</v>
      </c>
      <c r="R2290" s="90">
        <v>1210</v>
      </c>
      <c r="S2290" s="90" t="s">
        <v>385</v>
      </c>
      <c r="T2290" s="90">
        <v>1210</v>
      </c>
      <c r="U2290" s="90" t="s">
        <v>378</v>
      </c>
      <c r="V2290" s="90" t="s">
        <v>244</v>
      </c>
      <c r="Z2290" s="90">
        <v>0</v>
      </c>
      <c r="AA2290" s="90">
        <v>1</v>
      </c>
      <c r="AB2290" s="90">
        <v>0.2091747325162</v>
      </c>
      <c r="AC2290" s="90">
        <v>3.7821333302120001E-2</v>
      </c>
      <c r="AD2290" s="90">
        <v>75.771416628696599</v>
      </c>
      <c r="AF2290" s="90">
        <v>-1</v>
      </c>
      <c r="AG2290" s="90">
        <v>-1</v>
      </c>
      <c r="AH2290" s="90">
        <v>-1</v>
      </c>
      <c r="AI2290" s="90">
        <v>-1</v>
      </c>
      <c r="AJ2290" s="90">
        <v>0</v>
      </c>
      <c r="AM2290" s="90" t="s">
        <v>379</v>
      </c>
      <c r="AN2290" s="90">
        <v>-1</v>
      </c>
      <c r="AQ2290" s="90">
        <v>358</v>
      </c>
      <c r="AR2290" s="90" t="s">
        <v>422</v>
      </c>
      <c r="AS2290" s="90" t="s">
        <v>250</v>
      </c>
      <c r="AT2290" s="90" t="s">
        <v>244</v>
      </c>
      <c r="AU2290" s="90">
        <v>86.412649999999999</v>
      </c>
      <c r="AV2290" s="90">
        <v>36.226804734120897</v>
      </c>
      <c r="AW2290" s="90">
        <v>81.901404974468306</v>
      </c>
      <c r="AX2290" s="90">
        <v>6.1452892600000003E-2</v>
      </c>
    </row>
    <row r="2291" spans="1:50" x14ac:dyDescent="0.25">
      <c r="A2291" s="102">
        <v>830000</v>
      </c>
      <c r="B2291" s="102">
        <v>2400000</v>
      </c>
      <c r="C2291" s="102">
        <v>2400000</v>
      </c>
      <c r="D2291" s="90" t="s">
        <v>374</v>
      </c>
      <c r="E2291" s="90" t="s">
        <v>68</v>
      </c>
      <c r="F2291" s="90" t="s">
        <v>375</v>
      </c>
      <c r="G2291" s="90" t="s">
        <v>376</v>
      </c>
      <c r="H2291" s="90">
        <v>0.59</v>
      </c>
      <c r="I2291" s="90">
        <v>0.64</v>
      </c>
      <c r="J2291" s="90" t="s">
        <v>381</v>
      </c>
      <c r="K2291" s="90">
        <v>3.2139187987000002E-4</v>
      </c>
      <c r="L2291" s="90">
        <v>3743.9656146775001</v>
      </c>
      <c r="M2291" s="90">
        <v>10.3355993703754</v>
      </c>
      <c r="N2291" s="90">
        <v>1.8688019530939901</v>
      </c>
      <c r="O2291" s="90">
        <v>3.3217777112799999E-3</v>
      </c>
      <c r="P2291" s="90">
        <v>6.0061777281000003E-4</v>
      </c>
      <c r="Q2291" s="90">
        <v>1.2032801470885599</v>
      </c>
      <c r="R2291" s="90">
        <v>1210</v>
      </c>
      <c r="S2291" s="90" t="s">
        <v>385</v>
      </c>
      <c r="T2291" s="90">
        <v>1210</v>
      </c>
      <c r="U2291" s="90" t="s">
        <v>382</v>
      </c>
      <c r="V2291" s="90" t="s">
        <v>381</v>
      </c>
      <c r="Z2291" s="90">
        <v>0</v>
      </c>
      <c r="AA2291" s="90">
        <v>1</v>
      </c>
      <c r="AB2291" s="90">
        <v>3.3217777112799999E-3</v>
      </c>
      <c r="AC2291" s="90">
        <v>6.0061777281000003E-4</v>
      </c>
      <c r="AD2291" s="90">
        <v>1.2032801470878101</v>
      </c>
      <c r="AF2291" s="90">
        <v>-1</v>
      </c>
      <c r="AG2291" s="90">
        <v>-1</v>
      </c>
      <c r="AH2291" s="90">
        <v>-1</v>
      </c>
      <c r="AI2291" s="90">
        <v>-1</v>
      </c>
      <c r="AJ2291" s="90">
        <v>0</v>
      </c>
      <c r="AM2291" s="90" t="s">
        <v>379</v>
      </c>
      <c r="AN2291" s="90">
        <v>-1</v>
      </c>
      <c r="AQ2291" s="90">
        <v>358</v>
      </c>
      <c r="AR2291" s="90" t="s">
        <v>422</v>
      </c>
      <c r="AS2291" s="90" t="s">
        <v>250</v>
      </c>
      <c r="AT2291" s="90" t="s">
        <v>244</v>
      </c>
      <c r="AU2291" s="90">
        <v>86.412649999999999</v>
      </c>
      <c r="AV2291" s="90">
        <v>18.365430605483201</v>
      </c>
      <c r="AW2291" s="90">
        <v>1.30062679317854</v>
      </c>
      <c r="AX2291" s="90">
        <v>9.7589629999999996E-4</v>
      </c>
    </row>
    <row r="2292" spans="1:50" x14ac:dyDescent="0.25">
      <c r="A2292" s="102">
        <v>830000</v>
      </c>
      <c r="B2292" s="102">
        <v>2400000</v>
      </c>
      <c r="C2292" s="102">
        <v>2400000</v>
      </c>
      <c r="D2292" s="90" t="s">
        <v>374</v>
      </c>
      <c r="E2292" s="90" t="s">
        <v>68</v>
      </c>
      <c r="F2292" s="90" t="s">
        <v>375</v>
      </c>
      <c r="G2292" s="90" t="s">
        <v>376</v>
      </c>
      <c r="H2292" s="90">
        <v>0.59</v>
      </c>
      <c r="I2292" s="90">
        <v>0.64</v>
      </c>
      <c r="J2292" s="90" t="s">
        <v>244</v>
      </c>
      <c r="K2292" s="90">
        <v>0.28208855744192002</v>
      </c>
      <c r="L2292" s="90">
        <v>3743.9656146775001</v>
      </c>
      <c r="M2292" s="90">
        <v>10.3355993703754</v>
      </c>
      <c r="N2292" s="90">
        <v>1.8688019530939901</v>
      </c>
      <c r="O2292" s="90">
        <v>2.9155543166868401</v>
      </c>
      <c r="P2292" s="90">
        <v>0.52716764709292996</v>
      </c>
      <c r="Q2292" s="90">
        <v>1056.12985935653</v>
      </c>
      <c r="R2292" s="90">
        <v>1300</v>
      </c>
      <c r="S2292" s="90" t="s">
        <v>387</v>
      </c>
      <c r="T2292" s="90">
        <v>1300</v>
      </c>
      <c r="U2292" s="90" t="s">
        <v>378</v>
      </c>
      <c r="V2292" s="90" t="s">
        <v>244</v>
      </c>
      <c r="Z2292" s="90">
        <v>0</v>
      </c>
      <c r="AA2292" s="90">
        <v>1</v>
      </c>
      <c r="AB2292" s="90">
        <v>2.9155543166868401</v>
      </c>
      <c r="AC2292" s="90">
        <v>0.52716764709292996</v>
      </c>
      <c r="AD2292" s="90">
        <v>1056.12985935653</v>
      </c>
      <c r="AF2292" s="90">
        <v>-1</v>
      </c>
      <c r="AG2292" s="90">
        <v>-1</v>
      </c>
      <c r="AH2292" s="90">
        <v>-1</v>
      </c>
      <c r="AI2292" s="90">
        <v>-1</v>
      </c>
      <c r="AJ2292" s="90">
        <v>0</v>
      </c>
      <c r="AM2292" s="90" t="s">
        <v>379</v>
      </c>
      <c r="AN2292" s="90">
        <v>-1</v>
      </c>
      <c r="AQ2292" s="90">
        <v>358</v>
      </c>
      <c r="AR2292" s="90" t="s">
        <v>422</v>
      </c>
      <c r="AS2292" s="90" t="s">
        <v>250</v>
      </c>
      <c r="AT2292" s="90" t="s">
        <v>244</v>
      </c>
      <c r="AU2292" s="90">
        <v>86.412649999999999</v>
      </c>
      <c r="AV2292" s="90">
        <v>143.98799198091999</v>
      </c>
      <c r="AW2292" s="90">
        <v>1141.5718903693801</v>
      </c>
      <c r="AX2292" s="90">
        <v>0.85655300840000004</v>
      </c>
    </row>
    <row r="2293" spans="1:50" x14ac:dyDescent="0.25">
      <c r="A2293" s="102">
        <v>830000</v>
      </c>
      <c r="B2293" s="102">
        <v>2400000</v>
      </c>
      <c r="C2293" s="102">
        <v>2400000</v>
      </c>
      <c r="D2293" s="90" t="s">
        <v>374</v>
      </c>
      <c r="E2293" s="90" t="s">
        <v>68</v>
      </c>
      <c r="F2293" s="90" t="s">
        <v>375</v>
      </c>
      <c r="G2293" s="90" t="s">
        <v>376</v>
      </c>
      <c r="H2293" s="90">
        <v>0.59</v>
      </c>
      <c r="I2293" s="90">
        <v>0.64</v>
      </c>
      <c r="J2293" s="90" t="s">
        <v>244</v>
      </c>
      <c r="K2293" s="90">
        <v>3.2929737191520002E-2</v>
      </c>
      <c r="L2293" s="90">
        <v>3743.9656146775001</v>
      </c>
      <c r="M2293" s="90">
        <v>10.3355993703754</v>
      </c>
      <c r="N2293" s="90">
        <v>1.8688019530939901</v>
      </c>
      <c r="O2293" s="90">
        <v>0.34034857098332999</v>
      </c>
      <c r="P2293" s="90">
        <v>6.1539157178390001E-2</v>
      </c>
      <c r="Q2293" s="90">
        <v>123.287803745429</v>
      </c>
      <c r="R2293" s="90">
        <v>1210</v>
      </c>
      <c r="S2293" s="90" t="s">
        <v>385</v>
      </c>
      <c r="T2293" s="90">
        <v>1210</v>
      </c>
      <c r="U2293" s="90" t="s">
        <v>378</v>
      </c>
      <c r="V2293" s="90" t="s">
        <v>244</v>
      </c>
      <c r="Z2293" s="90">
        <v>0</v>
      </c>
      <c r="AA2293" s="90">
        <v>1</v>
      </c>
      <c r="AB2293" s="90">
        <v>0.34034857098332999</v>
      </c>
      <c r="AC2293" s="90">
        <v>6.1539157178390001E-2</v>
      </c>
      <c r="AD2293" s="90">
        <v>123.287803745429</v>
      </c>
      <c r="AF2293" s="90">
        <v>-1</v>
      </c>
      <c r="AG2293" s="90">
        <v>-1</v>
      </c>
      <c r="AH2293" s="90">
        <v>-1</v>
      </c>
      <c r="AI2293" s="90">
        <v>-1</v>
      </c>
      <c r="AJ2293" s="90">
        <v>0</v>
      </c>
      <c r="AM2293" s="90" t="s">
        <v>379</v>
      </c>
      <c r="AN2293" s="90">
        <v>-1</v>
      </c>
      <c r="AQ2293" s="90">
        <v>358</v>
      </c>
      <c r="AR2293" s="90" t="s">
        <v>422</v>
      </c>
      <c r="AS2293" s="90" t="s">
        <v>250</v>
      </c>
      <c r="AT2293" s="90" t="s">
        <v>244</v>
      </c>
      <c r="AU2293" s="90">
        <v>86.412649999999999</v>
      </c>
      <c r="AV2293" s="90">
        <v>51.972603674224203</v>
      </c>
      <c r="AW2293" s="90">
        <v>133.26191844145799</v>
      </c>
      <c r="AX2293" s="90">
        <v>9.9990108499999994E-2</v>
      </c>
    </row>
    <row r="2294" spans="1:50" x14ac:dyDescent="0.25">
      <c r="A2294" s="102">
        <v>830000</v>
      </c>
      <c r="B2294" s="102">
        <v>2400000</v>
      </c>
      <c r="C2294" s="102">
        <v>2400000</v>
      </c>
      <c r="D2294" s="90" t="s">
        <v>374</v>
      </c>
      <c r="E2294" s="90" t="s">
        <v>68</v>
      </c>
      <c r="F2294" s="90" t="s">
        <v>375</v>
      </c>
      <c r="G2294" s="90" t="s">
        <v>376</v>
      </c>
      <c r="H2294" s="90">
        <v>0.59</v>
      </c>
      <c r="I2294" s="90">
        <v>0.64</v>
      </c>
      <c r="J2294" s="90" t="s">
        <v>381</v>
      </c>
      <c r="K2294" s="90">
        <v>6.7343890180999999E-4</v>
      </c>
      <c r="L2294" s="90">
        <v>3743.9656146775001</v>
      </c>
      <c r="M2294" s="90">
        <v>10.3355993703754</v>
      </c>
      <c r="N2294" s="90">
        <v>1.8688019530939901</v>
      </c>
      <c r="O2294" s="90">
        <v>6.9603946896000003E-3</v>
      </c>
      <c r="P2294" s="90">
        <v>1.2585239350000001E-3</v>
      </c>
      <c r="Q2294" s="90">
        <v>2.5213320919890299</v>
      </c>
      <c r="R2294" s="90">
        <v>1210</v>
      </c>
      <c r="S2294" s="90" t="s">
        <v>385</v>
      </c>
      <c r="T2294" s="90">
        <v>1210</v>
      </c>
      <c r="U2294" s="90" t="s">
        <v>382</v>
      </c>
      <c r="V2294" s="90" t="s">
        <v>381</v>
      </c>
      <c r="Z2294" s="90">
        <v>0</v>
      </c>
      <c r="AA2294" s="90">
        <v>1</v>
      </c>
      <c r="AB2294" s="90">
        <v>6.9603946896000003E-3</v>
      </c>
      <c r="AC2294" s="90">
        <v>1.2585239350000001E-3</v>
      </c>
      <c r="AD2294" s="90">
        <v>2.5213320919879698</v>
      </c>
      <c r="AF2294" s="90">
        <v>-1</v>
      </c>
      <c r="AG2294" s="90">
        <v>-1</v>
      </c>
      <c r="AH2294" s="90">
        <v>-1</v>
      </c>
      <c r="AI2294" s="90">
        <v>-1</v>
      </c>
      <c r="AJ2294" s="90">
        <v>0</v>
      </c>
      <c r="AM2294" s="90" t="s">
        <v>379</v>
      </c>
      <c r="AN2294" s="90">
        <v>-1</v>
      </c>
      <c r="AQ2294" s="90">
        <v>358</v>
      </c>
      <c r="AR2294" s="90" t="s">
        <v>422</v>
      </c>
      <c r="AS2294" s="90" t="s">
        <v>250</v>
      </c>
      <c r="AT2294" s="90" t="s">
        <v>244</v>
      </c>
      <c r="AU2294" s="90">
        <v>86.412649999999999</v>
      </c>
      <c r="AV2294" s="90">
        <v>38.175868056293197</v>
      </c>
      <c r="AW2294" s="90">
        <v>2.72531054491099</v>
      </c>
      <c r="AX2294" s="90">
        <v>2.0448760000000002E-3</v>
      </c>
    </row>
    <row r="2295" spans="1:50" x14ac:dyDescent="0.25">
      <c r="A2295" s="102">
        <v>830000</v>
      </c>
      <c r="B2295" s="102">
        <v>2400000</v>
      </c>
      <c r="C2295" s="102">
        <v>2400000</v>
      </c>
      <c r="D2295" s="90" t="s">
        <v>374</v>
      </c>
      <c r="E2295" s="90" t="s">
        <v>68</v>
      </c>
      <c r="F2295" s="90" t="s">
        <v>375</v>
      </c>
      <c r="G2295" s="90" t="s">
        <v>376</v>
      </c>
      <c r="H2295" s="90">
        <v>0.59</v>
      </c>
      <c r="I2295" s="90">
        <v>0.64</v>
      </c>
      <c r="J2295" s="90" t="s">
        <v>244</v>
      </c>
      <c r="K2295" s="90">
        <v>0.16510259419034001</v>
      </c>
      <c r="L2295" s="90">
        <v>3757.23175066774</v>
      </c>
      <c r="M2295" s="90">
        <v>10.6974885902699</v>
      </c>
      <c r="N2295" s="90">
        <v>2.0287047202753601</v>
      </c>
      <c r="O2295" s="90">
        <v>1.7661831175751299</v>
      </c>
      <c r="P2295" s="90">
        <v>0.33494441216365001</v>
      </c>
      <c r="Q2295" s="90">
        <v>620.32870900955697</v>
      </c>
      <c r="R2295" s="90">
        <v>1300</v>
      </c>
      <c r="S2295" s="90" t="s">
        <v>387</v>
      </c>
      <c r="T2295" s="90">
        <v>1300</v>
      </c>
      <c r="U2295" s="90" t="s">
        <v>378</v>
      </c>
      <c r="V2295" s="90" t="s">
        <v>244</v>
      </c>
      <c r="Z2295" s="90">
        <v>0</v>
      </c>
      <c r="AA2295" s="90">
        <v>1</v>
      </c>
      <c r="AB2295" s="90">
        <v>1.7661831175751299</v>
      </c>
      <c r="AC2295" s="90">
        <v>0.33494441216365001</v>
      </c>
      <c r="AD2295" s="90">
        <v>620.32870900955697</v>
      </c>
      <c r="AF2295" s="90">
        <v>-1</v>
      </c>
      <c r="AG2295" s="90">
        <v>-1</v>
      </c>
      <c r="AH2295" s="90">
        <v>-1</v>
      </c>
      <c r="AI2295" s="90">
        <v>-1</v>
      </c>
      <c r="AJ2295" s="90">
        <v>0</v>
      </c>
      <c r="AM2295" s="90" t="s">
        <v>379</v>
      </c>
      <c r="AN2295" s="90">
        <v>-1</v>
      </c>
      <c r="AQ2295" s="90">
        <v>358</v>
      </c>
      <c r="AR2295" s="90" t="s">
        <v>422</v>
      </c>
      <c r="AS2295" s="90" t="s">
        <v>250</v>
      </c>
      <c r="AT2295" s="90" t="s">
        <v>244</v>
      </c>
      <c r="AU2295" s="90">
        <v>86.412649999999999</v>
      </c>
      <c r="AV2295" s="90">
        <v>126.69775471067</v>
      </c>
      <c r="AW2295" s="90">
        <v>668.14649365407797</v>
      </c>
      <c r="AX2295" s="90">
        <v>0.50310519789999997</v>
      </c>
    </row>
    <row r="2296" spans="1:50" x14ac:dyDescent="0.25">
      <c r="A2296" s="102">
        <v>830000</v>
      </c>
      <c r="B2296" s="102">
        <v>2400000</v>
      </c>
      <c r="C2296" s="102">
        <v>2400000</v>
      </c>
      <c r="D2296" s="90" t="s">
        <v>374</v>
      </c>
      <c r="E2296" s="90" t="s">
        <v>68</v>
      </c>
      <c r="F2296" s="90" t="s">
        <v>375</v>
      </c>
      <c r="G2296" s="90" t="s">
        <v>376</v>
      </c>
      <c r="H2296" s="90">
        <v>0.59</v>
      </c>
      <c r="I2296" s="90">
        <v>0.64</v>
      </c>
      <c r="J2296" s="90" t="s">
        <v>244</v>
      </c>
      <c r="K2296" s="90">
        <v>4.692389624453E-2</v>
      </c>
      <c r="L2296" s="90">
        <v>3757.23175066774</v>
      </c>
      <c r="M2296" s="90">
        <v>10.6974885902699</v>
      </c>
      <c r="N2296" s="90">
        <v>2.0287047202753601</v>
      </c>
      <c r="O2296" s="90">
        <v>0.50196784468693001</v>
      </c>
      <c r="P2296" s="90">
        <v>9.5194729805000003E-2</v>
      </c>
      <c r="Q2296" s="90">
        <v>176.303952835009</v>
      </c>
      <c r="R2296" s="90">
        <v>1210</v>
      </c>
      <c r="S2296" s="90" t="s">
        <v>385</v>
      </c>
      <c r="T2296" s="90">
        <v>1210</v>
      </c>
      <c r="U2296" s="90" t="s">
        <v>378</v>
      </c>
      <c r="V2296" s="90" t="s">
        <v>244</v>
      </c>
      <c r="Z2296" s="90">
        <v>0</v>
      </c>
      <c r="AA2296" s="90">
        <v>1</v>
      </c>
      <c r="AB2296" s="90">
        <v>0.50196784468693001</v>
      </c>
      <c r="AC2296" s="90">
        <v>9.5194729805000003E-2</v>
      </c>
      <c r="AD2296" s="90">
        <v>176.30395283500999</v>
      </c>
      <c r="AF2296" s="90">
        <v>-1</v>
      </c>
      <c r="AG2296" s="90">
        <v>-1</v>
      </c>
      <c r="AH2296" s="90">
        <v>-1</v>
      </c>
      <c r="AI2296" s="90">
        <v>-1</v>
      </c>
      <c r="AJ2296" s="90">
        <v>0</v>
      </c>
      <c r="AM2296" s="90" t="s">
        <v>379</v>
      </c>
      <c r="AN2296" s="90">
        <v>-1</v>
      </c>
      <c r="AQ2296" s="90">
        <v>358</v>
      </c>
      <c r="AR2296" s="90" t="s">
        <v>422</v>
      </c>
      <c r="AS2296" s="90" t="s">
        <v>250</v>
      </c>
      <c r="AT2296" s="90" t="s">
        <v>244</v>
      </c>
      <c r="AU2296" s="90">
        <v>86.412649999999999</v>
      </c>
      <c r="AV2296" s="90">
        <v>93.436739770541905</v>
      </c>
      <c r="AW2296" s="90">
        <v>189.89427088123199</v>
      </c>
      <c r="AX2296" s="90">
        <v>0.1429877963</v>
      </c>
    </row>
    <row r="2297" spans="1:50" x14ac:dyDescent="0.25">
      <c r="A2297" s="102">
        <v>830000</v>
      </c>
      <c r="B2297" s="102">
        <v>2400000</v>
      </c>
      <c r="C2297" s="102">
        <v>2400000</v>
      </c>
      <c r="D2297" s="90" t="s">
        <v>374</v>
      </c>
      <c r="E2297" s="90" t="s">
        <v>68</v>
      </c>
      <c r="F2297" s="90" t="s">
        <v>375</v>
      </c>
      <c r="G2297" s="90" t="s">
        <v>376</v>
      </c>
      <c r="H2297" s="90">
        <v>0.59</v>
      </c>
      <c r="I2297" s="90">
        <v>0.64</v>
      </c>
      <c r="J2297" s="90" t="s">
        <v>244</v>
      </c>
      <c r="K2297" s="90">
        <v>3.332492054721E-2</v>
      </c>
      <c r="L2297" s="90">
        <v>3757.23175066774</v>
      </c>
      <c r="M2297" s="90">
        <v>10.6974885902699</v>
      </c>
      <c r="N2297" s="90">
        <v>2.0287047202753601</v>
      </c>
      <c r="O2297" s="90">
        <v>0.35649295732551001</v>
      </c>
      <c r="P2297" s="90">
        <v>6.7606423616939998E-2</v>
      </c>
      <c r="Q2297" s="90">
        <v>125.209449568487</v>
      </c>
      <c r="R2297" s="90">
        <v>1330</v>
      </c>
      <c r="S2297" s="90" t="s">
        <v>397</v>
      </c>
      <c r="T2297" s="90">
        <v>1330</v>
      </c>
      <c r="U2297" s="90" t="s">
        <v>378</v>
      </c>
      <c r="V2297" s="90" t="s">
        <v>244</v>
      </c>
      <c r="Z2297" s="90">
        <v>0</v>
      </c>
      <c r="AA2297" s="90">
        <v>1</v>
      </c>
      <c r="AB2297" s="90">
        <v>0.35649295732551001</v>
      </c>
      <c r="AC2297" s="90">
        <v>6.7606423616939998E-2</v>
      </c>
      <c r="AD2297" s="90">
        <v>125.209449568487</v>
      </c>
      <c r="AF2297" s="90">
        <v>-1</v>
      </c>
      <c r="AG2297" s="90">
        <v>-1</v>
      </c>
      <c r="AH2297" s="90">
        <v>-1</v>
      </c>
      <c r="AI2297" s="90">
        <v>-1</v>
      </c>
      <c r="AJ2297" s="90">
        <v>0</v>
      </c>
      <c r="AM2297" s="90" t="s">
        <v>379</v>
      </c>
      <c r="AN2297" s="90">
        <v>-1</v>
      </c>
      <c r="AQ2297" s="90">
        <v>358</v>
      </c>
      <c r="AR2297" s="90" t="s">
        <v>422</v>
      </c>
      <c r="AS2297" s="90" t="s">
        <v>250</v>
      </c>
      <c r="AT2297" s="90" t="s">
        <v>244</v>
      </c>
      <c r="AU2297" s="90">
        <v>86.412649999999999</v>
      </c>
      <c r="AV2297" s="90">
        <v>49.442258617518199</v>
      </c>
      <c r="AW2297" s="90">
        <v>134.86116874247901</v>
      </c>
      <c r="AX2297" s="90">
        <v>0.1015486209</v>
      </c>
    </row>
    <row r="2298" spans="1:50" x14ac:dyDescent="0.25">
      <c r="A2298" s="102">
        <v>830000</v>
      </c>
      <c r="B2298" s="102">
        <v>2400000</v>
      </c>
      <c r="C2298" s="102">
        <v>2400000</v>
      </c>
      <c r="D2298" s="90" t="s">
        <v>374</v>
      </c>
      <c r="E2298" s="90" t="s">
        <v>68</v>
      </c>
      <c r="F2298" s="90" t="s">
        <v>375</v>
      </c>
      <c r="G2298" s="90" t="s">
        <v>376</v>
      </c>
      <c r="H2298" s="90">
        <v>0.59</v>
      </c>
      <c r="I2298" s="90">
        <v>0.64</v>
      </c>
      <c r="J2298" s="90" t="s">
        <v>244</v>
      </c>
      <c r="K2298" s="90">
        <v>0.16249487702591001</v>
      </c>
      <c r="L2298" s="90">
        <v>3757.23175066774</v>
      </c>
      <c r="M2298" s="90">
        <v>10.6974885902699</v>
      </c>
      <c r="N2298" s="90">
        <v>2.0287047202753601</v>
      </c>
      <c r="O2298" s="90">
        <v>1.73828709296207</v>
      </c>
      <c r="P2298" s="90">
        <v>0.32965412404304001</v>
      </c>
      <c r="Q2298" s="90">
        <v>610.53091128262997</v>
      </c>
      <c r="R2298" s="90">
        <v>1330</v>
      </c>
      <c r="S2298" s="90" t="s">
        <v>397</v>
      </c>
      <c r="T2298" s="90">
        <v>1330</v>
      </c>
      <c r="U2298" s="90" t="s">
        <v>378</v>
      </c>
      <c r="V2298" s="90" t="s">
        <v>244</v>
      </c>
      <c r="Z2298" s="90">
        <v>0</v>
      </c>
      <c r="AA2298" s="90">
        <v>1</v>
      </c>
      <c r="AB2298" s="90">
        <v>1.73828709296207</v>
      </c>
      <c r="AC2298" s="90">
        <v>0.32965412404304001</v>
      </c>
      <c r="AD2298" s="90">
        <v>610.53091128262997</v>
      </c>
      <c r="AF2298" s="90">
        <v>-1</v>
      </c>
      <c r="AG2298" s="90">
        <v>-1</v>
      </c>
      <c r="AH2298" s="90">
        <v>-1</v>
      </c>
      <c r="AI2298" s="90">
        <v>-1</v>
      </c>
      <c r="AJ2298" s="90">
        <v>0</v>
      </c>
      <c r="AM2298" s="90" t="s">
        <v>379</v>
      </c>
      <c r="AN2298" s="90">
        <v>-1</v>
      </c>
      <c r="AQ2298" s="90">
        <v>358</v>
      </c>
      <c r="AR2298" s="90" t="s">
        <v>422</v>
      </c>
      <c r="AS2298" s="90" t="s">
        <v>250</v>
      </c>
      <c r="AT2298" s="90" t="s">
        <v>244</v>
      </c>
      <c r="AU2298" s="90">
        <v>86.412649999999999</v>
      </c>
      <c r="AV2298" s="90">
        <v>115.64319640843</v>
      </c>
      <c r="AW2298" s="90">
        <v>657.59343669943598</v>
      </c>
      <c r="AX2298" s="90">
        <v>0.49515888990000001</v>
      </c>
    </row>
    <row r="2299" spans="1:50" x14ac:dyDescent="0.25">
      <c r="A2299" s="102">
        <v>830000</v>
      </c>
      <c r="B2299" s="102">
        <v>2400000</v>
      </c>
      <c r="C2299" s="102">
        <v>2400000</v>
      </c>
      <c r="D2299" s="90" t="s">
        <v>374</v>
      </c>
      <c r="E2299" s="90" t="s">
        <v>68</v>
      </c>
      <c r="F2299" s="90" t="s">
        <v>375</v>
      </c>
      <c r="G2299" s="90" t="s">
        <v>376</v>
      </c>
      <c r="H2299" s="90">
        <v>0.59</v>
      </c>
      <c r="I2299" s="90">
        <v>0.64</v>
      </c>
      <c r="J2299" s="90" t="s">
        <v>244</v>
      </c>
      <c r="K2299" s="90">
        <v>2.916350432677E-2</v>
      </c>
      <c r="L2299" s="90">
        <v>3757.23175066774</v>
      </c>
      <c r="M2299" s="90">
        <v>10.6974885902699</v>
      </c>
      <c r="N2299" s="90">
        <v>2.0287047202753601</v>
      </c>
      <c r="O2299" s="90">
        <v>0.31197625478800001</v>
      </c>
      <c r="P2299" s="90">
        <v>5.9164138887500002E-2</v>
      </c>
      <c r="Q2299" s="90">
        <v>109.57404441731001</v>
      </c>
      <c r="R2299" s="90">
        <v>1330</v>
      </c>
      <c r="S2299" s="90" t="s">
        <v>397</v>
      </c>
      <c r="T2299" s="90">
        <v>1330</v>
      </c>
      <c r="U2299" s="90" t="s">
        <v>378</v>
      </c>
      <c r="V2299" s="90" t="s">
        <v>244</v>
      </c>
      <c r="Z2299" s="90">
        <v>0</v>
      </c>
      <c r="AA2299" s="90">
        <v>1</v>
      </c>
      <c r="AB2299" s="90">
        <v>0.31197625478800001</v>
      </c>
      <c r="AC2299" s="90">
        <v>5.9164138887500002E-2</v>
      </c>
      <c r="AD2299" s="90">
        <v>109.574044417308</v>
      </c>
      <c r="AF2299" s="90">
        <v>-1</v>
      </c>
      <c r="AG2299" s="90">
        <v>-1</v>
      </c>
      <c r="AH2299" s="90">
        <v>-1</v>
      </c>
      <c r="AI2299" s="90">
        <v>-1</v>
      </c>
      <c r="AJ2299" s="90">
        <v>0</v>
      </c>
      <c r="AM2299" s="90" t="s">
        <v>379</v>
      </c>
      <c r="AN2299" s="90">
        <v>-1</v>
      </c>
      <c r="AQ2299" s="90">
        <v>358</v>
      </c>
      <c r="AR2299" s="90" t="s">
        <v>422</v>
      </c>
      <c r="AS2299" s="90" t="s">
        <v>250</v>
      </c>
      <c r="AT2299" s="90" t="s">
        <v>244</v>
      </c>
      <c r="AU2299" s="90">
        <v>86.412649999999999</v>
      </c>
      <c r="AV2299" s="90">
        <v>45.974756462951802</v>
      </c>
      <c r="AW2299" s="90">
        <v>118.02051478451401</v>
      </c>
      <c r="AX2299" s="90">
        <v>8.8867838099999999E-2</v>
      </c>
    </row>
    <row r="2300" spans="1:50" x14ac:dyDescent="0.25">
      <c r="A2300" s="102">
        <v>830000</v>
      </c>
      <c r="B2300" s="102">
        <v>2400000</v>
      </c>
      <c r="C2300" s="102">
        <v>2400000</v>
      </c>
      <c r="D2300" s="90" t="s">
        <v>374</v>
      </c>
      <c r="E2300" s="90" t="s">
        <v>68</v>
      </c>
      <c r="F2300" s="90" t="s">
        <v>375</v>
      </c>
      <c r="G2300" s="90" t="s">
        <v>376</v>
      </c>
      <c r="H2300" s="90">
        <v>0.59</v>
      </c>
      <c r="I2300" s="90">
        <v>0.64</v>
      </c>
      <c r="J2300" s="90" t="s">
        <v>244</v>
      </c>
      <c r="K2300" s="90">
        <v>9.8216453414200003E-3</v>
      </c>
      <c r="L2300" s="90">
        <v>3757.23175066774</v>
      </c>
      <c r="M2300" s="90">
        <v>10.6974885902699</v>
      </c>
      <c r="N2300" s="90">
        <v>2.0287047202753601</v>
      </c>
      <c r="O2300" s="90">
        <v>0.10506693897756</v>
      </c>
      <c r="P2300" s="90">
        <v>1.9925218265010002E-2</v>
      </c>
      <c r="Q2300" s="90">
        <v>36.902197720596199</v>
      </c>
      <c r="R2300" s="90">
        <v>1330</v>
      </c>
      <c r="S2300" s="90" t="s">
        <v>397</v>
      </c>
      <c r="T2300" s="90">
        <v>1330</v>
      </c>
      <c r="U2300" s="90" t="s">
        <v>378</v>
      </c>
      <c r="V2300" s="90" t="s">
        <v>244</v>
      </c>
      <c r="Z2300" s="90">
        <v>0</v>
      </c>
      <c r="AA2300" s="90">
        <v>1</v>
      </c>
      <c r="AB2300" s="90">
        <v>0.10506693897756</v>
      </c>
      <c r="AC2300" s="90">
        <v>1.9925218265010002E-2</v>
      </c>
      <c r="AD2300" s="90">
        <v>36.902197720597002</v>
      </c>
      <c r="AF2300" s="90">
        <v>-1</v>
      </c>
      <c r="AG2300" s="90">
        <v>-1</v>
      </c>
      <c r="AH2300" s="90">
        <v>-1</v>
      </c>
      <c r="AI2300" s="90">
        <v>-1</v>
      </c>
      <c r="AJ2300" s="90">
        <v>0</v>
      </c>
      <c r="AM2300" s="90" t="s">
        <v>379</v>
      </c>
      <c r="AN2300" s="90">
        <v>-1</v>
      </c>
      <c r="AQ2300" s="90">
        <v>358</v>
      </c>
      <c r="AR2300" s="90" t="s">
        <v>422</v>
      </c>
      <c r="AS2300" s="90" t="s">
        <v>250</v>
      </c>
      <c r="AT2300" s="90" t="s">
        <v>244</v>
      </c>
      <c r="AU2300" s="90">
        <v>86.412649999999999</v>
      </c>
      <c r="AV2300" s="90">
        <v>25.784262842766498</v>
      </c>
      <c r="AW2300" s="90">
        <v>39.746788528477701</v>
      </c>
      <c r="AX2300" s="90">
        <v>2.99287897E-2</v>
      </c>
    </row>
    <row r="2301" spans="1:50" x14ac:dyDescent="0.25">
      <c r="A2301" s="102">
        <v>830000</v>
      </c>
      <c r="B2301" s="102">
        <v>2400000</v>
      </c>
      <c r="C2301" s="102">
        <v>2400000</v>
      </c>
      <c r="D2301" s="90" t="s">
        <v>374</v>
      </c>
      <c r="E2301" s="90" t="s">
        <v>68</v>
      </c>
      <c r="F2301" s="90" t="s">
        <v>375</v>
      </c>
      <c r="G2301" s="90" t="s">
        <v>376</v>
      </c>
      <c r="H2301" s="90">
        <v>0.59</v>
      </c>
      <c r="I2301" s="90">
        <v>0.64</v>
      </c>
      <c r="J2301" s="90" t="s">
        <v>244</v>
      </c>
      <c r="K2301" s="90">
        <v>0.15753857075697</v>
      </c>
      <c r="L2301" s="90">
        <v>3757.23175066774</v>
      </c>
      <c r="M2301" s="90">
        <v>10.6974885902699</v>
      </c>
      <c r="N2301" s="90">
        <v>2.0287047202753601</v>
      </c>
      <c r="O2301" s="90">
        <v>1.6852670632001401</v>
      </c>
      <c r="P2301" s="90">
        <v>0.31959924212009999</v>
      </c>
      <c r="Q2301" s="90">
        <v>591.90892000291205</v>
      </c>
      <c r="R2301" s="90">
        <v>1330</v>
      </c>
      <c r="S2301" s="90" t="s">
        <v>397</v>
      </c>
      <c r="T2301" s="90">
        <v>1330</v>
      </c>
      <c r="U2301" s="90" t="s">
        <v>378</v>
      </c>
      <c r="V2301" s="90" t="s">
        <v>244</v>
      </c>
      <c r="Z2301" s="90">
        <v>0</v>
      </c>
      <c r="AA2301" s="90">
        <v>1</v>
      </c>
      <c r="AB2301" s="90">
        <v>1.6852670632001401</v>
      </c>
      <c r="AC2301" s="90">
        <v>0.31959924212009999</v>
      </c>
      <c r="AD2301" s="90">
        <v>591.90892000291205</v>
      </c>
      <c r="AF2301" s="90">
        <v>-1</v>
      </c>
      <c r="AG2301" s="90">
        <v>-1</v>
      </c>
      <c r="AH2301" s="90">
        <v>-1</v>
      </c>
      <c r="AI2301" s="90">
        <v>-1</v>
      </c>
      <c r="AJ2301" s="90">
        <v>0</v>
      </c>
      <c r="AM2301" s="90" t="s">
        <v>379</v>
      </c>
      <c r="AN2301" s="90">
        <v>-1</v>
      </c>
      <c r="AQ2301" s="90">
        <v>358</v>
      </c>
      <c r="AR2301" s="90" t="s">
        <v>422</v>
      </c>
      <c r="AS2301" s="90" t="s">
        <v>250</v>
      </c>
      <c r="AT2301" s="90" t="s">
        <v>244</v>
      </c>
      <c r="AU2301" s="90">
        <v>86.412649999999999</v>
      </c>
      <c r="AV2301" s="90">
        <v>114.23103021332</v>
      </c>
      <c r="AW2301" s="90">
        <v>637.53597684357101</v>
      </c>
      <c r="AX2301" s="90">
        <v>0.4800558962</v>
      </c>
    </row>
    <row r="2302" spans="1:50" x14ac:dyDescent="0.25">
      <c r="A2302" s="102">
        <v>830000</v>
      </c>
      <c r="B2302" s="102">
        <v>2400000</v>
      </c>
      <c r="C2302" s="102">
        <v>2400000</v>
      </c>
      <c r="D2302" s="90" t="s">
        <v>374</v>
      </c>
      <c r="E2302" s="90" t="s">
        <v>68</v>
      </c>
      <c r="F2302" s="90" t="s">
        <v>375</v>
      </c>
      <c r="G2302" s="90" t="s">
        <v>376</v>
      </c>
      <c r="H2302" s="90">
        <v>0.59</v>
      </c>
      <c r="I2302" s="90">
        <v>0.64</v>
      </c>
      <c r="J2302" s="90" t="s">
        <v>244</v>
      </c>
      <c r="K2302" s="90">
        <v>1.3393445050609999E-2</v>
      </c>
      <c r="L2302" s="90">
        <v>3757.23175066774</v>
      </c>
      <c r="M2302" s="90">
        <v>10.6974885902699</v>
      </c>
      <c r="N2302" s="90">
        <v>2.0287047202753601</v>
      </c>
      <c r="O2302" s="90">
        <v>0.14327622561339001</v>
      </c>
      <c r="P2302" s="90">
        <v>2.7171345194929999E-2</v>
      </c>
      <c r="Q2302" s="90">
        <v>50.322276995005701</v>
      </c>
      <c r="R2302" s="90">
        <v>1300</v>
      </c>
      <c r="S2302" s="90" t="s">
        <v>387</v>
      </c>
      <c r="T2302" s="90">
        <v>1300</v>
      </c>
      <c r="U2302" s="90" t="s">
        <v>378</v>
      </c>
      <c r="V2302" s="90" t="s">
        <v>244</v>
      </c>
      <c r="Z2302" s="90">
        <v>0</v>
      </c>
      <c r="AA2302" s="90">
        <v>1</v>
      </c>
      <c r="AB2302" s="90">
        <v>0.14327622561339001</v>
      </c>
      <c r="AC2302" s="90">
        <v>2.7171345194929999E-2</v>
      </c>
      <c r="AD2302" s="90">
        <v>50.322276995003797</v>
      </c>
      <c r="AF2302" s="90">
        <v>-1</v>
      </c>
      <c r="AG2302" s="90">
        <v>-1</v>
      </c>
      <c r="AH2302" s="90">
        <v>-1</v>
      </c>
      <c r="AI2302" s="90">
        <v>-1</v>
      </c>
      <c r="AJ2302" s="90">
        <v>0</v>
      </c>
      <c r="AM2302" s="90" t="s">
        <v>379</v>
      </c>
      <c r="AN2302" s="90">
        <v>-1</v>
      </c>
      <c r="AQ2302" s="90">
        <v>358</v>
      </c>
      <c r="AR2302" s="90" t="s">
        <v>422</v>
      </c>
      <c r="AS2302" s="90" t="s">
        <v>250</v>
      </c>
      <c r="AT2302" s="90" t="s">
        <v>244</v>
      </c>
      <c r="AU2302" s="90">
        <v>86.412649999999999</v>
      </c>
      <c r="AV2302" s="90">
        <v>85.983142043698507</v>
      </c>
      <c r="AW2302" s="90">
        <v>54.201349121153001</v>
      </c>
      <c r="AX2302" s="90">
        <v>4.08128767E-2</v>
      </c>
    </row>
    <row r="2303" spans="1:50" x14ac:dyDescent="0.25">
      <c r="A2303" s="102">
        <v>830000</v>
      </c>
      <c r="B2303" s="102">
        <v>2400000</v>
      </c>
      <c r="C2303" s="102">
        <v>2400000</v>
      </c>
      <c r="D2303" s="90" t="s">
        <v>374</v>
      </c>
      <c r="E2303" s="90" t="s">
        <v>68</v>
      </c>
      <c r="F2303" s="90" t="s">
        <v>375</v>
      </c>
      <c r="G2303" s="90" t="s">
        <v>376</v>
      </c>
      <c r="H2303" s="90">
        <v>0.59</v>
      </c>
      <c r="I2303" s="90">
        <v>0.64</v>
      </c>
      <c r="J2303" s="90" t="s">
        <v>244</v>
      </c>
      <c r="K2303" s="90">
        <v>4.416835196959E-2</v>
      </c>
      <c r="L2303" s="90">
        <v>2302.9384694763899</v>
      </c>
      <c r="M2303" s="90">
        <v>6.5471667265581699</v>
      </c>
      <c r="N2303" s="90">
        <v>0.90405995890753998</v>
      </c>
      <c r="O2303" s="90">
        <v>0.28917756438221998</v>
      </c>
      <c r="P2303" s="90">
        <v>3.9930838466640001E-2</v>
      </c>
      <c r="Q2303" s="90">
        <v>101.716996884146</v>
      </c>
      <c r="R2303" s="90">
        <v>1400</v>
      </c>
      <c r="S2303" s="90" t="s">
        <v>324</v>
      </c>
      <c r="T2303" s="90">
        <v>1400</v>
      </c>
      <c r="U2303" s="90" t="s">
        <v>378</v>
      </c>
      <c r="V2303" s="90" t="s">
        <v>244</v>
      </c>
      <c r="Z2303" s="90">
        <v>0</v>
      </c>
      <c r="AA2303" s="90">
        <v>1</v>
      </c>
      <c r="AB2303" s="90">
        <v>0.28917756438221998</v>
      </c>
      <c r="AC2303" s="90">
        <v>3.9930838466640001E-2</v>
      </c>
      <c r="AD2303" s="90">
        <v>424.35643816581199</v>
      </c>
      <c r="AF2303" s="90">
        <v>-1</v>
      </c>
      <c r="AG2303" s="90">
        <v>-1</v>
      </c>
      <c r="AH2303" s="90">
        <v>-1</v>
      </c>
      <c r="AI2303" s="90">
        <v>-1</v>
      </c>
      <c r="AJ2303" s="90">
        <v>0</v>
      </c>
      <c r="AM2303" s="90" t="s">
        <v>379</v>
      </c>
      <c r="AN2303" s="90">
        <v>-1</v>
      </c>
      <c r="AQ2303" s="90">
        <v>358</v>
      </c>
      <c r="AR2303" s="90" t="s">
        <v>422</v>
      </c>
      <c r="AS2303" s="90" t="s">
        <v>250</v>
      </c>
      <c r="AT2303" s="90" t="s">
        <v>244</v>
      </c>
      <c r="AU2303" s="90">
        <v>86.412649999999999</v>
      </c>
      <c r="AV2303" s="90">
        <v>107.164455878236</v>
      </c>
      <c r="AW2303" s="90">
        <v>178.74297883496499</v>
      </c>
      <c r="AX2303" s="90">
        <v>0.34416580549999998</v>
      </c>
    </row>
    <row r="2304" spans="1:50" x14ac:dyDescent="0.25">
      <c r="A2304" s="102">
        <v>830000</v>
      </c>
      <c r="B2304" s="102">
        <v>2400000</v>
      </c>
      <c r="C2304" s="102">
        <v>2400000</v>
      </c>
      <c r="D2304" s="90" t="s">
        <v>374</v>
      </c>
      <c r="E2304" s="90" t="s">
        <v>68</v>
      </c>
      <c r="F2304" s="90" t="s">
        <v>375</v>
      </c>
      <c r="G2304" s="90" t="s">
        <v>376</v>
      </c>
      <c r="H2304" s="90">
        <v>0.59</v>
      </c>
      <c r="I2304" s="90">
        <v>0.64</v>
      </c>
      <c r="J2304" s="90" t="s">
        <v>244</v>
      </c>
      <c r="K2304" s="90">
        <v>0.46068158014785998</v>
      </c>
      <c r="L2304" s="90">
        <v>3780.9300262900001</v>
      </c>
      <c r="M2304" s="90">
        <v>11.515652297658299</v>
      </c>
      <c r="N2304" s="90">
        <v>1.5267761409908001</v>
      </c>
      <c r="O2304" s="90">
        <v>5.3050488969186196</v>
      </c>
      <c r="P2304" s="90">
        <v>0.70335764516369004</v>
      </c>
      <c r="Q2304" s="90">
        <v>1741.80481893977</v>
      </c>
      <c r="R2304" s="90">
        <v>1400</v>
      </c>
      <c r="S2304" s="90" t="s">
        <v>324</v>
      </c>
      <c r="T2304" s="90">
        <v>1400</v>
      </c>
      <c r="U2304" s="90" t="s">
        <v>378</v>
      </c>
      <c r="V2304" s="90" t="s">
        <v>244</v>
      </c>
      <c r="Z2304" s="90">
        <v>0</v>
      </c>
      <c r="AA2304" s="90">
        <v>1</v>
      </c>
      <c r="AB2304" s="90">
        <v>5.3050488969186196</v>
      </c>
      <c r="AC2304" s="90">
        <v>0.70335764516369004</v>
      </c>
      <c r="AD2304" s="90">
        <v>1741.80481893977</v>
      </c>
      <c r="AF2304" s="90">
        <v>-1</v>
      </c>
      <c r="AG2304" s="90">
        <v>-1</v>
      </c>
      <c r="AH2304" s="90">
        <v>-1</v>
      </c>
      <c r="AI2304" s="90">
        <v>-1</v>
      </c>
      <c r="AJ2304" s="90">
        <v>0</v>
      </c>
      <c r="AM2304" s="90" t="s">
        <v>379</v>
      </c>
      <c r="AN2304" s="90">
        <v>-1</v>
      </c>
      <c r="AQ2304" s="90">
        <v>358</v>
      </c>
      <c r="AR2304" s="90" t="s">
        <v>422</v>
      </c>
      <c r="AS2304" s="90" t="s">
        <v>250</v>
      </c>
      <c r="AT2304" s="90" t="s">
        <v>244</v>
      </c>
      <c r="AU2304" s="90">
        <v>86.412649999999999</v>
      </c>
      <c r="AV2304" s="90">
        <v>174.58726276294701</v>
      </c>
      <c r="AW2304" s="90">
        <v>1864.31221130275</v>
      </c>
      <c r="AX2304" s="90">
        <v>1.4126559764</v>
      </c>
    </row>
    <row r="2305" spans="1:50" x14ac:dyDescent="0.25">
      <c r="A2305" s="102">
        <v>830000</v>
      </c>
      <c r="B2305" s="102">
        <v>2400000</v>
      </c>
      <c r="C2305" s="102">
        <v>2400000</v>
      </c>
      <c r="D2305" s="90" t="s">
        <v>374</v>
      </c>
      <c r="E2305" s="90" t="s">
        <v>68</v>
      </c>
      <c r="F2305" s="90" t="s">
        <v>375</v>
      </c>
      <c r="G2305" s="90" t="s">
        <v>376</v>
      </c>
      <c r="H2305" s="90">
        <v>0.59</v>
      </c>
      <c r="I2305" s="90">
        <v>0.64</v>
      </c>
      <c r="J2305" s="90" t="s">
        <v>244</v>
      </c>
      <c r="K2305" s="90">
        <v>2.8457077936290001E-2</v>
      </c>
      <c r="L2305" s="90">
        <v>3780.9300262900001</v>
      </c>
      <c r="M2305" s="90">
        <v>11.515652297658299</v>
      </c>
      <c r="N2305" s="90">
        <v>1.5267761409908001</v>
      </c>
      <c r="O2305" s="90">
        <v>0.32770181492171002</v>
      </c>
      <c r="P2305" s="90">
        <v>4.3447587635440002E-2</v>
      </c>
      <c r="Q2305" s="90">
        <v>107.59422042980501</v>
      </c>
      <c r="R2305" s="90">
        <v>1210</v>
      </c>
      <c r="S2305" s="90" t="s">
        <v>385</v>
      </c>
      <c r="T2305" s="90">
        <v>1210</v>
      </c>
      <c r="U2305" s="90" t="s">
        <v>378</v>
      </c>
      <c r="V2305" s="90" t="s">
        <v>244</v>
      </c>
      <c r="Z2305" s="90">
        <v>0</v>
      </c>
      <c r="AA2305" s="90">
        <v>1</v>
      </c>
      <c r="AB2305" s="90">
        <v>0.32770181492171002</v>
      </c>
      <c r="AC2305" s="90">
        <v>4.3447587635440002E-2</v>
      </c>
      <c r="AD2305" s="90">
        <v>107.594220429806</v>
      </c>
      <c r="AF2305" s="90">
        <v>-1</v>
      </c>
      <c r="AG2305" s="90">
        <v>-1</v>
      </c>
      <c r="AH2305" s="90">
        <v>-1</v>
      </c>
      <c r="AI2305" s="90">
        <v>-1</v>
      </c>
      <c r="AJ2305" s="90">
        <v>0</v>
      </c>
      <c r="AM2305" s="90" t="s">
        <v>379</v>
      </c>
      <c r="AN2305" s="90">
        <v>-1</v>
      </c>
      <c r="AQ2305" s="90">
        <v>358</v>
      </c>
      <c r="AR2305" s="90" t="s">
        <v>422</v>
      </c>
      <c r="AS2305" s="90" t="s">
        <v>250</v>
      </c>
      <c r="AT2305" s="90" t="s">
        <v>244</v>
      </c>
      <c r="AU2305" s="90">
        <v>86.412649999999999</v>
      </c>
      <c r="AV2305" s="90">
        <v>43.873480254713598</v>
      </c>
      <c r="AW2305" s="90">
        <v>115.161708609226</v>
      </c>
      <c r="AX2305" s="90">
        <v>8.7262141500000001E-2</v>
      </c>
    </row>
    <row r="2306" spans="1:50" x14ac:dyDescent="0.25">
      <c r="A2306" s="102">
        <v>830000</v>
      </c>
      <c r="B2306" s="102">
        <v>2400000</v>
      </c>
      <c r="C2306" s="102">
        <v>2400000</v>
      </c>
      <c r="D2306" s="90" t="s">
        <v>374</v>
      </c>
      <c r="E2306" s="90" t="s">
        <v>68</v>
      </c>
      <c r="F2306" s="90" t="s">
        <v>375</v>
      </c>
      <c r="G2306" s="90" t="s">
        <v>376</v>
      </c>
      <c r="H2306" s="90">
        <v>0.59</v>
      </c>
      <c r="I2306" s="90">
        <v>0.64</v>
      </c>
      <c r="J2306" s="90" t="s">
        <v>244</v>
      </c>
      <c r="K2306" s="90">
        <v>4.8661717044370001E-2</v>
      </c>
      <c r="L2306" s="90">
        <v>3780.9300262900001</v>
      </c>
      <c r="M2306" s="90">
        <v>11.515652297658299</v>
      </c>
      <c r="N2306" s="90">
        <v>1.5267761409908001</v>
      </c>
      <c r="O2306" s="90">
        <v>0.56037141369008003</v>
      </c>
      <c r="P2306" s="90">
        <v>7.4295548562999997E-2</v>
      </c>
      <c r="Q2306" s="90">
        <v>183.98654710391301</v>
      </c>
      <c r="R2306" s="90">
        <v>1410</v>
      </c>
      <c r="S2306" s="90" t="s">
        <v>325</v>
      </c>
      <c r="T2306" s="90">
        <v>1410</v>
      </c>
      <c r="U2306" s="90" t="s">
        <v>378</v>
      </c>
      <c r="V2306" s="90" t="s">
        <v>244</v>
      </c>
      <c r="Z2306" s="90">
        <v>0</v>
      </c>
      <c r="AA2306" s="90">
        <v>1</v>
      </c>
      <c r="AB2306" s="90">
        <v>0.56037141369008003</v>
      </c>
      <c r="AC2306" s="90">
        <v>7.4295548562999997E-2</v>
      </c>
      <c r="AD2306" s="90">
        <v>183.98654710391199</v>
      </c>
      <c r="AF2306" s="90">
        <v>-1</v>
      </c>
      <c r="AG2306" s="90">
        <v>-1</v>
      </c>
      <c r="AH2306" s="90">
        <v>-1</v>
      </c>
      <c r="AI2306" s="90">
        <v>-1</v>
      </c>
      <c r="AJ2306" s="90">
        <v>0</v>
      </c>
      <c r="AM2306" s="90" t="s">
        <v>379</v>
      </c>
      <c r="AN2306" s="90">
        <v>-1</v>
      </c>
      <c r="AQ2306" s="90">
        <v>358</v>
      </c>
      <c r="AR2306" s="90" t="s">
        <v>422</v>
      </c>
      <c r="AS2306" s="90" t="s">
        <v>250</v>
      </c>
      <c r="AT2306" s="90" t="s">
        <v>244</v>
      </c>
      <c r="AU2306" s="90">
        <v>86.412649999999999</v>
      </c>
      <c r="AV2306" s="90">
        <v>56.354920822333199</v>
      </c>
      <c r="AW2306" s="90">
        <v>196.92698214604701</v>
      </c>
      <c r="AX2306" s="90">
        <v>0.14921861080000001</v>
      </c>
    </row>
    <row r="2307" spans="1:50" x14ac:dyDescent="0.25">
      <c r="A2307" s="102">
        <v>830000</v>
      </c>
      <c r="B2307" s="102">
        <v>2400000</v>
      </c>
      <c r="C2307" s="102">
        <v>2400000</v>
      </c>
      <c r="D2307" s="90" t="s">
        <v>374</v>
      </c>
      <c r="E2307" s="90" t="s">
        <v>68</v>
      </c>
      <c r="F2307" s="90" t="s">
        <v>375</v>
      </c>
      <c r="G2307" s="90" t="s">
        <v>376</v>
      </c>
      <c r="H2307" s="90">
        <v>0.59</v>
      </c>
      <c r="I2307" s="90">
        <v>0.64</v>
      </c>
      <c r="J2307" s="90" t="s">
        <v>244</v>
      </c>
      <c r="K2307" s="90">
        <v>7.9963078608420002E-2</v>
      </c>
      <c r="L2307" s="90">
        <v>3780.9300262900001</v>
      </c>
      <c r="M2307" s="90">
        <v>11.515652297658299</v>
      </c>
      <c r="N2307" s="90">
        <v>1.5267761409908001</v>
      </c>
      <c r="O2307" s="90">
        <v>0.92082700990490995</v>
      </c>
      <c r="P2307" s="90">
        <v>0.12208572057951</v>
      </c>
      <c r="Q2307" s="90">
        <v>302.33480490517002</v>
      </c>
      <c r="R2307" s="90">
        <v>1410</v>
      </c>
      <c r="S2307" s="90" t="s">
        <v>325</v>
      </c>
      <c r="T2307" s="90">
        <v>1410</v>
      </c>
      <c r="U2307" s="90" t="s">
        <v>378</v>
      </c>
      <c r="V2307" s="90" t="s">
        <v>244</v>
      </c>
      <c r="Z2307" s="90">
        <v>0</v>
      </c>
      <c r="AA2307" s="90">
        <v>1</v>
      </c>
      <c r="AB2307" s="90">
        <v>0.92082700990490995</v>
      </c>
      <c r="AC2307" s="90">
        <v>0.12208572057951</v>
      </c>
      <c r="AD2307" s="90">
        <v>302.33480490517002</v>
      </c>
      <c r="AF2307" s="90">
        <v>-1</v>
      </c>
      <c r="AG2307" s="90">
        <v>-1</v>
      </c>
      <c r="AH2307" s="90">
        <v>-1</v>
      </c>
      <c r="AI2307" s="90">
        <v>-1</v>
      </c>
      <c r="AJ2307" s="90">
        <v>0</v>
      </c>
      <c r="AM2307" s="90" t="s">
        <v>379</v>
      </c>
      <c r="AN2307" s="90">
        <v>-1</v>
      </c>
      <c r="AQ2307" s="90">
        <v>358</v>
      </c>
      <c r="AR2307" s="90" t="s">
        <v>422</v>
      </c>
      <c r="AS2307" s="90" t="s">
        <v>250</v>
      </c>
      <c r="AT2307" s="90" t="s">
        <v>244</v>
      </c>
      <c r="AU2307" s="90">
        <v>86.412649999999999</v>
      </c>
      <c r="AV2307" s="90">
        <v>76.966486627086397</v>
      </c>
      <c r="AW2307" s="90">
        <v>323.59909822136802</v>
      </c>
      <c r="AX2307" s="90">
        <v>0.24520259929999999</v>
      </c>
    </row>
    <row r="2308" spans="1:50" x14ac:dyDescent="0.25">
      <c r="A2308" s="102">
        <v>830000</v>
      </c>
      <c r="B2308" s="102">
        <v>2400000</v>
      </c>
      <c r="C2308" s="102">
        <v>2400000</v>
      </c>
      <c r="D2308" s="90" t="s">
        <v>374</v>
      </c>
      <c r="E2308" s="90" t="s">
        <v>68</v>
      </c>
      <c r="F2308" s="90" t="s">
        <v>375</v>
      </c>
      <c r="G2308" s="90" t="s">
        <v>376</v>
      </c>
      <c r="H2308" s="90">
        <v>0.59</v>
      </c>
      <c r="I2308" s="90">
        <v>0.64</v>
      </c>
      <c r="J2308" s="90" t="s">
        <v>244</v>
      </c>
      <c r="K2308" s="90">
        <v>0.13168449109878999</v>
      </c>
      <c r="L2308" s="90">
        <v>3740.9056541213699</v>
      </c>
      <c r="M2308" s="90">
        <v>10.1664264428072</v>
      </c>
      <c r="N2308" s="90">
        <v>1.7942524906450401</v>
      </c>
      <c r="O2308" s="90">
        <v>1.33876069241436</v>
      </c>
      <c r="P2308" s="90">
        <v>0.23627522613332999</v>
      </c>
      <c r="Q2308" s="90">
        <v>492.61925731156299</v>
      </c>
      <c r="R2308" s="90">
        <v>1210</v>
      </c>
      <c r="S2308" s="90" t="s">
        <v>385</v>
      </c>
      <c r="T2308" s="90">
        <v>1210</v>
      </c>
      <c r="U2308" s="90" t="s">
        <v>378</v>
      </c>
      <c r="V2308" s="90" t="s">
        <v>244</v>
      </c>
      <c r="Z2308" s="90">
        <v>0</v>
      </c>
      <c r="AA2308" s="90">
        <v>1</v>
      </c>
      <c r="AB2308" s="90">
        <v>1.33876069241436</v>
      </c>
      <c r="AC2308" s="90">
        <v>0.23627522613332999</v>
      </c>
      <c r="AD2308" s="90">
        <v>492.61925731156299</v>
      </c>
      <c r="AF2308" s="90">
        <v>-1</v>
      </c>
      <c r="AG2308" s="90">
        <v>-1</v>
      </c>
      <c r="AH2308" s="90">
        <v>-1</v>
      </c>
      <c r="AI2308" s="90">
        <v>-1</v>
      </c>
      <c r="AJ2308" s="90">
        <v>0</v>
      </c>
      <c r="AM2308" s="90" t="s">
        <v>379</v>
      </c>
      <c r="AN2308" s="90">
        <v>-1</v>
      </c>
      <c r="AQ2308" s="90">
        <v>358</v>
      </c>
      <c r="AR2308" s="90" t="s">
        <v>422</v>
      </c>
      <c r="AS2308" s="90" t="s">
        <v>250</v>
      </c>
      <c r="AT2308" s="90" t="s">
        <v>244</v>
      </c>
      <c r="AU2308" s="90">
        <v>86.412649999999999</v>
      </c>
      <c r="AV2308" s="90">
        <v>101.021049794099</v>
      </c>
      <c r="AW2308" s="90">
        <v>532.90822853361703</v>
      </c>
      <c r="AX2308" s="90">
        <v>0.39952900029999999</v>
      </c>
    </row>
    <row r="2309" spans="1:50" x14ac:dyDescent="0.25">
      <c r="A2309" s="102">
        <v>830000</v>
      </c>
      <c r="B2309" s="102">
        <v>2400000</v>
      </c>
      <c r="C2309" s="102">
        <v>2400000</v>
      </c>
      <c r="D2309" s="90" t="s">
        <v>374</v>
      </c>
      <c r="E2309" s="90" t="s">
        <v>68</v>
      </c>
      <c r="F2309" s="90" t="s">
        <v>375</v>
      </c>
      <c r="G2309" s="90" t="s">
        <v>376</v>
      </c>
      <c r="H2309" s="90">
        <v>0.59</v>
      </c>
      <c r="I2309" s="90">
        <v>0.64</v>
      </c>
      <c r="J2309" s="90" t="s">
        <v>244</v>
      </c>
      <c r="K2309" s="90">
        <v>0.19344599241820001</v>
      </c>
      <c r="L2309" s="90">
        <v>3740.9056541213699</v>
      </c>
      <c r="M2309" s="90">
        <v>10.1664264428072</v>
      </c>
      <c r="N2309" s="90">
        <v>1.7942524906450401</v>
      </c>
      <c r="O2309" s="90">
        <v>1.9666544525755201</v>
      </c>
      <c r="P2309" s="90">
        <v>0.34709095370165999</v>
      </c>
      <c r="Q2309" s="90">
        <v>723.663206804384</v>
      </c>
      <c r="R2309" s="90">
        <v>1330</v>
      </c>
      <c r="S2309" s="90" t="s">
        <v>397</v>
      </c>
      <c r="T2309" s="90">
        <v>1330</v>
      </c>
      <c r="U2309" s="90" t="s">
        <v>378</v>
      </c>
      <c r="V2309" s="90" t="s">
        <v>244</v>
      </c>
      <c r="Z2309" s="90">
        <v>0</v>
      </c>
      <c r="AA2309" s="90">
        <v>1</v>
      </c>
      <c r="AB2309" s="90">
        <v>1.9666544525755201</v>
      </c>
      <c r="AC2309" s="90">
        <v>0.34709095370165999</v>
      </c>
      <c r="AD2309" s="90">
        <v>723.663206804384</v>
      </c>
      <c r="AF2309" s="90">
        <v>-1</v>
      </c>
      <c r="AG2309" s="90">
        <v>-1</v>
      </c>
      <c r="AH2309" s="90">
        <v>-1</v>
      </c>
      <c r="AI2309" s="90">
        <v>-1</v>
      </c>
      <c r="AJ2309" s="90">
        <v>0</v>
      </c>
      <c r="AM2309" s="90" t="s">
        <v>379</v>
      </c>
      <c r="AN2309" s="90">
        <v>-1</v>
      </c>
      <c r="AQ2309" s="90">
        <v>358</v>
      </c>
      <c r="AR2309" s="90" t="s">
        <v>422</v>
      </c>
      <c r="AS2309" s="90" t="s">
        <v>250</v>
      </c>
      <c r="AT2309" s="90" t="s">
        <v>244</v>
      </c>
      <c r="AU2309" s="90">
        <v>86.412649999999999</v>
      </c>
      <c r="AV2309" s="90">
        <v>114.197433235362</v>
      </c>
      <c r="AW2309" s="90">
        <v>782.84815680515499</v>
      </c>
      <c r="AX2309" s="90">
        <v>0.58691257649999995</v>
      </c>
    </row>
    <row r="2310" spans="1:50" x14ac:dyDescent="0.25">
      <c r="A2310" s="102">
        <v>830000</v>
      </c>
      <c r="B2310" s="102">
        <v>2400000</v>
      </c>
      <c r="C2310" s="102">
        <v>2400000</v>
      </c>
      <c r="D2310" s="90" t="s">
        <v>374</v>
      </c>
      <c r="E2310" s="90" t="s">
        <v>68</v>
      </c>
      <c r="F2310" s="90" t="s">
        <v>375</v>
      </c>
      <c r="G2310" s="90" t="s">
        <v>376</v>
      </c>
      <c r="H2310" s="90">
        <v>0.59</v>
      </c>
      <c r="I2310" s="90">
        <v>0.64</v>
      </c>
      <c r="J2310" s="90" t="s">
        <v>244</v>
      </c>
      <c r="K2310" s="90">
        <v>0.17944930194070999</v>
      </c>
      <c r="L2310" s="90">
        <v>3740.9056541213699</v>
      </c>
      <c r="M2310" s="90">
        <v>10.1664264428072</v>
      </c>
      <c r="N2310" s="90">
        <v>1.7942524906450401</v>
      </c>
      <c r="O2310" s="90">
        <v>1.8243581283933701</v>
      </c>
      <c r="P2310" s="90">
        <v>0.32197735695163998</v>
      </c>
      <c r="Q2310" s="90">
        <v>671.30290825815098</v>
      </c>
      <c r="R2310" s="90">
        <v>1340</v>
      </c>
      <c r="S2310" s="90" t="s">
        <v>407</v>
      </c>
      <c r="T2310" s="90">
        <v>1340</v>
      </c>
      <c r="U2310" s="90" t="s">
        <v>378</v>
      </c>
      <c r="V2310" s="90" t="s">
        <v>244</v>
      </c>
      <c r="Z2310" s="90">
        <v>0</v>
      </c>
      <c r="AA2310" s="90">
        <v>1</v>
      </c>
      <c r="AB2310" s="90">
        <v>1.8243581283933701</v>
      </c>
      <c r="AC2310" s="90">
        <v>0.32197735695163998</v>
      </c>
      <c r="AD2310" s="90">
        <v>671.30290825815098</v>
      </c>
      <c r="AF2310" s="90">
        <v>-1</v>
      </c>
      <c r="AG2310" s="90">
        <v>-1</v>
      </c>
      <c r="AH2310" s="90">
        <v>-1</v>
      </c>
      <c r="AI2310" s="90">
        <v>-1</v>
      </c>
      <c r="AJ2310" s="90">
        <v>0</v>
      </c>
      <c r="AM2310" s="90" t="s">
        <v>379</v>
      </c>
      <c r="AN2310" s="90">
        <v>-1</v>
      </c>
      <c r="AQ2310" s="90">
        <v>358</v>
      </c>
      <c r="AR2310" s="90" t="s">
        <v>422</v>
      </c>
      <c r="AS2310" s="90" t="s">
        <v>250</v>
      </c>
      <c r="AT2310" s="90" t="s">
        <v>244</v>
      </c>
      <c r="AU2310" s="90">
        <v>86.412649999999999</v>
      </c>
      <c r="AV2310" s="90">
        <v>124.462453684899</v>
      </c>
      <c r="AW2310" s="90">
        <v>726.20556005397395</v>
      </c>
      <c r="AX2310" s="90">
        <v>0.54444680310000004</v>
      </c>
    </row>
    <row r="2311" spans="1:50" x14ac:dyDescent="0.25">
      <c r="A2311" s="102">
        <v>830000</v>
      </c>
      <c r="B2311" s="102">
        <v>2400000</v>
      </c>
      <c r="C2311" s="102">
        <v>2400000</v>
      </c>
      <c r="D2311" s="90" t="s">
        <v>374</v>
      </c>
      <c r="E2311" s="90" t="s">
        <v>68</v>
      </c>
      <c r="F2311" s="90" t="s">
        <v>375</v>
      </c>
      <c r="G2311" s="90" t="s">
        <v>376</v>
      </c>
      <c r="H2311" s="90">
        <v>0.59</v>
      </c>
      <c r="I2311" s="90">
        <v>0.64</v>
      </c>
      <c r="J2311" s="90" t="s">
        <v>244</v>
      </c>
      <c r="K2311" s="90">
        <v>9.8661747841360004E-2</v>
      </c>
      <c r="L2311" s="90">
        <v>3740.9056541213699</v>
      </c>
      <c r="M2311" s="90">
        <v>10.1664264428072</v>
      </c>
      <c r="N2311" s="90">
        <v>1.7942524906450401</v>
      </c>
      <c r="O2311" s="90">
        <v>1.00303740214802</v>
      </c>
      <c r="P2311" s="90">
        <v>0.17702408679576001</v>
      </c>
      <c r="Q2311" s="90">
        <v>369.08429034525602</v>
      </c>
      <c r="R2311" s="90">
        <v>1210</v>
      </c>
      <c r="S2311" s="90" t="s">
        <v>385</v>
      </c>
      <c r="T2311" s="90">
        <v>1210</v>
      </c>
      <c r="U2311" s="90" t="s">
        <v>378</v>
      </c>
      <c r="V2311" s="90" t="s">
        <v>244</v>
      </c>
      <c r="Z2311" s="90">
        <v>0</v>
      </c>
      <c r="AA2311" s="90">
        <v>1</v>
      </c>
      <c r="AB2311" s="90">
        <v>1.00303740214802</v>
      </c>
      <c r="AC2311" s="90">
        <v>0.17702408679576001</v>
      </c>
      <c r="AD2311" s="90">
        <v>369.08429034525602</v>
      </c>
      <c r="AF2311" s="90">
        <v>-1</v>
      </c>
      <c r="AG2311" s="90">
        <v>-1</v>
      </c>
      <c r="AH2311" s="90">
        <v>-1</v>
      </c>
      <c r="AI2311" s="90">
        <v>-1</v>
      </c>
      <c r="AJ2311" s="90">
        <v>0</v>
      </c>
      <c r="AM2311" s="90" t="s">
        <v>379</v>
      </c>
      <c r="AN2311" s="90">
        <v>-1</v>
      </c>
      <c r="AQ2311" s="90">
        <v>358</v>
      </c>
      <c r="AR2311" s="90" t="s">
        <v>422</v>
      </c>
      <c r="AS2311" s="90" t="s">
        <v>250</v>
      </c>
      <c r="AT2311" s="90" t="s">
        <v>244</v>
      </c>
      <c r="AU2311" s="90">
        <v>86.412649999999999</v>
      </c>
      <c r="AV2311" s="90">
        <v>90.230066674447301</v>
      </c>
      <c r="AW2311" s="90">
        <v>399.26992789703303</v>
      </c>
      <c r="AX2311" s="90">
        <v>0.29933843500000001</v>
      </c>
    </row>
    <row r="2312" spans="1:50" x14ac:dyDescent="0.25">
      <c r="A2312" s="102">
        <v>830000</v>
      </c>
      <c r="B2312" s="102">
        <v>2400000</v>
      </c>
      <c r="C2312" s="102">
        <v>2400000</v>
      </c>
      <c r="D2312" s="90" t="s">
        <v>374</v>
      </c>
      <c r="E2312" s="90" t="s">
        <v>68</v>
      </c>
      <c r="F2312" s="90" t="s">
        <v>375</v>
      </c>
      <c r="G2312" s="90" t="s">
        <v>376</v>
      </c>
      <c r="H2312" s="90">
        <v>0.59</v>
      </c>
      <c r="I2312" s="90">
        <v>0.64</v>
      </c>
      <c r="J2312" s="90" t="s">
        <v>244</v>
      </c>
      <c r="K2312" s="90">
        <v>1.452192032281E-2</v>
      </c>
      <c r="L2312" s="90">
        <v>3740.9056541213699</v>
      </c>
      <c r="M2312" s="90">
        <v>10.1664264428072</v>
      </c>
      <c r="N2312" s="90">
        <v>1.7942524906450401</v>
      </c>
      <c r="O2312" s="90">
        <v>0.14763603477018</v>
      </c>
      <c r="P2312" s="90">
        <v>2.6055991708150001E-2</v>
      </c>
      <c r="Q2312" s="90">
        <v>54.325133844311203</v>
      </c>
      <c r="R2312" s="90">
        <v>1300</v>
      </c>
      <c r="S2312" s="90" t="s">
        <v>387</v>
      </c>
      <c r="T2312" s="90">
        <v>1300</v>
      </c>
      <c r="U2312" s="90" t="s">
        <v>378</v>
      </c>
      <c r="V2312" s="90" t="s">
        <v>244</v>
      </c>
      <c r="Z2312" s="90">
        <v>0</v>
      </c>
      <c r="AA2312" s="90">
        <v>1</v>
      </c>
      <c r="AB2312" s="90">
        <v>0.14763603477018</v>
      </c>
      <c r="AC2312" s="90">
        <v>2.6055991708150001E-2</v>
      </c>
      <c r="AD2312" s="90">
        <v>54.325133844309399</v>
      </c>
      <c r="AF2312" s="90">
        <v>-1</v>
      </c>
      <c r="AG2312" s="90">
        <v>-1</v>
      </c>
      <c r="AH2312" s="90">
        <v>-1</v>
      </c>
      <c r="AI2312" s="90">
        <v>-1</v>
      </c>
      <c r="AJ2312" s="90">
        <v>0</v>
      </c>
      <c r="AM2312" s="90" t="s">
        <v>379</v>
      </c>
      <c r="AN2312" s="90">
        <v>-1</v>
      </c>
      <c r="AQ2312" s="90">
        <v>358</v>
      </c>
      <c r="AR2312" s="90" t="s">
        <v>422</v>
      </c>
      <c r="AS2312" s="90" t="s">
        <v>250</v>
      </c>
      <c r="AT2312" s="90" t="s">
        <v>244</v>
      </c>
      <c r="AU2312" s="90">
        <v>86.412649999999999</v>
      </c>
      <c r="AV2312" s="90">
        <v>41.354642351014398</v>
      </c>
      <c r="AW2312" s="90">
        <v>58.768126523954798</v>
      </c>
      <c r="AX2312" s="90">
        <v>4.4059313699999998E-2</v>
      </c>
    </row>
    <row r="2313" spans="1:50" x14ac:dyDescent="0.25">
      <c r="A2313" s="102">
        <v>830000</v>
      </c>
      <c r="B2313" s="102">
        <v>2400000</v>
      </c>
      <c r="C2313" s="102">
        <v>2400000</v>
      </c>
      <c r="D2313" s="90" t="s">
        <v>374</v>
      </c>
      <c r="E2313" s="90" t="s">
        <v>68</v>
      </c>
      <c r="F2313" s="90" t="s">
        <v>375</v>
      </c>
      <c r="G2313" s="90" t="s">
        <v>376</v>
      </c>
      <c r="H2313" s="90">
        <v>0.59</v>
      </c>
      <c r="I2313" s="90">
        <v>0.64</v>
      </c>
      <c r="J2313" s="90" t="s">
        <v>244</v>
      </c>
      <c r="K2313" s="90">
        <v>0.30402246568626001</v>
      </c>
      <c r="L2313" s="90">
        <v>3736.5092208547999</v>
      </c>
      <c r="M2313" s="90">
        <v>9.8363693235521197</v>
      </c>
      <c r="N2313" s="90">
        <v>1.73784562923548</v>
      </c>
      <c r="O2313" s="90">
        <v>2.99047725514709</v>
      </c>
      <c r="P2313" s="90">
        <v>0.52834411318227004</v>
      </c>
      <c r="Q2313" s="90">
        <v>1135.9827463837501</v>
      </c>
      <c r="R2313" s="90">
        <v>1300</v>
      </c>
      <c r="S2313" s="90" t="s">
        <v>387</v>
      </c>
      <c r="T2313" s="90">
        <v>1300</v>
      </c>
      <c r="U2313" s="90" t="s">
        <v>378</v>
      </c>
      <c r="V2313" s="90" t="s">
        <v>244</v>
      </c>
      <c r="Z2313" s="90">
        <v>0</v>
      </c>
      <c r="AA2313" s="90">
        <v>1</v>
      </c>
      <c r="AB2313" s="90">
        <v>2.99047725514709</v>
      </c>
      <c r="AC2313" s="90">
        <v>0.52834411318227004</v>
      </c>
      <c r="AD2313" s="90">
        <v>1135.9827463837501</v>
      </c>
      <c r="AF2313" s="90">
        <v>-1</v>
      </c>
      <c r="AG2313" s="90">
        <v>-1</v>
      </c>
      <c r="AH2313" s="90">
        <v>-1</v>
      </c>
      <c r="AI2313" s="90">
        <v>-1</v>
      </c>
      <c r="AJ2313" s="90">
        <v>0</v>
      </c>
      <c r="AM2313" s="90" t="s">
        <v>379</v>
      </c>
      <c r="AN2313" s="90">
        <v>-1</v>
      </c>
      <c r="AQ2313" s="90">
        <v>358</v>
      </c>
      <c r="AR2313" s="90" t="s">
        <v>422</v>
      </c>
      <c r="AS2313" s="90" t="s">
        <v>250</v>
      </c>
      <c r="AT2313" s="90" t="s">
        <v>244</v>
      </c>
      <c r="AU2313" s="90">
        <v>86.412649999999999</v>
      </c>
      <c r="AV2313" s="90">
        <v>145.784621304616</v>
      </c>
      <c r="AW2313" s="90">
        <v>1230.3352678163601</v>
      </c>
      <c r="AX2313" s="90">
        <v>0.92131609599999997</v>
      </c>
    </row>
    <row r="2314" spans="1:50" x14ac:dyDescent="0.25">
      <c r="A2314" s="102">
        <v>830000</v>
      </c>
      <c r="B2314" s="102">
        <v>2400000</v>
      </c>
      <c r="C2314" s="102">
        <v>2400000</v>
      </c>
      <c r="D2314" s="90" t="s">
        <v>374</v>
      </c>
      <c r="E2314" s="90" t="s">
        <v>68</v>
      </c>
      <c r="F2314" s="90" t="s">
        <v>375</v>
      </c>
      <c r="G2314" s="90" t="s">
        <v>376</v>
      </c>
      <c r="H2314" s="90">
        <v>0.59</v>
      </c>
      <c r="I2314" s="90">
        <v>0.64</v>
      </c>
      <c r="J2314" s="90" t="s">
        <v>244</v>
      </c>
      <c r="K2314" s="90">
        <v>0.10631598984559</v>
      </c>
      <c r="L2314" s="90">
        <v>3736.5092208547999</v>
      </c>
      <c r="M2314" s="90">
        <v>9.8363693235521197</v>
      </c>
      <c r="N2314" s="90">
        <v>1.73784562923548</v>
      </c>
      <c r="O2314" s="90">
        <v>1.0457633411203</v>
      </c>
      <c r="P2314" s="90">
        <v>0.18476077827101001</v>
      </c>
      <c r="Q2314" s="90">
        <v>397.25067638237402</v>
      </c>
      <c r="R2314" s="90">
        <v>1300</v>
      </c>
      <c r="S2314" s="90" t="s">
        <v>387</v>
      </c>
      <c r="T2314" s="90">
        <v>1300</v>
      </c>
      <c r="U2314" s="90" t="s">
        <v>378</v>
      </c>
      <c r="V2314" s="90" t="s">
        <v>244</v>
      </c>
      <c r="Z2314" s="90">
        <v>0</v>
      </c>
      <c r="AA2314" s="90">
        <v>1</v>
      </c>
      <c r="AB2314" s="90">
        <v>1.0457633411203</v>
      </c>
      <c r="AC2314" s="90">
        <v>0.18476077827101001</v>
      </c>
      <c r="AD2314" s="90">
        <v>397.25067638237402</v>
      </c>
      <c r="AF2314" s="90">
        <v>-1</v>
      </c>
      <c r="AG2314" s="90">
        <v>-1</v>
      </c>
      <c r="AH2314" s="90">
        <v>-1</v>
      </c>
      <c r="AI2314" s="90">
        <v>-1</v>
      </c>
      <c r="AJ2314" s="90">
        <v>0</v>
      </c>
      <c r="AM2314" s="90" t="s">
        <v>379</v>
      </c>
      <c r="AN2314" s="90">
        <v>-1</v>
      </c>
      <c r="AQ2314" s="90">
        <v>358</v>
      </c>
      <c r="AR2314" s="90" t="s">
        <v>422</v>
      </c>
      <c r="AS2314" s="90" t="s">
        <v>250</v>
      </c>
      <c r="AT2314" s="90" t="s">
        <v>244</v>
      </c>
      <c r="AU2314" s="90">
        <v>86.412649999999999</v>
      </c>
      <c r="AV2314" s="90">
        <v>99.366475680159894</v>
      </c>
      <c r="AW2314" s="90">
        <v>430.24554631046402</v>
      </c>
      <c r="AX2314" s="90">
        <v>0.32218221930000002</v>
      </c>
    </row>
    <row r="2315" spans="1:50" x14ac:dyDescent="0.25">
      <c r="A2315" s="102">
        <v>830000</v>
      </c>
      <c r="B2315" s="102">
        <v>2400000</v>
      </c>
      <c r="C2315" s="102">
        <v>2400000</v>
      </c>
      <c r="D2315" s="90" t="s">
        <v>374</v>
      </c>
      <c r="E2315" s="90" t="s">
        <v>68</v>
      </c>
      <c r="F2315" s="90" t="s">
        <v>375</v>
      </c>
      <c r="G2315" s="90" t="s">
        <v>376</v>
      </c>
      <c r="H2315" s="90">
        <v>0.59</v>
      </c>
      <c r="I2315" s="90">
        <v>0.64</v>
      </c>
      <c r="J2315" s="90" t="s">
        <v>244</v>
      </c>
      <c r="K2315" s="90">
        <v>4.5248285760999998E-4</v>
      </c>
      <c r="L2315" s="90">
        <v>3771.5840332462699</v>
      </c>
      <c r="M2315" s="90">
        <v>8.3837382295178902</v>
      </c>
      <c r="N2315" s="90">
        <v>1.4676996566223199</v>
      </c>
      <c r="O2315" s="90">
        <v>3.7934978316200001E-3</v>
      </c>
      <c r="P2315" s="90">
        <v>6.6410893475000001E-4</v>
      </c>
      <c r="Q2315" s="90">
        <v>1.7065771211134599</v>
      </c>
      <c r="R2315" s="90">
        <v>1300</v>
      </c>
      <c r="S2315" s="90" t="s">
        <v>387</v>
      </c>
      <c r="T2315" s="90">
        <v>1300</v>
      </c>
      <c r="U2315" s="90" t="s">
        <v>378</v>
      </c>
      <c r="V2315" s="90" t="s">
        <v>244</v>
      </c>
      <c r="Z2315" s="90">
        <v>0</v>
      </c>
      <c r="AA2315" s="90">
        <v>1</v>
      </c>
      <c r="AB2315" s="90">
        <v>3.7934978316200001E-3</v>
      </c>
      <c r="AC2315" s="90">
        <v>6.6410893475000001E-4</v>
      </c>
      <c r="AD2315" s="90">
        <v>552.63639547412004</v>
      </c>
      <c r="AF2315" s="90">
        <v>-1</v>
      </c>
      <c r="AG2315" s="90">
        <v>-1</v>
      </c>
      <c r="AH2315" s="90">
        <v>-1</v>
      </c>
      <c r="AI2315" s="90">
        <v>-1</v>
      </c>
      <c r="AJ2315" s="90">
        <v>0</v>
      </c>
      <c r="AM2315" s="90" t="s">
        <v>379</v>
      </c>
      <c r="AN2315" s="90">
        <v>-1</v>
      </c>
      <c r="AQ2315" s="90">
        <v>358</v>
      </c>
      <c r="AR2315" s="90" t="s">
        <v>422</v>
      </c>
      <c r="AS2315" s="90" t="s">
        <v>250</v>
      </c>
      <c r="AT2315" s="90" t="s">
        <v>244</v>
      </c>
      <c r="AU2315" s="90">
        <v>86.412649999999999</v>
      </c>
      <c r="AV2315" s="90">
        <v>24.878362150240001</v>
      </c>
      <c r="AW2315" s="90">
        <v>1.83113315837964</v>
      </c>
      <c r="AX2315" s="90">
        <v>0.44820470029999998</v>
      </c>
    </row>
    <row r="2316" spans="1:50" x14ac:dyDescent="0.25">
      <c r="A2316" s="102">
        <v>830000</v>
      </c>
      <c r="B2316" s="102">
        <v>2400000</v>
      </c>
      <c r="C2316" s="102">
        <v>2400000</v>
      </c>
      <c r="D2316" s="90" t="s">
        <v>374</v>
      </c>
      <c r="E2316" s="90" t="s">
        <v>68</v>
      </c>
      <c r="F2316" s="90" t="s">
        <v>375</v>
      </c>
      <c r="G2316" s="90" t="s">
        <v>376</v>
      </c>
      <c r="H2316" s="90">
        <v>0.59</v>
      </c>
      <c r="I2316" s="90">
        <v>0.64</v>
      </c>
      <c r="J2316" s="90" t="s">
        <v>244</v>
      </c>
      <c r="K2316" s="90">
        <v>1.76345288737E-3</v>
      </c>
      <c r="L2316" s="90">
        <v>3771.5840332462699</v>
      </c>
      <c r="M2316" s="90">
        <v>8.3837382295178902</v>
      </c>
      <c r="N2316" s="90">
        <v>1.4676996566223199</v>
      </c>
      <c r="O2316" s="90">
        <v>1.478432738782E-2</v>
      </c>
      <c r="P2316" s="90">
        <v>2.5882191972600001E-3</v>
      </c>
      <c r="Q2316" s="90">
        <v>6.65101075339805</v>
      </c>
      <c r="R2316" s="90">
        <v>1300</v>
      </c>
      <c r="S2316" s="90" t="s">
        <v>387</v>
      </c>
      <c r="T2316" s="90">
        <v>1300</v>
      </c>
      <c r="U2316" s="90" t="s">
        <v>378</v>
      </c>
      <c r="V2316" s="90" t="s">
        <v>244</v>
      </c>
      <c r="Z2316" s="90">
        <v>0</v>
      </c>
      <c r="AA2316" s="90">
        <v>1</v>
      </c>
      <c r="AB2316" s="90">
        <v>1.478432738782E-2</v>
      </c>
      <c r="AC2316" s="90">
        <v>2.5882191972600001E-3</v>
      </c>
      <c r="AD2316" s="90">
        <v>1543.8993471188801</v>
      </c>
      <c r="AF2316" s="90">
        <v>-1</v>
      </c>
      <c r="AG2316" s="90">
        <v>-1</v>
      </c>
      <c r="AH2316" s="90">
        <v>-1</v>
      </c>
      <c r="AI2316" s="90">
        <v>-1</v>
      </c>
      <c r="AJ2316" s="90">
        <v>0</v>
      </c>
      <c r="AM2316" s="90" t="s">
        <v>379</v>
      </c>
      <c r="AN2316" s="90">
        <v>-1</v>
      </c>
      <c r="AQ2316" s="90">
        <v>358</v>
      </c>
      <c r="AR2316" s="90" t="s">
        <v>422</v>
      </c>
      <c r="AS2316" s="90" t="s">
        <v>250</v>
      </c>
      <c r="AT2316" s="90" t="s">
        <v>244</v>
      </c>
      <c r="AU2316" s="90">
        <v>86.412649999999999</v>
      </c>
      <c r="AV2316" s="90">
        <v>30.772884019449599</v>
      </c>
      <c r="AW2316" s="90">
        <v>7.1364406428645104</v>
      </c>
      <c r="AX2316" s="90">
        <v>1.2521487</v>
      </c>
    </row>
    <row r="2317" spans="1:50" x14ac:dyDescent="0.25">
      <c r="A2317" s="102">
        <v>830000</v>
      </c>
      <c r="B2317" s="102">
        <v>2400000</v>
      </c>
      <c r="C2317" s="102">
        <v>2400000</v>
      </c>
      <c r="D2317" s="90" t="s">
        <v>374</v>
      </c>
      <c r="E2317" s="90" t="s">
        <v>68</v>
      </c>
      <c r="F2317" s="90" t="s">
        <v>375</v>
      </c>
      <c r="G2317" s="90" t="s">
        <v>376</v>
      </c>
      <c r="H2317" s="90">
        <v>0.59</v>
      </c>
      <c r="I2317" s="90">
        <v>0.64</v>
      </c>
      <c r="J2317" s="90" t="s">
        <v>244</v>
      </c>
      <c r="K2317" s="90">
        <v>0.22707767613513999</v>
      </c>
      <c r="L2317" s="90">
        <v>3759.0181738356</v>
      </c>
      <c r="M2317" s="90">
        <v>10.793201768441399</v>
      </c>
      <c r="N2317" s="90">
        <v>2.0738459599658601</v>
      </c>
      <c r="O2317" s="90">
        <v>2.4508951756354298</v>
      </c>
      <c r="P2317" s="90">
        <v>0.47092412125130001</v>
      </c>
      <c r="Q2317" s="90">
        <v>853.58911146436901</v>
      </c>
      <c r="R2317" s="90">
        <v>1300</v>
      </c>
      <c r="S2317" s="90" t="s">
        <v>387</v>
      </c>
      <c r="T2317" s="90">
        <v>1300</v>
      </c>
      <c r="U2317" s="90" t="s">
        <v>378</v>
      </c>
      <c r="V2317" s="90" t="s">
        <v>244</v>
      </c>
      <c r="Z2317" s="90">
        <v>0</v>
      </c>
      <c r="AA2317" s="90">
        <v>1</v>
      </c>
      <c r="AB2317" s="90">
        <v>2.4508951756354298</v>
      </c>
      <c r="AC2317" s="90">
        <v>0.47092412125130001</v>
      </c>
      <c r="AD2317" s="90">
        <v>853.58911146436901</v>
      </c>
      <c r="AF2317" s="90">
        <v>-1</v>
      </c>
      <c r="AG2317" s="90">
        <v>-1</v>
      </c>
      <c r="AH2317" s="90">
        <v>-1</v>
      </c>
      <c r="AI2317" s="90">
        <v>-1</v>
      </c>
      <c r="AJ2317" s="90">
        <v>0</v>
      </c>
      <c r="AM2317" s="90" t="s">
        <v>379</v>
      </c>
      <c r="AN2317" s="90">
        <v>-1</v>
      </c>
      <c r="AQ2317" s="90">
        <v>358</v>
      </c>
      <c r="AR2317" s="90" t="s">
        <v>422</v>
      </c>
      <c r="AS2317" s="90" t="s">
        <v>250</v>
      </c>
      <c r="AT2317" s="90" t="s">
        <v>244</v>
      </c>
      <c r="AU2317" s="90">
        <v>86.412649999999999</v>
      </c>
      <c r="AV2317" s="90">
        <v>207.86890592694499</v>
      </c>
      <c r="AW2317" s="90">
        <v>918.95075205118303</v>
      </c>
      <c r="AX2317" s="90">
        <v>0.69228638399999998</v>
      </c>
    </row>
    <row r="2318" spans="1:50" x14ac:dyDescent="0.25">
      <c r="A2318" s="102">
        <v>830000</v>
      </c>
      <c r="B2318" s="102">
        <v>2400000</v>
      </c>
      <c r="C2318" s="102">
        <v>2400000</v>
      </c>
      <c r="D2318" s="90" t="s">
        <v>374</v>
      </c>
      <c r="E2318" s="90" t="s">
        <v>68</v>
      </c>
      <c r="F2318" s="90" t="s">
        <v>375</v>
      </c>
      <c r="G2318" s="90" t="s">
        <v>376</v>
      </c>
      <c r="H2318" s="90">
        <v>0.59</v>
      </c>
      <c r="I2318" s="90">
        <v>0.64</v>
      </c>
      <c r="J2318" s="90" t="s">
        <v>244</v>
      </c>
      <c r="K2318" s="90">
        <v>4.4048931872900004E-3</v>
      </c>
      <c r="L2318" s="90">
        <v>3759.0181738356</v>
      </c>
      <c r="M2318" s="90">
        <v>10.793201768441399</v>
      </c>
      <c r="N2318" s="90">
        <v>2.0738459599658601</v>
      </c>
      <c r="O2318" s="90">
        <v>4.7542900938870002E-2</v>
      </c>
      <c r="P2318" s="90">
        <v>9.1350699405399992E-3</v>
      </c>
      <c r="Q2318" s="90">
        <v>16.558073544835199</v>
      </c>
      <c r="R2318" s="90">
        <v>1300</v>
      </c>
      <c r="S2318" s="90" t="s">
        <v>387</v>
      </c>
      <c r="T2318" s="90">
        <v>1300</v>
      </c>
      <c r="U2318" s="90" t="s">
        <v>378</v>
      </c>
      <c r="V2318" s="90" t="s">
        <v>244</v>
      </c>
      <c r="Z2318" s="90">
        <v>0</v>
      </c>
      <c r="AA2318" s="90">
        <v>1</v>
      </c>
      <c r="AB2318" s="90">
        <v>4.7542900938870002E-2</v>
      </c>
      <c r="AC2318" s="90">
        <v>9.1350699405399992E-3</v>
      </c>
      <c r="AD2318" s="90">
        <v>16.5580735448338</v>
      </c>
      <c r="AF2318" s="90">
        <v>-1</v>
      </c>
      <c r="AG2318" s="90">
        <v>-1</v>
      </c>
      <c r="AH2318" s="90">
        <v>-1</v>
      </c>
      <c r="AI2318" s="90">
        <v>-1</v>
      </c>
      <c r="AJ2318" s="90">
        <v>0</v>
      </c>
      <c r="AM2318" s="90" t="s">
        <v>379</v>
      </c>
      <c r="AN2318" s="90">
        <v>-1</v>
      </c>
      <c r="AQ2318" s="90">
        <v>358</v>
      </c>
      <c r="AR2318" s="90" t="s">
        <v>422</v>
      </c>
      <c r="AS2318" s="90" t="s">
        <v>250</v>
      </c>
      <c r="AT2318" s="90" t="s">
        <v>244</v>
      </c>
      <c r="AU2318" s="90">
        <v>86.412649999999999</v>
      </c>
      <c r="AV2318" s="90">
        <v>31.568495615534999</v>
      </c>
      <c r="AW2318" s="90">
        <v>17.825970284977</v>
      </c>
      <c r="AX2318" s="90">
        <v>1.3429094500000001E-2</v>
      </c>
    </row>
    <row r="2319" spans="1:50" x14ac:dyDescent="0.25">
      <c r="A2319" s="102">
        <v>830000</v>
      </c>
      <c r="B2319" s="102">
        <v>2400000</v>
      </c>
      <c r="C2319" s="102">
        <v>2400000</v>
      </c>
      <c r="D2319" s="90" t="s">
        <v>374</v>
      </c>
      <c r="E2319" s="90" t="s">
        <v>68</v>
      </c>
      <c r="F2319" s="90" t="s">
        <v>375</v>
      </c>
      <c r="G2319" s="90" t="s">
        <v>376</v>
      </c>
      <c r="H2319" s="90">
        <v>0.59</v>
      </c>
      <c r="I2319" s="90">
        <v>0.64</v>
      </c>
      <c r="J2319" s="90" t="s">
        <v>244</v>
      </c>
      <c r="K2319" s="90">
        <v>1.10541183591E-3</v>
      </c>
      <c r="L2319" s="90">
        <v>3759.0181738356</v>
      </c>
      <c r="M2319" s="90">
        <v>10.793201768441399</v>
      </c>
      <c r="N2319" s="90">
        <v>2.0738459599658601</v>
      </c>
      <c r="O2319" s="90">
        <v>1.1930932982210001E-2</v>
      </c>
      <c r="P2319" s="90">
        <v>2.2924538699999998E-3</v>
      </c>
      <c r="Q2319" s="90">
        <v>4.1552631807624296</v>
      </c>
      <c r="R2319" s="90">
        <v>1300</v>
      </c>
      <c r="S2319" s="90" t="s">
        <v>387</v>
      </c>
      <c r="T2319" s="90">
        <v>1300</v>
      </c>
      <c r="U2319" s="90" t="s">
        <v>378</v>
      </c>
      <c r="V2319" s="90" t="s">
        <v>244</v>
      </c>
      <c r="Z2319" s="90">
        <v>0</v>
      </c>
      <c r="AA2319" s="90">
        <v>1</v>
      </c>
      <c r="AB2319" s="90">
        <v>1.1930932982210001E-2</v>
      </c>
      <c r="AC2319" s="90">
        <v>2.2924538699999998E-3</v>
      </c>
      <c r="AD2319" s="90">
        <v>4.1552631807634404</v>
      </c>
      <c r="AF2319" s="90">
        <v>-1</v>
      </c>
      <c r="AG2319" s="90">
        <v>-1</v>
      </c>
      <c r="AH2319" s="90">
        <v>-1</v>
      </c>
      <c r="AI2319" s="90">
        <v>-1</v>
      </c>
      <c r="AJ2319" s="90">
        <v>0</v>
      </c>
      <c r="AM2319" s="90" t="s">
        <v>379</v>
      </c>
      <c r="AN2319" s="90">
        <v>-1</v>
      </c>
      <c r="AQ2319" s="90">
        <v>358</v>
      </c>
      <c r="AR2319" s="90" t="s">
        <v>422</v>
      </c>
      <c r="AS2319" s="90" t="s">
        <v>250</v>
      </c>
      <c r="AT2319" s="90" t="s">
        <v>244</v>
      </c>
      <c r="AU2319" s="90">
        <v>86.412649999999999</v>
      </c>
      <c r="AV2319" s="90">
        <v>24.199146785136499</v>
      </c>
      <c r="AW2319" s="90">
        <v>4.4734429875544901</v>
      </c>
      <c r="AX2319" s="90">
        <v>3.3700431000000001E-3</v>
      </c>
    </row>
    <row r="2320" spans="1:50" x14ac:dyDescent="0.25">
      <c r="A2320" s="102">
        <v>830000</v>
      </c>
      <c r="B2320" s="102">
        <v>2400000</v>
      </c>
      <c r="C2320" s="102">
        <v>2400000</v>
      </c>
      <c r="D2320" s="90" t="s">
        <v>374</v>
      </c>
      <c r="E2320" s="90" t="s">
        <v>68</v>
      </c>
      <c r="F2320" s="90" t="s">
        <v>375</v>
      </c>
      <c r="G2320" s="90" t="s">
        <v>376</v>
      </c>
      <c r="H2320" s="90">
        <v>0.59</v>
      </c>
      <c r="I2320" s="90">
        <v>0.64</v>
      </c>
      <c r="J2320" s="90" t="s">
        <v>244</v>
      </c>
      <c r="K2320" s="90">
        <v>7.8460024598600003E-3</v>
      </c>
      <c r="L2320" s="90">
        <v>3759.0181738356</v>
      </c>
      <c r="M2320" s="90">
        <v>10.793201768441399</v>
      </c>
      <c r="N2320" s="90">
        <v>2.0738459599658601</v>
      </c>
      <c r="O2320" s="90">
        <v>8.4683487624999998E-2</v>
      </c>
      <c r="P2320" s="90">
        <v>1.627140050327E-2</v>
      </c>
      <c r="Q2320" s="90">
        <v>29.4932658385876</v>
      </c>
      <c r="R2320" s="90">
        <v>1210</v>
      </c>
      <c r="S2320" s="90" t="s">
        <v>385</v>
      </c>
      <c r="T2320" s="90">
        <v>1210</v>
      </c>
      <c r="U2320" s="90" t="s">
        <v>378</v>
      </c>
      <c r="V2320" s="90" t="s">
        <v>244</v>
      </c>
      <c r="Z2320" s="90">
        <v>0</v>
      </c>
      <c r="AA2320" s="90">
        <v>1</v>
      </c>
      <c r="AB2320" s="90">
        <v>8.4683487624999998E-2</v>
      </c>
      <c r="AC2320" s="90">
        <v>1.627140050327E-2</v>
      </c>
      <c r="AD2320" s="90">
        <v>29.493265838587</v>
      </c>
      <c r="AF2320" s="90">
        <v>-1</v>
      </c>
      <c r="AG2320" s="90">
        <v>-1</v>
      </c>
      <c r="AH2320" s="90">
        <v>-1</v>
      </c>
      <c r="AI2320" s="90">
        <v>-1</v>
      </c>
      <c r="AJ2320" s="90">
        <v>0</v>
      </c>
      <c r="AM2320" s="90" t="s">
        <v>379</v>
      </c>
      <c r="AN2320" s="90">
        <v>-1</v>
      </c>
      <c r="AQ2320" s="90">
        <v>358</v>
      </c>
      <c r="AR2320" s="90" t="s">
        <v>422</v>
      </c>
      <c r="AS2320" s="90" t="s">
        <v>250</v>
      </c>
      <c r="AT2320" s="90" t="s">
        <v>244</v>
      </c>
      <c r="AU2320" s="90">
        <v>86.412649999999999</v>
      </c>
      <c r="AV2320" s="90">
        <v>34.060626694540503</v>
      </c>
      <c r="AW2320" s="90">
        <v>31.751645444866199</v>
      </c>
      <c r="AX2320" s="90">
        <v>2.39199236E-2</v>
      </c>
    </row>
    <row r="2321" spans="1:50" x14ac:dyDescent="0.25">
      <c r="A2321" s="102">
        <v>830000</v>
      </c>
      <c r="B2321" s="102">
        <v>2400000</v>
      </c>
      <c r="C2321" s="102">
        <v>2400000</v>
      </c>
      <c r="D2321" s="90" t="s">
        <v>374</v>
      </c>
      <c r="E2321" s="90" t="s">
        <v>68</v>
      </c>
      <c r="F2321" s="90" t="s">
        <v>375</v>
      </c>
      <c r="G2321" s="90" t="s">
        <v>376</v>
      </c>
      <c r="H2321" s="90">
        <v>0.59</v>
      </c>
      <c r="I2321" s="90">
        <v>0.64</v>
      </c>
      <c r="J2321" s="90" t="s">
        <v>244</v>
      </c>
      <c r="K2321" s="90">
        <v>0.37732947000367001</v>
      </c>
      <c r="L2321" s="90">
        <v>3759.0181738356</v>
      </c>
      <c r="M2321" s="90">
        <v>10.793201768441399</v>
      </c>
      <c r="N2321" s="90">
        <v>2.0738459599658601</v>
      </c>
      <c r="O2321" s="90">
        <v>4.0725931029287299</v>
      </c>
      <c r="P2321" s="90">
        <v>0.78252319694316996</v>
      </c>
      <c r="Q2321" s="90">
        <v>1418.38833526756</v>
      </c>
      <c r="R2321" s="90">
        <v>1330</v>
      </c>
      <c r="S2321" s="90" t="s">
        <v>397</v>
      </c>
      <c r="T2321" s="90">
        <v>1330</v>
      </c>
      <c r="U2321" s="90" t="s">
        <v>378</v>
      </c>
      <c r="V2321" s="90" t="s">
        <v>244</v>
      </c>
      <c r="Z2321" s="90">
        <v>0</v>
      </c>
      <c r="AA2321" s="90">
        <v>1</v>
      </c>
      <c r="AB2321" s="90">
        <v>4.0725931029287299</v>
      </c>
      <c r="AC2321" s="90">
        <v>0.78252319694316996</v>
      </c>
      <c r="AD2321" s="90">
        <v>1418.38833526756</v>
      </c>
      <c r="AF2321" s="90">
        <v>-1</v>
      </c>
      <c r="AG2321" s="90">
        <v>-1</v>
      </c>
      <c r="AH2321" s="90">
        <v>-1</v>
      </c>
      <c r="AI2321" s="90">
        <v>-1</v>
      </c>
      <c r="AJ2321" s="90">
        <v>0</v>
      </c>
      <c r="AM2321" s="90" t="s">
        <v>379</v>
      </c>
      <c r="AN2321" s="90">
        <v>-1</v>
      </c>
      <c r="AQ2321" s="90">
        <v>358</v>
      </c>
      <c r="AR2321" s="90" t="s">
        <v>422</v>
      </c>
      <c r="AS2321" s="90" t="s">
        <v>250</v>
      </c>
      <c r="AT2321" s="90" t="s">
        <v>244</v>
      </c>
      <c r="AU2321" s="90">
        <v>86.412649999999999</v>
      </c>
      <c r="AV2321" s="90">
        <v>161.107568222227</v>
      </c>
      <c r="AW2321" s="90">
        <v>1526.99818904515</v>
      </c>
      <c r="AX2321" s="90">
        <v>1.1503555030999999</v>
      </c>
    </row>
    <row r="2322" spans="1:50" x14ac:dyDescent="0.25">
      <c r="A2322" s="102">
        <v>830000</v>
      </c>
      <c r="B2322" s="102">
        <v>2400000</v>
      </c>
      <c r="C2322" s="102">
        <v>2400000</v>
      </c>
      <c r="D2322" s="90" t="s">
        <v>374</v>
      </c>
      <c r="E2322" s="90" t="s">
        <v>68</v>
      </c>
      <c r="F2322" s="90" t="s">
        <v>375</v>
      </c>
      <c r="G2322" s="90" t="s">
        <v>376</v>
      </c>
      <c r="H2322" s="90">
        <v>0.59</v>
      </c>
      <c r="I2322" s="90">
        <v>0.64</v>
      </c>
      <c r="J2322" s="90" t="s">
        <v>244</v>
      </c>
      <c r="K2322" s="90">
        <v>3.9388852684010003E-2</v>
      </c>
      <c r="L2322" s="90">
        <v>3760.9045854261699</v>
      </c>
      <c r="M2322" s="90">
        <v>10.8163394342525</v>
      </c>
      <c r="N2322" s="90">
        <v>2.08360860556455</v>
      </c>
      <c r="O2322" s="90">
        <v>0.42604320055604</v>
      </c>
      <c r="P2322" s="90">
        <v>8.2070952415720003E-2</v>
      </c>
      <c r="Q2322" s="90">
        <v>148.137716673976</v>
      </c>
      <c r="R2322" s="90">
        <v>1300</v>
      </c>
      <c r="S2322" s="90" t="s">
        <v>387</v>
      </c>
      <c r="T2322" s="90">
        <v>1300</v>
      </c>
      <c r="U2322" s="90" t="s">
        <v>378</v>
      </c>
      <c r="V2322" s="90" t="s">
        <v>244</v>
      </c>
      <c r="Z2322" s="90">
        <v>0</v>
      </c>
      <c r="AA2322" s="90">
        <v>1</v>
      </c>
      <c r="AB2322" s="90">
        <v>0.42604320055604</v>
      </c>
      <c r="AC2322" s="90">
        <v>8.2070952415720003E-2</v>
      </c>
      <c r="AD2322" s="90">
        <v>148.13771667397501</v>
      </c>
      <c r="AF2322" s="90">
        <v>-1</v>
      </c>
      <c r="AG2322" s="90">
        <v>-1</v>
      </c>
      <c r="AH2322" s="90">
        <v>-1</v>
      </c>
      <c r="AI2322" s="90">
        <v>-1</v>
      </c>
      <c r="AJ2322" s="90">
        <v>0</v>
      </c>
      <c r="AM2322" s="90" t="s">
        <v>379</v>
      </c>
      <c r="AN2322" s="90">
        <v>-1</v>
      </c>
      <c r="AQ2322" s="90">
        <v>358</v>
      </c>
      <c r="AR2322" s="90" t="s">
        <v>422</v>
      </c>
      <c r="AS2322" s="90" t="s">
        <v>250</v>
      </c>
      <c r="AT2322" s="90" t="s">
        <v>244</v>
      </c>
      <c r="AU2322" s="90">
        <v>86.412649999999999</v>
      </c>
      <c r="AV2322" s="90">
        <v>106.713212633662</v>
      </c>
      <c r="AW2322" s="90">
        <v>159.40103145525899</v>
      </c>
      <c r="AX2322" s="90">
        <v>0.12014413359999999</v>
      </c>
    </row>
    <row r="2323" spans="1:50" x14ac:dyDescent="0.25">
      <c r="A2323" s="102">
        <v>830000</v>
      </c>
      <c r="B2323" s="102">
        <v>2400000</v>
      </c>
      <c r="C2323" s="102">
        <v>2400000</v>
      </c>
      <c r="D2323" s="90" t="s">
        <v>374</v>
      </c>
      <c r="E2323" s="90" t="s">
        <v>68</v>
      </c>
      <c r="F2323" s="90" t="s">
        <v>375</v>
      </c>
      <c r="G2323" s="90" t="s">
        <v>376</v>
      </c>
      <c r="H2323" s="90">
        <v>0.59</v>
      </c>
      <c r="I2323" s="90">
        <v>0.64</v>
      </c>
      <c r="J2323" s="90" t="s">
        <v>381</v>
      </c>
      <c r="K2323" s="90">
        <v>7.9460225915089999E-2</v>
      </c>
      <c r="L2323" s="90">
        <v>3760.9045854261699</v>
      </c>
      <c r="M2323" s="90">
        <v>10.8163394342525</v>
      </c>
      <c r="N2323" s="90">
        <v>2.08360860556455</v>
      </c>
      <c r="O2323" s="90">
        <v>0.85946877502006003</v>
      </c>
      <c r="P2323" s="90">
        <v>0.16556401051679001</v>
      </c>
      <c r="Q2323" s="90">
        <v>298.84232800308399</v>
      </c>
      <c r="R2323" s="90">
        <v>1300</v>
      </c>
      <c r="S2323" s="90" t="s">
        <v>387</v>
      </c>
      <c r="T2323" s="90">
        <v>1300</v>
      </c>
      <c r="U2323" s="90" t="s">
        <v>382</v>
      </c>
      <c r="V2323" s="90" t="s">
        <v>381</v>
      </c>
      <c r="Z2323" s="90">
        <v>0</v>
      </c>
      <c r="AA2323" s="90">
        <v>1</v>
      </c>
      <c r="AB2323" s="90">
        <v>0.85946877502006003</v>
      </c>
      <c r="AC2323" s="90">
        <v>0.16556401051679001</v>
      </c>
      <c r="AD2323" s="90">
        <v>298.84232800308303</v>
      </c>
      <c r="AF2323" s="90">
        <v>-1</v>
      </c>
      <c r="AG2323" s="90">
        <v>-1</v>
      </c>
      <c r="AH2323" s="90">
        <v>-1</v>
      </c>
      <c r="AI2323" s="90">
        <v>-1</v>
      </c>
      <c r="AJ2323" s="90">
        <v>0</v>
      </c>
      <c r="AM2323" s="90" t="s">
        <v>379</v>
      </c>
      <c r="AN2323" s="90">
        <v>-1</v>
      </c>
      <c r="AQ2323" s="90">
        <v>358</v>
      </c>
      <c r="AR2323" s="90" t="s">
        <v>422</v>
      </c>
      <c r="AS2323" s="90" t="s">
        <v>250</v>
      </c>
      <c r="AT2323" s="90" t="s">
        <v>244</v>
      </c>
      <c r="AU2323" s="90">
        <v>86.412649999999999</v>
      </c>
      <c r="AV2323" s="90">
        <v>112.928444666939</v>
      </c>
      <c r="AW2323" s="90">
        <v>321.56412556985998</v>
      </c>
      <c r="AX2323" s="90">
        <v>0.24237009570000001</v>
      </c>
    </row>
    <row r="2324" spans="1:50" x14ac:dyDescent="0.25">
      <c r="A2324" s="102">
        <v>830000</v>
      </c>
      <c r="B2324" s="102">
        <v>2400000</v>
      </c>
      <c r="C2324" s="102">
        <v>2400000</v>
      </c>
      <c r="D2324" s="90" t="s">
        <v>374</v>
      </c>
      <c r="E2324" s="90" t="s">
        <v>68</v>
      </c>
      <c r="F2324" s="90" t="s">
        <v>375</v>
      </c>
      <c r="G2324" s="90" t="s">
        <v>376</v>
      </c>
      <c r="H2324" s="90">
        <v>0.59</v>
      </c>
      <c r="I2324" s="90">
        <v>0.64</v>
      </c>
      <c r="J2324" s="90" t="s">
        <v>244</v>
      </c>
      <c r="K2324" s="90">
        <v>0.29166474446869001</v>
      </c>
      <c r="L2324" s="90">
        <v>3760.9045854261699</v>
      </c>
      <c r="M2324" s="90">
        <v>10.8163394342525</v>
      </c>
      <c r="N2324" s="90">
        <v>2.08360860556455</v>
      </c>
      <c r="O2324" s="90">
        <v>3.1547448771779498</v>
      </c>
      <c r="P2324" s="90">
        <v>0.60771517151475996</v>
      </c>
      <c r="Q2324" s="90">
        <v>1096.92327487948</v>
      </c>
      <c r="R2324" s="90">
        <v>1300</v>
      </c>
      <c r="S2324" s="90" t="s">
        <v>387</v>
      </c>
      <c r="T2324" s="90">
        <v>1300</v>
      </c>
      <c r="U2324" s="90" t="s">
        <v>378</v>
      </c>
      <c r="V2324" s="90" t="s">
        <v>244</v>
      </c>
      <c r="Z2324" s="90">
        <v>0</v>
      </c>
      <c r="AA2324" s="90">
        <v>1</v>
      </c>
      <c r="AB2324" s="90">
        <v>3.1547448771779498</v>
      </c>
      <c r="AC2324" s="90">
        <v>0.60771517151475996</v>
      </c>
      <c r="AD2324" s="90">
        <v>1096.92327487948</v>
      </c>
      <c r="AF2324" s="90">
        <v>-1</v>
      </c>
      <c r="AG2324" s="90">
        <v>-1</v>
      </c>
      <c r="AH2324" s="90">
        <v>-1</v>
      </c>
      <c r="AI2324" s="90">
        <v>-1</v>
      </c>
      <c r="AJ2324" s="90">
        <v>0</v>
      </c>
      <c r="AM2324" s="90" t="s">
        <v>379</v>
      </c>
      <c r="AN2324" s="90">
        <v>-1</v>
      </c>
      <c r="AQ2324" s="90">
        <v>358</v>
      </c>
      <c r="AR2324" s="90" t="s">
        <v>422</v>
      </c>
      <c r="AS2324" s="90" t="s">
        <v>250</v>
      </c>
      <c r="AT2324" s="90" t="s">
        <v>244</v>
      </c>
      <c r="AU2324" s="90">
        <v>86.412649999999999</v>
      </c>
      <c r="AV2324" s="90">
        <v>138.43443039857601</v>
      </c>
      <c r="AW2324" s="90">
        <v>1180.3253443408</v>
      </c>
      <c r="AX2324" s="90">
        <v>0.88963769250000002</v>
      </c>
    </row>
    <row r="2325" spans="1:50" x14ac:dyDescent="0.25">
      <c r="A2325" s="102">
        <v>830000</v>
      </c>
      <c r="B2325" s="102">
        <v>2400000</v>
      </c>
      <c r="C2325" s="102">
        <v>2400000</v>
      </c>
      <c r="D2325" s="90" t="s">
        <v>374</v>
      </c>
      <c r="E2325" s="90" t="s">
        <v>68</v>
      </c>
      <c r="F2325" s="90" t="s">
        <v>375</v>
      </c>
      <c r="G2325" s="90" t="s">
        <v>376</v>
      </c>
      <c r="H2325" s="90">
        <v>0.59</v>
      </c>
      <c r="I2325" s="90">
        <v>0.64</v>
      </c>
      <c r="J2325" s="90" t="s">
        <v>244</v>
      </c>
      <c r="K2325" s="90">
        <v>1.69779923263E-3</v>
      </c>
      <c r="L2325" s="90">
        <v>3760.9045854261699</v>
      </c>
      <c r="M2325" s="90">
        <v>10.8163394342525</v>
      </c>
      <c r="N2325" s="90">
        <v>2.08360860556455</v>
      </c>
      <c r="O2325" s="90">
        <v>1.8363972791349999E-2</v>
      </c>
      <c r="P2325" s="90">
        <v>3.5375490916300001E-3</v>
      </c>
      <c r="Q2325" s="90">
        <v>6.3852609191349696</v>
      </c>
      <c r="R2325" s="90">
        <v>1330</v>
      </c>
      <c r="S2325" s="90" t="s">
        <v>397</v>
      </c>
      <c r="T2325" s="90">
        <v>1330</v>
      </c>
      <c r="U2325" s="90" t="s">
        <v>378</v>
      </c>
      <c r="V2325" s="90" t="s">
        <v>244</v>
      </c>
      <c r="Z2325" s="90">
        <v>0</v>
      </c>
      <c r="AA2325" s="90">
        <v>1</v>
      </c>
      <c r="AB2325" s="90">
        <v>1.8363972791349999E-2</v>
      </c>
      <c r="AC2325" s="90">
        <v>3.5375490916300001E-3</v>
      </c>
      <c r="AD2325" s="90">
        <v>6.3852609191366998</v>
      </c>
      <c r="AF2325" s="90">
        <v>-1</v>
      </c>
      <c r="AG2325" s="90">
        <v>-1</v>
      </c>
      <c r="AH2325" s="90">
        <v>-1</v>
      </c>
      <c r="AI2325" s="90">
        <v>-1</v>
      </c>
      <c r="AJ2325" s="90">
        <v>0</v>
      </c>
      <c r="AM2325" s="90" t="s">
        <v>379</v>
      </c>
      <c r="AN2325" s="90">
        <v>-1</v>
      </c>
      <c r="AQ2325" s="90">
        <v>358</v>
      </c>
      <c r="AR2325" s="90" t="s">
        <v>422</v>
      </c>
      <c r="AS2325" s="90" t="s">
        <v>250</v>
      </c>
      <c r="AT2325" s="90" t="s">
        <v>244</v>
      </c>
      <c r="AU2325" s="90">
        <v>86.412649999999999</v>
      </c>
      <c r="AV2325" s="90">
        <v>31.762628182650602</v>
      </c>
      <c r="AW2325" s="90">
        <v>6.8707497285203996</v>
      </c>
      <c r="AX2325" s="90">
        <v>5.1786382000000002E-3</v>
      </c>
    </row>
    <row r="2326" spans="1:50" x14ac:dyDescent="0.25">
      <c r="A2326" s="102">
        <v>830000</v>
      </c>
      <c r="B2326" s="102">
        <v>2400000</v>
      </c>
      <c r="C2326" s="102">
        <v>2400000</v>
      </c>
      <c r="D2326" s="90" t="s">
        <v>374</v>
      </c>
      <c r="E2326" s="90" t="s">
        <v>68</v>
      </c>
      <c r="F2326" s="90" t="s">
        <v>375</v>
      </c>
      <c r="G2326" s="90" t="s">
        <v>376</v>
      </c>
      <c r="H2326" s="90">
        <v>0.59</v>
      </c>
      <c r="I2326" s="90">
        <v>0.64</v>
      </c>
      <c r="J2326" s="90" t="s">
        <v>244</v>
      </c>
      <c r="K2326" s="90">
        <v>0.20555181590957999</v>
      </c>
      <c r="L2326" s="90">
        <v>3760.9045854261699</v>
      </c>
      <c r="M2326" s="90">
        <v>10.8163394342525</v>
      </c>
      <c r="N2326" s="90">
        <v>2.08360860556455</v>
      </c>
      <c r="O2326" s="90">
        <v>2.2233182122050099</v>
      </c>
      <c r="P2326" s="90">
        <v>0.42828953251862001</v>
      </c>
      <c r="Q2326" s="90">
        <v>773.06076699701998</v>
      </c>
      <c r="R2326" s="90">
        <v>1300</v>
      </c>
      <c r="S2326" s="90" t="s">
        <v>387</v>
      </c>
      <c r="T2326" s="90">
        <v>1300</v>
      </c>
      <c r="U2326" s="90" t="s">
        <v>378</v>
      </c>
      <c r="V2326" s="90" t="s">
        <v>244</v>
      </c>
      <c r="Z2326" s="90">
        <v>0</v>
      </c>
      <c r="AA2326" s="90">
        <v>1</v>
      </c>
      <c r="AB2326" s="90">
        <v>2.2233182122050099</v>
      </c>
      <c r="AC2326" s="90">
        <v>0.42828953251862001</v>
      </c>
      <c r="AD2326" s="90">
        <v>773.06076699701998</v>
      </c>
      <c r="AF2326" s="90">
        <v>-1</v>
      </c>
      <c r="AG2326" s="90">
        <v>-1</v>
      </c>
      <c r="AH2326" s="90">
        <v>-1</v>
      </c>
      <c r="AI2326" s="90">
        <v>-1</v>
      </c>
      <c r="AJ2326" s="90">
        <v>0</v>
      </c>
      <c r="AM2326" s="90" t="s">
        <v>379</v>
      </c>
      <c r="AN2326" s="90">
        <v>-1</v>
      </c>
      <c r="AQ2326" s="90">
        <v>358</v>
      </c>
      <c r="AR2326" s="90" t="s">
        <v>422</v>
      </c>
      <c r="AS2326" s="90" t="s">
        <v>250</v>
      </c>
      <c r="AT2326" s="90" t="s">
        <v>244</v>
      </c>
      <c r="AU2326" s="90">
        <v>86.412649999999999</v>
      </c>
      <c r="AV2326" s="90">
        <v>122.928345877393</v>
      </c>
      <c r="AW2326" s="90">
        <v>831.83868634966996</v>
      </c>
      <c r="AX2326" s="90">
        <v>0.62697548010000004</v>
      </c>
    </row>
    <row r="2327" spans="1:50" x14ac:dyDescent="0.25">
      <c r="A2327" s="102">
        <v>830000</v>
      </c>
      <c r="B2327" s="102">
        <v>2400000</v>
      </c>
      <c r="C2327" s="102">
        <v>2400000</v>
      </c>
      <c r="D2327" s="90" t="s">
        <v>374</v>
      </c>
      <c r="E2327" s="90" t="s">
        <v>68</v>
      </c>
      <c r="F2327" s="90" t="s">
        <v>375</v>
      </c>
      <c r="G2327" s="90" t="s">
        <v>376</v>
      </c>
      <c r="H2327" s="90">
        <v>0.59</v>
      </c>
      <c r="I2327" s="90">
        <v>0.64</v>
      </c>
      <c r="J2327" s="90" t="s">
        <v>244</v>
      </c>
      <c r="K2327" s="90">
        <v>0.26825986250872003</v>
      </c>
      <c r="L2327" s="90">
        <v>3751.4570212149702</v>
      </c>
      <c r="M2327" s="90">
        <v>10.473616096886399</v>
      </c>
      <c r="N2327" s="90">
        <v>1.96311956250272</v>
      </c>
      <c r="O2327" s="90">
        <v>2.8096508141199701</v>
      </c>
      <c r="P2327" s="90">
        <v>0.52662618392517002</v>
      </c>
      <c r="Q2327" s="90">
        <v>1006.36534471853</v>
      </c>
      <c r="R2327" s="90">
        <v>1300</v>
      </c>
      <c r="S2327" s="90" t="s">
        <v>387</v>
      </c>
      <c r="T2327" s="90">
        <v>1300</v>
      </c>
      <c r="U2327" s="90" t="s">
        <v>378</v>
      </c>
      <c r="V2327" s="90" t="s">
        <v>244</v>
      </c>
      <c r="Z2327" s="90">
        <v>0</v>
      </c>
      <c r="AA2327" s="90">
        <v>1</v>
      </c>
      <c r="AB2327" s="90">
        <v>2.8096508141199701</v>
      </c>
      <c r="AC2327" s="90">
        <v>0.52662618392517002</v>
      </c>
      <c r="AD2327" s="90">
        <v>1006.36534471853</v>
      </c>
      <c r="AF2327" s="90">
        <v>-1</v>
      </c>
      <c r="AG2327" s="90">
        <v>-1</v>
      </c>
      <c r="AH2327" s="90">
        <v>-1</v>
      </c>
      <c r="AI2327" s="90">
        <v>-1</v>
      </c>
      <c r="AJ2327" s="90">
        <v>0</v>
      </c>
      <c r="AM2327" s="90" t="s">
        <v>379</v>
      </c>
      <c r="AN2327" s="90">
        <v>-1</v>
      </c>
      <c r="AQ2327" s="90">
        <v>358</v>
      </c>
      <c r="AR2327" s="90" t="s">
        <v>422</v>
      </c>
      <c r="AS2327" s="90" t="s">
        <v>250</v>
      </c>
      <c r="AT2327" s="90" t="s">
        <v>244</v>
      </c>
      <c r="AU2327" s="90">
        <v>86.412649999999999</v>
      </c>
      <c r="AV2327" s="90">
        <v>142.67109836614901</v>
      </c>
      <c r="AW2327" s="90">
        <v>1085.60914746559</v>
      </c>
      <c r="AX2327" s="90">
        <v>0.81619249370000002</v>
      </c>
    </row>
    <row r="2328" spans="1:50" x14ac:dyDescent="0.25">
      <c r="A2328" s="102">
        <v>830000</v>
      </c>
      <c r="B2328" s="102">
        <v>2400000</v>
      </c>
      <c r="C2328" s="102">
        <v>2400000</v>
      </c>
      <c r="D2328" s="90" t="s">
        <v>374</v>
      </c>
      <c r="E2328" s="90" t="s">
        <v>68</v>
      </c>
      <c r="F2328" s="90" t="s">
        <v>375</v>
      </c>
      <c r="G2328" s="90" t="s">
        <v>376</v>
      </c>
      <c r="H2328" s="90">
        <v>0.59</v>
      </c>
      <c r="I2328" s="90">
        <v>0.64</v>
      </c>
      <c r="J2328" s="90" t="s">
        <v>244</v>
      </c>
      <c r="K2328" s="90">
        <v>0.27747997571790001</v>
      </c>
      <c r="L2328" s="90">
        <v>3751.4570212149702</v>
      </c>
      <c r="M2328" s="90">
        <v>10.473616096886399</v>
      </c>
      <c r="N2328" s="90">
        <v>1.96311956250272</v>
      </c>
      <c r="O2328" s="90">
        <v>2.9062187402426698</v>
      </c>
      <c r="P2328" s="90">
        <v>0.54472636853459</v>
      </c>
      <c r="Q2328" s="90">
        <v>1040.95420315348</v>
      </c>
      <c r="R2328" s="90">
        <v>1300</v>
      </c>
      <c r="S2328" s="90" t="s">
        <v>387</v>
      </c>
      <c r="T2328" s="90">
        <v>1300</v>
      </c>
      <c r="U2328" s="90" t="s">
        <v>378</v>
      </c>
      <c r="V2328" s="90" t="s">
        <v>244</v>
      </c>
      <c r="Z2328" s="90">
        <v>0</v>
      </c>
      <c r="AA2328" s="90">
        <v>1</v>
      </c>
      <c r="AB2328" s="90">
        <v>2.9062187402426698</v>
      </c>
      <c r="AC2328" s="90">
        <v>0.54472636853459</v>
      </c>
      <c r="AD2328" s="90">
        <v>1040.95420315348</v>
      </c>
      <c r="AF2328" s="90">
        <v>-1</v>
      </c>
      <c r="AG2328" s="90">
        <v>-1</v>
      </c>
      <c r="AH2328" s="90">
        <v>-1</v>
      </c>
      <c r="AI2328" s="90">
        <v>-1</v>
      </c>
      <c r="AJ2328" s="90">
        <v>0</v>
      </c>
      <c r="AM2328" s="90" t="s">
        <v>379</v>
      </c>
      <c r="AN2328" s="90">
        <v>-1</v>
      </c>
      <c r="AQ2328" s="90">
        <v>358</v>
      </c>
      <c r="AR2328" s="90" t="s">
        <v>422</v>
      </c>
      <c r="AS2328" s="90" t="s">
        <v>250</v>
      </c>
      <c r="AT2328" s="90" t="s">
        <v>244</v>
      </c>
      <c r="AU2328" s="90">
        <v>86.412649999999999</v>
      </c>
      <c r="AV2328" s="90">
        <v>136.593451477038</v>
      </c>
      <c r="AW2328" s="90">
        <v>1122.9216218213801</v>
      </c>
      <c r="AX2328" s="90">
        <v>0.84424509579999996</v>
      </c>
    </row>
    <row r="2329" spans="1:50" x14ac:dyDescent="0.25">
      <c r="A2329" s="102">
        <v>830000</v>
      </c>
      <c r="B2329" s="102">
        <v>2400000</v>
      </c>
      <c r="C2329" s="102">
        <v>2400000</v>
      </c>
      <c r="D2329" s="90" t="s">
        <v>374</v>
      </c>
      <c r="E2329" s="90" t="s">
        <v>68</v>
      </c>
      <c r="F2329" s="90" t="s">
        <v>375</v>
      </c>
      <c r="G2329" s="90" t="s">
        <v>376</v>
      </c>
      <c r="H2329" s="90">
        <v>0.59</v>
      </c>
      <c r="I2329" s="90">
        <v>0.64</v>
      </c>
      <c r="J2329" s="90" t="s">
        <v>244</v>
      </c>
      <c r="K2329" s="90">
        <v>0.12394295015688001</v>
      </c>
      <c r="L2329" s="90">
        <v>3785.7423525956001</v>
      </c>
      <c r="M2329" s="90">
        <v>9.3461880355823101</v>
      </c>
      <c r="N2329" s="90">
        <v>1.62102380836048</v>
      </c>
      <c r="O2329" s="90">
        <v>1.15839411785101</v>
      </c>
      <c r="P2329" s="90">
        <v>0.20091447308273999</v>
      </c>
      <c r="Q2329" s="90">
        <v>469.21607571455002</v>
      </c>
      <c r="R2329" s="90">
        <v>1300</v>
      </c>
      <c r="S2329" s="90" t="s">
        <v>387</v>
      </c>
      <c r="T2329" s="90">
        <v>1300</v>
      </c>
      <c r="U2329" s="90" t="s">
        <v>378</v>
      </c>
      <c r="V2329" s="90" t="s">
        <v>244</v>
      </c>
      <c r="Z2329" s="90">
        <v>0</v>
      </c>
      <c r="AA2329" s="90">
        <v>1</v>
      </c>
      <c r="AB2329" s="90">
        <v>1.15839411785101</v>
      </c>
      <c r="AC2329" s="90">
        <v>0.20091447308273999</v>
      </c>
      <c r="AD2329" s="90">
        <v>469.51613007825301</v>
      </c>
      <c r="AF2329" s="90">
        <v>-1</v>
      </c>
      <c r="AG2329" s="90">
        <v>-1</v>
      </c>
      <c r="AH2329" s="90">
        <v>-1</v>
      </c>
      <c r="AI2329" s="90">
        <v>-1</v>
      </c>
      <c r="AJ2329" s="90">
        <v>0</v>
      </c>
      <c r="AM2329" s="90" t="s">
        <v>379</v>
      </c>
      <c r="AN2329" s="90">
        <v>-1</v>
      </c>
      <c r="AQ2329" s="90">
        <v>358</v>
      </c>
      <c r="AR2329" s="90" t="s">
        <v>422</v>
      </c>
      <c r="AS2329" s="90" t="s">
        <v>250</v>
      </c>
      <c r="AT2329" s="90" t="s">
        <v>244</v>
      </c>
      <c r="AU2329" s="90">
        <v>86.412649999999999</v>
      </c>
      <c r="AV2329" s="90">
        <v>173.88031656982801</v>
      </c>
      <c r="AW2329" s="90">
        <v>501.57932385357799</v>
      </c>
      <c r="AX2329" s="90">
        <v>0.38079167079999998</v>
      </c>
    </row>
    <row r="2330" spans="1:50" x14ac:dyDescent="0.25">
      <c r="A2330" s="102">
        <v>830000</v>
      </c>
      <c r="B2330" s="102">
        <v>2400000</v>
      </c>
      <c r="C2330" s="102">
        <v>2400000</v>
      </c>
      <c r="D2330" s="90" t="s">
        <v>374</v>
      </c>
      <c r="E2330" s="90" t="s">
        <v>68</v>
      </c>
      <c r="F2330" s="90" t="s">
        <v>375</v>
      </c>
      <c r="G2330" s="90" t="s">
        <v>376</v>
      </c>
      <c r="H2330" s="90">
        <v>0.59</v>
      </c>
      <c r="I2330" s="90">
        <v>0.64</v>
      </c>
      <c r="J2330" s="90" t="s">
        <v>381</v>
      </c>
      <c r="K2330" s="90">
        <v>0.12773339608112999</v>
      </c>
      <c r="L2330" s="90">
        <v>3785.7423525956001</v>
      </c>
      <c r="M2330" s="90">
        <v>9.3461880355823101</v>
      </c>
      <c r="N2330" s="90">
        <v>1.62102380836048</v>
      </c>
      <c r="O2330" s="90">
        <v>1.1938203381978001</v>
      </c>
      <c r="P2330" s="90">
        <v>0.20705887617026</v>
      </c>
      <c r="Q2330" s="90">
        <v>483.56572738522198</v>
      </c>
      <c r="R2330" s="90">
        <v>1300</v>
      </c>
      <c r="S2330" s="90" t="s">
        <v>387</v>
      </c>
      <c r="T2330" s="90">
        <v>1300</v>
      </c>
      <c r="U2330" s="90" t="s">
        <v>382</v>
      </c>
      <c r="V2330" s="90" t="s">
        <v>381</v>
      </c>
      <c r="Z2330" s="90">
        <v>0</v>
      </c>
      <c r="AA2330" s="90">
        <v>1</v>
      </c>
      <c r="AB2330" s="90">
        <v>1.1938203381978001</v>
      </c>
      <c r="AC2330" s="90">
        <v>0.20705887617026</v>
      </c>
      <c r="AD2330" s="90">
        <v>504.021433720299</v>
      </c>
      <c r="AF2330" s="90">
        <v>-1</v>
      </c>
      <c r="AG2330" s="90">
        <v>-1</v>
      </c>
      <c r="AH2330" s="90">
        <v>-1</v>
      </c>
      <c r="AI2330" s="90">
        <v>-1</v>
      </c>
      <c r="AJ2330" s="90">
        <v>0</v>
      </c>
      <c r="AM2330" s="90" t="s">
        <v>379</v>
      </c>
      <c r="AN2330" s="90">
        <v>-1</v>
      </c>
      <c r="AQ2330" s="90">
        <v>358</v>
      </c>
      <c r="AR2330" s="90" t="s">
        <v>422</v>
      </c>
      <c r="AS2330" s="90" t="s">
        <v>250</v>
      </c>
      <c r="AT2330" s="90" t="s">
        <v>244</v>
      </c>
      <c r="AU2330" s="90">
        <v>86.412649999999999</v>
      </c>
      <c r="AV2330" s="90">
        <v>115.98604986070001</v>
      </c>
      <c r="AW2330" s="90">
        <v>516.91871428590503</v>
      </c>
      <c r="AX2330" s="90">
        <v>0.4087765075</v>
      </c>
    </row>
    <row r="2331" spans="1:50" x14ac:dyDescent="0.25">
      <c r="A2331" s="102">
        <v>830000</v>
      </c>
      <c r="B2331" s="102">
        <v>2400000</v>
      </c>
      <c r="C2331" s="102">
        <v>2400000</v>
      </c>
      <c r="D2331" s="90" t="s">
        <v>374</v>
      </c>
      <c r="E2331" s="90" t="s">
        <v>68</v>
      </c>
      <c r="F2331" s="90" t="s">
        <v>375</v>
      </c>
      <c r="G2331" s="90" t="s">
        <v>376</v>
      </c>
      <c r="H2331" s="90">
        <v>0.59</v>
      </c>
      <c r="I2331" s="90">
        <v>0.64</v>
      </c>
      <c r="J2331" s="90" t="s">
        <v>244</v>
      </c>
      <c r="K2331" s="90">
        <v>0.34316696784012002</v>
      </c>
      <c r="L2331" s="90">
        <v>3785.7423525956001</v>
      </c>
      <c r="M2331" s="90">
        <v>9.3461880355823101</v>
      </c>
      <c r="N2331" s="90">
        <v>1.62102380836048</v>
      </c>
      <c r="O2331" s="90">
        <v>3.2073030090343901</v>
      </c>
      <c r="P2331" s="90">
        <v>0.55628182511170998</v>
      </c>
      <c r="Q2331" s="90">
        <v>1299.14172416416</v>
      </c>
      <c r="R2331" s="90">
        <v>1300</v>
      </c>
      <c r="S2331" s="90" t="s">
        <v>387</v>
      </c>
      <c r="T2331" s="90">
        <v>1300</v>
      </c>
      <c r="U2331" s="90" t="s">
        <v>378</v>
      </c>
      <c r="V2331" s="90" t="s">
        <v>244</v>
      </c>
      <c r="Z2331" s="90">
        <v>0</v>
      </c>
      <c r="AA2331" s="90">
        <v>1</v>
      </c>
      <c r="AB2331" s="90">
        <v>3.2073030090343901</v>
      </c>
      <c r="AC2331" s="90">
        <v>0.55628182511170998</v>
      </c>
      <c r="AD2331" s="90">
        <v>1365.1557068120401</v>
      </c>
      <c r="AF2331" s="90">
        <v>-1</v>
      </c>
      <c r="AG2331" s="90">
        <v>-1</v>
      </c>
      <c r="AH2331" s="90">
        <v>-1</v>
      </c>
      <c r="AI2331" s="90">
        <v>-1</v>
      </c>
      <c r="AJ2331" s="90">
        <v>0</v>
      </c>
      <c r="AM2331" s="90" t="s">
        <v>379</v>
      </c>
      <c r="AN2331" s="90">
        <v>-1</v>
      </c>
      <c r="AQ2331" s="90">
        <v>358</v>
      </c>
      <c r="AR2331" s="90" t="s">
        <v>422</v>
      </c>
      <c r="AS2331" s="90" t="s">
        <v>250</v>
      </c>
      <c r="AT2331" s="90" t="s">
        <v>244</v>
      </c>
      <c r="AU2331" s="90">
        <v>86.412649999999999</v>
      </c>
      <c r="AV2331" s="90">
        <v>149.30971686499501</v>
      </c>
      <c r="AW2331" s="90">
        <v>1388.74744775932</v>
      </c>
      <c r="AX2331" s="90">
        <v>1.1071822440000001</v>
      </c>
    </row>
    <row r="2332" spans="1:50" x14ac:dyDescent="0.25">
      <c r="A2332" s="102">
        <v>830000</v>
      </c>
      <c r="B2332" s="102">
        <v>2400000</v>
      </c>
      <c r="C2332" s="102">
        <v>2400000</v>
      </c>
      <c r="D2332" s="90" t="s">
        <v>374</v>
      </c>
      <c r="E2332" s="90" t="s">
        <v>68</v>
      </c>
      <c r="F2332" s="90" t="s">
        <v>375</v>
      </c>
      <c r="G2332" s="90" t="s">
        <v>376</v>
      </c>
      <c r="H2332" s="90">
        <v>0.59</v>
      </c>
      <c r="I2332" s="90">
        <v>0.64</v>
      </c>
      <c r="J2332" s="90" t="s">
        <v>244</v>
      </c>
      <c r="K2332" s="90">
        <v>0.16896207680569</v>
      </c>
      <c r="L2332" s="90">
        <v>3731.60908466193</v>
      </c>
      <c r="M2332" s="90">
        <v>9.5740476763338407</v>
      </c>
      <c r="N2332" s="90">
        <v>1.6444983809815299</v>
      </c>
      <c r="O2332" s="90">
        <v>1.6176509788300899</v>
      </c>
      <c r="P2332" s="90">
        <v>0.27785786175423999</v>
      </c>
      <c r="Q2332" s="90">
        <v>630.50042077147498</v>
      </c>
      <c r="R2332" s="90">
        <v>1300</v>
      </c>
      <c r="S2332" s="90" t="s">
        <v>387</v>
      </c>
      <c r="T2332" s="90">
        <v>1300</v>
      </c>
      <c r="U2332" s="90" t="s">
        <v>378</v>
      </c>
      <c r="V2332" s="90" t="s">
        <v>244</v>
      </c>
      <c r="Z2332" s="90">
        <v>0</v>
      </c>
      <c r="AA2332" s="90">
        <v>1</v>
      </c>
      <c r="AB2332" s="90">
        <v>1.6176509788300899</v>
      </c>
      <c r="AC2332" s="90">
        <v>0.27785786175423999</v>
      </c>
      <c r="AD2332" s="90">
        <v>630.50042077147498</v>
      </c>
      <c r="AF2332" s="90">
        <v>-1</v>
      </c>
      <c r="AG2332" s="90">
        <v>-1</v>
      </c>
      <c r="AH2332" s="90">
        <v>-1</v>
      </c>
      <c r="AI2332" s="90">
        <v>-1</v>
      </c>
      <c r="AJ2332" s="90">
        <v>0</v>
      </c>
      <c r="AM2332" s="90" t="s">
        <v>379</v>
      </c>
      <c r="AN2332" s="90">
        <v>-1</v>
      </c>
      <c r="AQ2332" s="90">
        <v>358</v>
      </c>
      <c r="AR2332" s="90" t="s">
        <v>422</v>
      </c>
      <c r="AS2332" s="90" t="s">
        <v>250</v>
      </c>
      <c r="AT2332" s="90" t="s">
        <v>244</v>
      </c>
      <c r="AU2332" s="90">
        <v>86.412649999999999</v>
      </c>
      <c r="AV2332" s="90">
        <v>127.534672027315</v>
      </c>
      <c r="AW2332" s="90">
        <v>683.76526566316295</v>
      </c>
      <c r="AX2332" s="90">
        <v>0.51135476140000002</v>
      </c>
    </row>
    <row r="2333" spans="1:50" x14ac:dyDescent="0.25">
      <c r="A2333" s="102">
        <v>830000</v>
      </c>
      <c r="B2333" s="102">
        <v>2400000</v>
      </c>
      <c r="C2333" s="102">
        <v>2400000</v>
      </c>
      <c r="D2333" s="90" t="s">
        <v>374</v>
      </c>
      <c r="E2333" s="90" t="s">
        <v>68</v>
      </c>
      <c r="F2333" s="90" t="s">
        <v>375</v>
      </c>
      <c r="G2333" s="90" t="s">
        <v>376</v>
      </c>
      <c r="H2333" s="90">
        <v>0.59</v>
      </c>
      <c r="I2333" s="90">
        <v>0.64</v>
      </c>
      <c r="J2333" s="90" t="s">
        <v>244</v>
      </c>
      <c r="K2333" s="90">
        <v>0.18493291562510999</v>
      </c>
      <c r="L2333" s="90">
        <v>3731.60908466193</v>
      </c>
      <c r="M2333" s="90">
        <v>9.5740476763338407</v>
      </c>
      <c r="N2333" s="90">
        <v>1.6444983809815299</v>
      </c>
      <c r="O2333" s="90">
        <v>1.7705565511182999</v>
      </c>
      <c r="P2333" s="90">
        <v>0.30412188033569998</v>
      </c>
      <c r="Q2333" s="90">
        <v>690.09734799970897</v>
      </c>
      <c r="R2333" s="90">
        <v>1300</v>
      </c>
      <c r="S2333" s="90" t="s">
        <v>387</v>
      </c>
      <c r="T2333" s="90">
        <v>1300</v>
      </c>
      <c r="U2333" s="90" t="s">
        <v>378</v>
      </c>
      <c r="V2333" s="90" t="s">
        <v>244</v>
      </c>
      <c r="Z2333" s="90">
        <v>0</v>
      </c>
      <c r="AA2333" s="90">
        <v>1</v>
      </c>
      <c r="AB2333" s="90">
        <v>1.7705565511182999</v>
      </c>
      <c r="AC2333" s="90">
        <v>0.30412188033569998</v>
      </c>
      <c r="AD2333" s="90">
        <v>690.09734799970897</v>
      </c>
      <c r="AF2333" s="90">
        <v>-1</v>
      </c>
      <c r="AG2333" s="90">
        <v>-1</v>
      </c>
      <c r="AH2333" s="90">
        <v>-1</v>
      </c>
      <c r="AI2333" s="90">
        <v>-1</v>
      </c>
      <c r="AJ2333" s="90">
        <v>0</v>
      </c>
      <c r="AM2333" s="90" t="s">
        <v>379</v>
      </c>
      <c r="AN2333" s="90">
        <v>-1</v>
      </c>
      <c r="AQ2333" s="90">
        <v>358</v>
      </c>
      <c r="AR2333" s="90" t="s">
        <v>422</v>
      </c>
      <c r="AS2333" s="90" t="s">
        <v>250</v>
      </c>
      <c r="AT2333" s="90" t="s">
        <v>244</v>
      </c>
      <c r="AU2333" s="90">
        <v>86.412649999999999</v>
      </c>
      <c r="AV2333" s="90">
        <v>119.097514844816</v>
      </c>
      <c r="AW2333" s="90">
        <v>748.39695731066695</v>
      </c>
      <c r="AX2333" s="90">
        <v>0.55968965770000001</v>
      </c>
    </row>
    <row r="2334" spans="1:50" x14ac:dyDescent="0.25">
      <c r="A2334" s="102">
        <v>830000</v>
      </c>
      <c r="B2334" s="102">
        <v>2400000</v>
      </c>
      <c r="C2334" s="102">
        <v>2400000</v>
      </c>
      <c r="D2334" s="90" t="s">
        <v>374</v>
      </c>
      <c r="E2334" s="90" t="s">
        <v>68</v>
      </c>
      <c r="F2334" s="90" t="s">
        <v>375</v>
      </c>
      <c r="G2334" s="90" t="s">
        <v>376</v>
      </c>
      <c r="H2334" s="90">
        <v>0.59</v>
      </c>
      <c r="I2334" s="90">
        <v>0.64</v>
      </c>
      <c r="J2334" s="90" t="s">
        <v>244</v>
      </c>
      <c r="K2334" s="90">
        <v>0.33789656494718001</v>
      </c>
      <c r="L2334" s="90">
        <v>3759.3619058071899</v>
      </c>
      <c r="M2334" s="90">
        <v>10.803647337647799</v>
      </c>
      <c r="N2334" s="90">
        <v>2.0785109443806502</v>
      </c>
      <c r="O2334" s="90">
        <v>3.6505153242920501</v>
      </c>
      <c r="P2334" s="90">
        <v>0.70232170831135998</v>
      </c>
      <c r="Q2334" s="90">
        <v>1270.2754743655601</v>
      </c>
      <c r="R2334" s="90">
        <v>1300</v>
      </c>
      <c r="S2334" s="90" t="s">
        <v>387</v>
      </c>
      <c r="T2334" s="90">
        <v>1300</v>
      </c>
      <c r="U2334" s="90" t="s">
        <v>378</v>
      </c>
      <c r="V2334" s="90" t="s">
        <v>244</v>
      </c>
      <c r="Z2334" s="90">
        <v>0</v>
      </c>
      <c r="AA2334" s="90">
        <v>1</v>
      </c>
      <c r="AB2334" s="90">
        <v>3.6505153242920501</v>
      </c>
      <c r="AC2334" s="90">
        <v>0.70232170831135998</v>
      </c>
      <c r="AD2334" s="90">
        <v>1270.2754743655601</v>
      </c>
      <c r="AF2334" s="90">
        <v>-1</v>
      </c>
      <c r="AG2334" s="90">
        <v>-1</v>
      </c>
      <c r="AH2334" s="90">
        <v>-1</v>
      </c>
      <c r="AI2334" s="90">
        <v>-1</v>
      </c>
      <c r="AJ2334" s="90">
        <v>0</v>
      </c>
      <c r="AM2334" s="90" t="s">
        <v>379</v>
      </c>
      <c r="AN2334" s="90">
        <v>-1</v>
      </c>
      <c r="AQ2334" s="90">
        <v>358</v>
      </c>
      <c r="AR2334" s="90" t="s">
        <v>422</v>
      </c>
      <c r="AS2334" s="90" t="s">
        <v>250</v>
      </c>
      <c r="AT2334" s="90" t="s">
        <v>244</v>
      </c>
      <c r="AU2334" s="90">
        <v>86.412649999999999</v>
      </c>
      <c r="AV2334" s="90">
        <v>155.98029846395499</v>
      </c>
      <c r="AW2334" s="90">
        <v>1367.4188839634301</v>
      </c>
      <c r="AX2334" s="90">
        <v>1.0302315283000001</v>
      </c>
    </row>
    <row r="2335" spans="1:50" x14ac:dyDescent="0.25">
      <c r="A2335" s="102">
        <v>830000</v>
      </c>
      <c r="B2335" s="102">
        <v>2400000</v>
      </c>
      <c r="C2335" s="102">
        <v>2400000</v>
      </c>
      <c r="D2335" s="90" t="s">
        <v>374</v>
      </c>
      <c r="E2335" s="90" t="s">
        <v>68</v>
      </c>
      <c r="F2335" s="90" t="s">
        <v>375</v>
      </c>
      <c r="G2335" s="90" t="s">
        <v>376</v>
      </c>
      <c r="H2335" s="90">
        <v>0.59</v>
      </c>
      <c r="I2335" s="90">
        <v>0.64</v>
      </c>
      <c r="J2335" s="90" t="s">
        <v>244</v>
      </c>
      <c r="K2335" s="102">
        <v>9.5657664059999994E-6</v>
      </c>
      <c r="L2335" s="90">
        <v>3759.3619058071899</v>
      </c>
      <c r="M2335" s="90">
        <v>10.803647337647799</v>
      </c>
      <c r="N2335" s="90">
        <v>2.0785109443806502</v>
      </c>
      <c r="O2335" s="90">
        <v>1.0334516675999999E-4</v>
      </c>
      <c r="P2335" s="90">
        <v>1.9882550159999999E-5</v>
      </c>
      <c r="Q2335" s="90">
        <v>3.5961177826559998E-2</v>
      </c>
      <c r="R2335" s="90">
        <v>1400</v>
      </c>
      <c r="S2335" s="90" t="s">
        <v>324</v>
      </c>
      <c r="T2335" s="90">
        <v>1400</v>
      </c>
      <c r="U2335" s="90" t="s">
        <v>378</v>
      </c>
      <c r="V2335" s="90" t="s">
        <v>244</v>
      </c>
      <c r="Z2335" s="90">
        <v>0</v>
      </c>
      <c r="AA2335" s="90">
        <v>1</v>
      </c>
      <c r="AB2335" s="90">
        <v>1.0334516675999999E-4</v>
      </c>
      <c r="AC2335" s="90">
        <v>1.9882550159999999E-5</v>
      </c>
      <c r="AD2335" s="90">
        <v>3.5961177826689998E-2</v>
      </c>
      <c r="AF2335" s="90">
        <v>-1</v>
      </c>
      <c r="AG2335" s="90">
        <v>-1</v>
      </c>
      <c r="AH2335" s="90">
        <v>-1</v>
      </c>
      <c r="AI2335" s="90">
        <v>-1</v>
      </c>
      <c r="AJ2335" s="90">
        <v>0</v>
      </c>
      <c r="AM2335" s="90" t="s">
        <v>379</v>
      </c>
      <c r="AN2335" s="90">
        <v>-1</v>
      </c>
      <c r="AQ2335" s="90">
        <v>358</v>
      </c>
      <c r="AR2335" s="90" t="s">
        <v>422</v>
      </c>
      <c r="AS2335" s="90" t="s">
        <v>250</v>
      </c>
      <c r="AT2335" s="90" t="s">
        <v>244</v>
      </c>
      <c r="AU2335" s="90">
        <v>86.412649999999999</v>
      </c>
      <c r="AV2335" s="90">
        <v>0.80741000044338995</v>
      </c>
      <c r="AW2335" s="90">
        <v>3.8711283215429999E-2</v>
      </c>
      <c r="AX2335" s="90">
        <v>2.9165600000000001E-5</v>
      </c>
    </row>
    <row r="2336" spans="1:50" x14ac:dyDescent="0.25">
      <c r="A2336" s="102">
        <v>830000</v>
      </c>
      <c r="B2336" s="102">
        <v>2400000</v>
      </c>
      <c r="C2336" s="102">
        <v>2400000</v>
      </c>
      <c r="D2336" s="90" t="s">
        <v>374</v>
      </c>
      <c r="E2336" s="90" t="s">
        <v>68</v>
      </c>
      <c r="F2336" s="90" t="s">
        <v>375</v>
      </c>
      <c r="G2336" s="90" t="s">
        <v>376</v>
      </c>
      <c r="H2336" s="90">
        <v>0.59</v>
      </c>
      <c r="I2336" s="90">
        <v>0.64</v>
      </c>
      <c r="J2336" s="90" t="s">
        <v>381</v>
      </c>
      <c r="K2336" s="90">
        <v>8.6851064319999995E-5</v>
      </c>
      <c r="L2336" s="90">
        <v>3759.3619058071899</v>
      </c>
      <c r="M2336" s="90">
        <v>10.803647337647799</v>
      </c>
      <c r="N2336" s="90">
        <v>2.0785109443806502</v>
      </c>
      <c r="O2336" s="90">
        <v>9.3830826987999997E-4</v>
      </c>
      <c r="P2336" s="90">
        <v>1.8052088773000001E-4</v>
      </c>
      <c r="Q2336" s="90">
        <v>0.32650458270972998</v>
      </c>
      <c r="R2336" s="90">
        <v>1400</v>
      </c>
      <c r="S2336" s="90" t="s">
        <v>324</v>
      </c>
      <c r="T2336" s="90">
        <v>1400</v>
      </c>
      <c r="U2336" s="90" t="s">
        <v>382</v>
      </c>
      <c r="V2336" s="90" t="s">
        <v>381</v>
      </c>
      <c r="Z2336" s="90">
        <v>0</v>
      </c>
      <c r="AA2336" s="90">
        <v>1</v>
      </c>
      <c r="AB2336" s="90">
        <v>9.3830826987999997E-4</v>
      </c>
      <c r="AC2336" s="90">
        <v>1.8052088773000001E-4</v>
      </c>
      <c r="AD2336" s="90">
        <v>0.32650458270824001</v>
      </c>
      <c r="AF2336" s="90">
        <v>-1</v>
      </c>
      <c r="AG2336" s="90">
        <v>-1</v>
      </c>
      <c r="AH2336" s="90">
        <v>-1</v>
      </c>
      <c r="AI2336" s="90">
        <v>-1</v>
      </c>
      <c r="AJ2336" s="90">
        <v>0</v>
      </c>
      <c r="AM2336" s="90" t="s">
        <v>379</v>
      </c>
      <c r="AN2336" s="90">
        <v>-1</v>
      </c>
      <c r="AQ2336" s="90">
        <v>358</v>
      </c>
      <c r="AR2336" s="90" t="s">
        <v>422</v>
      </c>
      <c r="AS2336" s="90" t="s">
        <v>250</v>
      </c>
      <c r="AT2336" s="90" t="s">
        <v>244</v>
      </c>
      <c r="AU2336" s="90">
        <v>86.412649999999999</v>
      </c>
      <c r="AV2336" s="90">
        <v>3.22619783578032</v>
      </c>
      <c r="AW2336" s="90">
        <v>0.35147378746239</v>
      </c>
      <c r="AX2336" s="90">
        <v>2.6480500000000001E-4</v>
      </c>
    </row>
    <row r="2337" spans="1:50" x14ac:dyDescent="0.25">
      <c r="A2337" s="102">
        <v>830000</v>
      </c>
      <c r="B2337" s="102">
        <v>2400000</v>
      </c>
      <c r="C2337" s="102">
        <v>2400000</v>
      </c>
      <c r="D2337" s="90" t="s">
        <v>374</v>
      </c>
      <c r="E2337" s="90" t="s">
        <v>68</v>
      </c>
      <c r="F2337" s="90" t="s">
        <v>375</v>
      </c>
      <c r="G2337" s="90" t="s">
        <v>376</v>
      </c>
      <c r="H2337" s="90">
        <v>0.59</v>
      </c>
      <c r="I2337" s="90">
        <v>0.64</v>
      </c>
      <c r="J2337" s="90" t="s">
        <v>244</v>
      </c>
      <c r="K2337" s="90">
        <v>0.18452457715424</v>
      </c>
      <c r="L2337" s="90">
        <v>3759.3619058071899</v>
      </c>
      <c r="M2337" s="90">
        <v>10.803647337647799</v>
      </c>
      <c r="N2337" s="90">
        <v>2.0785109443806502</v>
      </c>
      <c r="O2337" s="90">
        <v>1.9935384567030801</v>
      </c>
      <c r="P2337" s="90">
        <v>0.38353635312230999</v>
      </c>
      <c r="Q2337" s="90">
        <v>693.69466603885996</v>
      </c>
      <c r="R2337" s="90">
        <v>1300</v>
      </c>
      <c r="S2337" s="90" t="s">
        <v>387</v>
      </c>
      <c r="T2337" s="90">
        <v>1300</v>
      </c>
      <c r="U2337" s="90" t="s">
        <v>378</v>
      </c>
      <c r="V2337" s="90" t="s">
        <v>244</v>
      </c>
      <c r="Z2337" s="90">
        <v>0</v>
      </c>
      <c r="AA2337" s="90">
        <v>1</v>
      </c>
      <c r="AB2337" s="90">
        <v>1.9935384567030801</v>
      </c>
      <c r="AC2337" s="90">
        <v>0.38353635312230999</v>
      </c>
      <c r="AD2337" s="90">
        <v>693.69466603885996</v>
      </c>
      <c r="AF2337" s="90">
        <v>-1</v>
      </c>
      <c r="AG2337" s="90">
        <v>-1</v>
      </c>
      <c r="AH2337" s="90">
        <v>-1</v>
      </c>
      <c r="AI2337" s="90">
        <v>-1</v>
      </c>
      <c r="AJ2337" s="90">
        <v>0</v>
      </c>
      <c r="AM2337" s="90" t="s">
        <v>379</v>
      </c>
      <c r="AN2337" s="90">
        <v>-1</v>
      </c>
      <c r="AQ2337" s="90">
        <v>358</v>
      </c>
      <c r="AR2337" s="90" t="s">
        <v>422</v>
      </c>
      <c r="AS2337" s="90" t="s">
        <v>250</v>
      </c>
      <c r="AT2337" s="90" t="s">
        <v>244</v>
      </c>
      <c r="AU2337" s="90">
        <v>86.412649999999999</v>
      </c>
      <c r="AV2337" s="90">
        <v>197.86058093942401</v>
      </c>
      <c r="AW2337" s="90">
        <v>746.74447014731402</v>
      </c>
      <c r="AX2337" s="90">
        <v>0.56260719059999997</v>
      </c>
    </row>
    <row r="2338" spans="1:50" x14ac:dyDescent="0.25">
      <c r="A2338" s="102">
        <v>830000</v>
      </c>
      <c r="B2338" s="102">
        <v>2400000</v>
      </c>
      <c r="C2338" s="102">
        <v>2400000</v>
      </c>
      <c r="D2338" s="90" t="s">
        <v>374</v>
      </c>
      <c r="E2338" s="90" t="s">
        <v>68</v>
      </c>
      <c r="F2338" s="90" t="s">
        <v>375</v>
      </c>
      <c r="G2338" s="90" t="s">
        <v>376</v>
      </c>
      <c r="H2338" s="90">
        <v>0.59</v>
      </c>
      <c r="I2338" s="90">
        <v>0.64</v>
      </c>
      <c r="J2338" s="90" t="s">
        <v>381</v>
      </c>
      <c r="K2338" s="90">
        <v>8.8942461380300004E-3</v>
      </c>
      <c r="L2338" s="90">
        <v>3759.3619058071899</v>
      </c>
      <c r="M2338" s="90">
        <v>10.803647337647799</v>
      </c>
      <c r="N2338" s="90">
        <v>2.0785109443806502</v>
      </c>
      <c r="O2338" s="90">
        <v>9.6090298609610006E-2</v>
      </c>
      <c r="P2338" s="90">
        <v>1.8486787939920001E-2</v>
      </c>
      <c r="Q2338" s="90">
        <v>33.436690112216503</v>
      </c>
      <c r="R2338" s="90">
        <v>1300</v>
      </c>
      <c r="S2338" s="90" t="s">
        <v>387</v>
      </c>
      <c r="T2338" s="90">
        <v>1300</v>
      </c>
      <c r="U2338" s="90" t="s">
        <v>382</v>
      </c>
      <c r="V2338" s="90" t="s">
        <v>381</v>
      </c>
      <c r="Z2338" s="90">
        <v>0</v>
      </c>
      <c r="AA2338" s="90">
        <v>1</v>
      </c>
      <c r="AB2338" s="90">
        <v>9.6090298609610006E-2</v>
      </c>
      <c r="AC2338" s="90">
        <v>1.8486787939920001E-2</v>
      </c>
      <c r="AD2338" s="90">
        <v>33.436690112217697</v>
      </c>
      <c r="AF2338" s="90">
        <v>-1</v>
      </c>
      <c r="AG2338" s="90">
        <v>-1</v>
      </c>
      <c r="AH2338" s="90">
        <v>-1</v>
      </c>
      <c r="AI2338" s="90">
        <v>-1</v>
      </c>
      <c r="AJ2338" s="90">
        <v>0</v>
      </c>
      <c r="AM2338" s="90" t="s">
        <v>379</v>
      </c>
      <c r="AN2338" s="90">
        <v>-1</v>
      </c>
      <c r="AQ2338" s="90">
        <v>358</v>
      </c>
      <c r="AR2338" s="90" t="s">
        <v>422</v>
      </c>
      <c r="AS2338" s="90" t="s">
        <v>250</v>
      </c>
      <c r="AT2338" s="90" t="s">
        <v>244</v>
      </c>
      <c r="AU2338" s="90">
        <v>86.412649999999999</v>
      </c>
      <c r="AV2338" s="90">
        <v>100.96407340966999</v>
      </c>
      <c r="AW2338" s="90">
        <v>35.993737106130702</v>
      </c>
      <c r="AX2338" s="90">
        <v>2.7118159100000001E-2</v>
      </c>
    </row>
    <row r="2339" spans="1:50" x14ac:dyDescent="0.25">
      <c r="A2339" s="102">
        <v>830000</v>
      </c>
      <c r="B2339" s="102">
        <v>2400000</v>
      </c>
      <c r="C2339" s="102">
        <v>2400000</v>
      </c>
      <c r="D2339" s="90" t="s">
        <v>374</v>
      </c>
      <c r="E2339" s="90" t="s">
        <v>68</v>
      </c>
      <c r="F2339" s="90" t="s">
        <v>375</v>
      </c>
      <c r="G2339" s="90" t="s">
        <v>376</v>
      </c>
      <c r="H2339" s="90">
        <v>0.59</v>
      </c>
      <c r="I2339" s="90">
        <v>0.64</v>
      </c>
      <c r="J2339" s="90" t="s">
        <v>244</v>
      </c>
      <c r="K2339" s="90">
        <v>1.2512301898029999E-2</v>
      </c>
      <c r="L2339" s="90">
        <v>3759.3619058071899</v>
      </c>
      <c r="M2339" s="90">
        <v>10.803647337647799</v>
      </c>
      <c r="N2339" s="90">
        <v>2.0785109443806502</v>
      </c>
      <c r="O2339" s="90">
        <v>0.13517849708856</v>
      </c>
      <c r="P2339" s="90">
        <v>2.600695643446E-2</v>
      </c>
      <c r="Q2339" s="90">
        <v>47.038271109435598</v>
      </c>
      <c r="R2339" s="90">
        <v>1330</v>
      </c>
      <c r="S2339" s="90" t="s">
        <v>397</v>
      </c>
      <c r="T2339" s="90">
        <v>1330</v>
      </c>
      <c r="U2339" s="90" t="s">
        <v>378</v>
      </c>
      <c r="V2339" s="90" t="s">
        <v>244</v>
      </c>
      <c r="Z2339" s="90">
        <v>0</v>
      </c>
      <c r="AA2339" s="90">
        <v>1</v>
      </c>
      <c r="AB2339" s="90">
        <v>0.13517849708856</v>
      </c>
      <c r="AC2339" s="90">
        <v>2.600695643446E-2</v>
      </c>
      <c r="AD2339" s="90">
        <v>47.038271109436302</v>
      </c>
      <c r="AF2339" s="90">
        <v>-1</v>
      </c>
      <c r="AG2339" s="90">
        <v>-1</v>
      </c>
      <c r="AH2339" s="90">
        <v>-1</v>
      </c>
      <c r="AI2339" s="90">
        <v>-1</v>
      </c>
      <c r="AJ2339" s="90">
        <v>0</v>
      </c>
      <c r="AM2339" s="90" t="s">
        <v>379</v>
      </c>
      <c r="AN2339" s="90">
        <v>-1</v>
      </c>
      <c r="AQ2339" s="90">
        <v>358</v>
      </c>
      <c r="AR2339" s="90" t="s">
        <v>422</v>
      </c>
      <c r="AS2339" s="90" t="s">
        <v>250</v>
      </c>
      <c r="AT2339" s="90" t="s">
        <v>244</v>
      </c>
      <c r="AU2339" s="90">
        <v>86.412649999999999</v>
      </c>
      <c r="AV2339" s="90">
        <v>33.6466877154594</v>
      </c>
      <c r="AW2339" s="90">
        <v>50.635489295075601</v>
      </c>
      <c r="AX2339" s="90">
        <v>3.81494494E-2</v>
      </c>
    </row>
    <row r="2340" spans="1:50" x14ac:dyDescent="0.25">
      <c r="A2340" s="102">
        <v>830000</v>
      </c>
      <c r="B2340" s="102">
        <v>2400000</v>
      </c>
      <c r="C2340" s="102">
        <v>2400000</v>
      </c>
      <c r="D2340" s="90" t="s">
        <v>374</v>
      </c>
      <c r="E2340" s="90" t="s">
        <v>68</v>
      </c>
      <c r="F2340" s="90" t="s">
        <v>375</v>
      </c>
      <c r="G2340" s="90" t="s">
        <v>376</v>
      </c>
      <c r="H2340" s="90">
        <v>0.59</v>
      </c>
      <c r="I2340" s="90">
        <v>0.64</v>
      </c>
      <c r="J2340" s="90" t="s">
        <v>244</v>
      </c>
      <c r="K2340" s="90">
        <v>3.7934733382999999E-3</v>
      </c>
      <c r="L2340" s="90">
        <v>3759.3619058071899</v>
      </c>
      <c r="M2340" s="90">
        <v>10.803647337647799</v>
      </c>
      <c r="N2340" s="90">
        <v>2.0785109443806502</v>
      </c>
      <c r="O2340" s="90">
        <v>4.0983348131760002E-2</v>
      </c>
      <c r="P2340" s="90">
        <v>7.8847758508699996E-3</v>
      </c>
      <c r="Q2340" s="90">
        <v>14.2610391587002</v>
      </c>
      <c r="R2340" s="90">
        <v>1210</v>
      </c>
      <c r="S2340" s="90" t="s">
        <v>385</v>
      </c>
      <c r="T2340" s="90">
        <v>1210</v>
      </c>
      <c r="U2340" s="90" t="s">
        <v>378</v>
      </c>
      <c r="V2340" s="90" t="s">
        <v>244</v>
      </c>
      <c r="Z2340" s="90">
        <v>0</v>
      </c>
      <c r="AA2340" s="90">
        <v>1</v>
      </c>
      <c r="AB2340" s="90">
        <v>4.0983348131760002E-2</v>
      </c>
      <c r="AC2340" s="90">
        <v>7.8847758508699996E-3</v>
      </c>
      <c r="AD2340" s="90">
        <v>14.261039158702101</v>
      </c>
      <c r="AF2340" s="90">
        <v>-1</v>
      </c>
      <c r="AG2340" s="90">
        <v>-1</v>
      </c>
      <c r="AH2340" s="90">
        <v>-1</v>
      </c>
      <c r="AI2340" s="90">
        <v>-1</v>
      </c>
      <c r="AJ2340" s="90">
        <v>0</v>
      </c>
      <c r="AM2340" s="90" t="s">
        <v>379</v>
      </c>
      <c r="AN2340" s="90">
        <v>-1</v>
      </c>
      <c r="AQ2340" s="90">
        <v>358</v>
      </c>
      <c r="AR2340" s="90" t="s">
        <v>422</v>
      </c>
      <c r="AS2340" s="90" t="s">
        <v>250</v>
      </c>
      <c r="AT2340" s="90" t="s">
        <v>244</v>
      </c>
      <c r="AU2340" s="90">
        <v>86.412649999999999</v>
      </c>
      <c r="AV2340" s="90">
        <v>17.801698316420101</v>
      </c>
      <c r="AW2340" s="90">
        <v>15.3516419423045</v>
      </c>
      <c r="AX2340" s="90">
        <v>1.15661307E-2</v>
      </c>
    </row>
    <row r="2341" spans="1:50" x14ac:dyDescent="0.25">
      <c r="A2341" s="102">
        <v>830000</v>
      </c>
      <c r="B2341" s="102">
        <v>2400000</v>
      </c>
      <c r="C2341" s="102">
        <v>2400000</v>
      </c>
      <c r="D2341" s="90" t="s">
        <v>374</v>
      </c>
      <c r="E2341" s="90" t="s">
        <v>68</v>
      </c>
      <c r="F2341" s="90" t="s">
        <v>375</v>
      </c>
      <c r="G2341" s="90" t="s">
        <v>376</v>
      </c>
      <c r="H2341" s="90">
        <v>0.59</v>
      </c>
      <c r="I2341" s="90">
        <v>0.64</v>
      </c>
      <c r="J2341" s="90" t="s">
        <v>244</v>
      </c>
      <c r="K2341" s="90">
        <v>7.0045873177250001E-2</v>
      </c>
      <c r="L2341" s="90">
        <v>3759.3619058071899</v>
      </c>
      <c r="M2341" s="90">
        <v>10.803647337647799</v>
      </c>
      <c r="N2341" s="90">
        <v>2.0785109443806502</v>
      </c>
      <c r="O2341" s="90">
        <v>0.75675091126470995</v>
      </c>
      <c r="P2341" s="90">
        <v>0.14559111400763</v>
      </c>
      <c r="Q2341" s="90">
        <v>263.327787281589</v>
      </c>
      <c r="R2341" s="90">
        <v>1300</v>
      </c>
      <c r="S2341" s="90" t="s">
        <v>387</v>
      </c>
      <c r="T2341" s="90">
        <v>1300</v>
      </c>
      <c r="U2341" s="90" t="s">
        <v>378</v>
      </c>
      <c r="V2341" s="90" t="s">
        <v>244</v>
      </c>
      <c r="Z2341" s="90">
        <v>0</v>
      </c>
      <c r="AA2341" s="90">
        <v>1</v>
      </c>
      <c r="AB2341" s="90">
        <v>0.75675091126470995</v>
      </c>
      <c r="AC2341" s="90">
        <v>0.14559111400763</v>
      </c>
      <c r="AD2341" s="90">
        <v>263.32778728159002</v>
      </c>
      <c r="AF2341" s="90">
        <v>-1</v>
      </c>
      <c r="AG2341" s="90">
        <v>-1</v>
      </c>
      <c r="AH2341" s="90">
        <v>-1</v>
      </c>
      <c r="AI2341" s="90">
        <v>-1</v>
      </c>
      <c r="AJ2341" s="90">
        <v>0</v>
      </c>
      <c r="AM2341" s="90" t="s">
        <v>379</v>
      </c>
      <c r="AN2341" s="90">
        <v>-1</v>
      </c>
      <c r="AQ2341" s="90">
        <v>358</v>
      </c>
      <c r="AR2341" s="90" t="s">
        <v>422</v>
      </c>
      <c r="AS2341" s="90" t="s">
        <v>250</v>
      </c>
      <c r="AT2341" s="90" t="s">
        <v>244</v>
      </c>
      <c r="AU2341" s="90">
        <v>86.412649999999999</v>
      </c>
      <c r="AV2341" s="90">
        <v>104.72691255674999</v>
      </c>
      <c r="AW2341" s="90">
        <v>283.46559173000702</v>
      </c>
      <c r="AX2341" s="90">
        <v>0.21356673749999999</v>
      </c>
    </row>
    <row r="2342" spans="1:50" x14ac:dyDescent="0.25">
      <c r="A2342" s="102">
        <v>830000</v>
      </c>
      <c r="B2342" s="102">
        <v>2400000</v>
      </c>
      <c r="C2342" s="102">
        <v>2400000</v>
      </c>
      <c r="D2342" s="90" t="s">
        <v>374</v>
      </c>
      <c r="E2342" s="90" t="s">
        <v>68</v>
      </c>
      <c r="F2342" s="90" t="s">
        <v>375</v>
      </c>
      <c r="G2342" s="90" t="s">
        <v>376</v>
      </c>
      <c r="H2342" s="90">
        <v>0.59</v>
      </c>
      <c r="I2342" s="90">
        <v>0.64</v>
      </c>
      <c r="J2342" s="90" t="s">
        <v>244</v>
      </c>
      <c r="K2342" s="90">
        <v>1.5138805519700001E-3</v>
      </c>
      <c r="L2342" s="90">
        <v>3737.4686967357602</v>
      </c>
      <c r="M2342" s="90">
        <v>10.115799686661701</v>
      </c>
      <c r="N2342" s="90">
        <v>1.7613689011664699</v>
      </c>
      <c r="O2342" s="90">
        <v>1.5314112413319999E-2</v>
      </c>
      <c r="P2342" s="90">
        <v>2.6665021243300001E-3</v>
      </c>
      <c r="Q2342" s="90">
        <v>5.6580811736073597</v>
      </c>
      <c r="R2342" s="90">
        <v>1200</v>
      </c>
      <c r="S2342" s="90" t="s">
        <v>384</v>
      </c>
      <c r="T2342" s="90">
        <v>1200</v>
      </c>
      <c r="U2342" s="90" t="s">
        <v>378</v>
      </c>
      <c r="V2342" s="90" t="s">
        <v>244</v>
      </c>
      <c r="Z2342" s="90">
        <v>0</v>
      </c>
      <c r="AA2342" s="90">
        <v>1</v>
      </c>
      <c r="AB2342" s="90">
        <v>1.5314112413319999E-2</v>
      </c>
      <c r="AC2342" s="90">
        <v>2.6665021243300001E-3</v>
      </c>
      <c r="AD2342" s="90">
        <v>439.28566849245402</v>
      </c>
      <c r="AF2342" s="90">
        <v>-1</v>
      </c>
      <c r="AG2342" s="90">
        <v>-1</v>
      </c>
      <c r="AH2342" s="90">
        <v>-1</v>
      </c>
      <c r="AI2342" s="90">
        <v>-1</v>
      </c>
      <c r="AJ2342" s="90">
        <v>0</v>
      </c>
      <c r="AM2342" s="90" t="s">
        <v>379</v>
      </c>
      <c r="AN2342" s="90">
        <v>-1</v>
      </c>
      <c r="AQ2342" s="90">
        <v>358</v>
      </c>
      <c r="AR2342" s="90" t="s">
        <v>422</v>
      </c>
      <c r="AS2342" s="90" t="s">
        <v>250</v>
      </c>
      <c r="AT2342" s="90" t="s">
        <v>244</v>
      </c>
      <c r="AU2342" s="90">
        <v>86.412649999999999</v>
      </c>
      <c r="AV2342" s="90">
        <v>79.112727019006897</v>
      </c>
      <c r="AW2342" s="90">
        <v>6.1264572345097603</v>
      </c>
      <c r="AX2342" s="90">
        <v>0.3562738593</v>
      </c>
    </row>
    <row r="2343" spans="1:50" x14ac:dyDescent="0.25">
      <c r="A2343" s="102">
        <v>830000</v>
      </c>
      <c r="B2343" s="102">
        <v>2400000</v>
      </c>
      <c r="C2343" s="102">
        <v>2400000</v>
      </c>
      <c r="D2343" s="90" t="s">
        <v>374</v>
      </c>
      <c r="E2343" s="90" t="s">
        <v>68</v>
      </c>
      <c r="F2343" s="90" t="s">
        <v>375</v>
      </c>
      <c r="G2343" s="90" t="s">
        <v>376</v>
      </c>
      <c r="H2343" s="90">
        <v>0.59</v>
      </c>
      <c r="I2343" s="90">
        <v>0.64</v>
      </c>
      <c r="J2343" s="90" t="s">
        <v>244</v>
      </c>
      <c r="K2343" s="90">
        <v>0.11917338024557</v>
      </c>
      <c r="L2343" s="90">
        <v>3737.4686967357602</v>
      </c>
      <c r="M2343" s="90">
        <v>10.115799686661701</v>
      </c>
      <c r="N2343" s="90">
        <v>1.7613689011664699</v>
      </c>
      <c r="O2343" s="90">
        <v>1.2055340425466301</v>
      </c>
      <c r="P2343" s="90">
        <v>0.20990828581144</v>
      </c>
      <c r="Q2343" s="90">
        <v>445.40677815203202</v>
      </c>
      <c r="R2343" s="90">
        <v>1300</v>
      </c>
      <c r="S2343" s="90" t="s">
        <v>387</v>
      </c>
      <c r="T2343" s="90">
        <v>1300</v>
      </c>
      <c r="U2343" s="90" t="s">
        <v>378</v>
      </c>
      <c r="V2343" s="90" t="s">
        <v>244</v>
      </c>
      <c r="Z2343" s="90">
        <v>0</v>
      </c>
      <c r="AA2343" s="90">
        <v>1</v>
      </c>
      <c r="AB2343" s="90">
        <v>1.2055340425466301</v>
      </c>
      <c r="AC2343" s="90">
        <v>0.20990828581144</v>
      </c>
      <c r="AD2343" s="90">
        <v>597.84066951150498</v>
      </c>
      <c r="AF2343" s="90">
        <v>-1</v>
      </c>
      <c r="AG2343" s="90">
        <v>-1</v>
      </c>
      <c r="AH2343" s="90">
        <v>-1</v>
      </c>
      <c r="AI2343" s="90">
        <v>-1</v>
      </c>
      <c r="AJ2343" s="90">
        <v>0</v>
      </c>
      <c r="AM2343" s="90" t="s">
        <v>379</v>
      </c>
      <c r="AN2343" s="90">
        <v>-1</v>
      </c>
      <c r="AQ2343" s="90">
        <v>358</v>
      </c>
      <c r="AR2343" s="90" t="s">
        <v>422</v>
      </c>
      <c r="AS2343" s="90" t="s">
        <v>250</v>
      </c>
      <c r="AT2343" s="90" t="s">
        <v>244</v>
      </c>
      <c r="AU2343" s="90">
        <v>86.412649999999999</v>
      </c>
      <c r="AV2343" s="90">
        <v>175.310690333227</v>
      </c>
      <c r="AW2343" s="90">
        <v>482.27755922593201</v>
      </c>
      <c r="AX2343" s="90">
        <v>0.484866723</v>
      </c>
    </row>
    <row r="2344" spans="1:50" x14ac:dyDescent="0.25">
      <c r="A2344" s="102">
        <v>830000</v>
      </c>
      <c r="B2344" s="102">
        <v>2400000</v>
      </c>
      <c r="C2344" s="102">
        <v>2400000</v>
      </c>
      <c r="D2344" s="90" t="s">
        <v>374</v>
      </c>
      <c r="E2344" s="90" t="s">
        <v>68</v>
      </c>
      <c r="F2344" s="90" t="s">
        <v>375</v>
      </c>
      <c r="G2344" s="90" t="s">
        <v>376</v>
      </c>
      <c r="H2344" s="90">
        <v>0.59</v>
      </c>
      <c r="I2344" s="90">
        <v>0.64</v>
      </c>
      <c r="J2344" s="90" t="s">
        <v>381</v>
      </c>
      <c r="K2344" s="90">
        <v>1.4944084049100001E-3</v>
      </c>
      <c r="L2344" s="90">
        <v>3737.4686967357602</v>
      </c>
      <c r="M2344" s="90">
        <v>10.115799686661701</v>
      </c>
      <c r="N2344" s="90">
        <v>1.7613689011664699</v>
      </c>
      <c r="O2344" s="90">
        <v>1.5117136074210001E-2</v>
      </c>
      <c r="P2344" s="90">
        <v>2.6322044900599999E-3</v>
      </c>
      <c r="Q2344" s="90">
        <v>5.58530463351984</v>
      </c>
      <c r="R2344" s="90">
        <v>1300</v>
      </c>
      <c r="S2344" s="90" t="s">
        <v>387</v>
      </c>
      <c r="T2344" s="90">
        <v>1300</v>
      </c>
      <c r="U2344" s="90" t="s">
        <v>382</v>
      </c>
      <c r="V2344" s="90" t="s">
        <v>381</v>
      </c>
      <c r="Z2344" s="90">
        <v>0</v>
      </c>
      <c r="AA2344" s="90">
        <v>1</v>
      </c>
      <c r="AB2344" s="90">
        <v>1.5117136074210001E-2</v>
      </c>
      <c r="AC2344" s="90">
        <v>2.6322044900599999E-3</v>
      </c>
      <c r="AD2344" s="90">
        <v>7.3193554925630497</v>
      </c>
      <c r="AF2344" s="90">
        <v>-1</v>
      </c>
      <c r="AG2344" s="90">
        <v>-1</v>
      </c>
      <c r="AH2344" s="90">
        <v>-1</v>
      </c>
      <c r="AI2344" s="90">
        <v>-1</v>
      </c>
      <c r="AJ2344" s="90">
        <v>0</v>
      </c>
      <c r="AM2344" s="90" t="s">
        <v>379</v>
      </c>
      <c r="AN2344" s="90">
        <v>-1</v>
      </c>
      <c r="AQ2344" s="90">
        <v>358</v>
      </c>
      <c r="AR2344" s="90" t="s">
        <v>422</v>
      </c>
      <c r="AS2344" s="90" t="s">
        <v>250</v>
      </c>
      <c r="AT2344" s="90" t="s">
        <v>244</v>
      </c>
      <c r="AU2344" s="90">
        <v>86.412649999999999</v>
      </c>
      <c r="AV2344" s="90">
        <v>73.844893559980605</v>
      </c>
      <c r="AW2344" s="90">
        <v>6.0476562511307499</v>
      </c>
      <c r="AX2344" s="90">
        <v>5.9362169000000001E-3</v>
      </c>
    </row>
    <row r="2345" spans="1:50" x14ac:dyDescent="0.25">
      <c r="A2345" s="102">
        <v>830000</v>
      </c>
      <c r="B2345" s="102">
        <v>2400000</v>
      </c>
      <c r="C2345" s="102">
        <v>2400000</v>
      </c>
      <c r="D2345" s="90" t="s">
        <v>374</v>
      </c>
      <c r="E2345" s="90" t="s">
        <v>68</v>
      </c>
      <c r="F2345" s="90" t="s">
        <v>375</v>
      </c>
      <c r="G2345" s="90" t="s">
        <v>376</v>
      </c>
      <c r="H2345" s="90">
        <v>0.59</v>
      </c>
      <c r="I2345" s="90">
        <v>0.64</v>
      </c>
      <c r="J2345" s="90" t="s">
        <v>244</v>
      </c>
      <c r="K2345" s="90">
        <v>1.907164774599E-2</v>
      </c>
      <c r="L2345" s="90">
        <v>3737.4686967357602</v>
      </c>
      <c r="M2345" s="90">
        <v>10.115799686661701</v>
      </c>
      <c r="N2345" s="90">
        <v>1.7613689011664699</v>
      </c>
      <c r="O2345" s="90">
        <v>0.19292496829309</v>
      </c>
      <c r="P2345" s="90">
        <v>3.3592207233799999E-2</v>
      </c>
      <c r="Q2345" s="90">
        <v>71.279686445838706</v>
      </c>
      <c r="R2345" s="90">
        <v>1330</v>
      </c>
      <c r="S2345" s="90" t="s">
        <v>397</v>
      </c>
      <c r="T2345" s="90">
        <v>1330</v>
      </c>
      <c r="U2345" s="90" t="s">
        <v>378</v>
      </c>
      <c r="V2345" s="90" t="s">
        <v>244</v>
      </c>
      <c r="Z2345" s="90">
        <v>0</v>
      </c>
      <c r="AA2345" s="90">
        <v>1</v>
      </c>
      <c r="AB2345" s="90">
        <v>0.19292496829309</v>
      </c>
      <c r="AC2345" s="90">
        <v>3.3592207233799999E-2</v>
      </c>
      <c r="AD2345" s="90">
        <v>71.279686445837896</v>
      </c>
      <c r="AF2345" s="90">
        <v>-1</v>
      </c>
      <c r="AG2345" s="90">
        <v>-1</v>
      </c>
      <c r="AH2345" s="90">
        <v>-1</v>
      </c>
      <c r="AI2345" s="90">
        <v>-1</v>
      </c>
      <c r="AJ2345" s="90">
        <v>0</v>
      </c>
      <c r="AM2345" s="90" t="s">
        <v>379</v>
      </c>
      <c r="AN2345" s="90">
        <v>-1</v>
      </c>
      <c r="AQ2345" s="90">
        <v>358</v>
      </c>
      <c r="AR2345" s="90" t="s">
        <v>422</v>
      </c>
      <c r="AS2345" s="90" t="s">
        <v>250</v>
      </c>
      <c r="AT2345" s="90" t="s">
        <v>244</v>
      </c>
      <c r="AU2345" s="90">
        <v>86.412649999999999</v>
      </c>
      <c r="AV2345" s="90">
        <v>38.620720117699904</v>
      </c>
      <c r="AW2345" s="90">
        <v>77.180220166641604</v>
      </c>
      <c r="AX2345" s="90">
        <v>5.7809964700000001E-2</v>
      </c>
    </row>
    <row r="2346" spans="1:50" x14ac:dyDescent="0.25">
      <c r="A2346" s="102">
        <v>830000</v>
      </c>
      <c r="B2346" s="102">
        <v>2400000</v>
      </c>
      <c r="C2346" s="102">
        <v>2400000</v>
      </c>
      <c r="D2346" s="90" t="s">
        <v>374</v>
      </c>
      <c r="E2346" s="90" t="s">
        <v>68</v>
      </c>
      <c r="F2346" s="90" t="s">
        <v>375</v>
      </c>
      <c r="G2346" s="90" t="s">
        <v>376</v>
      </c>
      <c r="H2346" s="90">
        <v>0.59</v>
      </c>
      <c r="I2346" s="90">
        <v>0.64</v>
      </c>
      <c r="J2346" s="90" t="s">
        <v>244</v>
      </c>
      <c r="K2346" s="90">
        <v>2.8283456322849999E-2</v>
      </c>
      <c r="L2346" s="90">
        <v>3737.4686967357602</v>
      </c>
      <c r="M2346" s="90">
        <v>10.115799686661701</v>
      </c>
      <c r="N2346" s="90">
        <v>1.7613689011664699</v>
      </c>
      <c r="O2346" s="90">
        <v>0.28610977860839998</v>
      </c>
      <c r="P2346" s="90">
        <v>4.9817600384569997E-2</v>
      </c>
      <c r="Q2346" s="90">
        <v>105.708532642148</v>
      </c>
      <c r="R2346" s="90">
        <v>1330</v>
      </c>
      <c r="S2346" s="90" t="s">
        <v>397</v>
      </c>
      <c r="T2346" s="90">
        <v>1330</v>
      </c>
      <c r="U2346" s="90" t="s">
        <v>378</v>
      </c>
      <c r="V2346" s="90" t="s">
        <v>244</v>
      </c>
      <c r="Z2346" s="90">
        <v>0</v>
      </c>
      <c r="AA2346" s="90">
        <v>1</v>
      </c>
      <c r="AB2346" s="90">
        <v>0.28610977860839998</v>
      </c>
      <c r="AC2346" s="90">
        <v>4.9817600384569997E-2</v>
      </c>
      <c r="AD2346" s="90">
        <v>105.70853264215</v>
      </c>
      <c r="AF2346" s="90">
        <v>-1</v>
      </c>
      <c r="AG2346" s="90">
        <v>-1</v>
      </c>
      <c r="AH2346" s="90">
        <v>-1</v>
      </c>
      <c r="AI2346" s="90">
        <v>-1</v>
      </c>
      <c r="AJ2346" s="90">
        <v>0</v>
      </c>
      <c r="AM2346" s="90" t="s">
        <v>379</v>
      </c>
      <c r="AN2346" s="90">
        <v>-1</v>
      </c>
      <c r="AQ2346" s="90">
        <v>358</v>
      </c>
      <c r="AR2346" s="90" t="s">
        <v>422</v>
      </c>
      <c r="AS2346" s="90" t="s">
        <v>250</v>
      </c>
      <c r="AT2346" s="90" t="s">
        <v>244</v>
      </c>
      <c r="AU2346" s="90">
        <v>86.412649999999999</v>
      </c>
      <c r="AV2346" s="90">
        <v>43.938618085440901</v>
      </c>
      <c r="AW2346" s="90">
        <v>114.45908686780101</v>
      </c>
      <c r="AX2346" s="90">
        <v>8.5732792099999997E-2</v>
      </c>
    </row>
    <row r="2347" spans="1:50" x14ac:dyDescent="0.25">
      <c r="A2347" s="102">
        <v>830000</v>
      </c>
      <c r="B2347" s="102">
        <v>2400000</v>
      </c>
      <c r="C2347" s="102">
        <v>2400000</v>
      </c>
      <c r="D2347" s="90" t="s">
        <v>374</v>
      </c>
      <c r="E2347" s="90" t="s">
        <v>68</v>
      </c>
      <c r="F2347" s="90" t="s">
        <v>375</v>
      </c>
      <c r="G2347" s="90" t="s">
        <v>376</v>
      </c>
      <c r="H2347" s="90">
        <v>0.59</v>
      </c>
      <c r="I2347" s="90">
        <v>0.64</v>
      </c>
      <c r="J2347" s="90" t="s">
        <v>244</v>
      </c>
      <c r="K2347" s="90">
        <v>1.17878659155E-2</v>
      </c>
      <c r="L2347" s="90">
        <v>3737.4686967357602</v>
      </c>
      <c r="M2347" s="90">
        <v>10.115799686661701</v>
      </c>
      <c r="N2347" s="90">
        <v>1.7613689011664699</v>
      </c>
      <c r="O2347" s="90">
        <v>0.11924369033444999</v>
      </c>
      <c r="P2347" s="90">
        <v>2.0762780434679998E-2</v>
      </c>
      <c r="Q2347" s="90">
        <v>44.0567798605109</v>
      </c>
      <c r="R2347" s="90">
        <v>1330</v>
      </c>
      <c r="S2347" s="90" t="s">
        <v>397</v>
      </c>
      <c r="T2347" s="90">
        <v>1330</v>
      </c>
      <c r="U2347" s="90" t="s">
        <v>378</v>
      </c>
      <c r="V2347" s="90" t="s">
        <v>244</v>
      </c>
      <c r="Z2347" s="90">
        <v>0</v>
      </c>
      <c r="AA2347" s="90">
        <v>1</v>
      </c>
      <c r="AB2347" s="90">
        <v>0.11924369033444999</v>
      </c>
      <c r="AC2347" s="90">
        <v>2.0762780434679998E-2</v>
      </c>
      <c r="AD2347" s="90">
        <v>44.056779860510098</v>
      </c>
      <c r="AF2347" s="90">
        <v>-1</v>
      </c>
      <c r="AG2347" s="90">
        <v>-1</v>
      </c>
      <c r="AH2347" s="90">
        <v>-1</v>
      </c>
      <c r="AI2347" s="90">
        <v>-1</v>
      </c>
      <c r="AJ2347" s="90">
        <v>0</v>
      </c>
      <c r="AM2347" s="90" t="s">
        <v>379</v>
      </c>
      <c r="AN2347" s="90">
        <v>-1</v>
      </c>
      <c r="AQ2347" s="90">
        <v>358</v>
      </c>
      <c r="AR2347" s="90" t="s">
        <v>422</v>
      </c>
      <c r="AS2347" s="90" t="s">
        <v>250</v>
      </c>
      <c r="AT2347" s="90" t="s">
        <v>244</v>
      </c>
      <c r="AU2347" s="90">
        <v>86.412649999999999</v>
      </c>
      <c r="AV2347" s="90">
        <v>33.791296234312597</v>
      </c>
      <c r="AW2347" s="90">
        <v>47.703800886542403</v>
      </c>
      <c r="AX2347" s="90">
        <v>3.5731370499999998E-2</v>
      </c>
    </row>
    <row r="2348" spans="1:50" x14ac:dyDescent="0.25">
      <c r="A2348" s="102">
        <v>830000</v>
      </c>
      <c r="B2348" s="102">
        <v>2400000</v>
      </c>
      <c r="C2348" s="102">
        <v>2400000</v>
      </c>
      <c r="D2348" s="90" t="s">
        <v>374</v>
      </c>
      <c r="E2348" s="90" t="s">
        <v>68</v>
      </c>
      <c r="F2348" s="90" t="s">
        <v>375</v>
      </c>
      <c r="G2348" s="90" t="s">
        <v>376</v>
      </c>
      <c r="H2348" s="90">
        <v>0.59</v>
      </c>
      <c r="I2348" s="90">
        <v>0.64</v>
      </c>
      <c r="J2348" s="90" t="s">
        <v>244</v>
      </c>
      <c r="K2348" s="90">
        <v>3.637241904493E-2</v>
      </c>
      <c r="L2348" s="90">
        <v>3737.4686967357602</v>
      </c>
      <c r="M2348" s="90">
        <v>10.115799686661701</v>
      </c>
      <c r="N2348" s="90">
        <v>1.7613689011664699</v>
      </c>
      <c r="O2348" s="90">
        <v>0.36793610517787001</v>
      </c>
      <c r="P2348" s="90">
        <v>6.4065247765939998E-2</v>
      </c>
      <c r="Q2348" s="90">
        <v>135.94077760499599</v>
      </c>
      <c r="R2348" s="90">
        <v>1210</v>
      </c>
      <c r="S2348" s="90" t="s">
        <v>385</v>
      </c>
      <c r="T2348" s="90">
        <v>1210</v>
      </c>
      <c r="U2348" s="90" t="s">
        <v>378</v>
      </c>
      <c r="V2348" s="90" t="s">
        <v>244</v>
      </c>
      <c r="Z2348" s="90">
        <v>0</v>
      </c>
      <c r="AA2348" s="90">
        <v>1</v>
      </c>
      <c r="AB2348" s="90">
        <v>0.36793610517787001</v>
      </c>
      <c r="AC2348" s="90">
        <v>6.4065247765939998E-2</v>
      </c>
      <c r="AD2348" s="90">
        <v>301.63487264474799</v>
      </c>
      <c r="AF2348" s="90">
        <v>-1</v>
      </c>
      <c r="AG2348" s="90">
        <v>-1</v>
      </c>
      <c r="AH2348" s="90">
        <v>-1</v>
      </c>
      <c r="AI2348" s="90">
        <v>-1</v>
      </c>
      <c r="AJ2348" s="90">
        <v>0</v>
      </c>
      <c r="AM2348" s="90" t="s">
        <v>379</v>
      </c>
      <c r="AN2348" s="90">
        <v>-1</v>
      </c>
      <c r="AQ2348" s="90">
        <v>358</v>
      </c>
      <c r="AR2348" s="90" t="s">
        <v>422</v>
      </c>
      <c r="AS2348" s="90" t="s">
        <v>250</v>
      </c>
      <c r="AT2348" s="90" t="s">
        <v>244</v>
      </c>
      <c r="AU2348" s="90">
        <v>86.412649999999999</v>
      </c>
      <c r="AV2348" s="90">
        <v>48.622928297798801</v>
      </c>
      <c r="AW2348" s="90">
        <v>147.19395761021599</v>
      </c>
      <c r="AX2348" s="90">
        <v>0.24463493319999999</v>
      </c>
    </row>
    <row r="2349" spans="1:50" x14ac:dyDescent="0.25">
      <c r="A2349" s="102">
        <v>830000</v>
      </c>
      <c r="B2349" s="102">
        <v>2400000</v>
      </c>
      <c r="C2349" s="102">
        <v>2400000</v>
      </c>
      <c r="D2349" s="90" t="s">
        <v>374</v>
      </c>
      <c r="E2349" s="90" t="s">
        <v>68</v>
      </c>
      <c r="F2349" s="90" t="s">
        <v>375</v>
      </c>
      <c r="G2349" s="90" t="s">
        <v>376</v>
      </c>
      <c r="H2349" s="90">
        <v>0.59</v>
      </c>
      <c r="I2349" s="90">
        <v>0.64</v>
      </c>
      <c r="J2349" s="90" t="s">
        <v>244</v>
      </c>
      <c r="K2349" s="90">
        <v>2.9933170893900001E-2</v>
      </c>
      <c r="L2349" s="90">
        <v>3737.4686967357602</v>
      </c>
      <c r="M2349" s="90">
        <v>10.115799686661701</v>
      </c>
      <c r="N2349" s="90">
        <v>1.7613689011664699</v>
      </c>
      <c r="O2349" s="90">
        <v>0.30279796074935</v>
      </c>
      <c r="P2349" s="90">
        <v>5.2723356325820002E-2</v>
      </c>
      <c r="Q2349" s="90">
        <v>111.87428921001199</v>
      </c>
      <c r="R2349" s="90">
        <v>1330</v>
      </c>
      <c r="S2349" s="90" t="s">
        <v>397</v>
      </c>
      <c r="T2349" s="90">
        <v>1330</v>
      </c>
      <c r="U2349" s="90" t="s">
        <v>378</v>
      </c>
      <c r="V2349" s="90" t="s">
        <v>244</v>
      </c>
      <c r="Z2349" s="90">
        <v>0</v>
      </c>
      <c r="AA2349" s="90">
        <v>1</v>
      </c>
      <c r="AB2349" s="90">
        <v>0.30279796074935</v>
      </c>
      <c r="AC2349" s="90">
        <v>5.2723356325820002E-2</v>
      </c>
      <c r="AD2349" s="90">
        <v>111.874289210013</v>
      </c>
      <c r="AF2349" s="90">
        <v>-1</v>
      </c>
      <c r="AG2349" s="90">
        <v>-1</v>
      </c>
      <c r="AH2349" s="90">
        <v>-1</v>
      </c>
      <c r="AI2349" s="90">
        <v>-1</v>
      </c>
      <c r="AJ2349" s="90">
        <v>0</v>
      </c>
      <c r="AM2349" s="90" t="s">
        <v>379</v>
      </c>
      <c r="AN2349" s="90">
        <v>-1</v>
      </c>
      <c r="AQ2349" s="90">
        <v>358</v>
      </c>
      <c r="AR2349" s="90" t="s">
        <v>422</v>
      </c>
      <c r="AS2349" s="90" t="s">
        <v>250</v>
      </c>
      <c r="AT2349" s="90" t="s">
        <v>244</v>
      </c>
      <c r="AU2349" s="90">
        <v>86.412649999999999</v>
      </c>
      <c r="AV2349" s="90">
        <v>45.194082979273603</v>
      </c>
      <c r="AW2349" s="90">
        <v>121.135244874797</v>
      </c>
      <c r="AX2349" s="90">
        <v>9.0733405700000005E-2</v>
      </c>
    </row>
    <row r="2350" spans="1:50" x14ac:dyDescent="0.25">
      <c r="A2350" s="102">
        <v>830000</v>
      </c>
      <c r="B2350" s="102">
        <v>2400000</v>
      </c>
      <c r="C2350" s="102">
        <v>2400000</v>
      </c>
      <c r="D2350" s="90" t="s">
        <v>374</v>
      </c>
      <c r="E2350" s="90" t="s">
        <v>68</v>
      </c>
      <c r="F2350" s="90" t="s">
        <v>375</v>
      </c>
      <c r="G2350" s="90" t="s">
        <v>376</v>
      </c>
      <c r="H2350" s="90">
        <v>0.59</v>
      </c>
      <c r="I2350" s="90">
        <v>0.64</v>
      </c>
      <c r="J2350" s="90" t="s">
        <v>244</v>
      </c>
      <c r="K2350" s="90">
        <v>3.3048957573799998E-3</v>
      </c>
      <c r="L2350" s="90">
        <v>3758.3587224204002</v>
      </c>
      <c r="M2350" s="90">
        <v>10.773029788868399</v>
      </c>
      <c r="N2350" s="90">
        <v>2.0645556614491798</v>
      </c>
      <c r="O2350" s="90">
        <v>3.5603740443399999E-2</v>
      </c>
      <c r="P2350" s="90">
        <v>6.8231412463999998E-3</v>
      </c>
      <c r="Q2350" s="90">
        <v>12.4209837964543</v>
      </c>
      <c r="R2350" s="90">
        <v>1300</v>
      </c>
      <c r="S2350" s="90" t="s">
        <v>387</v>
      </c>
      <c r="T2350" s="90">
        <v>1300</v>
      </c>
      <c r="U2350" s="90" t="s">
        <v>378</v>
      </c>
      <c r="V2350" s="90" t="s">
        <v>244</v>
      </c>
      <c r="Z2350" s="90">
        <v>0</v>
      </c>
      <c r="AA2350" s="90">
        <v>1</v>
      </c>
      <c r="AB2350" s="90">
        <v>3.5603740443399999E-2</v>
      </c>
      <c r="AC2350" s="90">
        <v>6.8231412463999998E-3</v>
      </c>
      <c r="AD2350" s="90">
        <v>12.4209837964536</v>
      </c>
      <c r="AF2350" s="90">
        <v>-1</v>
      </c>
      <c r="AG2350" s="90">
        <v>-1</v>
      </c>
      <c r="AH2350" s="90">
        <v>-1</v>
      </c>
      <c r="AI2350" s="90">
        <v>-1</v>
      </c>
      <c r="AJ2350" s="90">
        <v>0</v>
      </c>
      <c r="AM2350" s="90" t="s">
        <v>379</v>
      </c>
      <c r="AN2350" s="90">
        <v>-1</v>
      </c>
      <c r="AQ2350" s="90">
        <v>358</v>
      </c>
      <c r="AR2350" s="90" t="s">
        <v>422</v>
      </c>
      <c r="AS2350" s="90" t="s">
        <v>250</v>
      </c>
      <c r="AT2350" s="90" t="s">
        <v>244</v>
      </c>
      <c r="AU2350" s="90">
        <v>86.412649999999999</v>
      </c>
      <c r="AV2350" s="90">
        <v>26.7948011939629</v>
      </c>
      <c r="AW2350" s="90">
        <v>13.374438621131199</v>
      </c>
      <c r="AX2350" s="90">
        <v>1.00737906E-2</v>
      </c>
    </row>
    <row r="2351" spans="1:50" x14ac:dyDescent="0.25">
      <c r="A2351" s="102">
        <v>830000</v>
      </c>
      <c r="B2351" s="102">
        <v>2400000</v>
      </c>
      <c r="C2351" s="102">
        <v>2400000</v>
      </c>
      <c r="D2351" s="90" t="s">
        <v>374</v>
      </c>
      <c r="E2351" s="90" t="s">
        <v>68</v>
      </c>
      <c r="F2351" s="90" t="s">
        <v>375</v>
      </c>
      <c r="G2351" s="90" t="s">
        <v>376</v>
      </c>
      <c r="H2351" s="90">
        <v>0.59</v>
      </c>
      <c r="I2351" s="90">
        <v>0.64</v>
      </c>
      <c r="J2351" s="90" t="s">
        <v>244</v>
      </c>
      <c r="K2351" s="90">
        <v>6.73994113184E-3</v>
      </c>
      <c r="L2351" s="90">
        <v>3758.3587224204002</v>
      </c>
      <c r="M2351" s="90">
        <v>10.773029788868399</v>
      </c>
      <c r="N2351" s="90">
        <v>2.0645556614491798</v>
      </c>
      <c r="O2351" s="90">
        <v>7.2609586588579994E-2</v>
      </c>
      <c r="P2351" s="90">
        <v>1.391498362158E-2</v>
      </c>
      <c r="Q2351" s="90">
        <v>25.331116541469601</v>
      </c>
      <c r="R2351" s="90">
        <v>1300</v>
      </c>
      <c r="S2351" s="90" t="s">
        <v>387</v>
      </c>
      <c r="T2351" s="90">
        <v>1300</v>
      </c>
      <c r="U2351" s="90" t="s">
        <v>378</v>
      </c>
      <c r="V2351" s="90" t="s">
        <v>244</v>
      </c>
      <c r="Z2351" s="90">
        <v>0</v>
      </c>
      <c r="AA2351" s="90">
        <v>1</v>
      </c>
      <c r="AB2351" s="90">
        <v>7.2609586588579994E-2</v>
      </c>
      <c r="AC2351" s="90">
        <v>1.391498362158E-2</v>
      </c>
      <c r="AD2351" s="90">
        <v>25.3311165414705</v>
      </c>
      <c r="AF2351" s="90">
        <v>-1</v>
      </c>
      <c r="AG2351" s="90">
        <v>-1</v>
      </c>
      <c r="AH2351" s="90">
        <v>-1</v>
      </c>
      <c r="AI2351" s="90">
        <v>-1</v>
      </c>
      <c r="AJ2351" s="90">
        <v>0</v>
      </c>
      <c r="AM2351" s="90" t="s">
        <v>379</v>
      </c>
      <c r="AN2351" s="90">
        <v>-1</v>
      </c>
      <c r="AQ2351" s="90">
        <v>358</v>
      </c>
      <c r="AR2351" s="90" t="s">
        <v>422</v>
      </c>
      <c r="AS2351" s="90" t="s">
        <v>250</v>
      </c>
      <c r="AT2351" s="90" t="s">
        <v>244</v>
      </c>
      <c r="AU2351" s="90">
        <v>86.412649999999999</v>
      </c>
      <c r="AV2351" s="90">
        <v>201.15374771875</v>
      </c>
      <c r="AW2351" s="90">
        <v>27.275574056005802</v>
      </c>
      <c r="AX2351" s="90">
        <v>2.05442957E-2</v>
      </c>
    </row>
    <row r="2352" spans="1:50" x14ac:dyDescent="0.25">
      <c r="A2352" s="102">
        <v>830000</v>
      </c>
      <c r="B2352" s="102">
        <v>2400000</v>
      </c>
      <c r="C2352" s="102">
        <v>2400000</v>
      </c>
      <c r="D2352" s="90" t="s">
        <v>374</v>
      </c>
      <c r="E2352" s="90" t="s">
        <v>68</v>
      </c>
      <c r="F2352" s="90" t="s">
        <v>375</v>
      </c>
      <c r="G2352" s="90" t="s">
        <v>376</v>
      </c>
      <c r="H2352" s="90">
        <v>0.59</v>
      </c>
      <c r="I2352" s="90">
        <v>0.64</v>
      </c>
      <c r="J2352" s="90" t="s">
        <v>381</v>
      </c>
      <c r="K2352" s="90">
        <v>0.23683594441717001</v>
      </c>
      <c r="L2352" s="90">
        <v>3758.3587224204002</v>
      </c>
      <c r="M2352" s="90">
        <v>10.773029788868399</v>
      </c>
      <c r="N2352" s="90">
        <v>2.0645556614491798</v>
      </c>
      <c r="O2352" s="90">
        <v>2.55144068428097</v>
      </c>
      <c r="P2352" s="90">
        <v>0.48896098988113001</v>
      </c>
      <c r="Q2352" s="90">
        <v>890.11443748294801</v>
      </c>
      <c r="R2352" s="90">
        <v>1300</v>
      </c>
      <c r="S2352" s="90" t="s">
        <v>387</v>
      </c>
      <c r="T2352" s="90">
        <v>1300</v>
      </c>
      <c r="U2352" s="90" t="s">
        <v>382</v>
      </c>
      <c r="V2352" s="90" t="s">
        <v>381</v>
      </c>
      <c r="Z2352" s="90">
        <v>0</v>
      </c>
      <c r="AA2352" s="90">
        <v>1</v>
      </c>
      <c r="AB2352" s="90">
        <v>2.55144068428097</v>
      </c>
      <c r="AC2352" s="90">
        <v>0.48896098988113001</v>
      </c>
      <c r="AD2352" s="90">
        <v>890.11443748294801</v>
      </c>
      <c r="AF2352" s="90">
        <v>-1</v>
      </c>
      <c r="AG2352" s="90">
        <v>-1</v>
      </c>
      <c r="AH2352" s="90">
        <v>-1</v>
      </c>
      <c r="AI2352" s="90">
        <v>-1</v>
      </c>
      <c r="AJ2352" s="90">
        <v>0</v>
      </c>
      <c r="AM2352" s="90" t="s">
        <v>379</v>
      </c>
      <c r="AN2352" s="90">
        <v>-1</v>
      </c>
      <c r="AQ2352" s="90">
        <v>358</v>
      </c>
      <c r="AR2352" s="90" t="s">
        <v>422</v>
      </c>
      <c r="AS2352" s="90" t="s">
        <v>250</v>
      </c>
      <c r="AT2352" s="90" t="s">
        <v>244</v>
      </c>
      <c r="AU2352" s="90">
        <v>86.412649999999999</v>
      </c>
      <c r="AV2352" s="90">
        <v>138.367117460033</v>
      </c>
      <c r="AW2352" s="90">
        <v>958.44106271980002</v>
      </c>
      <c r="AX2352" s="90">
        <v>0.72190951950000004</v>
      </c>
    </row>
    <row r="2353" spans="1:50" x14ac:dyDescent="0.25">
      <c r="A2353" s="102">
        <v>830000</v>
      </c>
      <c r="B2353" s="102">
        <v>2400000</v>
      </c>
      <c r="C2353" s="102">
        <v>2400000</v>
      </c>
      <c r="D2353" s="90" t="s">
        <v>374</v>
      </c>
      <c r="E2353" s="90" t="s">
        <v>68</v>
      </c>
      <c r="F2353" s="90" t="s">
        <v>375</v>
      </c>
      <c r="G2353" s="90" t="s">
        <v>376</v>
      </c>
      <c r="H2353" s="90">
        <v>0.59</v>
      </c>
      <c r="I2353" s="90">
        <v>0.64</v>
      </c>
      <c r="J2353" s="90" t="s">
        <v>244</v>
      </c>
      <c r="K2353" s="90">
        <v>6.5188202773899997E-3</v>
      </c>
      <c r="L2353" s="90">
        <v>3758.3587224204002</v>
      </c>
      <c r="M2353" s="90">
        <v>10.773029788868399</v>
      </c>
      <c r="N2353" s="90">
        <v>2.0645556614491798</v>
      </c>
      <c r="O2353" s="90">
        <v>7.0227445036680006E-2</v>
      </c>
      <c r="P2353" s="90">
        <v>1.345846730967E-2</v>
      </c>
      <c r="Q2353" s="90">
        <v>24.500065049449699</v>
      </c>
      <c r="R2353" s="90">
        <v>1210</v>
      </c>
      <c r="S2353" s="90" t="s">
        <v>385</v>
      </c>
      <c r="T2353" s="90">
        <v>1210</v>
      </c>
      <c r="U2353" s="90" t="s">
        <v>378</v>
      </c>
      <c r="V2353" s="90" t="s">
        <v>244</v>
      </c>
      <c r="Z2353" s="90">
        <v>0</v>
      </c>
      <c r="AA2353" s="90">
        <v>1</v>
      </c>
      <c r="AB2353" s="90">
        <v>7.0227445036680006E-2</v>
      </c>
      <c r="AC2353" s="90">
        <v>1.345846730967E-2</v>
      </c>
      <c r="AD2353" s="90">
        <v>24.500065049448001</v>
      </c>
      <c r="AF2353" s="90">
        <v>-1</v>
      </c>
      <c r="AG2353" s="90">
        <v>-1</v>
      </c>
      <c r="AH2353" s="90">
        <v>-1</v>
      </c>
      <c r="AI2353" s="90">
        <v>-1</v>
      </c>
      <c r="AJ2353" s="90">
        <v>0</v>
      </c>
      <c r="AM2353" s="90" t="s">
        <v>379</v>
      </c>
      <c r="AN2353" s="90">
        <v>-1</v>
      </c>
      <c r="AQ2353" s="90">
        <v>358</v>
      </c>
      <c r="AR2353" s="90" t="s">
        <v>422</v>
      </c>
      <c r="AS2353" s="90" t="s">
        <v>250</v>
      </c>
      <c r="AT2353" s="90" t="s">
        <v>244</v>
      </c>
      <c r="AU2353" s="90">
        <v>86.412649999999999</v>
      </c>
      <c r="AV2353" s="90">
        <v>30.494185807778099</v>
      </c>
      <c r="AW2353" s="90">
        <v>26.380729706057501</v>
      </c>
      <c r="AX2353" s="90">
        <v>1.9870288E-2</v>
      </c>
    </row>
    <row r="2354" spans="1:50" x14ac:dyDescent="0.25">
      <c r="A2354" s="102">
        <v>830000</v>
      </c>
      <c r="B2354" s="102">
        <v>2400000</v>
      </c>
      <c r="C2354" s="102">
        <v>2400000</v>
      </c>
      <c r="D2354" s="90" t="s">
        <v>374</v>
      </c>
      <c r="E2354" s="90" t="s">
        <v>68</v>
      </c>
      <c r="F2354" s="90" t="s">
        <v>375</v>
      </c>
      <c r="G2354" s="90" t="s">
        <v>376</v>
      </c>
      <c r="H2354" s="90">
        <v>0.59</v>
      </c>
      <c r="I2354" s="90">
        <v>0.64</v>
      </c>
      <c r="J2354" s="90" t="s">
        <v>244</v>
      </c>
      <c r="K2354" s="90">
        <v>6.9577749777089998E-2</v>
      </c>
      <c r="L2354" s="90">
        <v>3758.3587224204002</v>
      </c>
      <c r="M2354" s="90">
        <v>10.773029788868399</v>
      </c>
      <c r="N2354" s="90">
        <v>2.0645556614491798</v>
      </c>
      <c r="O2354" s="90">
        <v>0.74956317099105996</v>
      </c>
      <c r="P2354" s="90">
        <v>0.14364713721319</v>
      </c>
      <c r="Q2354" s="90">
        <v>261.498142761125</v>
      </c>
      <c r="R2354" s="90">
        <v>1330</v>
      </c>
      <c r="S2354" s="90" t="s">
        <v>397</v>
      </c>
      <c r="T2354" s="90">
        <v>1330</v>
      </c>
      <c r="U2354" s="90" t="s">
        <v>378</v>
      </c>
      <c r="V2354" s="90" t="s">
        <v>244</v>
      </c>
      <c r="Z2354" s="90">
        <v>0</v>
      </c>
      <c r="AA2354" s="90">
        <v>1</v>
      </c>
      <c r="AB2354" s="90">
        <v>0.74956317099105996</v>
      </c>
      <c r="AC2354" s="90">
        <v>0.14364713721319</v>
      </c>
      <c r="AD2354" s="90">
        <v>261.49814276112301</v>
      </c>
      <c r="AF2354" s="90">
        <v>-1</v>
      </c>
      <c r="AG2354" s="90">
        <v>-1</v>
      </c>
      <c r="AH2354" s="90">
        <v>-1</v>
      </c>
      <c r="AI2354" s="90">
        <v>-1</v>
      </c>
      <c r="AJ2354" s="90">
        <v>0</v>
      </c>
      <c r="AM2354" s="90" t="s">
        <v>379</v>
      </c>
      <c r="AN2354" s="90">
        <v>-1</v>
      </c>
      <c r="AQ2354" s="90">
        <v>358</v>
      </c>
      <c r="AR2354" s="90" t="s">
        <v>422</v>
      </c>
      <c r="AS2354" s="90" t="s">
        <v>250</v>
      </c>
      <c r="AT2354" s="90" t="s">
        <v>244</v>
      </c>
      <c r="AU2354" s="90">
        <v>86.412649999999999</v>
      </c>
      <c r="AV2354" s="90">
        <v>76.371863422285102</v>
      </c>
      <c r="AW2354" s="90">
        <v>281.57116354157102</v>
      </c>
      <c r="AX2354" s="90">
        <v>0.21208284080000001</v>
      </c>
    </row>
    <row r="2355" spans="1:50" x14ac:dyDescent="0.25">
      <c r="A2355" s="102">
        <v>830000</v>
      </c>
      <c r="B2355" s="102">
        <v>2400000</v>
      </c>
      <c r="C2355" s="102">
        <v>2400000</v>
      </c>
      <c r="D2355" s="90" t="s">
        <v>374</v>
      </c>
      <c r="E2355" s="90" t="s">
        <v>68</v>
      </c>
      <c r="F2355" s="90" t="s">
        <v>375</v>
      </c>
      <c r="G2355" s="90" t="s">
        <v>376</v>
      </c>
      <c r="H2355" s="90">
        <v>0.59</v>
      </c>
      <c r="I2355" s="90">
        <v>0.64</v>
      </c>
      <c r="J2355" s="90" t="s">
        <v>244</v>
      </c>
      <c r="K2355" s="90">
        <v>9.2547860411700007E-3</v>
      </c>
      <c r="L2355" s="90">
        <v>3758.3587224204002</v>
      </c>
      <c r="M2355" s="90">
        <v>10.773029788868399</v>
      </c>
      <c r="N2355" s="90">
        <v>2.0645556614491798</v>
      </c>
      <c r="O2355" s="90">
        <v>9.9702085711210003E-2</v>
      </c>
      <c r="P2355" s="90">
        <v>1.9107020916809998E-2</v>
      </c>
      <c r="Q2355" s="90">
        <v>34.782805841995902</v>
      </c>
      <c r="R2355" s="90">
        <v>1210</v>
      </c>
      <c r="S2355" s="90" t="s">
        <v>385</v>
      </c>
      <c r="T2355" s="90">
        <v>1210</v>
      </c>
      <c r="U2355" s="90" t="s">
        <v>378</v>
      </c>
      <c r="V2355" s="90" t="s">
        <v>244</v>
      </c>
      <c r="Z2355" s="90">
        <v>0</v>
      </c>
      <c r="AA2355" s="90">
        <v>1</v>
      </c>
      <c r="AB2355" s="90">
        <v>9.9702085711210003E-2</v>
      </c>
      <c r="AC2355" s="90">
        <v>1.9107020916809998E-2</v>
      </c>
      <c r="AD2355" s="90">
        <v>34.7828058419977</v>
      </c>
      <c r="AF2355" s="90">
        <v>-1</v>
      </c>
      <c r="AG2355" s="90">
        <v>-1</v>
      </c>
      <c r="AH2355" s="90">
        <v>-1</v>
      </c>
      <c r="AI2355" s="90">
        <v>-1</v>
      </c>
      <c r="AJ2355" s="90">
        <v>0</v>
      </c>
      <c r="AM2355" s="90" t="s">
        <v>379</v>
      </c>
      <c r="AN2355" s="90">
        <v>-1</v>
      </c>
      <c r="AQ2355" s="90">
        <v>358</v>
      </c>
      <c r="AR2355" s="90" t="s">
        <v>422</v>
      </c>
      <c r="AS2355" s="90" t="s">
        <v>250</v>
      </c>
      <c r="AT2355" s="90" t="s">
        <v>244</v>
      </c>
      <c r="AU2355" s="90">
        <v>86.412649999999999</v>
      </c>
      <c r="AV2355" s="90">
        <v>51.944756699473402</v>
      </c>
      <c r="AW2355" s="90">
        <v>37.452790328680997</v>
      </c>
      <c r="AX2355" s="90">
        <v>2.8209899300000001E-2</v>
      </c>
    </row>
    <row r="2356" spans="1:50" x14ac:dyDescent="0.25">
      <c r="A2356" s="102">
        <v>830000</v>
      </c>
      <c r="B2356" s="102">
        <v>2400000</v>
      </c>
      <c r="C2356" s="102">
        <v>2400000</v>
      </c>
      <c r="D2356" s="90" t="s">
        <v>374</v>
      </c>
      <c r="E2356" s="90" t="s">
        <v>68</v>
      </c>
      <c r="F2356" s="90" t="s">
        <v>375</v>
      </c>
      <c r="G2356" s="90" t="s">
        <v>376</v>
      </c>
      <c r="H2356" s="90">
        <v>0.59</v>
      </c>
      <c r="I2356" s="90">
        <v>0.64</v>
      </c>
      <c r="J2356" s="90" t="s">
        <v>244</v>
      </c>
      <c r="K2356" s="90">
        <v>0.21692333610757999</v>
      </c>
      <c r="L2356" s="90">
        <v>3758.3587224204002</v>
      </c>
      <c r="M2356" s="90">
        <v>10.773029788868399</v>
      </c>
      <c r="N2356" s="90">
        <v>2.0645556614491798</v>
      </c>
      <c r="O2356" s="90">
        <v>2.33692156178767</v>
      </c>
      <c r="P2356" s="90">
        <v>0.44785030166133999</v>
      </c>
      <c r="Q2356" s="90">
        <v>815.27571235645496</v>
      </c>
      <c r="R2356" s="90">
        <v>1300</v>
      </c>
      <c r="S2356" s="90" t="s">
        <v>387</v>
      </c>
      <c r="T2356" s="90">
        <v>1300</v>
      </c>
      <c r="U2356" s="90" t="s">
        <v>378</v>
      </c>
      <c r="V2356" s="90" t="s">
        <v>244</v>
      </c>
      <c r="Z2356" s="90">
        <v>0</v>
      </c>
      <c r="AA2356" s="90">
        <v>1</v>
      </c>
      <c r="AB2356" s="90">
        <v>2.33692156178767</v>
      </c>
      <c r="AC2356" s="90">
        <v>0.44785030166133999</v>
      </c>
      <c r="AD2356" s="90">
        <v>815.27571235645496</v>
      </c>
      <c r="AF2356" s="90">
        <v>-1</v>
      </c>
      <c r="AG2356" s="90">
        <v>-1</v>
      </c>
      <c r="AH2356" s="90">
        <v>-1</v>
      </c>
      <c r="AI2356" s="90">
        <v>-1</v>
      </c>
      <c r="AJ2356" s="90">
        <v>0</v>
      </c>
      <c r="AM2356" s="90" t="s">
        <v>379</v>
      </c>
      <c r="AN2356" s="90">
        <v>-1</v>
      </c>
      <c r="AQ2356" s="90">
        <v>358</v>
      </c>
      <c r="AR2356" s="90" t="s">
        <v>422</v>
      </c>
      <c r="AS2356" s="90" t="s">
        <v>250</v>
      </c>
      <c r="AT2356" s="90" t="s">
        <v>244</v>
      </c>
      <c r="AU2356" s="90">
        <v>86.412649999999999</v>
      </c>
      <c r="AV2356" s="90">
        <v>118.57757689324799</v>
      </c>
      <c r="AW2356" s="90">
        <v>877.85759589539498</v>
      </c>
      <c r="AX2356" s="90">
        <v>0.66121306759999998</v>
      </c>
    </row>
    <row r="2357" spans="1:50" x14ac:dyDescent="0.25">
      <c r="A2357" s="102">
        <v>830000</v>
      </c>
      <c r="B2357" s="102">
        <v>2400000</v>
      </c>
      <c r="C2357" s="102">
        <v>2400000</v>
      </c>
      <c r="D2357" s="90" t="s">
        <v>374</v>
      </c>
      <c r="E2357" s="90" t="s">
        <v>68</v>
      </c>
      <c r="F2357" s="90" t="s">
        <v>375</v>
      </c>
      <c r="G2357" s="90" t="s">
        <v>376</v>
      </c>
      <c r="H2357" s="90">
        <v>0.59</v>
      </c>
      <c r="I2357" s="90">
        <v>0.64</v>
      </c>
      <c r="J2357" s="90" t="s">
        <v>244</v>
      </c>
      <c r="K2357" s="90">
        <v>6.517272256112E-2</v>
      </c>
      <c r="L2357" s="90">
        <v>3758.3587224204002</v>
      </c>
      <c r="M2357" s="90">
        <v>10.773029788868399</v>
      </c>
      <c r="N2357" s="90">
        <v>2.0645556614491798</v>
      </c>
      <c r="O2357" s="90">
        <v>0.70210768157261005</v>
      </c>
      <c r="P2357" s="90">
        <v>0.13455271333561</v>
      </c>
      <c r="Q2357" s="90">
        <v>244.94247030147301</v>
      </c>
      <c r="R2357" s="90">
        <v>1330</v>
      </c>
      <c r="S2357" s="90" t="s">
        <v>397</v>
      </c>
      <c r="T2357" s="90">
        <v>1330</v>
      </c>
      <c r="U2357" s="90" t="s">
        <v>378</v>
      </c>
      <c r="V2357" s="90" t="s">
        <v>244</v>
      </c>
      <c r="Z2357" s="90">
        <v>0</v>
      </c>
      <c r="AA2357" s="90">
        <v>1</v>
      </c>
      <c r="AB2357" s="90">
        <v>0.70210768157261005</v>
      </c>
      <c r="AC2357" s="90">
        <v>0.13455271333561</v>
      </c>
      <c r="AD2357" s="90">
        <v>244.94247030147301</v>
      </c>
      <c r="AF2357" s="90">
        <v>-1</v>
      </c>
      <c r="AG2357" s="90">
        <v>-1</v>
      </c>
      <c r="AH2357" s="90">
        <v>-1</v>
      </c>
      <c r="AI2357" s="90">
        <v>-1</v>
      </c>
      <c r="AJ2357" s="90">
        <v>0</v>
      </c>
      <c r="AM2357" s="90" t="s">
        <v>379</v>
      </c>
      <c r="AN2357" s="90">
        <v>-1</v>
      </c>
      <c r="AQ2357" s="90">
        <v>358</v>
      </c>
      <c r="AR2357" s="90" t="s">
        <v>422</v>
      </c>
      <c r="AS2357" s="90" t="s">
        <v>250</v>
      </c>
      <c r="AT2357" s="90" t="s">
        <v>244</v>
      </c>
      <c r="AU2357" s="90">
        <v>86.412649999999999</v>
      </c>
      <c r="AV2357" s="90">
        <v>76.581439928551106</v>
      </c>
      <c r="AW2357" s="90">
        <v>263.74465086176502</v>
      </c>
      <c r="AX2357" s="90">
        <v>0.1986556937</v>
      </c>
    </row>
    <row r="2358" spans="1:50" x14ac:dyDescent="0.25">
      <c r="A2358" s="102">
        <v>830000</v>
      </c>
      <c r="B2358" s="102">
        <v>2400000</v>
      </c>
      <c r="C2358" s="102">
        <v>2400000</v>
      </c>
      <c r="D2358" s="90" t="s">
        <v>374</v>
      </c>
      <c r="E2358" s="90" t="s">
        <v>68</v>
      </c>
      <c r="F2358" s="90" t="s">
        <v>375</v>
      </c>
      <c r="G2358" s="90" t="s">
        <v>376</v>
      </c>
      <c r="H2358" s="90">
        <v>0.59</v>
      </c>
      <c r="I2358" s="90">
        <v>0.64</v>
      </c>
      <c r="J2358" s="90" t="s">
        <v>244</v>
      </c>
      <c r="K2358" s="90">
        <v>3.4352575971399999E-3</v>
      </c>
      <c r="L2358" s="90">
        <v>3758.3587224204002</v>
      </c>
      <c r="M2358" s="90">
        <v>10.773029788868399</v>
      </c>
      <c r="N2358" s="90">
        <v>2.0645556614491798</v>
      </c>
      <c r="O2358" s="90">
        <v>3.7008132426440001E-2</v>
      </c>
      <c r="P2358" s="90">
        <v>7.0922805207099997E-3</v>
      </c>
      <c r="Q2358" s="90">
        <v>12.9109303539795</v>
      </c>
      <c r="R2358" s="90">
        <v>1330</v>
      </c>
      <c r="S2358" s="90" t="s">
        <v>397</v>
      </c>
      <c r="T2358" s="90">
        <v>1330</v>
      </c>
      <c r="U2358" s="90" t="s">
        <v>378</v>
      </c>
      <c r="V2358" s="90" t="s">
        <v>244</v>
      </c>
      <c r="Z2358" s="90">
        <v>0</v>
      </c>
      <c r="AA2358" s="90">
        <v>1</v>
      </c>
      <c r="AB2358" s="90">
        <v>3.7008132426440001E-2</v>
      </c>
      <c r="AC2358" s="90">
        <v>7.0922805207099997E-3</v>
      </c>
      <c r="AD2358" s="90">
        <v>12.9109303539793</v>
      </c>
      <c r="AF2358" s="90">
        <v>-1</v>
      </c>
      <c r="AG2358" s="90">
        <v>-1</v>
      </c>
      <c r="AH2358" s="90">
        <v>-1</v>
      </c>
      <c r="AI2358" s="90">
        <v>-1</v>
      </c>
      <c r="AJ2358" s="90">
        <v>0</v>
      </c>
      <c r="AM2358" s="90" t="s">
        <v>379</v>
      </c>
      <c r="AN2358" s="90">
        <v>-1</v>
      </c>
      <c r="AQ2358" s="90">
        <v>358</v>
      </c>
      <c r="AR2358" s="90" t="s">
        <v>422</v>
      </c>
      <c r="AS2358" s="90" t="s">
        <v>250</v>
      </c>
      <c r="AT2358" s="90" t="s">
        <v>244</v>
      </c>
      <c r="AU2358" s="90">
        <v>86.412649999999999</v>
      </c>
      <c r="AV2358" s="90">
        <v>59.768228941403699</v>
      </c>
      <c r="AW2358" s="90">
        <v>13.901994269592199</v>
      </c>
      <c r="AX2358" s="90">
        <v>1.04711519E-2</v>
      </c>
    </row>
    <row r="2359" spans="1:50" x14ac:dyDescent="0.25">
      <c r="A2359" s="102">
        <v>830000</v>
      </c>
      <c r="B2359" s="102">
        <v>2400000</v>
      </c>
      <c r="C2359" s="102">
        <v>2400000</v>
      </c>
      <c r="D2359" s="90" t="s">
        <v>374</v>
      </c>
      <c r="E2359" s="90" t="s">
        <v>68</v>
      </c>
      <c r="F2359" s="90" t="s">
        <v>375</v>
      </c>
      <c r="G2359" s="90" t="s">
        <v>376</v>
      </c>
      <c r="H2359" s="90">
        <v>0.59</v>
      </c>
      <c r="I2359" s="90">
        <v>0.64</v>
      </c>
      <c r="J2359" s="90" t="s">
        <v>244</v>
      </c>
      <c r="K2359" s="90">
        <v>0.30015128484133002</v>
      </c>
      <c r="L2359" s="90">
        <v>3739.8317794580598</v>
      </c>
      <c r="M2359" s="90">
        <v>9.7171496630633598</v>
      </c>
      <c r="N2359" s="90">
        <v>1.28887736527674</v>
      </c>
      <c r="O2359" s="90">
        <v>2.91661495636398</v>
      </c>
      <c r="P2359" s="90">
        <v>0.38685819719072001</v>
      </c>
      <c r="Q2359" s="90">
        <v>1122.5153136947799</v>
      </c>
      <c r="R2359" s="90">
        <v>1400</v>
      </c>
      <c r="S2359" s="90" t="s">
        <v>324</v>
      </c>
      <c r="T2359" s="90">
        <v>1400</v>
      </c>
      <c r="U2359" s="90" t="s">
        <v>378</v>
      </c>
      <c r="V2359" s="90" t="s">
        <v>244</v>
      </c>
      <c r="Z2359" s="90">
        <v>0</v>
      </c>
      <c r="AA2359" s="90">
        <v>1</v>
      </c>
      <c r="AB2359" s="90">
        <v>2.91661495636398</v>
      </c>
      <c r="AC2359" s="90">
        <v>0.38685819719072001</v>
      </c>
      <c r="AD2359" s="90">
        <v>1122.5153136947799</v>
      </c>
      <c r="AF2359" s="90">
        <v>-1</v>
      </c>
      <c r="AG2359" s="90">
        <v>-1</v>
      </c>
      <c r="AH2359" s="90">
        <v>-1</v>
      </c>
      <c r="AI2359" s="90">
        <v>-1</v>
      </c>
      <c r="AJ2359" s="90">
        <v>0</v>
      </c>
      <c r="AM2359" s="90" t="s">
        <v>379</v>
      </c>
      <c r="AN2359" s="90">
        <v>-1</v>
      </c>
      <c r="AQ2359" s="90">
        <v>358</v>
      </c>
      <c r="AR2359" s="90" t="s">
        <v>422</v>
      </c>
      <c r="AS2359" s="90" t="s">
        <v>250</v>
      </c>
      <c r="AT2359" s="90" t="s">
        <v>244</v>
      </c>
      <c r="AU2359" s="90">
        <v>86.412649999999999</v>
      </c>
      <c r="AV2359" s="90">
        <v>198.23855375342501</v>
      </c>
      <c r="AW2359" s="90">
        <v>1214.6691547517501</v>
      </c>
      <c r="AX2359" s="90">
        <v>0.91039360400000002</v>
      </c>
    </row>
    <row r="2360" spans="1:50" x14ac:dyDescent="0.25">
      <c r="A2360" s="102">
        <v>830000</v>
      </c>
      <c r="B2360" s="102">
        <v>2400000</v>
      </c>
      <c r="C2360" s="102">
        <v>2400000</v>
      </c>
      <c r="D2360" s="90" t="s">
        <v>374</v>
      </c>
      <c r="E2360" s="90" t="s">
        <v>68</v>
      </c>
      <c r="F2360" s="90" t="s">
        <v>375</v>
      </c>
      <c r="G2360" s="90" t="s">
        <v>376</v>
      </c>
      <c r="H2360" s="90">
        <v>0.59</v>
      </c>
      <c r="I2360" s="90">
        <v>0.64</v>
      </c>
      <c r="J2360" s="90" t="s">
        <v>244</v>
      </c>
      <c r="K2360" s="90">
        <v>0.14463444472570999</v>
      </c>
      <c r="L2360" s="90">
        <v>3779.8564067151701</v>
      </c>
      <c r="M2360" s="90">
        <v>11.612850410181199</v>
      </c>
      <c r="N2360" s="90">
        <v>1.5331968046688</v>
      </c>
      <c r="O2360" s="90">
        <v>1.6796181707593001</v>
      </c>
      <c r="P2360" s="90">
        <v>0.22175306849849999</v>
      </c>
      <c r="Q2360" s="90">
        <v>546.69743252816602</v>
      </c>
      <c r="R2360" s="90">
        <v>1400</v>
      </c>
      <c r="S2360" s="90" t="s">
        <v>324</v>
      </c>
      <c r="T2360" s="90">
        <v>1400</v>
      </c>
      <c r="U2360" s="90" t="s">
        <v>378</v>
      </c>
      <c r="V2360" s="90" t="s">
        <v>244</v>
      </c>
      <c r="Z2360" s="90">
        <v>0</v>
      </c>
      <c r="AA2360" s="90">
        <v>1</v>
      </c>
      <c r="AB2360" s="90">
        <v>1.6796181707593001</v>
      </c>
      <c r="AC2360" s="90">
        <v>0.22175306849849999</v>
      </c>
      <c r="AD2360" s="90">
        <v>546.69743252816602</v>
      </c>
      <c r="AF2360" s="90">
        <v>-1</v>
      </c>
      <c r="AG2360" s="90">
        <v>-1</v>
      </c>
      <c r="AH2360" s="90">
        <v>-1</v>
      </c>
      <c r="AI2360" s="90">
        <v>-1</v>
      </c>
      <c r="AJ2360" s="90">
        <v>0</v>
      </c>
      <c r="AM2360" s="90" t="s">
        <v>379</v>
      </c>
      <c r="AN2360" s="90">
        <v>-1</v>
      </c>
      <c r="AQ2360" s="90">
        <v>358</v>
      </c>
      <c r="AR2360" s="90" t="s">
        <v>422</v>
      </c>
      <c r="AS2360" s="90" t="s">
        <v>250</v>
      </c>
      <c r="AT2360" s="90" t="s">
        <v>244</v>
      </c>
      <c r="AU2360" s="90">
        <v>86.412649999999999</v>
      </c>
      <c r="AV2360" s="90">
        <v>104.202780987346</v>
      </c>
      <c r="AW2360" s="90">
        <v>585.31483153849695</v>
      </c>
      <c r="AX2360" s="90">
        <v>0.44338802309999997</v>
      </c>
    </row>
    <row r="2361" spans="1:50" x14ac:dyDescent="0.25">
      <c r="A2361" s="102">
        <v>830000</v>
      </c>
      <c r="B2361" s="102">
        <v>2400000</v>
      </c>
      <c r="C2361" s="102">
        <v>2400000</v>
      </c>
      <c r="D2361" s="90" t="s">
        <v>374</v>
      </c>
      <c r="E2361" s="90" t="s">
        <v>68</v>
      </c>
      <c r="F2361" s="90" t="s">
        <v>375</v>
      </c>
      <c r="G2361" s="90" t="s">
        <v>376</v>
      </c>
      <c r="H2361" s="90">
        <v>0.59</v>
      </c>
      <c r="I2361" s="90">
        <v>0.64</v>
      </c>
      <c r="J2361" s="90" t="s">
        <v>381</v>
      </c>
      <c r="K2361" s="90">
        <v>0.18134127220428001</v>
      </c>
      <c r="L2361" s="90">
        <v>3779.8564067151701</v>
      </c>
      <c r="M2361" s="90">
        <v>11.612850410181199</v>
      </c>
      <c r="N2361" s="90">
        <v>1.5331968046688</v>
      </c>
      <c r="O2361" s="90">
        <v>2.1058890673003501</v>
      </c>
      <c r="P2361" s="90">
        <v>0.27803185909819</v>
      </c>
      <c r="Q2361" s="90">
        <v>685.44396954325703</v>
      </c>
      <c r="R2361" s="90">
        <v>1400</v>
      </c>
      <c r="S2361" s="90" t="s">
        <v>324</v>
      </c>
      <c r="T2361" s="90">
        <v>1400</v>
      </c>
      <c r="U2361" s="90" t="s">
        <v>382</v>
      </c>
      <c r="V2361" s="90" t="s">
        <v>381</v>
      </c>
      <c r="Z2361" s="90">
        <v>0</v>
      </c>
      <c r="AA2361" s="90">
        <v>1</v>
      </c>
      <c r="AB2361" s="90">
        <v>2.1058890673003501</v>
      </c>
      <c r="AC2361" s="90">
        <v>0.27803185909819</v>
      </c>
      <c r="AD2361" s="90">
        <v>685.44396954325703</v>
      </c>
      <c r="AF2361" s="90">
        <v>-1</v>
      </c>
      <c r="AG2361" s="90">
        <v>-1</v>
      </c>
      <c r="AH2361" s="90">
        <v>-1</v>
      </c>
      <c r="AI2361" s="90">
        <v>-1</v>
      </c>
      <c r="AJ2361" s="90">
        <v>0</v>
      </c>
      <c r="AM2361" s="90" t="s">
        <v>379</v>
      </c>
      <c r="AN2361" s="90">
        <v>-1</v>
      </c>
      <c r="AQ2361" s="90">
        <v>358</v>
      </c>
      <c r="AR2361" s="90" t="s">
        <v>422</v>
      </c>
      <c r="AS2361" s="90" t="s">
        <v>250</v>
      </c>
      <c r="AT2361" s="90" t="s">
        <v>244</v>
      </c>
      <c r="AU2361" s="90">
        <v>86.412649999999999</v>
      </c>
      <c r="AV2361" s="90">
        <v>129.489849906709</v>
      </c>
      <c r="AW2361" s="90">
        <v>733.86209206611102</v>
      </c>
      <c r="AX2361" s="90">
        <v>0.55591562819999996</v>
      </c>
    </row>
    <row r="2362" spans="1:50" x14ac:dyDescent="0.25">
      <c r="A2362" s="102">
        <v>830000</v>
      </c>
      <c r="B2362" s="102">
        <v>2400000</v>
      </c>
      <c r="C2362" s="102">
        <v>2400000</v>
      </c>
      <c r="D2362" s="90" t="s">
        <v>374</v>
      </c>
      <c r="E2362" s="90" t="s">
        <v>68</v>
      </c>
      <c r="F2362" s="90" t="s">
        <v>375</v>
      </c>
      <c r="G2362" s="90" t="s">
        <v>376</v>
      </c>
      <c r="H2362" s="90">
        <v>0.59</v>
      </c>
      <c r="I2362" s="90">
        <v>0.64</v>
      </c>
      <c r="J2362" s="90" t="s">
        <v>244</v>
      </c>
      <c r="K2362" s="90">
        <v>2.528001685569E-2</v>
      </c>
      <c r="L2362" s="90">
        <v>3779.8564067151701</v>
      </c>
      <c r="M2362" s="90">
        <v>11.612850410181199</v>
      </c>
      <c r="N2362" s="90">
        <v>1.5331968046688</v>
      </c>
      <c r="O2362" s="90">
        <v>0.29357305411208001</v>
      </c>
      <c r="P2362" s="90">
        <v>3.8759241065129998E-2</v>
      </c>
      <c r="Q2362" s="90">
        <v>95.554833673877496</v>
      </c>
      <c r="R2362" s="90">
        <v>1410</v>
      </c>
      <c r="S2362" s="90" t="s">
        <v>325</v>
      </c>
      <c r="T2362" s="90">
        <v>1410</v>
      </c>
      <c r="U2362" s="90" t="s">
        <v>378</v>
      </c>
      <c r="V2362" s="90" t="s">
        <v>244</v>
      </c>
      <c r="Z2362" s="90">
        <v>0</v>
      </c>
      <c r="AA2362" s="90">
        <v>1</v>
      </c>
      <c r="AB2362" s="90">
        <v>0.29357305411208001</v>
      </c>
      <c r="AC2362" s="90">
        <v>3.8759241065129998E-2</v>
      </c>
      <c r="AD2362" s="90">
        <v>95.554833673878704</v>
      </c>
      <c r="AF2362" s="90">
        <v>-1</v>
      </c>
      <c r="AG2362" s="90">
        <v>-1</v>
      </c>
      <c r="AH2362" s="90">
        <v>-1</v>
      </c>
      <c r="AI2362" s="90">
        <v>-1</v>
      </c>
      <c r="AJ2362" s="90">
        <v>0</v>
      </c>
      <c r="AM2362" s="90" t="s">
        <v>379</v>
      </c>
      <c r="AN2362" s="90">
        <v>-1</v>
      </c>
      <c r="AQ2362" s="90">
        <v>358</v>
      </c>
      <c r="AR2362" s="90" t="s">
        <v>422</v>
      </c>
      <c r="AS2362" s="90" t="s">
        <v>250</v>
      </c>
      <c r="AT2362" s="90" t="s">
        <v>244</v>
      </c>
      <c r="AU2362" s="90">
        <v>86.412649999999999</v>
      </c>
      <c r="AV2362" s="90">
        <v>75.234811939513804</v>
      </c>
      <c r="AW2362" s="90">
        <v>102.304598570862</v>
      </c>
      <c r="AX2362" s="90">
        <v>7.74978375E-2</v>
      </c>
    </row>
    <row r="2363" spans="1:50" x14ac:dyDescent="0.25">
      <c r="A2363" s="102">
        <v>830000</v>
      </c>
      <c r="B2363" s="102">
        <v>2400000</v>
      </c>
      <c r="C2363" s="102">
        <v>2400000</v>
      </c>
      <c r="D2363" s="90" t="s">
        <v>374</v>
      </c>
      <c r="E2363" s="90" t="s">
        <v>68</v>
      </c>
      <c r="F2363" s="90" t="s">
        <v>375</v>
      </c>
      <c r="G2363" s="90" t="s">
        <v>376</v>
      </c>
      <c r="H2363" s="90">
        <v>0.59</v>
      </c>
      <c r="I2363" s="90">
        <v>0.64</v>
      </c>
      <c r="J2363" s="90" t="s">
        <v>381</v>
      </c>
      <c r="K2363" s="90">
        <v>6.3552707400000005E-5</v>
      </c>
      <c r="L2363" s="90">
        <v>3779.8564067151701</v>
      </c>
      <c r="M2363" s="90">
        <v>11.612850410181199</v>
      </c>
      <c r="N2363" s="90">
        <v>1.5331968046688</v>
      </c>
      <c r="O2363" s="90">
        <v>7.3802808428999995E-4</v>
      </c>
      <c r="P2363" s="90">
        <v>9.7438807919999996E-5</v>
      </c>
      <c r="Q2363" s="90">
        <v>0.24022010826022</v>
      </c>
      <c r="R2363" s="90">
        <v>1410</v>
      </c>
      <c r="S2363" s="90" t="s">
        <v>325</v>
      </c>
      <c r="T2363" s="90">
        <v>1410</v>
      </c>
      <c r="U2363" s="90" t="s">
        <v>382</v>
      </c>
      <c r="V2363" s="90" t="s">
        <v>381</v>
      </c>
      <c r="Z2363" s="90">
        <v>0</v>
      </c>
      <c r="AA2363" s="90">
        <v>1</v>
      </c>
      <c r="AB2363" s="90">
        <v>7.3802808428999995E-4</v>
      </c>
      <c r="AC2363" s="90">
        <v>9.7438807919999996E-5</v>
      </c>
      <c r="AD2363" s="90">
        <v>0.24022010826098</v>
      </c>
      <c r="AF2363" s="90">
        <v>-1</v>
      </c>
      <c r="AG2363" s="90">
        <v>-1</v>
      </c>
      <c r="AH2363" s="90">
        <v>-1</v>
      </c>
      <c r="AI2363" s="90">
        <v>-1</v>
      </c>
      <c r="AJ2363" s="90">
        <v>0</v>
      </c>
      <c r="AM2363" s="90" t="s">
        <v>379</v>
      </c>
      <c r="AN2363" s="90">
        <v>-1</v>
      </c>
      <c r="AQ2363" s="90">
        <v>358</v>
      </c>
      <c r="AR2363" s="90" t="s">
        <v>422</v>
      </c>
      <c r="AS2363" s="90" t="s">
        <v>250</v>
      </c>
      <c r="AT2363" s="90" t="s">
        <v>244</v>
      </c>
      <c r="AU2363" s="90">
        <v>86.412649999999999</v>
      </c>
      <c r="AV2363" s="90">
        <v>3.5662134313067</v>
      </c>
      <c r="AW2363" s="90">
        <v>0.25718868213578</v>
      </c>
      <c r="AX2363" s="90">
        <v>1.948257E-4</v>
      </c>
    </row>
    <row r="2364" spans="1:50" x14ac:dyDescent="0.25">
      <c r="A2364" s="102">
        <v>830000</v>
      </c>
      <c r="B2364" s="102">
        <v>2400000</v>
      </c>
      <c r="C2364" s="102">
        <v>2400000</v>
      </c>
      <c r="D2364" s="90" t="s">
        <v>374</v>
      </c>
      <c r="E2364" s="90" t="s">
        <v>68</v>
      </c>
      <c r="F2364" s="90" t="s">
        <v>375</v>
      </c>
      <c r="G2364" s="90" t="s">
        <v>376</v>
      </c>
      <c r="H2364" s="90">
        <v>0.59</v>
      </c>
      <c r="I2364" s="90">
        <v>0.64</v>
      </c>
      <c r="J2364" s="90" t="s">
        <v>244</v>
      </c>
      <c r="K2364" s="90">
        <v>0.26523712882361999</v>
      </c>
      <c r="L2364" s="90">
        <v>3779.8564067151701</v>
      </c>
      <c r="M2364" s="90">
        <v>11.612850410181199</v>
      </c>
      <c r="N2364" s="90">
        <v>1.5331968046688</v>
      </c>
      <c r="O2364" s="90">
        <v>3.0801591002547299</v>
      </c>
      <c r="P2364" s="90">
        <v>0.40666071839190998</v>
      </c>
      <c r="Q2364" s="90">
        <v>1002.5582606827101</v>
      </c>
      <c r="R2364" s="90">
        <v>1410</v>
      </c>
      <c r="S2364" s="90" t="s">
        <v>325</v>
      </c>
      <c r="T2364" s="90">
        <v>1410</v>
      </c>
      <c r="U2364" s="90" t="s">
        <v>378</v>
      </c>
      <c r="V2364" s="90" t="s">
        <v>244</v>
      </c>
      <c r="Z2364" s="90">
        <v>0</v>
      </c>
      <c r="AA2364" s="90">
        <v>1</v>
      </c>
      <c r="AB2364" s="90">
        <v>3.0801591002547299</v>
      </c>
      <c r="AC2364" s="90">
        <v>0.40666071839190998</v>
      </c>
      <c r="AD2364" s="90">
        <v>1002.5582606827101</v>
      </c>
      <c r="AF2364" s="90">
        <v>-1</v>
      </c>
      <c r="AG2364" s="90">
        <v>-1</v>
      </c>
      <c r="AH2364" s="90">
        <v>-1</v>
      </c>
      <c r="AI2364" s="90">
        <v>-1</v>
      </c>
      <c r="AJ2364" s="90">
        <v>0</v>
      </c>
      <c r="AM2364" s="90" t="s">
        <v>379</v>
      </c>
      <c r="AN2364" s="90">
        <v>-1</v>
      </c>
      <c r="AQ2364" s="90">
        <v>358</v>
      </c>
      <c r="AR2364" s="90" t="s">
        <v>422</v>
      </c>
      <c r="AS2364" s="90" t="s">
        <v>250</v>
      </c>
      <c r="AT2364" s="90" t="s">
        <v>244</v>
      </c>
      <c r="AU2364" s="90">
        <v>86.412649999999999</v>
      </c>
      <c r="AV2364" s="90">
        <v>131.46842025520701</v>
      </c>
      <c r="AW2364" s="90">
        <v>1073.37657823882</v>
      </c>
      <c r="AX2364" s="90">
        <v>0.81310483430000002</v>
      </c>
    </row>
    <row r="2365" spans="1:50" x14ac:dyDescent="0.25">
      <c r="A2365" s="102">
        <v>830000</v>
      </c>
      <c r="B2365" s="102">
        <v>2400000</v>
      </c>
      <c r="C2365" s="102">
        <v>2400000</v>
      </c>
      <c r="D2365" s="90" t="s">
        <v>374</v>
      </c>
      <c r="E2365" s="90" t="s">
        <v>68</v>
      </c>
      <c r="F2365" s="90" t="s">
        <v>375</v>
      </c>
      <c r="G2365" s="90" t="s">
        <v>376</v>
      </c>
      <c r="H2365" s="90">
        <v>0.59</v>
      </c>
      <c r="I2365" s="90">
        <v>0.64</v>
      </c>
      <c r="J2365" s="90" t="s">
        <v>381</v>
      </c>
      <c r="K2365" s="90">
        <v>1.2070383511799999E-3</v>
      </c>
      <c r="L2365" s="90">
        <v>3779.8564067151701</v>
      </c>
      <c r="M2365" s="90">
        <v>11.612850410181199</v>
      </c>
      <c r="N2365" s="90">
        <v>1.5331968046688</v>
      </c>
      <c r="O2365" s="90">
        <v>1.401715581164E-2</v>
      </c>
      <c r="P2365" s="90">
        <v>1.85062734314E-3</v>
      </c>
      <c r="Q2365" s="90">
        <v>4.56243164486997</v>
      </c>
      <c r="R2365" s="90">
        <v>1410</v>
      </c>
      <c r="S2365" s="90" t="s">
        <v>325</v>
      </c>
      <c r="T2365" s="90">
        <v>1410</v>
      </c>
      <c r="U2365" s="90" t="s">
        <v>382</v>
      </c>
      <c r="V2365" s="90" t="s">
        <v>381</v>
      </c>
      <c r="Z2365" s="90">
        <v>0</v>
      </c>
      <c r="AA2365" s="90">
        <v>1</v>
      </c>
      <c r="AB2365" s="90">
        <v>1.401715581164E-2</v>
      </c>
      <c r="AC2365" s="90">
        <v>1.85062734314E-3</v>
      </c>
      <c r="AD2365" s="90">
        <v>4.5624316448714799</v>
      </c>
      <c r="AF2365" s="90">
        <v>-1</v>
      </c>
      <c r="AG2365" s="90">
        <v>-1</v>
      </c>
      <c r="AH2365" s="90">
        <v>-1</v>
      </c>
      <c r="AI2365" s="90">
        <v>-1</v>
      </c>
      <c r="AJ2365" s="90">
        <v>0</v>
      </c>
      <c r="AM2365" s="90" t="s">
        <v>379</v>
      </c>
      <c r="AN2365" s="90">
        <v>-1</v>
      </c>
      <c r="AQ2365" s="90">
        <v>358</v>
      </c>
      <c r="AR2365" s="90" t="s">
        <v>422</v>
      </c>
      <c r="AS2365" s="90" t="s">
        <v>250</v>
      </c>
      <c r="AT2365" s="90" t="s">
        <v>244</v>
      </c>
      <c r="AU2365" s="90">
        <v>86.412649999999999</v>
      </c>
      <c r="AV2365" s="90">
        <v>62.013838573331299</v>
      </c>
      <c r="AW2365" s="90">
        <v>4.8847109035696503</v>
      </c>
      <c r="AX2365" s="90">
        <v>3.700269E-3</v>
      </c>
    </row>
    <row r="2366" spans="1:50" x14ac:dyDescent="0.25">
      <c r="A2366" s="102">
        <v>830000</v>
      </c>
      <c r="B2366" s="102">
        <v>2400000</v>
      </c>
      <c r="C2366" s="102">
        <v>2400000</v>
      </c>
      <c r="D2366" s="90" t="s">
        <v>374</v>
      </c>
      <c r="E2366" s="90" t="s">
        <v>68</v>
      </c>
      <c r="F2366" s="90" t="s">
        <v>375</v>
      </c>
      <c r="G2366" s="90" t="s">
        <v>376</v>
      </c>
      <c r="H2366" s="90">
        <v>0.59</v>
      </c>
      <c r="I2366" s="90">
        <v>0.64</v>
      </c>
      <c r="J2366" s="90" t="s">
        <v>244</v>
      </c>
      <c r="K2366" s="90">
        <v>2.2220897277710001E-2</v>
      </c>
      <c r="L2366" s="90">
        <v>3658.0058763699899</v>
      </c>
      <c r="M2366" s="90">
        <v>8.6960428537051406</v>
      </c>
      <c r="N2366" s="90">
        <v>1.42578221936369</v>
      </c>
      <c r="O2366" s="90">
        <v>0.19323387497479</v>
      </c>
      <c r="P2366" s="90">
        <v>3.1682160236869997E-2</v>
      </c>
      <c r="Q2366" s="90">
        <v>81.284172820099002</v>
      </c>
      <c r="R2366" s="90">
        <v>1100</v>
      </c>
      <c r="S2366" s="90" t="s">
        <v>424</v>
      </c>
      <c r="T2366" s="90">
        <v>1100</v>
      </c>
      <c r="U2366" s="90" t="s">
        <v>378</v>
      </c>
      <c r="V2366" s="90" t="s">
        <v>244</v>
      </c>
      <c r="Z2366" s="90">
        <v>0</v>
      </c>
      <c r="AA2366" s="90">
        <v>1</v>
      </c>
      <c r="AB2366" s="90">
        <v>0.19323387497479</v>
      </c>
      <c r="AC2366" s="90">
        <v>3.1682160236869997E-2</v>
      </c>
      <c r="AD2366" s="90">
        <v>81.284172820098604</v>
      </c>
      <c r="AF2366" s="90">
        <v>-1</v>
      </c>
      <c r="AG2366" s="90">
        <v>-1</v>
      </c>
      <c r="AH2366" s="90">
        <v>-1</v>
      </c>
      <c r="AI2366" s="90">
        <v>-1</v>
      </c>
      <c r="AJ2366" s="90">
        <v>0</v>
      </c>
      <c r="AM2366" s="90" t="s">
        <v>379</v>
      </c>
      <c r="AN2366" s="90">
        <v>-1</v>
      </c>
      <c r="AQ2366" s="90">
        <v>358</v>
      </c>
      <c r="AR2366" s="90" t="s">
        <v>422</v>
      </c>
      <c r="AS2366" s="90" t="s">
        <v>250</v>
      </c>
      <c r="AT2366" s="90" t="s">
        <v>244</v>
      </c>
      <c r="AU2366" s="90">
        <v>86.412649999999999</v>
      </c>
      <c r="AV2366" s="90">
        <v>44.071129686277899</v>
      </c>
      <c r="AW2366" s="90">
        <v>89.924780859815101</v>
      </c>
      <c r="AX2366" s="90">
        <v>6.5923903300000003E-2</v>
      </c>
    </row>
    <row r="2367" spans="1:50" x14ac:dyDescent="0.25">
      <c r="A2367" s="102">
        <v>830000</v>
      </c>
      <c r="B2367" s="102">
        <v>2400000</v>
      </c>
      <c r="C2367" s="102">
        <v>2400000</v>
      </c>
      <c r="D2367" s="90" t="s">
        <v>374</v>
      </c>
      <c r="E2367" s="90" t="s">
        <v>68</v>
      </c>
      <c r="F2367" s="90" t="s">
        <v>375</v>
      </c>
      <c r="G2367" s="90" t="s">
        <v>376</v>
      </c>
      <c r="H2367" s="90">
        <v>0.59</v>
      </c>
      <c r="I2367" s="90">
        <v>0.64</v>
      </c>
      <c r="J2367" s="90" t="s">
        <v>244</v>
      </c>
      <c r="K2367" s="90">
        <v>0.16977347269063001</v>
      </c>
      <c r="L2367" s="90">
        <v>3658.0058763699899</v>
      </c>
      <c r="M2367" s="90">
        <v>8.6960428537051406</v>
      </c>
      <c r="N2367" s="90">
        <v>1.42578221936369</v>
      </c>
      <c r="O2367" s="90">
        <v>1.47635739394011</v>
      </c>
      <c r="P2367" s="90">
        <v>0.24205999868193001</v>
      </c>
      <c r="Q2367" s="90">
        <v>621.03236075408597</v>
      </c>
      <c r="R2367" s="90">
        <v>1300</v>
      </c>
      <c r="S2367" s="90" t="s">
        <v>387</v>
      </c>
      <c r="T2367" s="90">
        <v>1300</v>
      </c>
      <c r="U2367" s="90" t="s">
        <v>378</v>
      </c>
      <c r="V2367" s="90" t="s">
        <v>244</v>
      </c>
      <c r="Z2367" s="90">
        <v>0</v>
      </c>
      <c r="AA2367" s="90">
        <v>1</v>
      </c>
      <c r="AB2367" s="90">
        <v>1.47635739394011</v>
      </c>
      <c r="AC2367" s="90">
        <v>0.24205999868193001</v>
      </c>
      <c r="AD2367" s="90">
        <v>706.39935959064098</v>
      </c>
      <c r="AF2367" s="90">
        <v>-1</v>
      </c>
      <c r="AG2367" s="90">
        <v>-1</v>
      </c>
      <c r="AH2367" s="90">
        <v>-1</v>
      </c>
      <c r="AI2367" s="90">
        <v>-1</v>
      </c>
      <c r="AJ2367" s="90">
        <v>0</v>
      </c>
      <c r="AM2367" s="90" t="s">
        <v>379</v>
      </c>
      <c r="AN2367" s="90">
        <v>-1</v>
      </c>
      <c r="AQ2367" s="90">
        <v>358</v>
      </c>
      <c r="AR2367" s="90" t="s">
        <v>422</v>
      </c>
      <c r="AS2367" s="90" t="s">
        <v>250</v>
      </c>
      <c r="AT2367" s="90" t="s">
        <v>244</v>
      </c>
      <c r="AU2367" s="90">
        <v>86.412649999999999</v>
      </c>
      <c r="AV2367" s="90">
        <v>120.371796897496</v>
      </c>
      <c r="AW2367" s="90">
        <v>687.04886831124895</v>
      </c>
      <c r="AX2367" s="90">
        <v>0.57291107829999999</v>
      </c>
    </row>
    <row r="2368" spans="1:50" x14ac:dyDescent="0.25">
      <c r="A2368" s="102">
        <v>830000</v>
      </c>
      <c r="B2368" s="102">
        <v>2400000</v>
      </c>
      <c r="C2368" s="102">
        <v>2400000</v>
      </c>
      <c r="D2368" s="90" t="s">
        <v>374</v>
      </c>
      <c r="E2368" s="90" t="s">
        <v>68</v>
      </c>
      <c r="F2368" s="90" t="s">
        <v>375</v>
      </c>
      <c r="G2368" s="90" t="s">
        <v>376</v>
      </c>
      <c r="H2368" s="90">
        <v>0.59</v>
      </c>
      <c r="I2368" s="90">
        <v>0.64</v>
      </c>
      <c r="J2368" s="90" t="s">
        <v>389</v>
      </c>
      <c r="K2368" s="90">
        <v>6.2611406201430006E-2</v>
      </c>
      <c r="L2368" s="90">
        <v>3658.0058763699899</v>
      </c>
      <c r="M2368" s="90">
        <v>8.6960428537051406</v>
      </c>
      <c r="N2368" s="90">
        <v>1.42578221936369</v>
      </c>
      <c r="O2368" s="90">
        <v>0.54447147145841002</v>
      </c>
      <c r="P2368" s="90">
        <v>8.9270229691360004E-2</v>
      </c>
      <c r="Q2368" s="90">
        <v>229.03289181263699</v>
      </c>
      <c r="R2368" s="90">
        <v>4340</v>
      </c>
      <c r="S2368" s="90" t="s">
        <v>404</v>
      </c>
      <c r="T2368" s="90">
        <v>4340</v>
      </c>
      <c r="U2368" s="90" t="s">
        <v>378</v>
      </c>
      <c r="V2368" s="90" t="s">
        <v>244</v>
      </c>
      <c r="Y2368" s="90" t="s">
        <v>389</v>
      </c>
      <c r="Z2368" s="90">
        <v>0</v>
      </c>
      <c r="AA2368" s="90">
        <v>1</v>
      </c>
      <c r="AB2368" s="90">
        <v>0.54447147145841002</v>
      </c>
      <c r="AC2368" s="90">
        <v>8.9270229691360004E-2</v>
      </c>
      <c r="AD2368" s="90">
        <v>252.17467248678599</v>
      </c>
      <c r="AF2368" s="90">
        <v>-1</v>
      </c>
      <c r="AG2368" s="90">
        <v>-1</v>
      </c>
      <c r="AH2368" s="90">
        <v>-1</v>
      </c>
      <c r="AI2368" s="90">
        <v>-1</v>
      </c>
      <c r="AJ2368" s="90">
        <v>0</v>
      </c>
      <c r="AM2368" s="90" t="s">
        <v>379</v>
      </c>
      <c r="AN2368" s="90">
        <v>-1</v>
      </c>
      <c r="AQ2368" s="90">
        <v>358</v>
      </c>
      <c r="AR2368" s="90" t="s">
        <v>422</v>
      </c>
      <c r="AS2368" s="90" t="s">
        <v>250</v>
      </c>
      <c r="AT2368" s="90" t="s">
        <v>244</v>
      </c>
      <c r="AU2368" s="90">
        <v>86.412649999999999</v>
      </c>
      <c r="AV2368" s="90">
        <v>76.685094795241994</v>
      </c>
      <c r="AW2368" s="90">
        <v>253.37937130177301</v>
      </c>
      <c r="AX2368" s="90">
        <v>0.2045212267</v>
      </c>
    </row>
    <row r="2369" spans="1:50" x14ac:dyDescent="0.25">
      <c r="A2369" s="102">
        <v>830000</v>
      </c>
      <c r="B2369" s="102">
        <v>2400000</v>
      </c>
      <c r="C2369" s="102">
        <v>2400000</v>
      </c>
      <c r="D2369" s="90" t="s">
        <v>374</v>
      </c>
      <c r="E2369" s="90" t="s">
        <v>68</v>
      </c>
      <c r="F2369" s="90" t="s">
        <v>375</v>
      </c>
      <c r="G2369" s="90" t="s">
        <v>376</v>
      </c>
      <c r="H2369" s="90">
        <v>0.59</v>
      </c>
      <c r="I2369" s="90">
        <v>0.64</v>
      </c>
      <c r="J2369" s="90" t="s">
        <v>244</v>
      </c>
      <c r="K2369" s="90">
        <v>1.1981537467650001E-2</v>
      </c>
      <c r="L2369" s="90">
        <v>3658.0058763699899</v>
      </c>
      <c r="M2369" s="90">
        <v>8.6960428537051406</v>
      </c>
      <c r="N2369" s="90">
        <v>1.42578221936369</v>
      </c>
      <c r="O2369" s="90">
        <v>0.104191963272</v>
      </c>
      <c r="P2369" s="90">
        <v>1.7083063082020001E-2</v>
      </c>
      <c r="Q2369" s="90">
        <v>43.8285344646292</v>
      </c>
      <c r="R2369" s="90">
        <v>1210</v>
      </c>
      <c r="S2369" s="90" t="s">
        <v>385</v>
      </c>
      <c r="T2369" s="90">
        <v>1210</v>
      </c>
      <c r="U2369" s="90" t="s">
        <v>378</v>
      </c>
      <c r="V2369" s="90" t="s">
        <v>244</v>
      </c>
      <c r="Z2369" s="90">
        <v>0</v>
      </c>
      <c r="AA2369" s="90">
        <v>1</v>
      </c>
      <c r="AB2369" s="90">
        <v>0.104191963272</v>
      </c>
      <c r="AC2369" s="90">
        <v>1.7083063082020001E-2</v>
      </c>
      <c r="AD2369" s="90">
        <v>43.828534464630302</v>
      </c>
      <c r="AF2369" s="90">
        <v>-1</v>
      </c>
      <c r="AG2369" s="90">
        <v>-1</v>
      </c>
      <c r="AH2369" s="90">
        <v>-1</v>
      </c>
      <c r="AI2369" s="90">
        <v>-1</v>
      </c>
      <c r="AJ2369" s="90">
        <v>0</v>
      </c>
      <c r="AM2369" s="90" t="s">
        <v>379</v>
      </c>
      <c r="AN2369" s="90">
        <v>-1</v>
      </c>
      <c r="AQ2369" s="90">
        <v>358</v>
      </c>
      <c r="AR2369" s="90" t="s">
        <v>422</v>
      </c>
      <c r="AS2369" s="90" t="s">
        <v>250</v>
      </c>
      <c r="AT2369" s="90" t="s">
        <v>244</v>
      </c>
      <c r="AU2369" s="90">
        <v>86.412649999999999</v>
      </c>
      <c r="AV2369" s="90">
        <v>39.384423092829103</v>
      </c>
      <c r="AW2369" s="90">
        <v>48.487561851206998</v>
      </c>
      <c r="AX2369" s="90">
        <v>3.5546256700000001E-2</v>
      </c>
    </row>
    <row r="2370" spans="1:50" x14ac:dyDescent="0.25">
      <c r="A2370" s="102">
        <v>830000</v>
      </c>
      <c r="B2370" s="102">
        <v>2400000</v>
      </c>
      <c r="C2370" s="102">
        <v>2400000</v>
      </c>
      <c r="D2370" s="90" t="s">
        <v>374</v>
      </c>
      <c r="E2370" s="90" t="s">
        <v>68</v>
      </c>
      <c r="F2370" s="90" t="s">
        <v>375</v>
      </c>
      <c r="G2370" s="90" t="s">
        <v>376</v>
      </c>
      <c r="H2370" s="90">
        <v>0.59</v>
      </c>
      <c r="I2370" s="90">
        <v>0.64</v>
      </c>
      <c r="J2370" s="90" t="s">
        <v>244</v>
      </c>
      <c r="K2370" s="90">
        <v>1.9524049540160002E-2</v>
      </c>
      <c r="L2370" s="90">
        <v>3658.0058763699899</v>
      </c>
      <c r="M2370" s="90">
        <v>8.6960428537051406</v>
      </c>
      <c r="N2370" s="90">
        <v>1.42578221936369</v>
      </c>
      <c r="O2370" s="90">
        <v>0.16978197147915999</v>
      </c>
      <c r="P2370" s="90">
        <v>2.7837042684340001E-2</v>
      </c>
      <c r="Q2370" s="90">
        <v>71.419087948473305</v>
      </c>
      <c r="R2370" s="90">
        <v>1210</v>
      </c>
      <c r="S2370" s="90" t="s">
        <v>385</v>
      </c>
      <c r="T2370" s="90">
        <v>1210</v>
      </c>
      <c r="U2370" s="90" t="s">
        <v>378</v>
      </c>
      <c r="V2370" s="90" t="s">
        <v>244</v>
      </c>
      <c r="Z2370" s="90">
        <v>0</v>
      </c>
      <c r="AA2370" s="90">
        <v>1</v>
      </c>
      <c r="AB2370" s="90">
        <v>0.16978197147915999</v>
      </c>
      <c r="AC2370" s="90">
        <v>2.7837042684340001E-2</v>
      </c>
      <c r="AD2370" s="90">
        <v>71.419087948474797</v>
      </c>
      <c r="AF2370" s="90">
        <v>-1</v>
      </c>
      <c r="AG2370" s="90">
        <v>-1</v>
      </c>
      <c r="AH2370" s="90">
        <v>-1</v>
      </c>
      <c r="AI2370" s="90">
        <v>-1</v>
      </c>
      <c r="AJ2370" s="90">
        <v>0</v>
      </c>
      <c r="AM2370" s="90" t="s">
        <v>379</v>
      </c>
      <c r="AN2370" s="90">
        <v>-1</v>
      </c>
      <c r="AQ2370" s="90">
        <v>358</v>
      </c>
      <c r="AR2370" s="90" t="s">
        <v>422</v>
      </c>
      <c r="AS2370" s="90" t="s">
        <v>250</v>
      </c>
      <c r="AT2370" s="90" t="s">
        <v>244</v>
      </c>
      <c r="AU2370" s="90">
        <v>86.412649999999999</v>
      </c>
      <c r="AV2370" s="90">
        <v>51.306193279423603</v>
      </c>
      <c r="AW2370" s="90">
        <v>79.011025272886101</v>
      </c>
      <c r="AX2370" s="90">
        <v>5.7923023499999997E-2</v>
      </c>
    </row>
    <row r="2371" spans="1:50" x14ac:dyDescent="0.25">
      <c r="A2371" s="102">
        <v>830000</v>
      </c>
      <c r="B2371" s="102">
        <v>2400000</v>
      </c>
      <c r="C2371" s="102">
        <v>2400000</v>
      </c>
      <c r="D2371" s="90" t="s">
        <v>374</v>
      </c>
      <c r="E2371" s="90" t="s">
        <v>68</v>
      </c>
      <c r="F2371" s="90" t="s">
        <v>375</v>
      </c>
      <c r="G2371" s="90" t="s">
        <v>376</v>
      </c>
      <c r="H2371" s="90">
        <v>0.59</v>
      </c>
      <c r="I2371" s="90">
        <v>0.64</v>
      </c>
      <c r="J2371" s="90" t="s">
        <v>381</v>
      </c>
      <c r="K2371" s="90">
        <v>3.5784258510000002E-5</v>
      </c>
      <c r="L2371" s="90">
        <v>3658.0058763699899</v>
      </c>
      <c r="M2371" s="90">
        <v>8.6960428537051406</v>
      </c>
      <c r="N2371" s="90">
        <v>1.42578221936369</v>
      </c>
      <c r="O2371" s="90">
        <v>3.1118144550000001E-4</v>
      </c>
      <c r="P2371" s="90">
        <v>5.102055951E-5</v>
      </c>
      <c r="Q2371" s="90">
        <v>0.13089902791478</v>
      </c>
      <c r="R2371" s="90">
        <v>1210</v>
      </c>
      <c r="S2371" s="90" t="s">
        <v>385</v>
      </c>
      <c r="T2371" s="90">
        <v>1210</v>
      </c>
      <c r="U2371" s="90" t="s">
        <v>382</v>
      </c>
      <c r="V2371" s="90" t="s">
        <v>381</v>
      </c>
      <c r="Z2371" s="90">
        <v>0</v>
      </c>
      <c r="AA2371" s="90">
        <v>1</v>
      </c>
      <c r="AB2371" s="90">
        <v>3.1118144550000001E-4</v>
      </c>
      <c r="AC2371" s="90">
        <v>5.102055951E-5</v>
      </c>
      <c r="AD2371" s="90">
        <v>0.13089902791491001</v>
      </c>
      <c r="AF2371" s="90">
        <v>-1</v>
      </c>
      <c r="AG2371" s="90">
        <v>-1</v>
      </c>
      <c r="AH2371" s="90">
        <v>-1</v>
      </c>
      <c r="AI2371" s="90">
        <v>-1</v>
      </c>
      <c r="AJ2371" s="90">
        <v>0</v>
      </c>
      <c r="AM2371" s="90" t="s">
        <v>379</v>
      </c>
      <c r="AN2371" s="90">
        <v>-1</v>
      </c>
      <c r="AQ2371" s="90">
        <v>358</v>
      </c>
      <c r="AR2371" s="90" t="s">
        <v>422</v>
      </c>
      <c r="AS2371" s="90" t="s">
        <v>250</v>
      </c>
      <c r="AT2371" s="90" t="s">
        <v>244</v>
      </c>
      <c r="AU2371" s="90">
        <v>86.412649999999999</v>
      </c>
      <c r="AV2371" s="90">
        <v>4.8012781154979702</v>
      </c>
      <c r="AW2371" s="90">
        <v>0.1448137563762</v>
      </c>
      <c r="AX2371" s="90">
        <v>1.0616300000000001E-4</v>
      </c>
    </row>
    <row r="2372" spans="1:50" x14ac:dyDescent="0.25">
      <c r="A2372" s="102">
        <v>830000</v>
      </c>
      <c r="B2372" s="102">
        <v>2400000</v>
      </c>
      <c r="C2372" s="102">
        <v>2400000</v>
      </c>
      <c r="D2372" s="90" t="s">
        <v>374</v>
      </c>
      <c r="E2372" s="90" t="s">
        <v>68</v>
      </c>
      <c r="F2372" s="90" t="s">
        <v>375</v>
      </c>
      <c r="G2372" s="90" t="s">
        <v>376</v>
      </c>
      <c r="H2372" s="90">
        <v>0.59</v>
      </c>
      <c r="I2372" s="90">
        <v>0.64</v>
      </c>
      <c r="J2372" s="90" t="s">
        <v>244</v>
      </c>
      <c r="K2372" s="90">
        <v>5.3386008827980003E-2</v>
      </c>
      <c r="L2372" s="90">
        <v>3658.0058763699899</v>
      </c>
      <c r="M2372" s="90">
        <v>8.6960428537051406</v>
      </c>
      <c r="N2372" s="90">
        <v>1.42578221936369</v>
      </c>
      <c r="O2372" s="90">
        <v>0.46424702055641998</v>
      </c>
      <c r="P2372" s="90">
        <v>7.6116822149730007E-2</v>
      </c>
      <c r="Q2372" s="90">
        <v>195.286334008702</v>
      </c>
      <c r="R2372" s="90">
        <v>1210</v>
      </c>
      <c r="S2372" s="90" t="s">
        <v>385</v>
      </c>
      <c r="T2372" s="90">
        <v>1210</v>
      </c>
      <c r="U2372" s="90" t="s">
        <v>378</v>
      </c>
      <c r="V2372" s="90" t="s">
        <v>244</v>
      </c>
      <c r="Z2372" s="90">
        <v>0</v>
      </c>
      <c r="AA2372" s="90">
        <v>1</v>
      </c>
      <c r="AB2372" s="90">
        <v>0.46424702055641998</v>
      </c>
      <c r="AC2372" s="90">
        <v>7.6116822149730007E-2</v>
      </c>
      <c r="AD2372" s="90">
        <v>226.67847044282101</v>
      </c>
      <c r="AF2372" s="90">
        <v>-1</v>
      </c>
      <c r="AG2372" s="90">
        <v>-1</v>
      </c>
      <c r="AH2372" s="90">
        <v>-1</v>
      </c>
      <c r="AI2372" s="90">
        <v>-1</v>
      </c>
      <c r="AJ2372" s="90">
        <v>0</v>
      </c>
      <c r="AM2372" s="90" t="s">
        <v>379</v>
      </c>
      <c r="AN2372" s="90">
        <v>-1</v>
      </c>
      <c r="AQ2372" s="90">
        <v>358</v>
      </c>
      <c r="AR2372" s="90" t="s">
        <v>422</v>
      </c>
      <c r="AS2372" s="90" t="s">
        <v>250</v>
      </c>
      <c r="AT2372" s="90" t="s">
        <v>244</v>
      </c>
      <c r="AU2372" s="90">
        <v>86.412649999999999</v>
      </c>
      <c r="AV2372" s="90">
        <v>79.121719027364506</v>
      </c>
      <c r="AW2372" s="90">
        <v>216.04551269182599</v>
      </c>
      <c r="AX2372" s="90">
        <v>0.18384304169999999</v>
      </c>
    </row>
    <row r="2373" spans="1:50" x14ac:dyDescent="0.25">
      <c r="A2373" s="102">
        <v>830000</v>
      </c>
      <c r="B2373" s="102">
        <v>2400000</v>
      </c>
      <c r="C2373" s="102">
        <v>2400000</v>
      </c>
      <c r="D2373" s="90" t="s">
        <v>374</v>
      </c>
      <c r="E2373" s="90" t="s">
        <v>68</v>
      </c>
      <c r="F2373" s="90" t="s">
        <v>375</v>
      </c>
      <c r="G2373" s="90" t="s">
        <v>376</v>
      </c>
      <c r="H2373" s="90">
        <v>0.59</v>
      </c>
      <c r="I2373" s="90">
        <v>0.64</v>
      </c>
      <c r="J2373" s="90" t="s">
        <v>381</v>
      </c>
      <c r="K2373" s="90">
        <v>7.5381361979999999E-5</v>
      </c>
      <c r="L2373" s="90">
        <v>3658.0058763699899</v>
      </c>
      <c r="M2373" s="90">
        <v>8.6960428537051406</v>
      </c>
      <c r="N2373" s="90">
        <v>1.42578221936369</v>
      </c>
      <c r="O2373" s="90">
        <v>6.5551955421999999E-4</v>
      </c>
      <c r="P2373" s="90">
        <v>1.0747740559E-4</v>
      </c>
      <c r="Q2373" s="90">
        <v>0.27574546512453002</v>
      </c>
      <c r="R2373" s="90">
        <v>1210</v>
      </c>
      <c r="S2373" s="90" t="s">
        <v>385</v>
      </c>
      <c r="T2373" s="90">
        <v>1210</v>
      </c>
      <c r="U2373" s="90" t="s">
        <v>382</v>
      </c>
      <c r="V2373" s="90" t="s">
        <v>381</v>
      </c>
      <c r="Z2373" s="90">
        <v>0</v>
      </c>
      <c r="AA2373" s="90">
        <v>1</v>
      </c>
      <c r="AB2373" s="90">
        <v>6.5551955421999999E-4</v>
      </c>
      <c r="AC2373" s="90">
        <v>1.0747740559E-4</v>
      </c>
      <c r="AD2373" s="90">
        <v>0.42739720511036999</v>
      </c>
      <c r="AF2373" s="90">
        <v>-1</v>
      </c>
      <c r="AG2373" s="90">
        <v>-1</v>
      </c>
      <c r="AH2373" s="90">
        <v>-1</v>
      </c>
      <c r="AI2373" s="90">
        <v>-1</v>
      </c>
      <c r="AJ2373" s="90">
        <v>0</v>
      </c>
      <c r="AM2373" s="90" t="s">
        <v>379</v>
      </c>
      <c r="AN2373" s="90">
        <v>-1</v>
      </c>
      <c r="AQ2373" s="90">
        <v>358</v>
      </c>
      <c r="AR2373" s="90" t="s">
        <v>422</v>
      </c>
      <c r="AS2373" s="90" t="s">
        <v>250</v>
      </c>
      <c r="AT2373" s="90" t="s">
        <v>244</v>
      </c>
      <c r="AU2373" s="90">
        <v>86.412649999999999</v>
      </c>
      <c r="AV2373" s="90">
        <v>19.199686849874102</v>
      </c>
      <c r="AW2373" s="90">
        <v>0.30505754889283998</v>
      </c>
      <c r="AX2373" s="90">
        <v>3.4663199999999998E-4</v>
      </c>
    </row>
    <row r="2374" spans="1:50" x14ac:dyDescent="0.25">
      <c r="A2374" s="102">
        <v>830000</v>
      </c>
      <c r="B2374" s="102">
        <v>2400000</v>
      </c>
      <c r="C2374" s="102">
        <v>2400000</v>
      </c>
      <c r="D2374" s="90" t="s">
        <v>374</v>
      </c>
      <c r="E2374" s="90" t="s">
        <v>68</v>
      </c>
      <c r="F2374" s="90" t="s">
        <v>375</v>
      </c>
      <c r="G2374" s="90" t="s">
        <v>376</v>
      </c>
      <c r="H2374" s="90">
        <v>0.59</v>
      </c>
      <c r="I2374" s="90">
        <v>0.64</v>
      </c>
      <c r="J2374" s="90" t="s">
        <v>244</v>
      </c>
      <c r="K2374" s="90">
        <v>1.5576525164E-4</v>
      </c>
      <c r="L2374" s="90">
        <v>3658.0058763699899</v>
      </c>
      <c r="M2374" s="90">
        <v>8.6960428537051406</v>
      </c>
      <c r="N2374" s="90">
        <v>1.42578221936369</v>
      </c>
      <c r="O2374" s="90">
        <v>1.35454130344E-3</v>
      </c>
      <c r="P2374" s="90">
        <v>2.2208732618999999E-4</v>
      </c>
      <c r="Q2374" s="90">
        <v>0.56979020585897</v>
      </c>
      <c r="R2374" s="90">
        <v>1210</v>
      </c>
      <c r="S2374" s="90" t="s">
        <v>385</v>
      </c>
      <c r="T2374" s="90">
        <v>1210</v>
      </c>
      <c r="U2374" s="90" t="s">
        <v>378</v>
      </c>
      <c r="V2374" s="90" t="s">
        <v>244</v>
      </c>
      <c r="Z2374" s="90">
        <v>0</v>
      </c>
      <c r="AA2374" s="90">
        <v>1</v>
      </c>
      <c r="AB2374" s="90">
        <v>1.35454130344E-3</v>
      </c>
      <c r="AC2374" s="90">
        <v>2.2208732618999999E-4</v>
      </c>
      <c r="AD2374" s="90">
        <v>64.587391176879294</v>
      </c>
      <c r="AF2374" s="90">
        <v>-1</v>
      </c>
      <c r="AG2374" s="90">
        <v>-1</v>
      </c>
      <c r="AH2374" s="90">
        <v>-1</v>
      </c>
      <c r="AI2374" s="90">
        <v>-1</v>
      </c>
      <c r="AJ2374" s="90">
        <v>0</v>
      </c>
      <c r="AM2374" s="90" t="s">
        <v>379</v>
      </c>
      <c r="AN2374" s="90">
        <v>-1</v>
      </c>
      <c r="AQ2374" s="90">
        <v>358</v>
      </c>
      <c r="AR2374" s="90" t="s">
        <v>422</v>
      </c>
      <c r="AS2374" s="90" t="s">
        <v>250</v>
      </c>
      <c r="AT2374" s="90" t="s">
        <v>244</v>
      </c>
      <c r="AU2374" s="90">
        <v>86.412649999999999</v>
      </c>
      <c r="AV2374" s="90">
        <v>5.0370996174248797</v>
      </c>
      <c r="AW2374" s="90">
        <v>0.63035960901244004</v>
      </c>
      <c r="AX2374" s="90">
        <v>5.2382312399999999E-2</v>
      </c>
    </row>
    <row r="2375" spans="1:50" x14ac:dyDescent="0.25">
      <c r="A2375" s="102">
        <v>830000</v>
      </c>
      <c r="B2375" s="102">
        <v>2400000</v>
      </c>
      <c r="C2375" s="102">
        <v>2400000</v>
      </c>
      <c r="D2375" s="90" t="s">
        <v>374</v>
      </c>
      <c r="E2375" s="90" t="s">
        <v>68</v>
      </c>
      <c r="F2375" s="90" t="s">
        <v>375</v>
      </c>
      <c r="G2375" s="90" t="s">
        <v>376</v>
      </c>
      <c r="H2375" s="90">
        <v>0.59</v>
      </c>
      <c r="I2375" s="90">
        <v>0.64</v>
      </c>
      <c r="J2375" s="90" t="s">
        <v>244</v>
      </c>
      <c r="K2375" s="90">
        <v>6.3646353502039996E-2</v>
      </c>
      <c r="L2375" s="90">
        <v>3658.0058763699899</v>
      </c>
      <c r="M2375" s="90">
        <v>8.6960428537051406</v>
      </c>
      <c r="N2375" s="90">
        <v>1.42578221936369</v>
      </c>
      <c r="O2375" s="90">
        <v>0.55347141753581997</v>
      </c>
      <c r="P2375" s="90">
        <v>9.0745839150540006E-2</v>
      </c>
      <c r="Q2375" s="90">
        <v>232.818735119991</v>
      </c>
      <c r="R2375" s="90">
        <v>1210</v>
      </c>
      <c r="S2375" s="90" t="s">
        <v>385</v>
      </c>
      <c r="T2375" s="90">
        <v>1210</v>
      </c>
      <c r="U2375" s="90" t="s">
        <v>378</v>
      </c>
      <c r="V2375" s="90" t="s">
        <v>244</v>
      </c>
      <c r="Z2375" s="90">
        <v>0</v>
      </c>
      <c r="AA2375" s="90">
        <v>1</v>
      </c>
      <c r="AB2375" s="90">
        <v>0.55347141753581997</v>
      </c>
      <c r="AC2375" s="90">
        <v>9.0745839150540006E-2</v>
      </c>
      <c r="AD2375" s="90">
        <v>232.818735119992</v>
      </c>
      <c r="AF2375" s="90">
        <v>-1</v>
      </c>
      <c r="AG2375" s="90">
        <v>-1</v>
      </c>
      <c r="AH2375" s="90">
        <v>-1</v>
      </c>
      <c r="AI2375" s="90">
        <v>-1</v>
      </c>
      <c r="AJ2375" s="90">
        <v>0</v>
      </c>
      <c r="AM2375" s="90" t="s">
        <v>379</v>
      </c>
      <c r="AN2375" s="90">
        <v>-1</v>
      </c>
      <c r="AQ2375" s="90">
        <v>358</v>
      </c>
      <c r="AR2375" s="90" t="s">
        <v>422</v>
      </c>
      <c r="AS2375" s="90" t="s">
        <v>250</v>
      </c>
      <c r="AT2375" s="90" t="s">
        <v>244</v>
      </c>
      <c r="AU2375" s="90">
        <v>86.412649999999999</v>
      </c>
      <c r="AV2375" s="90">
        <v>92.735025204466297</v>
      </c>
      <c r="AW2375" s="90">
        <v>257.56765443208099</v>
      </c>
      <c r="AX2375" s="90">
        <v>0.1888229806</v>
      </c>
    </row>
    <row r="2376" spans="1:50" x14ac:dyDescent="0.25">
      <c r="A2376" s="102">
        <v>830000</v>
      </c>
      <c r="B2376" s="102">
        <v>2400000</v>
      </c>
      <c r="C2376" s="102">
        <v>2400000</v>
      </c>
      <c r="D2376" s="90" t="s">
        <v>374</v>
      </c>
      <c r="E2376" s="90" t="s">
        <v>68</v>
      </c>
      <c r="F2376" s="90" t="s">
        <v>375</v>
      </c>
      <c r="G2376" s="90" t="s">
        <v>376</v>
      </c>
      <c r="H2376" s="90">
        <v>0.59</v>
      </c>
      <c r="I2376" s="90">
        <v>0.64</v>
      </c>
      <c r="J2376" s="90" t="s">
        <v>381</v>
      </c>
      <c r="K2376" s="90">
        <v>7.2727418349999997E-5</v>
      </c>
      <c r="L2376" s="90">
        <v>3658.0058763699899</v>
      </c>
      <c r="M2376" s="90">
        <v>8.6960428537051406</v>
      </c>
      <c r="N2376" s="90">
        <v>1.42578221936369</v>
      </c>
      <c r="O2376" s="90">
        <v>6.3244074668000001E-4</v>
      </c>
      <c r="P2376" s="90">
        <v>1.0369345995E-4</v>
      </c>
      <c r="Q2376" s="90">
        <v>0.26603732372678002</v>
      </c>
      <c r="R2376" s="90">
        <v>1210</v>
      </c>
      <c r="S2376" s="90" t="s">
        <v>385</v>
      </c>
      <c r="T2376" s="90">
        <v>1210</v>
      </c>
      <c r="U2376" s="90" t="s">
        <v>382</v>
      </c>
      <c r="V2376" s="90" t="s">
        <v>381</v>
      </c>
      <c r="Z2376" s="90">
        <v>0</v>
      </c>
      <c r="AA2376" s="90">
        <v>1</v>
      </c>
      <c r="AB2376" s="90">
        <v>6.3244074668000001E-4</v>
      </c>
      <c r="AC2376" s="90">
        <v>1.0369345995E-4</v>
      </c>
      <c r="AD2376" s="90">
        <v>0.26603732372642003</v>
      </c>
      <c r="AF2376" s="90">
        <v>-1</v>
      </c>
      <c r="AG2376" s="90">
        <v>-1</v>
      </c>
      <c r="AH2376" s="90">
        <v>-1</v>
      </c>
      <c r="AI2376" s="90">
        <v>-1</v>
      </c>
      <c r="AJ2376" s="90">
        <v>0</v>
      </c>
      <c r="AM2376" s="90" t="s">
        <v>379</v>
      </c>
      <c r="AN2376" s="90">
        <v>-1</v>
      </c>
      <c r="AQ2376" s="90">
        <v>358</v>
      </c>
      <c r="AR2376" s="90" t="s">
        <v>422</v>
      </c>
      <c r="AS2376" s="90" t="s">
        <v>250</v>
      </c>
      <c r="AT2376" s="90" t="s">
        <v>244</v>
      </c>
      <c r="AU2376" s="90">
        <v>86.412649999999999</v>
      </c>
      <c r="AV2376" s="90">
        <v>27.941267625640702</v>
      </c>
      <c r="AW2376" s="90">
        <v>0.29431742006625</v>
      </c>
      <c r="AX2376" s="90">
        <v>2.1576430000000001E-4</v>
      </c>
    </row>
    <row r="2377" spans="1:50" x14ac:dyDescent="0.25">
      <c r="A2377" s="102">
        <v>830000</v>
      </c>
      <c r="B2377" s="102">
        <v>2400000</v>
      </c>
      <c r="C2377" s="102">
        <v>2400000</v>
      </c>
      <c r="D2377" s="90" t="s">
        <v>374</v>
      </c>
      <c r="E2377" s="90" t="s">
        <v>68</v>
      </c>
      <c r="F2377" s="90" t="s">
        <v>375</v>
      </c>
      <c r="G2377" s="90" t="s">
        <v>376</v>
      </c>
      <c r="H2377" s="90">
        <v>0.59</v>
      </c>
      <c r="I2377" s="90">
        <v>0.64</v>
      </c>
      <c r="J2377" s="90" t="s">
        <v>244</v>
      </c>
      <c r="K2377" s="90">
        <v>6.5327956271180002E-2</v>
      </c>
      <c r="L2377" s="90">
        <v>3658.0058763699899</v>
      </c>
      <c r="M2377" s="90">
        <v>8.6960428537051406</v>
      </c>
      <c r="N2377" s="90">
        <v>1.42578221936369</v>
      </c>
      <c r="O2377" s="90">
        <v>0.56809470727917</v>
      </c>
      <c r="P2377" s="90">
        <v>9.3143438478820006E-2</v>
      </c>
      <c r="Q2377" s="90">
        <v>238.970047931225</v>
      </c>
      <c r="R2377" s="90">
        <v>1210</v>
      </c>
      <c r="S2377" s="90" t="s">
        <v>385</v>
      </c>
      <c r="T2377" s="90">
        <v>1210</v>
      </c>
      <c r="U2377" s="90" t="s">
        <v>378</v>
      </c>
      <c r="V2377" s="90" t="s">
        <v>244</v>
      </c>
      <c r="Z2377" s="90">
        <v>0</v>
      </c>
      <c r="AA2377" s="90">
        <v>1</v>
      </c>
      <c r="AB2377" s="90">
        <v>0.56809470727917</v>
      </c>
      <c r="AC2377" s="90">
        <v>9.3143438478820006E-2</v>
      </c>
      <c r="AD2377" s="90">
        <v>238.970047931225</v>
      </c>
      <c r="AF2377" s="90">
        <v>-1</v>
      </c>
      <c r="AG2377" s="90">
        <v>-1</v>
      </c>
      <c r="AH2377" s="90">
        <v>-1</v>
      </c>
      <c r="AI2377" s="90">
        <v>-1</v>
      </c>
      <c r="AJ2377" s="90">
        <v>0</v>
      </c>
      <c r="AM2377" s="90" t="s">
        <v>379</v>
      </c>
      <c r="AN2377" s="90">
        <v>-1</v>
      </c>
      <c r="AQ2377" s="90">
        <v>358</v>
      </c>
      <c r="AR2377" s="90" t="s">
        <v>422</v>
      </c>
      <c r="AS2377" s="90" t="s">
        <v>250</v>
      </c>
      <c r="AT2377" s="90" t="s">
        <v>244</v>
      </c>
      <c r="AU2377" s="90">
        <v>86.412649999999999</v>
      </c>
      <c r="AV2377" s="90">
        <v>93.710571503223207</v>
      </c>
      <c r="AW2377" s="90">
        <v>264.372859398299</v>
      </c>
      <c r="AX2377" s="90">
        <v>0.19381187990000001</v>
      </c>
    </row>
    <row r="2378" spans="1:50" x14ac:dyDescent="0.25">
      <c r="A2378" s="102">
        <v>830000</v>
      </c>
      <c r="B2378" s="102">
        <v>2400000</v>
      </c>
      <c r="C2378" s="102">
        <v>2400000</v>
      </c>
      <c r="D2378" s="90" t="s">
        <v>374</v>
      </c>
      <c r="E2378" s="90" t="s">
        <v>68</v>
      </c>
      <c r="F2378" s="90" t="s">
        <v>375</v>
      </c>
      <c r="G2378" s="90" t="s">
        <v>376</v>
      </c>
      <c r="H2378" s="90">
        <v>0.59</v>
      </c>
      <c r="I2378" s="90">
        <v>0.64</v>
      </c>
      <c r="J2378" s="90" t="s">
        <v>381</v>
      </c>
      <c r="K2378" s="90">
        <v>2.533568621E-5</v>
      </c>
      <c r="L2378" s="90">
        <v>3658.0058763699899</v>
      </c>
      <c r="M2378" s="90">
        <v>8.6960428537051406</v>
      </c>
      <c r="N2378" s="90">
        <v>1.42578221936369</v>
      </c>
      <c r="O2378" s="90">
        <v>2.2032021307999999E-4</v>
      </c>
      <c r="P2378" s="90">
        <v>3.6123170920000002E-5</v>
      </c>
      <c r="Q2378" s="90">
        <v>9.2678089067309996E-2</v>
      </c>
      <c r="R2378" s="90">
        <v>1210</v>
      </c>
      <c r="S2378" s="90" t="s">
        <v>385</v>
      </c>
      <c r="T2378" s="90">
        <v>1210</v>
      </c>
      <c r="U2378" s="90" t="s">
        <v>382</v>
      </c>
      <c r="V2378" s="90" t="s">
        <v>381</v>
      </c>
      <c r="Z2378" s="90">
        <v>0</v>
      </c>
      <c r="AA2378" s="90">
        <v>1</v>
      </c>
      <c r="AB2378" s="90">
        <v>2.2032021307999999E-4</v>
      </c>
      <c r="AC2378" s="90">
        <v>3.6123170920000002E-5</v>
      </c>
      <c r="AD2378" s="90">
        <v>9.2678089067300004E-2</v>
      </c>
      <c r="AF2378" s="90">
        <v>-1</v>
      </c>
      <c r="AG2378" s="90">
        <v>-1</v>
      </c>
      <c r="AH2378" s="90">
        <v>-1</v>
      </c>
      <c r="AI2378" s="90">
        <v>-1</v>
      </c>
      <c r="AJ2378" s="90">
        <v>0</v>
      </c>
      <c r="AM2378" s="90" t="s">
        <v>379</v>
      </c>
      <c r="AN2378" s="90">
        <v>-1</v>
      </c>
      <c r="AQ2378" s="90">
        <v>358</v>
      </c>
      <c r="AR2378" s="90" t="s">
        <v>422</v>
      </c>
      <c r="AS2378" s="90" t="s">
        <v>250</v>
      </c>
      <c r="AT2378" s="90" t="s">
        <v>244</v>
      </c>
      <c r="AU2378" s="90">
        <v>86.412649999999999</v>
      </c>
      <c r="AV2378" s="90">
        <v>27.913582391671799</v>
      </c>
      <c r="AW2378" s="90">
        <v>0.10252988448722</v>
      </c>
      <c r="AX2378" s="90">
        <v>7.5164699999999995E-5</v>
      </c>
    </row>
    <row r="2379" spans="1:50" x14ac:dyDescent="0.25">
      <c r="A2379" s="102">
        <v>830000</v>
      </c>
      <c r="B2379" s="102">
        <v>2400000</v>
      </c>
      <c r="C2379" s="102">
        <v>2400000</v>
      </c>
      <c r="D2379" s="90" t="s">
        <v>374</v>
      </c>
      <c r="E2379" s="90" t="s">
        <v>68</v>
      </c>
      <c r="F2379" s="90" t="s">
        <v>375</v>
      </c>
      <c r="G2379" s="90" t="s">
        <v>376</v>
      </c>
      <c r="H2379" s="90">
        <v>0.59</v>
      </c>
      <c r="I2379" s="90">
        <v>0.64</v>
      </c>
      <c r="J2379" s="90" t="s">
        <v>244</v>
      </c>
      <c r="K2379" s="90">
        <v>7.4035442347859998E-2</v>
      </c>
      <c r="L2379" s="90">
        <v>3724.6538535115401</v>
      </c>
      <c r="M2379" s="90">
        <v>9.7224883935918207</v>
      </c>
      <c r="N2379" s="90">
        <v>1.58025729242252</v>
      </c>
      <c r="O2379" s="90">
        <v>0.71980872894154002</v>
      </c>
      <c r="P2379" s="90">
        <v>0.11699504766792999</v>
      </c>
      <c r="Q2379" s="90">
        <v>275.75639563740299</v>
      </c>
      <c r="R2379" s="90">
        <v>1200</v>
      </c>
      <c r="S2379" s="90" t="s">
        <v>384</v>
      </c>
      <c r="T2379" s="90">
        <v>1200</v>
      </c>
      <c r="U2379" s="90" t="s">
        <v>378</v>
      </c>
      <c r="V2379" s="90" t="s">
        <v>244</v>
      </c>
      <c r="Z2379" s="90">
        <v>0</v>
      </c>
      <c r="AA2379" s="90">
        <v>1</v>
      </c>
      <c r="AB2379" s="90">
        <v>0.71980872894154002</v>
      </c>
      <c r="AC2379" s="90">
        <v>0.11699504766792999</v>
      </c>
      <c r="AD2379" s="90">
        <v>275.75639563740202</v>
      </c>
      <c r="AF2379" s="90">
        <v>-1</v>
      </c>
      <c r="AG2379" s="90">
        <v>-1</v>
      </c>
      <c r="AH2379" s="90">
        <v>-1</v>
      </c>
      <c r="AI2379" s="90">
        <v>-1</v>
      </c>
      <c r="AJ2379" s="90">
        <v>0</v>
      </c>
      <c r="AM2379" s="90" t="s">
        <v>379</v>
      </c>
      <c r="AN2379" s="90">
        <v>-1</v>
      </c>
      <c r="AQ2379" s="90">
        <v>358</v>
      </c>
      <c r="AR2379" s="90" t="s">
        <v>422</v>
      </c>
      <c r="AS2379" s="90" t="s">
        <v>250</v>
      </c>
      <c r="AT2379" s="90" t="s">
        <v>244</v>
      </c>
      <c r="AU2379" s="90">
        <v>86.412649999999999</v>
      </c>
      <c r="AV2379" s="90">
        <v>101.008563225909</v>
      </c>
      <c r="AW2379" s="90">
        <v>299.610805350676</v>
      </c>
      <c r="AX2379" s="90">
        <v>0.22364671180000001</v>
      </c>
    </row>
    <row r="2380" spans="1:50" x14ac:dyDescent="0.25">
      <c r="A2380" s="102">
        <v>830000</v>
      </c>
      <c r="B2380" s="102">
        <v>2400000</v>
      </c>
      <c r="C2380" s="102">
        <v>2400000</v>
      </c>
      <c r="D2380" s="90" t="s">
        <v>374</v>
      </c>
      <c r="E2380" s="90" t="s">
        <v>68</v>
      </c>
      <c r="F2380" s="90" t="s">
        <v>375</v>
      </c>
      <c r="G2380" s="90" t="s">
        <v>376</v>
      </c>
      <c r="H2380" s="90">
        <v>0.59</v>
      </c>
      <c r="I2380" s="90">
        <v>0.64</v>
      </c>
      <c r="J2380" s="90" t="s">
        <v>381</v>
      </c>
      <c r="K2380" s="90">
        <v>4.43473868077E-2</v>
      </c>
      <c r="L2380" s="90">
        <v>3724.6538535115401</v>
      </c>
      <c r="M2380" s="90">
        <v>9.7224883935918207</v>
      </c>
      <c r="N2380" s="90">
        <v>1.58025729242252</v>
      </c>
      <c r="O2380" s="90">
        <v>0.43116695352406997</v>
      </c>
      <c r="P2380" s="90">
        <v>7.008028140276E-2</v>
      </c>
      <c r="Q2380" s="90">
        <v>165.1786651665</v>
      </c>
      <c r="R2380" s="90">
        <v>1200</v>
      </c>
      <c r="S2380" s="90" t="s">
        <v>384</v>
      </c>
      <c r="T2380" s="90">
        <v>1200</v>
      </c>
      <c r="U2380" s="90" t="s">
        <v>382</v>
      </c>
      <c r="V2380" s="90" t="s">
        <v>381</v>
      </c>
      <c r="Z2380" s="90">
        <v>0</v>
      </c>
      <c r="AA2380" s="90">
        <v>1</v>
      </c>
      <c r="AB2380" s="90">
        <v>0.43116695352406997</v>
      </c>
      <c r="AC2380" s="90">
        <v>7.008028140276E-2</v>
      </c>
      <c r="AD2380" s="90">
        <v>165.1786651665</v>
      </c>
      <c r="AF2380" s="90">
        <v>-1</v>
      </c>
      <c r="AG2380" s="90">
        <v>-1</v>
      </c>
      <c r="AH2380" s="90">
        <v>-1</v>
      </c>
      <c r="AI2380" s="90">
        <v>-1</v>
      </c>
      <c r="AJ2380" s="90">
        <v>0</v>
      </c>
      <c r="AM2380" s="90" t="s">
        <v>379</v>
      </c>
      <c r="AN2380" s="90">
        <v>-1</v>
      </c>
      <c r="AQ2380" s="90">
        <v>358</v>
      </c>
      <c r="AR2380" s="90" t="s">
        <v>422</v>
      </c>
      <c r="AS2380" s="90" t="s">
        <v>250</v>
      </c>
      <c r="AT2380" s="90" t="s">
        <v>244</v>
      </c>
      <c r="AU2380" s="90">
        <v>86.412649999999999</v>
      </c>
      <c r="AV2380" s="90">
        <v>106.871162097547</v>
      </c>
      <c r="AW2380" s="90">
        <v>179.467507119434</v>
      </c>
      <c r="AX2380" s="90">
        <v>0.1339648541</v>
      </c>
    </row>
    <row r="2381" spans="1:50" x14ac:dyDescent="0.25">
      <c r="A2381" s="102">
        <v>830000</v>
      </c>
      <c r="B2381" s="102">
        <v>2400000</v>
      </c>
      <c r="C2381" s="102">
        <v>2400000</v>
      </c>
      <c r="D2381" s="90" t="s">
        <v>374</v>
      </c>
      <c r="E2381" s="90" t="s">
        <v>68</v>
      </c>
      <c r="F2381" s="90" t="s">
        <v>375</v>
      </c>
      <c r="G2381" s="90" t="s">
        <v>376</v>
      </c>
      <c r="H2381" s="90">
        <v>0.59</v>
      </c>
      <c r="I2381" s="90">
        <v>0.64</v>
      </c>
      <c r="J2381" s="90" t="s">
        <v>244</v>
      </c>
      <c r="K2381" s="90">
        <v>4.3354038882000001E-4</v>
      </c>
      <c r="L2381" s="90">
        <v>3724.6538535115401</v>
      </c>
      <c r="M2381" s="90">
        <v>9.7224883935918207</v>
      </c>
      <c r="N2381" s="90">
        <v>1.58025729242252</v>
      </c>
      <c r="O2381" s="90">
        <v>4.2150913985000002E-3</v>
      </c>
      <c r="P2381" s="90">
        <v>6.8510536099999995E-4</v>
      </c>
      <c r="Q2381" s="90">
        <v>1.61478787988993</v>
      </c>
      <c r="R2381" s="90">
        <v>1300</v>
      </c>
      <c r="S2381" s="90" t="s">
        <v>387</v>
      </c>
      <c r="T2381" s="90">
        <v>1300</v>
      </c>
      <c r="U2381" s="90" t="s">
        <v>378</v>
      </c>
      <c r="V2381" s="90" t="s">
        <v>244</v>
      </c>
      <c r="Z2381" s="90">
        <v>0</v>
      </c>
      <c r="AA2381" s="90">
        <v>1</v>
      </c>
      <c r="AB2381" s="90">
        <v>4.2150913985000002E-3</v>
      </c>
      <c r="AC2381" s="90">
        <v>6.8510536099999995E-4</v>
      </c>
      <c r="AD2381" s="90">
        <v>1.61478787989134</v>
      </c>
      <c r="AF2381" s="90">
        <v>-1</v>
      </c>
      <c r="AG2381" s="90">
        <v>-1</v>
      </c>
      <c r="AH2381" s="90">
        <v>-1</v>
      </c>
      <c r="AI2381" s="90">
        <v>-1</v>
      </c>
      <c r="AJ2381" s="90">
        <v>0</v>
      </c>
      <c r="AM2381" s="90" t="s">
        <v>379</v>
      </c>
      <c r="AN2381" s="90">
        <v>-1</v>
      </c>
      <c r="AQ2381" s="90">
        <v>358</v>
      </c>
      <c r="AR2381" s="90" t="s">
        <v>422</v>
      </c>
      <c r="AS2381" s="90" t="s">
        <v>250</v>
      </c>
      <c r="AT2381" s="90" t="s">
        <v>244</v>
      </c>
      <c r="AU2381" s="90">
        <v>86.412649999999999</v>
      </c>
      <c r="AV2381" s="90">
        <v>14.0488350286774</v>
      </c>
      <c r="AW2381" s="90">
        <v>1.7544757068877801</v>
      </c>
      <c r="AX2381" s="90">
        <v>1.3096414E-3</v>
      </c>
    </row>
    <row r="2382" spans="1:50" x14ac:dyDescent="0.25">
      <c r="A2382" s="102">
        <v>830000</v>
      </c>
      <c r="B2382" s="102">
        <v>2400000</v>
      </c>
      <c r="C2382" s="102">
        <v>2400000</v>
      </c>
      <c r="D2382" s="90" t="s">
        <v>374</v>
      </c>
      <c r="E2382" s="90" t="s">
        <v>68</v>
      </c>
      <c r="F2382" s="90" t="s">
        <v>375</v>
      </c>
      <c r="G2382" s="90" t="s">
        <v>376</v>
      </c>
      <c r="H2382" s="90">
        <v>0.59</v>
      </c>
      <c r="I2382" s="90">
        <v>0.64</v>
      </c>
      <c r="J2382" s="90" t="s">
        <v>381</v>
      </c>
      <c r="K2382" s="90">
        <v>1.0479442961E-2</v>
      </c>
      <c r="L2382" s="90">
        <v>3724.6538535115401</v>
      </c>
      <c r="M2382" s="90">
        <v>9.7224883935918207</v>
      </c>
      <c r="N2382" s="90">
        <v>1.58025729242252</v>
      </c>
      <c r="O2382" s="90">
        <v>0.10188626255971001</v>
      </c>
      <c r="P2382" s="90">
        <v>1.656021615966E-2</v>
      </c>
      <c r="Q2382" s="90">
        <v>39.032297607376599</v>
      </c>
      <c r="R2382" s="90">
        <v>1300</v>
      </c>
      <c r="S2382" s="90" t="s">
        <v>387</v>
      </c>
      <c r="T2382" s="90">
        <v>1300</v>
      </c>
      <c r="U2382" s="90" t="s">
        <v>382</v>
      </c>
      <c r="V2382" s="90" t="s">
        <v>381</v>
      </c>
      <c r="Z2382" s="90">
        <v>0</v>
      </c>
      <c r="AA2382" s="90">
        <v>1</v>
      </c>
      <c r="AB2382" s="90">
        <v>0.10188626255971001</v>
      </c>
      <c r="AC2382" s="90">
        <v>1.656021615966E-2</v>
      </c>
      <c r="AD2382" s="90">
        <v>39.032297607374701</v>
      </c>
      <c r="AF2382" s="90">
        <v>-1</v>
      </c>
      <c r="AG2382" s="90">
        <v>-1</v>
      </c>
      <c r="AH2382" s="90">
        <v>-1</v>
      </c>
      <c r="AI2382" s="90">
        <v>-1</v>
      </c>
      <c r="AJ2382" s="90">
        <v>0</v>
      </c>
      <c r="AM2382" s="90" t="s">
        <v>379</v>
      </c>
      <c r="AN2382" s="90">
        <v>-1</v>
      </c>
      <c r="AQ2382" s="90">
        <v>358</v>
      </c>
      <c r="AR2382" s="90" t="s">
        <v>422</v>
      </c>
      <c r="AS2382" s="90" t="s">
        <v>250</v>
      </c>
      <c r="AT2382" s="90" t="s">
        <v>244</v>
      </c>
      <c r="AU2382" s="90">
        <v>86.412649999999999</v>
      </c>
      <c r="AV2382" s="90">
        <v>71.975456366197605</v>
      </c>
      <c r="AW2382" s="90">
        <v>42.408801049931803</v>
      </c>
      <c r="AX2382" s="90">
        <v>3.16563646E-2</v>
      </c>
    </row>
    <row r="2383" spans="1:50" x14ac:dyDescent="0.25">
      <c r="A2383" s="102">
        <v>830000</v>
      </c>
      <c r="B2383" s="102">
        <v>2400000</v>
      </c>
      <c r="C2383" s="102">
        <v>2400000</v>
      </c>
      <c r="D2383" s="90" t="s">
        <v>374</v>
      </c>
      <c r="E2383" s="90" t="s">
        <v>68</v>
      </c>
      <c r="F2383" s="90" t="s">
        <v>375</v>
      </c>
      <c r="G2383" s="90" t="s">
        <v>376</v>
      </c>
      <c r="H2383" s="90">
        <v>0.59</v>
      </c>
      <c r="I2383" s="90">
        <v>0.64</v>
      </c>
      <c r="J2383" s="90" t="s">
        <v>244</v>
      </c>
      <c r="K2383" s="90">
        <v>0.16000356897168</v>
      </c>
      <c r="L2383" s="90">
        <v>3724.6538535115401</v>
      </c>
      <c r="M2383" s="90">
        <v>9.7224883935918207</v>
      </c>
      <c r="N2383" s="90">
        <v>1.58025729242252</v>
      </c>
      <c r="O2383" s="90">
        <v>1.55563284226044</v>
      </c>
      <c r="P2383" s="90">
        <v>0.25284680668113002</v>
      </c>
      <c r="Q2383" s="90">
        <v>595.95790974597503</v>
      </c>
      <c r="R2383" s="90">
        <v>1210</v>
      </c>
      <c r="S2383" s="90" t="s">
        <v>385</v>
      </c>
      <c r="T2383" s="90">
        <v>1210</v>
      </c>
      <c r="U2383" s="90" t="s">
        <v>378</v>
      </c>
      <c r="V2383" s="90" t="s">
        <v>244</v>
      </c>
      <c r="Z2383" s="90">
        <v>0</v>
      </c>
      <c r="AA2383" s="90">
        <v>1</v>
      </c>
      <c r="AB2383" s="90">
        <v>1.55563284226044</v>
      </c>
      <c r="AC2383" s="90">
        <v>0.25284680668113002</v>
      </c>
      <c r="AD2383" s="90">
        <v>595.95790974597503</v>
      </c>
      <c r="AF2383" s="90">
        <v>-1</v>
      </c>
      <c r="AG2383" s="90">
        <v>-1</v>
      </c>
      <c r="AH2383" s="90">
        <v>-1</v>
      </c>
      <c r="AI2383" s="90">
        <v>-1</v>
      </c>
      <c r="AJ2383" s="90">
        <v>0</v>
      </c>
      <c r="AM2383" s="90" t="s">
        <v>379</v>
      </c>
      <c r="AN2383" s="90">
        <v>-1</v>
      </c>
      <c r="AQ2383" s="90">
        <v>358</v>
      </c>
      <c r="AR2383" s="90" t="s">
        <v>422</v>
      </c>
      <c r="AS2383" s="90" t="s">
        <v>250</v>
      </c>
      <c r="AT2383" s="90" t="s">
        <v>244</v>
      </c>
      <c r="AU2383" s="90">
        <v>86.412649999999999</v>
      </c>
      <c r="AV2383" s="90">
        <v>115.857702517525</v>
      </c>
      <c r="AW2383" s="90">
        <v>647.51147069997296</v>
      </c>
      <c r="AX2383" s="90">
        <v>0.48333974839999999</v>
      </c>
    </row>
    <row r="2384" spans="1:50" x14ac:dyDescent="0.25">
      <c r="A2384" s="102">
        <v>830000</v>
      </c>
      <c r="B2384" s="102">
        <v>2400000</v>
      </c>
      <c r="C2384" s="102">
        <v>2400000</v>
      </c>
      <c r="D2384" s="90" t="s">
        <v>374</v>
      </c>
      <c r="E2384" s="90" t="s">
        <v>68</v>
      </c>
      <c r="F2384" s="90" t="s">
        <v>375</v>
      </c>
      <c r="G2384" s="90" t="s">
        <v>376</v>
      </c>
      <c r="H2384" s="90">
        <v>0.59</v>
      </c>
      <c r="I2384" s="90">
        <v>0.64</v>
      </c>
      <c r="J2384" s="90" t="s">
        <v>381</v>
      </c>
      <c r="K2384" s="90">
        <v>5.3521438306999999E-4</v>
      </c>
      <c r="L2384" s="90">
        <v>3724.6538535115401</v>
      </c>
      <c r="M2384" s="90">
        <v>9.7224883935918207</v>
      </c>
      <c r="N2384" s="90">
        <v>1.58025729242252</v>
      </c>
      <c r="O2384" s="90">
        <v>5.2036156275300002E-3</v>
      </c>
      <c r="P2384" s="90">
        <v>8.4577643186000003E-4</v>
      </c>
      <c r="Q2384" s="90">
        <v>1.9934883143751001</v>
      </c>
      <c r="R2384" s="90">
        <v>1210</v>
      </c>
      <c r="S2384" s="90" t="s">
        <v>385</v>
      </c>
      <c r="T2384" s="90">
        <v>1210</v>
      </c>
      <c r="U2384" s="90" t="s">
        <v>382</v>
      </c>
      <c r="V2384" s="90" t="s">
        <v>381</v>
      </c>
      <c r="Z2384" s="90">
        <v>0</v>
      </c>
      <c r="AA2384" s="90">
        <v>1</v>
      </c>
      <c r="AB2384" s="90">
        <v>5.2036156275300002E-3</v>
      </c>
      <c r="AC2384" s="90">
        <v>8.4577643186000003E-4</v>
      </c>
      <c r="AD2384" s="90">
        <v>1.9934883143767601</v>
      </c>
      <c r="AF2384" s="90">
        <v>-1</v>
      </c>
      <c r="AG2384" s="90">
        <v>-1</v>
      </c>
      <c r="AH2384" s="90">
        <v>-1</v>
      </c>
      <c r="AI2384" s="90">
        <v>-1</v>
      </c>
      <c r="AJ2384" s="90">
        <v>0</v>
      </c>
      <c r="AM2384" s="90" t="s">
        <v>379</v>
      </c>
      <c r="AN2384" s="90">
        <v>-1</v>
      </c>
      <c r="AQ2384" s="90">
        <v>358</v>
      </c>
      <c r="AR2384" s="90" t="s">
        <v>422</v>
      </c>
      <c r="AS2384" s="90" t="s">
        <v>250</v>
      </c>
      <c r="AT2384" s="90" t="s">
        <v>244</v>
      </c>
      <c r="AU2384" s="90">
        <v>86.412649999999999</v>
      </c>
      <c r="AV2384" s="90">
        <v>31.489438096762601</v>
      </c>
      <c r="AW2384" s="90">
        <v>2.1659357635097098</v>
      </c>
      <c r="AX2384" s="90">
        <v>1.6167788E-3</v>
      </c>
    </row>
    <row r="2385" spans="1:50" x14ac:dyDescent="0.25">
      <c r="A2385" s="102">
        <v>830000</v>
      </c>
      <c r="B2385" s="102">
        <v>2400000</v>
      </c>
      <c r="C2385" s="102">
        <v>2400000</v>
      </c>
      <c r="D2385" s="90" t="s">
        <v>374</v>
      </c>
      <c r="E2385" s="90" t="s">
        <v>68</v>
      </c>
      <c r="F2385" s="90" t="s">
        <v>375</v>
      </c>
      <c r="G2385" s="90" t="s">
        <v>376</v>
      </c>
      <c r="H2385" s="90">
        <v>0.59</v>
      </c>
      <c r="I2385" s="90">
        <v>0.64</v>
      </c>
      <c r="J2385" s="90" t="s">
        <v>244</v>
      </c>
      <c r="K2385" s="90">
        <v>0.14175391689892</v>
      </c>
      <c r="L2385" s="90">
        <v>3724.6538535115401</v>
      </c>
      <c r="M2385" s="90">
        <v>9.7224883935918207</v>
      </c>
      <c r="N2385" s="90">
        <v>1.58025729242252</v>
      </c>
      <c r="O2385" s="90">
        <v>1.3782008117959801</v>
      </c>
      <c r="P2385" s="90">
        <v>0.22400766090898</v>
      </c>
      <c r="Q2385" s="90">
        <v>527.98427282794</v>
      </c>
      <c r="R2385" s="90">
        <v>1210</v>
      </c>
      <c r="S2385" s="90" t="s">
        <v>385</v>
      </c>
      <c r="T2385" s="90">
        <v>1210</v>
      </c>
      <c r="U2385" s="90" t="s">
        <v>378</v>
      </c>
      <c r="V2385" s="90" t="s">
        <v>244</v>
      </c>
      <c r="Z2385" s="90">
        <v>0</v>
      </c>
      <c r="AA2385" s="90">
        <v>1</v>
      </c>
      <c r="AB2385" s="90">
        <v>1.3782008117959801</v>
      </c>
      <c r="AC2385" s="90">
        <v>0.22400766090898</v>
      </c>
      <c r="AD2385" s="90">
        <v>527.98427282794</v>
      </c>
      <c r="AF2385" s="90">
        <v>-1</v>
      </c>
      <c r="AG2385" s="90">
        <v>-1</v>
      </c>
      <c r="AH2385" s="90">
        <v>-1</v>
      </c>
      <c r="AI2385" s="90">
        <v>-1</v>
      </c>
      <c r="AJ2385" s="90">
        <v>0</v>
      </c>
      <c r="AM2385" s="90" t="s">
        <v>379</v>
      </c>
      <c r="AN2385" s="90">
        <v>-1</v>
      </c>
      <c r="AQ2385" s="90">
        <v>358</v>
      </c>
      <c r="AR2385" s="90" t="s">
        <v>422</v>
      </c>
      <c r="AS2385" s="90" t="s">
        <v>250</v>
      </c>
      <c r="AT2385" s="90" t="s">
        <v>244</v>
      </c>
      <c r="AU2385" s="90">
        <v>86.412649999999999</v>
      </c>
      <c r="AV2385" s="90">
        <v>112.89711565508399</v>
      </c>
      <c r="AW2385" s="90">
        <v>573.65774900277597</v>
      </c>
      <c r="AX2385" s="90">
        <v>0.4282110891</v>
      </c>
    </row>
    <row r="2386" spans="1:50" x14ac:dyDescent="0.25">
      <c r="A2386" s="102">
        <v>830000</v>
      </c>
      <c r="B2386" s="102">
        <v>2400000</v>
      </c>
      <c r="C2386" s="102">
        <v>2400000</v>
      </c>
      <c r="D2386" s="90" t="s">
        <v>374</v>
      </c>
      <c r="E2386" s="90" t="s">
        <v>68</v>
      </c>
      <c r="F2386" s="90" t="s">
        <v>375</v>
      </c>
      <c r="G2386" s="90" t="s">
        <v>376</v>
      </c>
      <c r="H2386" s="90">
        <v>0.59</v>
      </c>
      <c r="I2386" s="90">
        <v>0.64</v>
      </c>
      <c r="J2386" s="90" t="s">
        <v>381</v>
      </c>
      <c r="K2386" s="90">
        <v>5.2144069675E-4</v>
      </c>
      <c r="L2386" s="90">
        <v>3724.6538535115401</v>
      </c>
      <c r="M2386" s="90">
        <v>9.7224883935918207</v>
      </c>
      <c r="N2386" s="90">
        <v>1.58025729242252</v>
      </c>
      <c r="O2386" s="90">
        <v>5.0697011221700001E-3</v>
      </c>
      <c r="P2386" s="90">
        <v>8.2401046361000002E-4</v>
      </c>
      <c r="Q2386" s="90">
        <v>1.9421861005574299</v>
      </c>
      <c r="R2386" s="90">
        <v>1210</v>
      </c>
      <c r="S2386" s="90" t="s">
        <v>385</v>
      </c>
      <c r="T2386" s="90">
        <v>1210</v>
      </c>
      <c r="U2386" s="90" t="s">
        <v>382</v>
      </c>
      <c r="V2386" s="90" t="s">
        <v>381</v>
      </c>
      <c r="Z2386" s="90">
        <v>0</v>
      </c>
      <c r="AA2386" s="90">
        <v>1</v>
      </c>
      <c r="AB2386" s="90">
        <v>5.0697011221700001E-3</v>
      </c>
      <c r="AC2386" s="90">
        <v>8.2401046361000002E-4</v>
      </c>
      <c r="AD2386" s="90">
        <v>1.9421861005582599</v>
      </c>
      <c r="AF2386" s="90">
        <v>-1</v>
      </c>
      <c r="AG2386" s="90">
        <v>-1</v>
      </c>
      <c r="AH2386" s="90">
        <v>-1</v>
      </c>
      <c r="AI2386" s="90">
        <v>-1</v>
      </c>
      <c r="AJ2386" s="90">
        <v>0</v>
      </c>
      <c r="AM2386" s="90" t="s">
        <v>379</v>
      </c>
      <c r="AN2386" s="90">
        <v>-1</v>
      </c>
      <c r="AQ2386" s="90">
        <v>358</v>
      </c>
      <c r="AR2386" s="90" t="s">
        <v>422</v>
      </c>
      <c r="AS2386" s="90" t="s">
        <v>250</v>
      </c>
      <c r="AT2386" s="90" t="s">
        <v>244</v>
      </c>
      <c r="AU2386" s="90">
        <v>86.412649999999999</v>
      </c>
      <c r="AV2386" s="90">
        <v>29.494339147546199</v>
      </c>
      <c r="AW2386" s="90">
        <v>2.1101956325767399</v>
      </c>
      <c r="AX2386" s="90">
        <v>1.5751712000000001E-3</v>
      </c>
    </row>
    <row r="2387" spans="1:50" x14ac:dyDescent="0.25">
      <c r="A2387" s="102">
        <v>830000</v>
      </c>
      <c r="B2387" s="102">
        <v>2400000</v>
      </c>
      <c r="C2387" s="102">
        <v>2400000</v>
      </c>
      <c r="D2387" s="90" t="s">
        <v>374</v>
      </c>
      <c r="E2387" s="90" t="s">
        <v>68</v>
      </c>
      <c r="F2387" s="90" t="s">
        <v>375</v>
      </c>
      <c r="G2387" s="90" t="s">
        <v>376</v>
      </c>
      <c r="H2387" s="90">
        <v>0.59</v>
      </c>
      <c r="I2387" s="90">
        <v>0.64</v>
      </c>
      <c r="J2387" s="90" t="s">
        <v>244</v>
      </c>
      <c r="K2387" s="90">
        <v>0.15567707265184999</v>
      </c>
      <c r="L2387" s="90">
        <v>3724.6538535115401</v>
      </c>
      <c r="M2387" s="90">
        <v>9.7224883935918207</v>
      </c>
      <c r="N2387" s="90">
        <v>1.58025729242252</v>
      </c>
      <c r="O2387" s="90">
        <v>1.51356853200598</v>
      </c>
      <c r="P2387" s="90">
        <v>0.24600982932108001</v>
      </c>
      <c r="Q2387" s="90">
        <v>579.84320855611702</v>
      </c>
      <c r="R2387" s="90">
        <v>1330</v>
      </c>
      <c r="S2387" s="90" t="s">
        <v>397</v>
      </c>
      <c r="T2387" s="90">
        <v>1330</v>
      </c>
      <c r="U2387" s="90" t="s">
        <v>378</v>
      </c>
      <c r="V2387" s="90" t="s">
        <v>244</v>
      </c>
      <c r="Z2387" s="90">
        <v>0</v>
      </c>
      <c r="AA2387" s="90">
        <v>1</v>
      </c>
      <c r="AB2387" s="90">
        <v>1.51356853200598</v>
      </c>
      <c r="AC2387" s="90">
        <v>0.24600982932108001</v>
      </c>
      <c r="AD2387" s="90">
        <v>579.84320855611702</v>
      </c>
      <c r="AF2387" s="90">
        <v>-1</v>
      </c>
      <c r="AG2387" s="90">
        <v>-1</v>
      </c>
      <c r="AH2387" s="90">
        <v>-1</v>
      </c>
      <c r="AI2387" s="90">
        <v>-1</v>
      </c>
      <c r="AJ2387" s="90">
        <v>0</v>
      </c>
      <c r="AM2387" s="90" t="s">
        <v>379</v>
      </c>
      <c r="AN2387" s="90">
        <v>-1</v>
      </c>
      <c r="AQ2387" s="90">
        <v>358</v>
      </c>
      <c r="AR2387" s="90" t="s">
        <v>422</v>
      </c>
      <c r="AS2387" s="90" t="s">
        <v>250</v>
      </c>
      <c r="AT2387" s="90" t="s">
        <v>244</v>
      </c>
      <c r="AU2387" s="90">
        <v>86.412649999999999</v>
      </c>
      <c r="AV2387" s="90">
        <v>114.640556226115</v>
      </c>
      <c r="AW2387" s="90">
        <v>630.00276128157805</v>
      </c>
      <c r="AX2387" s="90">
        <v>0.47027024210000001</v>
      </c>
    </row>
    <row r="2388" spans="1:50" x14ac:dyDescent="0.25">
      <c r="A2388" s="102">
        <v>830000</v>
      </c>
      <c r="B2388" s="102">
        <v>2400000</v>
      </c>
      <c r="C2388" s="102">
        <v>2400000</v>
      </c>
      <c r="D2388" s="90" t="s">
        <v>374</v>
      </c>
      <c r="E2388" s="90" t="s">
        <v>68</v>
      </c>
      <c r="F2388" s="90" t="s">
        <v>375</v>
      </c>
      <c r="G2388" s="90" t="s">
        <v>376</v>
      </c>
      <c r="H2388" s="90">
        <v>0.59</v>
      </c>
      <c r="I2388" s="90">
        <v>0.64</v>
      </c>
      <c r="J2388" s="90" t="s">
        <v>381</v>
      </c>
      <c r="K2388" s="90">
        <v>5.1191211001000003E-4</v>
      </c>
      <c r="L2388" s="90">
        <v>3724.6538535115401</v>
      </c>
      <c r="M2388" s="90">
        <v>9.7224883935918207</v>
      </c>
      <c r="N2388" s="90">
        <v>1.58025729242252</v>
      </c>
      <c r="O2388" s="90">
        <v>4.97705954815E-3</v>
      </c>
      <c r="P2388" s="90">
        <v>8.0895284492E-4</v>
      </c>
      <c r="Q2388" s="90">
        <v>1.90669541322287</v>
      </c>
      <c r="R2388" s="90">
        <v>1330</v>
      </c>
      <c r="S2388" s="90" t="s">
        <v>397</v>
      </c>
      <c r="T2388" s="90">
        <v>1330</v>
      </c>
      <c r="U2388" s="90" t="s">
        <v>382</v>
      </c>
      <c r="V2388" s="90" t="s">
        <v>381</v>
      </c>
      <c r="Z2388" s="90">
        <v>0</v>
      </c>
      <c r="AA2388" s="90">
        <v>1</v>
      </c>
      <c r="AB2388" s="90">
        <v>4.97705954815E-3</v>
      </c>
      <c r="AC2388" s="90">
        <v>8.0895284492E-4</v>
      </c>
      <c r="AD2388" s="90">
        <v>1.9066954132246301</v>
      </c>
      <c r="AF2388" s="90">
        <v>-1</v>
      </c>
      <c r="AG2388" s="90">
        <v>-1</v>
      </c>
      <c r="AH2388" s="90">
        <v>-1</v>
      </c>
      <c r="AI2388" s="90">
        <v>-1</v>
      </c>
      <c r="AJ2388" s="90">
        <v>0</v>
      </c>
      <c r="AM2388" s="90" t="s">
        <v>379</v>
      </c>
      <c r="AN2388" s="90">
        <v>-1</v>
      </c>
      <c r="AQ2388" s="90">
        <v>358</v>
      </c>
      <c r="AR2388" s="90" t="s">
        <v>422</v>
      </c>
      <c r="AS2388" s="90" t="s">
        <v>250</v>
      </c>
      <c r="AT2388" s="90" t="s">
        <v>244</v>
      </c>
      <c r="AU2388" s="90">
        <v>86.412649999999999</v>
      </c>
      <c r="AV2388" s="90">
        <v>29.024198338441799</v>
      </c>
      <c r="AW2388" s="90">
        <v>2.0716348101164002</v>
      </c>
      <c r="AX2388" s="90">
        <v>1.5463872E-3</v>
      </c>
    </row>
    <row r="2389" spans="1:50" x14ac:dyDescent="0.25">
      <c r="A2389" s="102">
        <v>830000</v>
      </c>
      <c r="B2389" s="102">
        <v>2400000</v>
      </c>
      <c r="C2389" s="102">
        <v>2400000</v>
      </c>
      <c r="D2389" s="90" t="s">
        <v>374</v>
      </c>
      <c r="E2389" s="90" t="s">
        <v>68</v>
      </c>
      <c r="F2389" s="90" t="s">
        <v>375</v>
      </c>
      <c r="G2389" s="90" t="s">
        <v>376</v>
      </c>
      <c r="H2389" s="90">
        <v>0.59</v>
      </c>
      <c r="I2389" s="90">
        <v>0.64</v>
      </c>
      <c r="J2389" s="90" t="s">
        <v>244</v>
      </c>
      <c r="K2389" s="90">
        <v>8.0273545890199999E-3</v>
      </c>
      <c r="L2389" s="90">
        <v>3724.6538535115401</v>
      </c>
      <c r="M2389" s="90">
        <v>9.7224883935918207</v>
      </c>
      <c r="N2389" s="90">
        <v>1.58025729242252</v>
      </c>
      <c r="O2389" s="90">
        <v>7.8045861822990004E-2</v>
      </c>
      <c r="P2389" s="90">
        <v>1.2685285628160001E-2</v>
      </c>
      <c r="Q2389" s="90">
        <v>29.8991172034969</v>
      </c>
      <c r="R2389" s="90">
        <v>1210</v>
      </c>
      <c r="S2389" s="90" t="s">
        <v>385</v>
      </c>
      <c r="T2389" s="90">
        <v>1210</v>
      </c>
      <c r="U2389" s="90" t="s">
        <v>378</v>
      </c>
      <c r="V2389" s="90" t="s">
        <v>244</v>
      </c>
      <c r="Z2389" s="90">
        <v>0</v>
      </c>
      <c r="AA2389" s="90">
        <v>1</v>
      </c>
      <c r="AB2389" s="90">
        <v>7.8045861822990004E-2</v>
      </c>
      <c r="AC2389" s="90">
        <v>1.2685285628160001E-2</v>
      </c>
      <c r="AD2389" s="90">
        <v>29.899117203496001</v>
      </c>
      <c r="AF2389" s="90">
        <v>-1</v>
      </c>
      <c r="AG2389" s="90">
        <v>-1</v>
      </c>
      <c r="AH2389" s="90">
        <v>-1</v>
      </c>
      <c r="AI2389" s="90">
        <v>-1</v>
      </c>
      <c r="AJ2389" s="90">
        <v>0</v>
      </c>
      <c r="AM2389" s="90" t="s">
        <v>379</v>
      </c>
      <c r="AN2389" s="90">
        <v>-1</v>
      </c>
      <c r="AQ2389" s="90">
        <v>358</v>
      </c>
      <c r="AR2389" s="90" t="s">
        <v>422</v>
      </c>
      <c r="AS2389" s="90" t="s">
        <v>250</v>
      </c>
      <c r="AT2389" s="90" t="s">
        <v>244</v>
      </c>
      <c r="AU2389" s="90">
        <v>86.412649999999999</v>
      </c>
      <c r="AV2389" s="90">
        <v>34.8427173848523</v>
      </c>
      <c r="AW2389" s="90">
        <v>32.485551473456702</v>
      </c>
      <c r="AX2389" s="90">
        <v>2.4249081299999999E-2</v>
      </c>
    </row>
    <row r="2390" spans="1:50" x14ac:dyDescent="0.25">
      <c r="A2390" s="102">
        <v>830000</v>
      </c>
      <c r="B2390" s="102">
        <v>2400000</v>
      </c>
      <c r="C2390" s="102">
        <v>2400000</v>
      </c>
      <c r="D2390" s="90" t="s">
        <v>374</v>
      </c>
      <c r="E2390" s="90" t="s">
        <v>68</v>
      </c>
      <c r="F2390" s="90" t="s">
        <v>375</v>
      </c>
      <c r="G2390" s="90" t="s">
        <v>376</v>
      </c>
      <c r="H2390" s="90">
        <v>0.59</v>
      </c>
      <c r="I2390" s="90">
        <v>0.64</v>
      </c>
      <c r="J2390" s="90" t="s">
        <v>244</v>
      </c>
      <c r="K2390" s="90">
        <v>2.143716081515E-2</v>
      </c>
      <c r="L2390" s="90">
        <v>3724.6538535115401</v>
      </c>
      <c r="M2390" s="90">
        <v>9.7224883935918207</v>
      </c>
      <c r="N2390" s="90">
        <v>1.58025729242252</v>
      </c>
      <c r="O2390" s="90">
        <v>0.20842254721685999</v>
      </c>
      <c r="P2390" s="90">
        <v>3.3876229706969997E-2</v>
      </c>
      <c r="Q2390" s="90">
        <v>79.8460036384988</v>
      </c>
      <c r="R2390" s="90">
        <v>1300</v>
      </c>
      <c r="S2390" s="90" t="s">
        <v>387</v>
      </c>
      <c r="T2390" s="90">
        <v>1300</v>
      </c>
      <c r="U2390" s="90" t="s">
        <v>378</v>
      </c>
      <c r="V2390" s="90" t="s">
        <v>244</v>
      </c>
      <c r="Z2390" s="90">
        <v>0</v>
      </c>
      <c r="AA2390" s="90">
        <v>1</v>
      </c>
      <c r="AB2390" s="90">
        <v>0.20842254721685999</v>
      </c>
      <c r="AC2390" s="90">
        <v>3.3876229706969997E-2</v>
      </c>
      <c r="AD2390" s="90">
        <v>79.846003638500306</v>
      </c>
      <c r="AF2390" s="90">
        <v>-1</v>
      </c>
      <c r="AG2390" s="90">
        <v>-1</v>
      </c>
      <c r="AH2390" s="90">
        <v>-1</v>
      </c>
      <c r="AI2390" s="90">
        <v>-1</v>
      </c>
      <c r="AJ2390" s="90">
        <v>0</v>
      </c>
      <c r="AM2390" s="90" t="s">
        <v>379</v>
      </c>
      <c r="AN2390" s="90">
        <v>-1</v>
      </c>
      <c r="AQ2390" s="90">
        <v>358</v>
      </c>
      <c r="AR2390" s="90" t="s">
        <v>422</v>
      </c>
      <c r="AS2390" s="90" t="s">
        <v>250</v>
      </c>
      <c r="AT2390" s="90" t="s">
        <v>244</v>
      </c>
      <c r="AU2390" s="90">
        <v>86.412649999999999</v>
      </c>
      <c r="AV2390" s="90">
        <v>59.836532361298801</v>
      </c>
      <c r="AW2390" s="90">
        <v>86.753111922816998</v>
      </c>
      <c r="AX2390" s="90">
        <v>6.4757505000000007E-2</v>
      </c>
    </row>
    <row r="2391" spans="1:50" x14ac:dyDescent="0.25">
      <c r="A2391" s="102">
        <v>830000</v>
      </c>
      <c r="B2391" s="102">
        <v>2400000</v>
      </c>
      <c r="C2391" s="102">
        <v>2400000</v>
      </c>
      <c r="D2391" s="90" t="s">
        <v>374</v>
      </c>
      <c r="E2391" s="90" t="s">
        <v>68</v>
      </c>
      <c r="F2391" s="90" t="s">
        <v>375</v>
      </c>
      <c r="G2391" s="90" t="s">
        <v>376</v>
      </c>
      <c r="H2391" s="90">
        <v>0.59</v>
      </c>
      <c r="I2391" s="90">
        <v>0.64</v>
      </c>
      <c r="J2391" s="90" t="s">
        <v>244</v>
      </c>
      <c r="K2391" s="90">
        <v>0.28848557743650999</v>
      </c>
      <c r="L2391" s="90">
        <v>3773.8140038065098</v>
      </c>
      <c r="M2391" s="90">
        <v>9.4768971225364407</v>
      </c>
      <c r="N2391" s="90">
        <v>1.6345837971214201</v>
      </c>
      <c r="O2391" s="90">
        <v>2.7339481387013902</v>
      </c>
      <c r="P2391" s="90">
        <v>0.47155385058094001</v>
      </c>
      <c r="Q2391" s="90">
        <v>1088.69091202613</v>
      </c>
      <c r="R2391" s="90">
        <v>1390</v>
      </c>
      <c r="S2391" s="90" t="s">
        <v>402</v>
      </c>
      <c r="T2391" s="90">
        <v>1390</v>
      </c>
      <c r="U2391" s="90" t="s">
        <v>378</v>
      </c>
      <c r="V2391" s="90" t="s">
        <v>244</v>
      </c>
      <c r="Z2391" s="90">
        <v>0</v>
      </c>
      <c r="AA2391" s="90">
        <v>1</v>
      </c>
      <c r="AB2391" s="90">
        <v>2.7339481387013902</v>
      </c>
      <c r="AC2391" s="90">
        <v>0.47155385058094001</v>
      </c>
      <c r="AD2391" s="90">
        <v>1093.2968259244799</v>
      </c>
      <c r="AF2391" s="90">
        <v>-1</v>
      </c>
      <c r="AG2391" s="90">
        <v>-1</v>
      </c>
      <c r="AH2391" s="90">
        <v>-1</v>
      </c>
      <c r="AI2391" s="90">
        <v>-1</v>
      </c>
      <c r="AJ2391" s="90">
        <v>0</v>
      </c>
      <c r="AM2391" s="90" t="s">
        <v>379</v>
      </c>
      <c r="AN2391" s="90">
        <v>-1</v>
      </c>
      <c r="AQ2391" s="90">
        <v>358</v>
      </c>
      <c r="AR2391" s="90" t="s">
        <v>422</v>
      </c>
      <c r="AS2391" s="90" t="s">
        <v>250</v>
      </c>
      <c r="AT2391" s="90" t="s">
        <v>244</v>
      </c>
      <c r="AU2391" s="90">
        <v>86.412649999999999</v>
      </c>
      <c r="AV2391" s="90">
        <v>146.87995831042301</v>
      </c>
      <c r="AW2391" s="90">
        <v>1167.4597118187401</v>
      </c>
      <c r="AX2391" s="90">
        <v>0.8866965336</v>
      </c>
    </row>
    <row r="2392" spans="1:50" x14ac:dyDescent="0.25">
      <c r="A2392" s="102">
        <v>830000</v>
      </c>
      <c r="B2392" s="102">
        <v>2400000</v>
      </c>
      <c r="C2392" s="102">
        <v>2400000</v>
      </c>
      <c r="D2392" s="90" t="s">
        <v>374</v>
      </c>
      <c r="E2392" s="90" t="s">
        <v>68</v>
      </c>
      <c r="F2392" s="90" t="s">
        <v>375</v>
      </c>
      <c r="G2392" s="90" t="s">
        <v>376</v>
      </c>
      <c r="H2392" s="90">
        <v>0.59</v>
      </c>
      <c r="I2392" s="90">
        <v>0.64</v>
      </c>
      <c r="J2392" s="90" t="s">
        <v>381</v>
      </c>
      <c r="K2392" s="90">
        <v>4.3628295915860003E-2</v>
      </c>
      <c r="L2392" s="90">
        <v>3773.8140038065098</v>
      </c>
      <c r="M2392" s="90">
        <v>9.4768971225364407</v>
      </c>
      <c r="N2392" s="90">
        <v>1.6345837971214201</v>
      </c>
      <c r="O2392" s="90">
        <v>0.41346087202621001</v>
      </c>
      <c r="P2392" s="90">
        <v>7.1314105600080002E-2</v>
      </c>
      <c r="Q2392" s="90">
        <v>164.645074089498</v>
      </c>
      <c r="R2392" s="90">
        <v>1390</v>
      </c>
      <c r="S2392" s="90" t="s">
        <v>402</v>
      </c>
      <c r="T2392" s="90">
        <v>1390</v>
      </c>
      <c r="U2392" s="90" t="s">
        <v>382</v>
      </c>
      <c r="V2392" s="90" t="s">
        <v>381</v>
      </c>
      <c r="Z2392" s="90">
        <v>0</v>
      </c>
      <c r="AA2392" s="90">
        <v>1</v>
      </c>
      <c r="AB2392" s="90">
        <v>0.41346087202621001</v>
      </c>
      <c r="AC2392" s="90">
        <v>7.1314105600080002E-2</v>
      </c>
      <c r="AD2392" s="90">
        <v>164.645074089498</v>
      </c>
      <c r="AF2392" s="90">
        <v>-1</v>
      </c>
      <c r="AG2392" s="90">
        <v>-1</v>
      </c>
      <c r="AH2392" s="90">
        <v>-1</v>
      </c>
      <c r="AI2392" s="90">
        <v>-1</v>
      </c>
      <c r="AJ2392" s="90">
        <v>0</v>
      </c>
      <c r="AM2392" s="90" t="s">
        <v>379</v>
      </c>
      <c r="AN2392" s="90">
        <v>-1</v>
      </c>
      <c r="AQ2392" s="90">
        <v>358</v>
      </c>
      <c r="AR2392" s="90" t="s">
        <v>422</v>
      </c>
      <c r="AS2392" s="90" t="s">
        <v>250</v>
      </c>
      <c r="AT2392" s="90" t="s">
        <v>244</v>
      </c>
      <c r="AU2392" s="90">
        <v>86.412649999999999</v>
      </c>
      <c r="AV2392" s="90">
        <v>106.982591614302</v>
      </c>
      <c r="AW2392" s="90">
        <v>176.55744952547801</v>
      </c>
      <c r="AX2392" s="90">
        <v>0.1335320958</v>
      </c>
    </row>
    <row r="2393" spans="1:50" x14ac:dyDescent="0.25">
      <c r="A2393" s="102">
        <v>830000</v>
      </c>
      <c r="B2393" s="102">
        <v>2400000</v>
      </c>
      <c r="C2393" s="102">
        <v>2400000</v>
      </c>
      <c r="D2393" s="90" t="s">
        <v>374</v>
      </c>
      <c r="E2393" s="90" t="s">
        <v>68</v>
      </c>
      <c r="F2393" s="90" t="s">
        <v>375</v>
      </c>
      <c r="G2393" s="90" t="s">
        <v>376</v>
      </c>
      <c r="H2393" s="90">
        <v>0.59</v>
      </c>
      <c r="I2393" s="90">
        <v>0.64</v>
      </c>
      <c r="J2393" s="90" t="s">
        <v>244</v>
      </c>
      <c r="K2393" s="90">
        <v>1.9534042794300001E-3</v>
      </c>
      <c r="L2393" s="90">
        <v>3773.8140038065098</v>
      </c>
      <c r="M2393" s="90">
        <v>9.4768971225364407</v>
      </c>
      <c r="N2393" s="90">
        <v>1.6345837971214201</v>
      </c>
      <c r="O2393" s="90">
        <v>1.851221139492E-2</v>
      </c>
      <c r="P2393" s="90">
        <v>3.19300298439E-3</v>
      </c>
      <c r="Q2393" s="90">
        <v>7.3717844248273803</v>
      </c>
      <c r="R2393" s="90">
        <v>1300</v>
      </c>
      <c r="S2393" s="90" t="s">
        <v>387</v>
      </c>
      <c r="T2393" s="90">
        <v>1300</v>
      </c>
      <c r="U2393" s="90" t="s">
        <v>378</v>
      </c>
      <c r="V2393" s="90" t="s">
        <v>244</v>
      </c>
      <c r="Z2393" s="90">
        <v>0</v>
      </c>
      <c r="AA2393" s="90">
        <v>1</v>
      </c>
      <c r="AB2393" s="90">
        <v>1.851221139492E-2</v>
      </c>
      <c r="AC2393" s="90">
        <v>3.19300298439E-3</v>
      </c>
      <c r="AD2393" s="90">
        <v>7.3717844248282098</v>
      </c>
      <c r="AF2393" s="90">
        <v>-1</v>
      </c>
      <c r="AG2393" s="90">
        <v>-1</v>
      </c>
      <c r="AH2393" s="90">
        <v>-1</v>
      </c>
      <c r="AI2393" s="90">
        <v>-1</v>
      </c>
      <c r="AJ2393" s="90">
        <v>0</v>
      </c>
      <c r="AM2393" s="90" t="s">
        <v>379</v>
      </c>
      <c r="AN2393" s="90">
        <v>-1</v>
      </c>
      <c r="AQ2393" s="90">
        <v>358</v>
      </c>
      <c r="AR2393" s="90" t="s">
        <v>422</v>
      </c>
      <c r="AS2393" s="90" t="s">
        <v>250</v>
      </c>
      <c r="AT2393" s="90" t="s">
        <v>244</v>
      </c>
      <c r="AU2393" s="90">
        <v>86.412649999999999</v>
      </c>
      <c r="AV2393" s="90">
        <v>100.34708667596399</v>
      </c>
      <c r="AW2393" s="90">
        <v>7.90514665377607</v>
      </c>
      <c r="AX2393" s="90">
        <v>5.9787384000000001E-3</v>
      </c>
    </row>
    <row r="2394" spans="1:50" x14ac:dyDescent="0.25">
      <c r="A2394" s="102">
        <v>830000</v>
      </c>
      <c r="B2394" s="102">
        <v>2400000</v>
      </c>
      <c r="C2394" s="102">
        <v>2400000</v>
      </c>
      <c r="D2394" s="90" t="s">
        <v>374</v>
      </c>
      <c r="E2394" s="90" t="s">
        <v>68</v>
      </c>
      <c r="F2394" s="90" t="s">
        <v>375</v>
      </c>
      <c r="G2394" s="90" t="s">
        <v>376</v>
      </c>
      <c r="H2394" s="90">
        <v>0.59</v>
      </c>
      <c r="I2394" s="90">
        <v>0.64</v>
      </c>
      <c r="J2394" s="90" t="s">
        <v>381</v>
      </c>
      <c r="K2394" s="90">
        <v>0.18640154949737001</v>
      </c>
      <c r="L2394" s="90">
        <v>3773.8140038065098</v>
      </c>
      <c r="M2394" s="90">
        <v>9.4768971225364407</v>
      </c>
      <c r="N2394" s="90">
        <v>1.6345837971214201</v>
      </c>
      <c r="O2394" s="90">
        <v>1.76650830806798</v>
      </c>
      <c r="P2394" s="90">
        <v>0.30468895256673001</v>
      </c>
      <c r="Q2394" s="90">
        <v>703.44477782441595</v>
      </c>
      <c r="R2394" s="90">
        <v>1300</v>
      </c>
      <c r="S2394" s="90" t="s">
        <v>387</v>
      </c>
      <c r="T2394" s="90">
        <v>1300</v>
      </c>
      <c r="U2394" s="90" t="s">
        <v>382</v>
      </c>
      <c r="V2394" s="90" t="s">
        <v>381</v>
      </c>
      <c r="Z2394" s="90">
        <v>0</v>
      </c>
      <c r="AA2394" s="90">
        <v>1</v>
      </c>
      <c r="AB2394" s="90">
        <v>1.76650830806798</v>
      </c>
      <c r="AC2394" s="90">
        <v>0.30468895256673001</v>
      </c>
      <c r="AD2394" s="90">
        <v>703.44477782441595</v>
      </c>
      <c r="AF2394" s="90">
        <v>-1</v>
      </c>
      <c r="AG2394" s="90">
        <v>-1</v>
      </c>
      <c r="AH2394" s="90">
        <v>-1</v>
      </c>
      <c r="AI2394" s="90">
        <v>-1</v>
      </c>
      <c r="AJ2394" s="90">
        <v>0</v>
      </c>
      <c r="AM2394" s="90" t="s">
        <v>379</v>
      </c>
      <c r="AN2394" s="90">
        <v>-1</v>
      </c>
      <c r="AQ2394" s="90">
        <v>358</v>
      </c>
      <c r="AR2394" s="90" t="s">
        <v>422</v>
      </c>
      <c r="AS2394" s="90" t="s">
        <v>250</v>
      </c>
      <c r="AT2394" s="90" t="s">
        <v>244</v>
      </c>
      <c r="AU2394" s="90">
        <v>86.412649999999999</v>
      </c>
      <c r="AV2394" s="90">
        <v>130.36268622020501</v>
      </c>
      <c r="AW2394" s="90">
        <v>754.34030772874996</v>
      </c>
      <c r="AX2394" s="90">
        <v>0.57051482389999997</v>
      </c>
    </row>
    <row r="2395" spans="1:50" x14ac:dyDescent="0.25">
      <c r="A2395" s="102">
        <v>830000</v>
      </c>
      <c r="B2395" s="102">
        <v>2400000</v>
      </c>
      <c r="C2395" s="102">
        <v>2400000</v>
      </c>
      <c r="D2395" s="90" t="s">
        <v>374</v>
      </c>
      <c r="E2395" s="90" t="s">
        <v>68</v>
      </c>
      <c r="F2395" s="90" t="s">
        <v>375</v>
      </c>
      <c r="G2395" s="90" t="s">
        <v>376</v>
      </c>
      <c r="H2395" s="90">
        <v>0.59</v>
      </c>
      <c r="I2395" s="90">
        <v>0.64</v>
      </c>
      <c r="J2395" s="90" t="s">
        <v>244</v>
      </c>
      <c r="K2395" s="90">
        <v>1.502072364001E-2</v>
      </c>
      <c r="L2395" s="90">
        <v>3773.8140038065098</v>
      </c>
      <c r="M2395" s="90">
        <v>9.4768971225364407</v>
      </c>
      <c r="N2395" s="90">
        <v>1.6345837971214201</v>
      </c>
      <c r="O2395" s="90">
        <v>0.14234985264246999</v>
      </c>
      <c r="P2395" s="90">
        <v>2.4552631482999999E-2</v>
      </c>
      <c r="Q2395" s="90">
        <v>56.685417219996197</v>
      </c>
      <c r="R2395" s="90">
        <v>1210</v>
      </c>
      <c r="S2395" s="90" t="s">
        <v>385</v>
      </c>
      <c r="T2395" s="90">
        <v>1210</v>
      </c>
      <c r="U2395" s="90" t="s">
        <v>378</v>
      </c>
      <c r="V2395" s="90" t="s">
        <v>244</v>
      </c>
      <c r="Z2395" s="90">
        <v>0</v>
      </c>
      <c r="AA2395" s="90">
        <v>1</v>
      </c>
      <c r="AB2395" s="90">
        <v>0.14234985264246999</v>
      </c>
      <c r="AC2395" s="90">
        <v>2.4552631482999999E-2</v>
      </c>
      <c r="AD2395" s="90">
        <v>56.685417219996197</v>
      </c>
      <c r="AF2395" s="90">
        <v>-1</v>
      </c>
      <c r="AG2395" s="90">
        <v>-1</v>
      </c>
      <c r="AH2395" s="90">
        <v>-1</v>
      </c>
      <c r="AI2395" s="90">
        <v>-1</v>
      </c>
      <c r="AJ2395" s="90">
        <v>0</v>
      </c>
      <c r="AM2395" s="90" t="s">
        <v>379</v>
      </c>
      <c r="AN2395" s="90">
        <v>-1</v>
      </c>
      <c r="AQ2395" s="90">
        <v>358</v>
      </c>
      <c r="AR2395" s="90" t="s">
        <v>422</v>
      </c>
      <c r="AS2395" s="90" t="s">
        <v>250</v>
      </c>
      <c r="AT2395" s="90" t="s">
        <v>244</v>
      </c>
      <c r="AU2395" s="90">
        <v>86.412649999999999</v>
      </c>
      <c r="AV2395" s="90">
        <v>31.208840594606301</v>
      </c>
      <c r="AW2395" s="90">
        <v>60.7867119316901</v>
      </c>
      <c r="AX2395" s="90">
        <v>4.5973574400000002E-2</v>
      </c>
    </row>
    <row r="2396" spans="1:50" x14ac:dyDescent="0.25">
      <c r="A2396" s="102">
        <v>830000</v>
      </c>
      <c r="B2396" s="102">
        <v>2400000</v>
      </c>
      <c r="C2396" s="102">
        <v>2400000</v>
      </c>
      <c r="D2396" s="90" t="s">
        <v>374</v>
      </c>
      <c r="E2396" s="90" t="s">
        <v>68</v>
      </c>
      <c r="F2396" s="90" t="s">
        <v>375</v>
      </c>
      <c r="G2396" s="90" t="s">
        <v>376</v>
      </c>
      <c r="H2396" s="90">
        <v>0.59</v>
      </c>
      <c r="I2396" s="90">
        <v>0.64</v>
      </c>
      <c r="J2396" s="90" t="s">
        <v>244</v>
      </c>
      <c r="K2396" s="90">
        <v>5.711223811986E-2</v>
      </c>
      <c r="L2396" s="90">
        <v>3773.8140038065098</v>
      </c>
      <c r="M2396" s="90">
        <v>9.4768971225364407</v>
      </c>
      <c r="N2396" s="90">
        <v>1.6345837971214201</v>
      </c>
      <c r="O2396" s="90">
        <v>0.54124680509980005</v>
      </c>
      <c r="P2396" s="90">
        <v>9.3354739048069998E-2</v>
      </c>
      <c r="Q2396" s="90">
        <v>215.53096400549401</v>
      </c>
      <c r="R2396" s="90">
        <v>1210</v>
      </c>
      <c r="S2396" s="90" t="s">
        <v>385</v>
      </c>
      <c r="T2396" s="90">
        <v>1210</v>
      </c>
      <c r="U2396" s="90" t="s">
        <v>378</v>
      </c>
      <c r="V2396" s="90" t="s">
        <v>244</v>
      </c>
      <c r="Z2396" s="90">
        <v>0</v>
      </c>
      <c r="AA2396" s="90">
        <v>1</v>
      </c>
      <c r="AB2396" s="90">
        <v>0.54124680509980005</v>
      </c>
      <c r="AC2396" s="90">
        <v>9.3354739048069998E-2</v>
      </c>
      <c r="AD2396" s="90">
        <v>215.53096400549401</v>
      </c>
      <c r="AF2396" s="90">
        <v>-1</v>
      </c>
      <c r="AG2396" s="90">
        <v>-1</v>
      </c>
      <c r="AH2396" s="90">
        <v>-1</v>
      </c>
      <c r="AI2396" s="90">
        <v>-1</v>
      </c>
      <c r="AJ2396" s="90">
        <v>0</v>
      </c>
      <c r="AM2396" s="90" t="s">
        <v>379</v>
      </c>
      <c r="AN2396" s="90">
        <v>-1</v>
      </c>
      <c r="AQ2396" s="90">
        <v>358</v>
      </c>
      <c r="AR2396" s="90" t="s">
        <v>422</v>
      </c>
      <c r="AS2396" s="90" t="s">
        <v>250</v>
      </c>
      <c r="AT2396" s="90" t="s">
        <v>244</v>
      </c>
      <c r="AU2396" s="90">
        <v>86.412649999999999</v>
      </c>
      <c r="AV2396" s="90">
        <v>79.896371125465294</v>
      </c>
      <c r="AW2396" s="90">
        <v>231.12502763302999</v>
      </c>
      <c r="AX2396" s="90">
        <v>0.17480207950000001</v>
      </c>
    </row>
    <row r="2397" spans="1:50" x14ac:dyDescent="0.25">
      <c r="A2397" s="102">
        <v>830000</v>
      </c>
      <c r="B2397" s="102">
        <v>2400000</v>
      </c>
      <c r="C2397" s="102">
        <v>2400000</v>
      </c>
      <c r="D2397" s="90" t="s">
        <v>374</v>
      </c>
      <c r="E2397" s="90" t="s">
        <v>68</v>
      </c>
      <c r="F2397" s="90" t="s">
        <v>375</v>
      </c>
      <c r="G2397" s="90" t="s">
        <v>376</v>
      </c>
      <c r="H2397" s="90">
        <v>0.59</v>
      </c>
      <c r="I2397" s="90">
        <v>0.64</v>
      </c>
      <c r="J2397" s="90" t="s">
        <v>244</v>
      </c>
      <c r="K2397" s="90">
        <v>1.4415119241499999E-2</v>
      </c>
      <c r="L2397" s="90">
        <v>3773.8140038065098</v>
      </c>
      <c r="M2397" s="90">
        <v>9.4768971225364407</v>
      </c>
      <c r="N2397" s="90">
        <v>1.6345837971214201</v>
      </c>
      <c r="O2397" s="90">
        <v>0.13661060206084</v>
      </c>
      <c r="P2397" s="90">
        <v>2.3562720345729999E-2</v>
      </c>
      <c r="Q2397" s="90">
        <v>54.399978860136102</v>
      </c>
      <c r="R2397" s="90">
        <v>1300</v>
      </c>
      <c r="S2397" s="90" t="s">
        <v>387</v>
      </c>
      <c r="T2397" s="90">
        <v>1300</v>
      </c>
      <c r="U2397" s="90" t="s">
        <v>378</v>
      </c>
      <c r="V2397" s="90" t="s">
        <v>244</v>
      </c>
      <c r="Z2397" s="90">
        <v>0</v>
      </c>
      <c r="AA2397" s="90">
        <v>1</v>
      </c>
      <c r="AB2397" s="90">
        <v>0.13661060206084</v>
      </c>
      <c r="AC2397" s="90">
        <v>2.3562720345729999E-2</v>
      </c>
      <c r="AD2397" s="90">
        <v>54.399978860135001</v>
      </c>
      <c r="AF2397" s="90">
        <v>-1</v>
      </c>
      <c r="AG2397" s="90">
        <v>-1</v>
      </c>
      <c r="AH2397" s="90">
        <v>-1</v>
      </c>
      <c r="AI2397" s="90">
        <v>-1</v>
      </c>
      <c r="AJ2397" s="90">
        <v>0</v>
      </c>
      <c r="AM2397" s="90" t="s">
        <v>379</v>
      </c>
      <c r="AN2397" s="90">
        <v>-1</v>
      </c>
      <c r="AQ2397" s="90">
        <v>358</v>
      </c>
      <c r="AR2397" s="90" t="s">
        <v>422</v>
      </c>
      <c r="AS2397" s="90" t="s">
        <v>250</v>
      </c>
      <c r="AT2397" s="90" t="s">
        <v>244</v>
      </c>
      <c r="AU2397" s="90">
        <v>86.412649999999999</v>
      </c>
      <c r="AV2397" s="90">
        <v>30.9614764652388</v>
      </c>
      <c r="AW2397" s="90">
        <v>58.335917882149303</v>
      </c>
      <c r="AX2397" s="90">
        <v>4.4120015300000003E-2</v>
      </c>
    </row>
    <row r="2398" spans="1:50" x14ac:dyDescent="0.25">
      <c r="A2398" s="102">
        <v>830000</v>
      </c>
      <c r="B2398" s="102">
        <v>2400000</v>
      </c>
      <c r="C2398" s="102">
        <v>2400000</v>
      </c>
      <c r="D2398" s="90" t="s">
        <v>374</v>
      </c>
      <c r="E2398" s="90" t="s">
        <v>68</v>
      </c>
      <c r="F2398" s="90" t="s">
        <v>375</v>
      </c>
      <c r="G2398" s="90" t="s">
        <v>376</v>
      </c>
      <c r="H2398" s="90">
        <v>0.59</v>
      </c>
      <c r="I2398" s="90">
        <v>0.64</v>
      </c>
      <c r="J2398" s="90" t="s">
        <v>244</v>
      </c>
      <c r="K2398" s="90">
        <v>9.5260524516399998E-3</v>
      </c>
      <c r="L2398" s="90">
        <v>3773.8140038065098</v>
      </c>
      <c r="M2398" s="90">
        <v>9.4768971225364407</v>
      </c>
      <c r="N2398" s="90">
        <v>1.6345837971214201</v>
      </c>
      <c r="O2398" s="90">
        <v>9.0277419068079998E-2</v>
      </c>
      <c r="P2398" s="90">
        <v>1.5571130987980001E-2</v>
      </c>
      <c r="Q2398" s="90">
        <v>35.949550142998199</v>
      </c>
      <c r="R2398" s="90">
        <v>1210</v>
      </c>
      <c r="S2398" s="90" t="s">
        <v>385</v>
      </c>
      <c r="T2398" s="90">
        <v>1210</v>
      </c>
      <c r="U2398" s="90" t="s">
        <v>378</v>
      </c>
      <c r="V2398" s="90" t="s">
        <v>244</v>
      </c>
      <c r="Z2398" s="90">
        <v>0</v>
      </c>
      <c r="AA2398" s="90">
        <v>1</v>
      </c>
      <c r="AB2398" s="90">
        <v>9.0277419068079998E-2</v>
      </c>
      <c r="AC2398" s="90">
        <v>1.5571130987980001E-2</v>
      </c>
      <c r="AD2398" s="90">
        <v>35.949550142997502</v>
      </c>
      <c r="AF2398" s="90">
        <v>-1</v>
      </c>
      <c r="AG2398" s="90">
        <v>-1</v>
      </c>
      <c r="AH2398" s="90">
        <v>-1</v>
      </c>
      <c r="AI2398" s="90">
        <v>-1</v>
      </c>
      <c r="AJ2398" s="90">
        <v>0</v>
      </c>
      <c r="AM2398" s="90" t="s">
        <v>379</v>
      </c>
      <c r="AN2398" s="90">
        <v>-1</v>
      </c>
      <c r="AQ2398" s="90">
        <v>358</v>
      </c>
      <c r="AR2398" s="90" t="s">
        <v>422</v>
      </c>
      <c r="AS2398" s="90" t="s">
        <v>250</v>
      </c>
      <c r="AT2398" s="90" t="s">
        <v>244</v>
      </c>
      <c r="AU2398" s="90">
        <v>86.412649999999999</v>
      </c>
      <c r="AV2398" s="90">
        <v>53.394430982299802</v>
      </c>
      <c r="AW2398" s="90">
        <v>38.550566544041899</v>
      </c>
      <c r="AX2398" s="90">
        <v>2.91561639E-2</v>
      </c>
    </row>
    <row r="2399" spans="1:50" x14ac:dyDescent="0.25">
      <c r="A2399" s="102">
        <v>830000</v>
      </c>
      <c r="B2399" s="102">
        <v>2400000</v>
      </c>
      <c r="C2399" s="102">
        <v>2400000</v>
      </c>
      <c r="D2399" s="90" t="s">
        <v>374</v>
      </c>
      <c r="E2399" s="90" t="s">
        <v>68</v>
      </c>
      <c r="F2399" s="90" t="s">
        <v>375</v>
      </c>
      <c r="G2399" s="90" t="s">
        <v>376</v>
      </c>
      <c r="H2399" s="90">
        <v>0.59</v>
      </c>
      <c r="I2399" s="90">
        <v>0.64</v>
      </c>
      <c r="J2399" s="90" t="s">
        <v>381</v>
      </c>
      <c r="K2399" s="90">
        <v>0.19591652416878999</v>
      </c>
      <c r="L2399" s="90">
        <v>3777.73800338406</v>
      </c>
      <c r="M2399" s="90">
        <v>11.390336340626799</v>
      </c>
      <c r="N2399" s="90">
        <v>1.5176352578110299</v>
      </c>
      <c r="O2399" s="90">
        <v>2.23155510496915</v>
      </c>
      <c r="P2399" s="90">
        <v>0.29732982466635</v>
      </c>
      <c r="Q2399" s="90">
        <v>740.12129884338003</v>
      </c>
      <c r="R2399" s="90">
        <v>1400</v>
      </c>
      <c r="S2399" s="90" t="s">
        <v>324</v>
      </c>
      <c r="T2399" s="90">
        <v>1400</v>
      </c>
      <c r="U2399" s="90" t="s">
        <v>382</v>
      </c>
      <c r="V2399" s="90" t="s">
        <v>381</v>
      </c>
      <c r="Z2399" s="90">
        <v>0</v>
      </c>
      <c r="AA2399" s="90">
        <v>1</v>
      </c>
      <c r="AB2399" s="90">
        <v>2.23155510496915</v>
      </c>
      <c r="AC2399" s="90">
        <v>0.29732982466635</v>
      </c>
      <c r="AD2399" s="90">
        <v>740.12129884338003</v>
      </c>
      <c r="AF2399" s="90">
        <v>-1</v>
      </c>
      <c r="AG2399" s="90">
        <v>-1</v>
      </c>
      <c r="AH2399" s="90">
        <v>-1</v>
      </c>
      <c r="AI2399" s="90">
        <v>-1</v>
      </c>
      <c r="AJ2399" s="90">
        <v>0</v>
      </c>
      <c r="AM2399" s="90" t="s">
        <v>379</v>
      </c>
      <c r="AN2399" s="90">
        <v>-1</v>
      </c>
      <c r="AQ2399" s="90">
        <v>358</v>
      </c>
      <c r="AR2399" s="90" t="s">
        <v>422</v>
      </c>
      <c r="AS2399" s="90" t="s">
        <v>250</v>
      </c>
      <c r="AT2399" s="90" t="s">
        <v>244</v>
      </c>
      <c r="AU2399" s="90">
        <v>86.412649999999999</v>
      </c>
      <c r="AV2399" s="90">
        <v>131.72860095508301</v>
      </c>
      <c r="AW2399" s="90">
        <v>792.84604408678399</v>
      </c>
      <c r="AX2399" s="90">
        <v>0.60026058299999996</v>
      </c>
    </row>
    <row r="2400" spans="1:50" x14ac:dyDescent="0.25">
      <c r="A2400" s="102">
        <v>830000</v>
      </c>
      <c r="B2400" s="102">
        <v>2400000</v>
      </c>
      <c r="C2400" s="102">
        <v>2400000</v>
      </c>
      <c r="D2400" s="90" t="s">
        <v>374</v>
      </c>
      <c r="E2400" s="90" t="s">
        <v>68</v>
      </c>
      <c r="F2400" s="90" t="s">
        <v>375</v>
      </c>
      <c r="G2400" s="90" t="s">
        <v>376</v>
      </c>
      <c r="H2400" s="90">
        <v>0.59</v>
      </c>
      <c r="I2400" s="90">
        <v>0.64</v>
      </c>
      <c r="J2400" s="90" t="s">
        <v>244</v>
      </c>
      <c r="K2400" s="90">
        <v>6.1093037235429998E-2</v>
      </c>
      <c r="L2400" s="90">
        <v>3777.73800338406</v>
      </c>
      <c r="M2400" s="90">
        <v>11.390336340626799</v>
      </c>
      <c r="N2400" s="90">
        <v>1.5176352578110299</v>
      </c>
      <c r="O2400" s="90">
        <v>0.69587024218205995</v>
      </c>
      <c r="P2400" s="90">
        <v>9.2716947315260007E-2</v>
      </c>
      <c r="Q2400" s="90">
        <v>230.79348850646701</v>
      </c>
      <c r="R2400" s="90">
        <v>1210</v>
      </c>
      <c r="S2400" s="90" t="s">
        <v>385</v>
      </c>
      <c r="T2400" s="90">
        <v>1210</v>
      </c>
      <c r="U2400" s="90" t="s">
        <v>378</v>
      </c>
      <c r="V2400" s="90" t="s">
        <v>244</v>
      </c>
      <c r="Z2400" s="90">
        <v>0</v>
      </c>
      <c r="AA2400" s="90">
        <v>1</v>
      </c>
      <c r="AB2400" s="90">
        <v>0.69587024218205995</v>
      </c>
      <c r="AC2400" s="90">
        <v>9.2716947315260007E-2</v>
      </c>
      <c r="AD2400" s="90">
        <v>230.79348850646801</v>
      </c>
      <c r="AF2400" s="90">
        <v>-1</v>
      </c>
      <c r="AG2400" s="90">
        <v>-1</v>
      </c>
      <c r="AH2400" s="90">
        <v>-1</v>
      </c>
      <c r="AI2400" s="90">
        <v>-1</v>
      </c>
      <c r="AJ2400" s="90">
        <v>0</v>
      </c>
      <c r="AM2400" s="90" t="s">
        <v>379</v>
      </c>
      <c r="AN2400" s="90">
        <v>-1</v>
      </c>
      <c r="AQ2400" s="90">
        <v>358</v>
      </c>
      <c r="AR2400" s="90" t="s">
        <v>422</v>
      </c>
      <c r="AS2400" s="90" t="s">
        <v>250</v>
      </c>
      <c r="AT2400" s="90" t="s">
        <v>244</v>
      </c>
      <c r="AU2400" s="90">
        <v>86.412649999999999</v>
      </c>
      <c r="AV2400" s="90">
        <v>81.743096404942506</v>
      </c>
      <c r="AW2400" s="90">
        <v>247.23475010015099</v>
      </c>
      <c r="AX2400" s="90">
        <v>0.18718044489999999</v>
      </c>
    </row>
    <row r="2401" spans="1:50" x14ac:dyDescent="0.25">
      <c r="A2401" s="102">
        <v>830000</v>
      </c>
      <c r="B2401" s="102">
        <v>2400000</v>
      </c>
      <c r="C2401" s="102">
        <v>2400000</v>
      </c>
      <c r="D2401" s="90" t="s">
        <v>374</v>
      </c>
      <c r="E2401" s="90" t="s">
        <v>68</v>
      </c>
      <c r="F2401" s="90" t="s">
        <v>375</v>
      </c>
      <c r="G2401" s="90" t="s">
        <v>376</v>
      </c>
      <c r="H2401" s="90">
        <v>0.59</v>
      </c>
      <c r="I2401" s="90">
        <v>0.64</v>
      </c>
      <c r="J2401" s="90" t="s">
        <v>381</v>
      </c>
      <c r="K2401" s="90">
        <v>2.5156605583000002E-4</v>
      </c>
      <c r="L2401" s="90">
        <v>3777.73800338406</v>
      </c>
      <c r="M2401" s="90">
        <v>11.390336340626799</v>
      </c>
      <c r="N2401" s="90">
        <v>1.5176352578110299</v>
      </c>
      <c r="O2401" s="90">
        <v>2.8654219878900002E-3</v>
      </c>
      <c r="P2401" s="90">
        <v>3.8178551601000002E-4</v>
      </c>
      <c r="Q2401" s="90">
        <v>0.95035064950442005</v>
      </c>
      <c r="R2401" s="90">
        <v>1210</v>
      </c>
      <c r="S2401" s="90" t="s">
        <v>385</v>
      </c>
      <c r="T2401" s="90">
        <v>1210</v>
      </c>
      <c r="U2401" s="90" t="s">
        <v>382</v>
      </c>
      <c r="V2401" s="90" t="s">
        <v>381</v>
      </c>
      <c r="Z2401" s="90">
        <v>0</v>
      </c>
      <c r="AA2401" s="90">
        <v>1</v>
      </c>
      <c r="AB2401" s="90">
        <v>2.8654219878900002E-3</v>
      </c>
      <c r="AC2401" s="90">
        <v>3.8178551601000002E-4</v>
      </c>
      <c r="AD2401" s="90">
        <v>0.95035064950478998</v>
      </c>
      <c r="AF2401" s="90">
        <v>-1</v>
      </c>
      <c r="AG2401" s="90">
        <v>-1</v>
      </c>
      <c r="AH2401" s="90">
        <v>-1</v>
      </c>
      <c r="AI2401" s="90">
        <v>-1</v>
      </c>
      <c r="AJ2401" s="90">
        <v>0</v>
      </c>
      <c r="AM2401" s="90" t="s">
        <v>379</v>
      </c>
      <c r="AN2401" s="90">
        <v>-1</v>
      </c>
      <c r="AQ2401" s="90">
        <v>358</v>
      </c>
      <c r="AR2401" s="90" t="s">
        <v>422</v>
      </c>
      <c r="AS2401" s="90" t="s">
        <v>250</v>
      </c>
      <c r="AT2401" s="90" t="s">
        <v>244</v>
      </c>
      <c r="AU2401" s="90">
        <v>86.412649999999999</v>
      </c>
      <c r="AV2401" s="90">
        <v>13.178823505897901</v>
      </c>
      <c r="AW2401" s="90">
        <v>1.0180517087302801</v>
      </c>
      <c r="AX2401" s="90">
        <v>7.7076290000000001E-4</v>
      </c>
    </row>
    <row r="2402" spans="1:50" x14ac:dyDescent="0.25">
      <c r="A2402" s="102">
        <v>830000</v>
      </c>
      <c r="B2402" s="102">
        <v>2400000</v>
      </c>
      <c r="C2402" s="102">
        <v>2400000</v>
      </c>
      <c r="D2402" s="90" t="s">
        <v>374</v>
      </c>
      <c r="E2402" s="90" t="s">
        <v>68</v>
      </c>
      <c r="F2402" s="90" t="s">
        <v>375</v>
      </c>
      <c r="G2402" s="90" t="s">
        <v>376</v>
      </c>
      <c r="H2402" s="90">
        <v>0.59</v>
      </c>
      <c r="I2402" s="90">
        <v>0.64</v>
      </c>
      <c r="J2402" s="90" t="s">
        <v>244</v>
      </c>
      <c r="K2402" s="90">
        <v>0.12576765805942</v>
      </c>
      <c r="L2402" s="90">
        <v>3777.73800338406</v>
      </c>
      <c r="M2402" s="90">
        <v>11.390336340626799</v>
      </c>
      <c r="N2402" s="90">
        <v>1.5176352578110299</v>
      </c>
      <c r="O2402" s="90">
        <v>1.43253592606984</v>
      </c>
      <c r="P2402" s="90">
        <v>0.19086943216331001</v>
      </c>
      <c r="Q2402" s="90">
        <v>475.11726144771598</v>
      </c>
      <c r="R2402" s="90">
        <v>1410</v>
      </c>
      <c r="S2402" s="90" t="s">
        <v>325</v>
      </c>
      <c r="T2402" s="90">
        <v>1410</v>
      </c>
      <c r="U2402" s="90" t="s">
        <v>378</v>
      </c>
      <c r="V2402" s="90" t="s">
        <v>244</v>
      </c>
      <c r="Z2402" s="90">
        <v>0</v>
      </c>
      <c r="AA2402" s="90">
        <v>1</v>
      </c>
      <c r="AB2402" s="90">
        <v>1.43253592606984</v>
      </c>
      <c r="AC2402" s="90">
        <v>0.19086943216331001</v>
      </c>
      <c r="AD2402" s="90">
        <v>475.11726144771598</v>
      </c>
      <c r="AF2402" s="90">
        <v>-1</v>
      </c>
      <c r="AG2402" s="90">
        <v>-1</v>
      </c>
      <c r="AH2402" s="90">
        <v>-1</v>
      </c>
      <c r="AI2402" s="90">
        <v>-1</v>
      </c>
      <c r="AJ2402" s="90">
        <v>0</v>
      </c>
      <c r="AM2402" s="90" t="s">
        <v>379</v>
      </c>
      <c r="AN2402" s="90">
        <v>-1</v>
      </c>
      <c r="AQ2402" s="90">
        <v>358</v>
      </c>
      <c r="AR2402" s="90" t="s">
        <v>422</v>
      </c>
      <c r="AS2402" s="90" t="s">
        <v>250</v>
      </c>
      <c r="AT2402" s="90" t="s">
        <v>244</v>
      </c>
      <c r="AU2402" s="90">
        <v>86.412649999999999</v>
      </c>
      <c r="AV2402" s="90">
        <v>97.727697628664899</v>
      </c>
      <c r="AW2402" s="90">
        <v>508.96365474800803</v>
      </c>
      <c r="AX2402" s="90">
        <v>0.38533435640000002</v>
      </c>
    </row>
    <row r="2403" spans="1:50" x14ac:dyDescent="0.25">
      <c r="A2403" s="102">
        <v>830000</v>
      </c>
      <c r="B2403" s="102">
        <v>2400000</v>
      </c>
      <c r="C2403" s="102">
        <v>2400000</v>
      </c>
      <c r="D2403" s="90" t="s">
        <v>374</v>
      </c>
      <c r="E2403" s="90" t="s">
        <v>68</v>
      </c>
      <c r="F2403" s="90" t="s">
        <v>375</v>
      </c>
      <c r="G2403" s="90" t="s">
        <v>376</v>
      </c>
      <c r="H2403" s="90">
        <v>0.59</v>
      </c>
      <c r="I2403" s="90">
        <v>0.64</v>
      </c>
      <c r="J2403" s="90" t="s">
        <v>381</v>
      </c>
      <c r="K2403" s="90">
        <v>5.8549098171E-4</v>
      </c>
      <c r="L2403" s="90">
        <v>3777.73800338406</v>
      </c>
      <c r="M2403" s="90">
        <v>11.390336340626799</v>
      </c>
      <c r="N2403" s="90">
        <v>1.5176352578110299</v>
      </c>
      <c r="O2403" s="90">
        <v>6.66893920612E-3</v>
      </c>
      <c r="P2403" s="90">
        <v>8.8856175698000001E-4</v>
      </c>
      <c r="Q2403" s="90">
        <v>2.21183153225962</v>
      </c>
      <c r="R2403" s="90">
        <v>1410</v>
      </c>
      <c r="S2403" s="90" t="s">
        <v>325</v>
      </c>
      <c r="T2403" s="90">
        <v>1410</v>
      </c>
      <c r="U2403" s="90" t="s">
        <v>382</v>
      </c>
      <c r="V2403" s="90" t="s">
        <v>381</v>
      </c>
      <c r="Z2403" s="90">
        <v>0</v>
      </c>
      <c r="AA2403" s="90">
        <v>1</v>
      </c>
      <c r="AB2403" s="90">
        <v>6.66893920612E-3</v>
      </c>
      <c r="AC2403" s="90">
        <v>8.8856175698000001E-4</v>
      </c>
      <c r="AD2403" s="90">
        <v>2.2118315322579698</v>
      </c>
      <c r="AF2403" s="90">
        <v>-1</v>
      </c>
      <c r="AG2403" s="90">
        <v>-1</v>
      </c>
      <c r="AH2403" s="90">
        <v>-1</v>
      </c>
      <c r="AI2403" s="90">
        <v>-1</v>
      </c>
      <c r="AJ2403" s="90">
        <v>0</v>
      </c>
      <c r="AM2403" s="90" t="s">
        <v>379</v>
      </c>
      <c r="AN2403" s="90">
        <v>-1</v>
      </c>
      <c r="AQ2403" s="90">
        <v>358</v>
      </c>
      <c r="AR2403" s="90" t="s">
        <v>422</v>
      </c>
      <c r="AS2403" s="90" t="s">
        <v>250</v>
      </c>
      <c r="AT2403" s="90" t="s">
        <v>244</v>
      </c>
      <c r="AU2403" s="90">
        <v>86.412649999999999</v>
      </c>
      <c r="AV2403" s="90">
        <v>30.252060232229798</v>
      </c>
      <c r="AW2403" s="90">
        <v>2.3693979396048102</v>
      </c>
      <c r="AX2403" s="90">
        <v>1.7938616999999999E-3</v>
      </c>
    </row>
    <row r="2404" spans="1:50" x14ac:dyDescent="0.25">
      <c r="A2404" s="102">
        <v>830000</v>
      </c>
      <c r="B2404" s="102">
        <v>2400000</v>
      </c>
      <c r="C2404" s="102">
        <v>2400000</v>
      </c>
      <c r="D2404" s="90" t="s">
        <v>374</v>
      </c>
      <c r="E2404" s="90" t="s">
        <v>68</v>
      </c>
      <c r="F2404" s="90" t="s">
        <v>375</v>
      </c>
      <c r="G2404" s="90" t="s">
        <v>376</v>
      </c>
      <c r="H2404" s="90">
        <v>0.59</v>
      </c>
      <c r="I2404" s="90">
        <v>0.64</v>
      </c>
      <c r="J2404" s="90" t="s">
        <v>244</v>
      </c>
      <c r="K2404" s="90">
        <v>0.23302979690041001</v>
      </c>
      <c r="L2404" s="90">
        <v>3777.73800338406</v>
      </c>
      <c r="M2404" s="90">
        <v>11.390336340626799</v>
      </c>
      <c r="N2404" s="90">
        <v>1.5176352578110299</v>
      </c>
      <c r="O2404" s="90">
        <v>2.6542877640836302</v>
      </c>
      <c r="P2404" s="90">
        <v>0.3536542358966</v>
      </c>
      <c r="Q2404" s="90">
        <v>880.325519671552</v>
      </c>
      <c r="R2404" s="90">
        <v>1410</v>
      </c>
      <c r="S2404" s="90" t="s">
        <v>325</v>
      </c>
      <c r="T2404" s="90">
        <v>1410</v>
      </c>
      <c r="U2404" s="90" t="s">
        <v>378</v>
      </c>
      <c r="V2404" s="90" t="s">
        <v>244</v>
      </c>
      <c r="Z2404" s="90">
        <v>0</v>
      </c>
      <c r="AA2404" s="90">
        <v>1</v>
      </c>
      <c r="AB2404" s="90">
        <v>2.6542877640836302</v>
      </c>
      <c r="AC2404" s="90">
        <v>0.3536542358966</v>
      </c>
      <c r="AD2404" s="90">
        <v>880.325519671552</v>
      </c>
      <c r="AF2404" s="90">
        <v>-1</v>
      </c>
      <c r="AG2404" s="90">
        <v>-1</v>
      </c>
      <c r="AH2404" s="90">
        <v>-1</v>
      </c>
      <c r="AI2404" s="90">
        <v>-1</v>
      </c>
      <c r="AJ2404" s="90">
        <v>0</v>
      </c>
      <c r="AM2404" s="90" t="s">
        <v>379</v>
      </c>
      <c r="AN2404" s="90">
        <v>-1</v>
      </c>
      <c r="AQ2404" s="90">
        <v>358</v>
      </c>
      <c r="AR2404" s="90" t="s">
        <v>422</v>
      </c>
      <c r="AS2404" s="90" t="s">
        <v>250</v>
      </c>
      <c r="AT2404" s="90" t="s">
        <v>244</v>
      </c>
      <c r="AU2404" s="90">
        <v>86.412649999999999</v>
      </c>
      <c r="AV2404" s="90">
        <v>123.620522495571</v>
      </c>
      <c r="AW2404" s="90">
        <v>943.03813019699805</v>
      </c>
      <c r="AX2404" s="90">
        <v>0.7139704134</v>
      </c>
    </row>
    <row r="2405" spans="1:50" x14ac:dyDescent="0.25">
      <c r="A2405" s="102">
        <v>830000</v>
      </c>
      <c r="B2405" s="102">
        <v>2400000</v>
      </c>
      <c r="C2405" s="102">
        <v>2400000</v>
      </c>
      <c r="D2405" s="90" t="s">
        <v>374</v>
      </c>
      <c r="E2405" s="90" t="s">
        <v>68</v>
      </c>
      <c r="F2405" s="90" t="s">
        <v>375</v>
      </c>
      <c r="G2405" s="90" t="s">
        <v>376</v>
      </c>
      <c r="H2405" s="90">
        <v>0.59</v>
      </c>
      <c r="I2405" s="90">
        <v>0.64</v>
      </c>
      <c r="J2405" s="90" t="s">
        <v>381</v>
      </c>
      <c r="K2405" s="90">
        <v>1.1193803813500001E-3</v>
      </c>
      <c r="L2405" s="90">
        <v>3777.73800338406</v>
      </c>
      <c r="M2405" s="90">
        <v>11.390336340626799</v>
      </c>
      <c r="N2405" s="90">
        <v>1.5176352578110299</v>
      </c>
      <c r="O2405" s="90">
        <v>1.275011903671E-2</v>
      </c>
      <c r="P2405" s="90">
        <v>1.69881113364E-3</v>
      </c>
      <c r="Q2405" s="90">
        <v>4.22872580687977</v>
      </c>
      <c r="R2405" s="90">
        <v>1410</v>
      </c>
      <c r="S2405" s="90" t="s">
        <v>325</v>
      </c>
      <c r="T2405" s="90">
        <v>1410</v>
      </c>
      <c r="U2405" s="90" t="s">
        <v>382</v>
      </c>
      <c r="V2405" s="90" t="s">
        <v>381</v>
      </c>
      <c r="Z2405" s="90">
        <v>0</v>
      </c>
      <c r="AA2405" s="90">
        <v>1</v>
      </c>
      <c r="AB2405" s="90">
        <v>1.275011903671E-2</v>
      </c>
      <c r="AC2405" s="90">
        <v>1.69881113364E-3</v>
      </c>
      <c r="AD2405" s="90">
        <v>4.2287258068784102</v>
      </c>
      <c r="AF2405" s="90">
        <v>-1</v>
      </c>
      <c r="AG2405" s="90">
        <v>-1</v>
      </c>
      <c r="AH2405" s="90">
        <v>-1</v>
      </c>
      <c r="AI2405" s="90">
        <v>-1</v>
      </c>
      <c r="AJ2405" s="90">
        <v>0</v>
      </c>
      <c r="AM2405" s="90" t="s">
        <v>379</v>
      </c>
      <c r="AN2405" s="90">
        <v>-1</v>
      </c>
      <c r="AQ2405" s="90">
        <v>358</v>
      </c>
      <c r="AR2405" s="90" t="s">
        <v>422</v>
      </c>
      <c r="AS2405" s="90" t="s">
        <v>250</v>
      </c>
      <c r="AT2405" s="90" t="s">
        <v>244</v>
      </c>
      <c r="AU2405" s="90">
        <v>86.412649999999999</v>
      </c>
      <c r="AV2405" s="90">
        <v>57.548905389717198</v>
      </c>
      <c r="AW2405" s="90">
        <v>4.5299716853854903</v>
      </c>
      <c r="AX2405" s="90">
        <v>3.4296234999999999E-3</v>
      </c>
    </row>
    <row r="2406" spans="1:50" x14ac:dyDescent="0.25">
      <c r="A2406" s="102">
        <v>830000</v>
      </c>
      <c r="B2406" s="102">
        <v>2400000</v>
      </c>
      <c r="C2406" s="102">
        <v>2400000</v>
      </c>
      <c r="D2406" s="90" t="s">
        <v>374</v>
      </c>
      <c r="E2406" s="90" t="s">
        <v>68</v>
      </c>
      <c r="F2406" s="90" t="s">
        <v>375</v>
      </c>
      <c r="G2406" s="90" t="s">
        <v>376</v>
      </c>
      <c r="H2406" s="90">
        <v>0.59</v>
      </c>
      <c r="I2406" s="90">
        <v>0.64</v>
      </c>
      <c r="J2406" s="90" t="s">
        <v>244</v>
      </c>
      <c r="K2406" s="90">
        <v>1.3133098993899999E-3</v>
      </c>
      <c r="L2406" s="90">
        <v>3760.6698091599601</v>
      </c>
      <c r="M2406" s="90">
        <v>8.0017926262209595</v>
      </c>
      <c r="N2406" s="90">
        <v>1.17712454080462</v>
      </c>
      <c r="O2406" s="90">
        <v>1.0508833468929999E-2</v>
      </c>
      <c r="P2406" s="90">
        <v>1.5459293122599999E-3</v>
      </c>
      <c r="Q2406" s="90">
        <v>4.9389248887294404</v>
      </c>
      <c r="R2406" s="90">
        <v>1390</v>
      </c>
      <c r="S2406" s="90" t="s">
        <v>402</v>
      </c>
      <c r="T2406" s="90">
        <v>1390</v>
      </c>
      <c r="U2406" s="90" t="s">
        <v>378</v>
      </c>
      <c r="V2406" s="90" t="s">
        <v>244</v>
      </c>
      <c r="Z2406" s="90">
        <v>0</v>
      </c>
      <c r="AA2406" s="90">
        <v>1</v>
      </c>
      <c r="AB2406" s="90">
        <v>1.0508833468929999E-2</v>
      </c>
      <c r="AC2406" s="90">
        <v>1.5459293122599999E-3</v>
      </c>
      <c r="AD2406" s="90">
        <v>982.10531030313598</v>
      </c>
      <c r="AF2406" s="90">
        <v>-1</v>
      </c>
      <c r="AG2406" s="90">
        <v>-1</v>
      </c>
      <c r="AH2406" s="90">
        <v>-1</v>
      </c>
      <c r="AI2406" s="90">
        <v>-1</v>
      </c>
      <c r="AJ2406" s="90">
        <v>0</v>
      </c>
      <c r="AM2406" s="90" t="s">
        <v>379</v>
      </c>
      <c r="AN2406" s="90">
        <v>-1</v>
      </c>
      <c r="AQ2406" s="90">
        <v>358</v>
      </c>
      <c r="AR2406" s="90" t="s">
        <v>422</v>
      </c>
      <c r="AS2406" s="90" t="s">
        <v>250</v>
      </c>
      <c r="AT2406" s="90" t="s">
        <v>244</v>
      </c>
      <c r="AU2406" s="90">
        <v>86.412649999999999</v>
      </c>
      <c r="AV2406" s="90">
        <v>18.658057130545899</v>
      </c>
      <c r="AW2406" s="90">
        <v>5.31477660097294</v>
      </c>
      <c r="AX2406" s="90">
        <v>0.79651687780000002</v>
      </c>
    </row>
    <row r="2407" spans="1:50" x14ac:dyDescent="0.25">
      <c r="A2407" s="102">
        <v>830000</v>
      </c>
      <c r="B2407" s="102">
        <v>2400000</v>
      </c>
      <c r="C2407" s="102">
        <v>2400000</v>
      </c>
      <c r="D2407" s="90" t="s">
        <v>374</v>
      </c>
      <c r="E2407" s="90" t="s">
        <v>68</v>
      </c>
      <c r="F2407" s="90" t="s">
        <v>375</v>
      </c>
      <c r="G2407" s="90" t="s">
        <v>376</v>
      </c>
      <c r="H2407" s="90">
        <v>0.59</v>
      </c>
      <c r="I2407" s="90">
        <v>0.64</v>
      </c>
      <c r="J2407" s="90" t="s">
        <v>244</v>
      </c>
      <c r="K2407" s="90">
        <v>1.3655633505199999E-3</v>
      </c>
      <c r="L2407" s="90">
        <v>3760.6698091599601</v>
      </c>
      <c r="M2407" s="90">
        <v>8.0017926262209595</v>
      </c>
      <c r="N2407" s="90">
        <v>1.17712454080462</v>
      </c>
      <c r="O2407" s="90">
        <v>1.0926954748859999E-2</v>
      </c>
      <c r="P2407" s="90">
        <v>1.60743813192E-3</v>
      </c>
      <c r="Q2407" s="90">
        <v>5.1354328648146899</v>
      </c>
      <c r="R2407" s="90">
        <v>1210</v>
      </c>
      <c r="S2407" s="90" t="s">
        <v>385</v>
      </c>
      <c r="T2407" s="90">
        <v>1210</v>
      </c>
      <c r="U2407" s="90" t="s">
        <v>378</v>
      </c>
      <c r="V2407" s="90" t="s">
        <v>244</v>
      </c>
      <c r="Z2407" s="90">
        <v>0</v>
      </c>
      <c r="AA2407" s="90">
        <v>1</v>
      </c>
      <c r="AB2407" s="90">
        <v>1.0926954748859999E-2</v>
      </c>
      <c r="AC2407" s="90">
        <v>1.60743813192E-3</v>
      </c>
      <c r="AD2407" s="90">
        <v>316.42704579168998</v>
      </c>
      <c r="AF2407" s="90">
        <v>-1</v>
      </c>
      <c r="AG2407" s="90">
        <v>-1</v>
      </c>
      <c r="AH2407" s="90">
        <v>-1</v>
      </c>
      <c r="AI2407" s="90">
        <v>-1</v>
      </c>
      <c r="AJ2407" s="90">
        <v>0</v>
      </c>
      <c r="AM2407" s="90" t="s">
        <v>379</v>
      </c>
      <c r="AN2407" s="90">
        <v>-1</v>
      </c>
      <c r="AQ2407" s="90">
        <v>358</v>
      </c>
      <c r="AR2407" s="90" t="s">
        <v>422</v>
      </c>
      <c r="AS2407" s="90" t="s">
        <v>250</v>
      </c>
      <c r="AT2407" s="90" t="s">
        <v>244</v>
      </c>
      <c r="AU2407" s="90">
        <v>86.412649999999999</v>
      </c>
      <c r="AV2407" s="90">
        <v>23.437565801927999</v>
      </c>
      <c r="AW2407" s="90">
        <v>5.5262388152656801</v>
      </c>
      <c r="AX2407" s="90">
        <v>0.25663182950000002</v>
      </c>
    </row>
    <row r="2408" spans="1:50" x14ac:dyDescent="0.25">
      <c r="A2408" s="102">
        <v>830000</v>
      </c>
      <c r="B2408" s="102">
        <v>2400000</v>
      </c>
      <c r="C2408" s="102">
        <v>2400000</v>
      </c>
      <c r="D2408" s="90" t="s">
        <v>374</v>
      </c>
      <c r="E2408" s="90" t="s">
        <v>68</v>
      </c>
      <c r="F2408" s="90" t="s">
        <v>375</v>
      </c>
      <c r="G2408" s="90" t="s">
        <v>376</v>
      </c>
      <c r="H2408" s="90">
        <v>0.59</v>
      </c>
      <c r="I2408" s="90">
        <v>0.64</v>
      </c>
      <c r="J2408" s="90" t="s">
        <v>244</v>
      </c>
      <c r="K2408" s="90">
        <v>0.39590160998722002</v>
      </c>
      <c r="L2408" s="90">
        <v>3779.8564068559799</v>
      </c>
      <c r="M2408" s="90">
        <v>11.612850410613801</v>
      </c>
      <c r="N2408" s="90">
        <v>1.5331968047259199</v>
      </c>
      <c r="O2408" s="90">
        <v>4.5975461741028303</v>
      </c>
      <c r="P2408" s="90">
        <v>0.60699508341826003</v>
      </c>
      <c r="Q2408" s="90">
        <v>1496.45123699481</v>
      </c>
      <c r="R2408" s="90">
        <v>1400</v>
      </c>
      <c r="S2408" s="90" t="s">
        <v>324</v>
      </c>
      <c r="T2408" s="90">
        <v>1400</v>
      </c>
      <c r="U2408" s="90" t="s">
        <v>378</v>
      </c>
      <c r="V2408" s="90" t="s">
        <v>244</v>
      </c>
      <c r="Z2408" s="90">
        <v>0</v>
      </c>
      <c r="AA2408" s="90">
        <v>1</v>
      </c>
      <c r="AB2408" s="90">
        <v>4.5975461741028303</v>
      </c>
      <c r="AC2408" s="90">
        <v>0.60699508341826003</v>
      </c>
      <c r="AD2408" s="90">
        <v>1783.1842929576601</v>
      </c>
      <c r="AF2408" s="90">
        <v>-1</v>
      </c>
      <c r="AG2408" s="90">
        <v>-1</v>
      </c>
      <c r="AH2408" s="90">
        <v>-1</v>
      </c>
      <c r="AI2408" s="90">
        <v>-1</v>
      </c>
      <c r="AJ2408" s="90">
        <v>0</v>
      </c>
      <c r="AM2408" s="90" t="s">
        <v>379</v>
      </c>
      <c r="AN2408" s="90">
        <v>-1</v>
      </c>
      <c r="AQ2408" s="90">
        <v>358</v>
      </c>
      <c r="AR2408" s="90" t="s">
        <v>422</v>
      </c>
      <c r="AS2408" s="90" t="s">
        <v>250</v>
      </c>
      <c r="AT2408" s="90" t="s">
        <v>244</v>
      </c>
      <c r="AU2408" s="90">
        <v>86.412649999999999</v>
      </c>
      <c r="AV2408" s="90">
        <v>160.221542167298</v>
      </c>
      <c r="AW2408" s="90">
        <v>1602.1569730153001</v>
      </c>
      <c r="AX2408" s="90">
        <v>1.4462159716</v>
      </c>
    </row>
    <row r="2409" spans="1:50" x14ac:dyDescent="0.25">
      <c r="A2409" s="102">
        <v>830000</v>
      </c>
      <c r="B2409" s="102">
        <v>2400000</v>
      </c>
      <c r="C2409" s="102">
        <v>2400000</v>
      </c>
      <c r="D2409" s="90" t="s">
        <v>374</v>
      </c>
      <c r="E2409" s="90" t="s">
        <v>68</v>
      </c>
      <c r="F2409" s="90" t="s">
        <v>375</v>
      </c>
      <c r="G2409" s="90" t="s">
        <v>376</v>
      </c>
      <c r="H2409" s="90">
        <v>0.59</v>
      </c>
      <c r="I2409" s="90">
        <v>0.64</v>
      </c>
      <c r="J2409" s="90" t="s">
        <v>381</v>
      </c>
      <c r="K2409" s="90">
        <v>0.12226902687618001</v>
      </c>
      <c r="L2409" s="90">
        <v>3779.8564068559799</v>
      </c>
      <c r="M2409" s="90">
        <v>11.612850410613801</v>
      </c>
      <c r="N2409" s="90">
        <v>1.5331968047259199</v>
      </c>
      <c r="O2409" s="90">
        <v>1.4198919189645101</v>
      </c>
      <c r="P2409" s="90">
        <v>0.18746248132352</v>
      </c>
      <c r="Q2409" s="90">
        <v>462.15936459800901</v>
      </c>
      <c r="R2409" s="90">
        <v>1400</v>
      </c>
      <c r="S2409" s="90" t="s">
        <v>324</v>
      </c>
      <c r="T2409" s="90">
        <v>1400</v>
      </c>
      <c r="U2409" s="90" t="s">
        <v>382</v>
      </c>
      <c r="V2409" s="90" t="s">
        <v>381</v>
      </c>
      <c r="Z2409" s="90">
        <v>0</v>
      </c>
      <c r="AA2409" s="90">
        <v>1</v>
      </c>
      <c r="AB2409" s="90">
        <v>1.4198919189645101</v>
      </c>
      <c r="AC2409" s="90">
        <v>0.18746248132352</v>
      </c>
      <c r="AD2409" s="90">
        <v>551.87285504951706</v>
      </c>
      <c r="AF2409" s="90">
        <v>-1</v>
      </c>
      <c r="AG2409" s="90">
        <v>-1</v>
      </c>
      <c r="AH2409" s="90">
        <v>-1</v>
      </c>
      <c r="AI2409" s="90">
        <v>-1</v>
      </c>
      <c r="AJ2409" s="90">
        <v>0</v>
      </c>
      <c r="AM2409" s="90" t="s">
        <v>379</v>
      </c>
      <c r="AN2409" s="90">
        <v>-1</v>
      </c>
      <c r="AQ2409" s="90">
        <v>358</v>
      </c>
      <c r="AR2409" s="90" t="s">
        <v>422</v>
      </c>
      <c r="AS2409" s="90" t="s">
        <v>250</v>
      </c>
      <c r="AT2409" s="90" t="s">
        <v>244</v>
      </c>
      <c r="AU2409" s="90">
        <v>86.412649999999999</v>
      </c>
      <c r="AV2409" s="90">
        <v>106.926566381678</v>
      </c>
      <c r="AW2409" s="90">
        <v>494.80519667450199</v>
      </c>
      <c r="AX2409" s="90">
        <v>0.44758544610000001</v>
      </c>
    </row>
    <row r="2410" spans="1:50" x14ac:dyDescent="0.25">
      <c r="A2410" s="102">
        <v>830000</v>
      </c>
      <c r="B2410" s="102">
        <v>2400000</v>
      </c>
      <c r="C2410" s="102">
        <v>2400000</v>
      </c>
      <c r="D2410" s="90" t="s">
        <v>374</v>
      </c>
      <c r="E2410" s="90" t="s">
        <v>68</v>
      </c>
      <c r="F2410" s="90" t="s">
        <v>375</v>
      </c>
      <c r="G2410" s="90" t="s">
        <v>376</v>
      </c>
      <c r="H2410" s="90">
        <v>0.59</v>
      </c>
      <c r="I2410" s="90">
        <v>0.64</v>
      </c>
      <c r="J2410" s="90" t="s">
        <v>244</v>
      </c>
      <c r="K2410" s="90">
        <v>0.17123807659825999</v>
      </c>
      <c r="L2410" s="90">
        <v>3744.1712752133199</v>
      </c>
      <c r="M2410" s="90">
        <v>10.1547726207202</v>
      </c>
      <c r="N2410" s="90">
        <v>1.83599284092211</v>
      </c>
      <c r="O2410" s="90">
        <v>1.73888373186488</v>
      </c>
      <c r="P2410" s="90">
        <v>0.31439188272768998</v>
      </c>
      <c r="Q2410" s="90">
        <v>641.14468762201102</v>
      </c>
      <c r="R2410" s="90">
        <v>1300</v>
      </c>
      <c r="S2410" s="90" t="s">
        <v>387</v>
      </c>
      <c r="T2410" s="90">
        <v>1300</v>
      </c>
      <c r="U2410" s="90" t="s">
        <v>378</v>
      </c>
      <c r="V2410" s="90" t="s">
        <v>244</v>
      </c>
      <c r="Z2410" s="90">
        <v>0</v>
      </c>
      <c r="AA2410" s="90">
        <v>1</v>
      </c>
      <c r="AB2410" s="90">
        <v>1.73888373186488</v>
      </c>
      <c r="AC2410" s="90">
        <v>0.31439188272768998</v>
      </c>
      <c r="AD2410" s="90">
        <v>698.14511803824803</v>
      </c>
      <c r="AF2410" s="90">
        <v>-1</v>
      </c>
      <c r="AG2410" s="90">
        <v>-1</v>
      </c>
      <c r="AH2410" s="90">
        <v>-1</v>
      </c>
      <c r="AI2410" s="90">
        <v>-1</v>
      </c>
      <c r="AJ2410" s="90">
        <v>0</v>
      </c>
      <c r="AM2410" s="90" t="s">
        <v>379</v>
      </c>
      <c r="AN2410" s="90">
        <v>-1</v>
      </c>
      <c r="AQ2410" s="90">
        <v>358</v>
      </c>
      <c r="AR2410" s="90" t="s">
        <v>422</v>
      </c>
      <c r="AS2410" s="90" t="s">
        <v>250</v>
      </c>
      <c r="AT2410" s="90" t="s">
        <v>244</v>
      </c>
      <c r="AU2410" s="90">
        <v>86.412649999999999</v>
      </c>
      <c r="AV2410" s="90">
        <v>130.259814805014</v>
      </c>
      <c r="AW2410" s="90">
        <v>692.97591004111996</v>
      </c>
      <c r="AX2410" s="90">
        <v>0.5662166407</v>
      </c>
    </row>
    <row r="2411" spans="1:50" x14ac:dyDescent="0.25">
      <c r="A2411" s="102">
        <v>830000</v>
      </c>
      <c r="B2411" s="102">
        <v>2400000</v>
      </c>
      <c r="C2411" s="102">
        <v>2400000</v>
      </c>
      <c r="D2411" s="90" t="s">
        <v>374</v>
      </c>
      <c r="E2411" s="90" t="s">
        <v>68</v>
      </c>
      <c r="F2411" s="90" t="s">
        <v>375</v>
      </c>
      <c r="G2411" s="90" t="s">
        <v>376</v>
      </c>
      <c r="H2411" s="90">
        <v>0.59</v>
      </c>
      <c r="I2411" s="90">
        <v>0.64</v>
      </c>
      <c r="J2411" s="90" t="s">
        <v>244</v>
      </c>
      <c r="K2411" s="90">
        <v>0.26130625102369998</v>
      </c>
      <c r="L2411" s="90">
        <v>3744.1712752133199</v>
      </c>
      <c r="M2411" s="90">
        <v>10.1547726207202</v>
      </c>
      <c r="N2411" s="90">
        <v>1.83599284092211</v>
      </c>
      <c r="O2411" s="90">
        <v>2.65350556351855</v>
      </c>
      <c r="P2411" s="90">
        <v>0.47975640616770998</v>
      </c>
      <c r="Q2411" s="90">
        <v>978.37535911662803</v>
      </c>
      <c r="R2411" s="90">
        <v>1300</v>
      </c>
      <c r="S2411" s="90" t="s">
        <v>387</v>
      </c>
      <c r="T2411" s="90">
        <v>1300</v>
      </c>
      <c r="U2411" s="90" t="s">
        <v>378</v>
      </c>
      <c r="V2411" s="90" t="s">
        <v>244</v>
      </c>
      <c r="Z2411" s="90">
        <v>0</v>
      </c>
      <c r="AA2411" s="90">
        <v>1</v>
      </c>
      <c r="AB2411" s="90">
        <v>2.65350556351855</v>
      </c>
      <c r="AC2411" s="90">
        <v>0.47975640616770998</v>
      </c>
      <c r="AD2411" s="90">
        <v>978.37535911662803</v>
      </c>
      <c r="AF2411" s="90">
        <v>-1</v>
      </c>
      <c r="AG2411" s="90">
        <v>-1</v>
      </c>
      <c r="AH2411" s="90">
        <v>-1</v>
      </c>
      <c r="AI2411" s="90">
        <v>-1</v>
      </c>
      <c r="AJ2411" s="90">
        <v>0</v>
      </c>
      <c r="AM2411" s="90" t="s">
        <v>379</v>
      </c>
      <c r="AN2411" s="90">
        <v>-1</v>
      </c>
      <c r="AQ2411" s="90">
        <v>358</v>
      </c>
      <c r="AR2411" s="90" t="s">
        <v>422</v>
      </c>
      <c r="AS2411" s="90" t="s">
        <v>250</v>
      </c>
      <c r="AT2411" s="90" t="s">
        <v>244</v>
      </c>
      <c r="AU2411" s="90">
        <v>86.412649999999999</v>
      </c>
      <c r="AV2411" s="90">
        <v>142.41311276260501</v>
      </c>
      <c r="AW2411" s="90">
        <v>1057.4688801685299</v>
      </c>
      <c r="AX2411" s="90">
        <v>0.79349177540000004</v>
      </c>
    </row>
    <row r="2412" spans="1:50" x14ac:dyDescent="0.25">
      <c r="A2412" s="102">
        <v>830000</v>
      </c>
      <c r="B2412" s="102">
        <v>2400000</v>
      </c>
      <c r="C2412" s="102">
        <v>2400000</v>
      </c>
      <c r="D2412" s="90" t="s">
        <v>374</v>
      </c>
      <c r="E2412" s="90" t="s">
        <v>68</v>
      </c>
      <c r="F2412" s="90" t="s">
        <v>375</v>
      </c>
      <c r="G2412" s="90" t="s">
        <v>376</v>
      </c>
      <c r="H2412" s="90">
        <v>0.59</v>
      </c>
      <c r="I2412" s="90">
        <v>0.64</v>
      </c>
      <c r="J2412" s="90" t="s">
        <v>244</v>
      </c>
      <c r="K2412" s="90">
        <v>6.9281497349330007E-2</v>
      </c>
      <c r="L2412" s="90">
        <v>3749.30201762556</v>
      </c>
      <c r="M2412" s="90">
        <v>10.497267010217501</v>
      </c>
      <c r="N2412" s="90">
        <v>1.93757987881501</v>
      </c>
      <c r="O2412" s="90">
        <v>0.72726637654360005</v>
      </c>
      <c r="P2412" s="90">
        <v>0.13423843523823001</v>
      </c>
      <c r="Q2412" s="90">
        <v>259.75725779596598</v>
      </c>
      <c r="R2412" s="90">
        <v>1300</v>
      </c>
      <c r="S2412" s="90" t="s">
        <v>387</v>
      </c>
      <c r="T2412" s="90">
        <v>1300</v>
      </c>
      <c r="U2412" s="90" t="s">
        <v>378</v>
      </c>
      <c r="V2412" s="90" t="s">
        <v>244</v>
      </c>
      <c r="Z2412" s="90">
        <v>0</v>
      </c>
      <c r="AA2412" s="90">
        <v>1</v>
      </c>
      <c r="AB2412" s="90">
        <v>0.72726637654360005</v>
      </c>
      <c r="AC2412" s="90">
        <v>0.13423843523823001</v>
      </c>
      <c r="AD2412" s="90">
        <v>259.75725779596701</v>
      </c>
      <c r="AF2412" s="90">
        <v>-1</v>
      </c>
      <c r="AG2412" s="90">
        <v>-1</v>
      </c>
      <c r="AH2412" s="90">
        <v>-1</v>
      </c>
      <c r="AI2412" s="90">
        <v>-1</v>
      </c>
      <c r="AJ2412" s="90">
        <v>0</v>
      </c>
      <c r="AM2412" s="90" t="s">
        <v>379</v>
      </c>
      <c r="AN2412" s="90">
        <v>-1</v>
      </c>
      <c r="AQ2412" s="90">
        <v>358</v>
      </c>
      <c r="AR2412" s="90" t="s">
        <v>422</v>
      </c>
      <c r="AS2412" s="90" t="s">
        <v>250</v>
      </c>
      <c r="AT2412" s="90" t="s">
        <v>244</v>
      </c>
      <c r="AU2412" s="90">
        <v>86.412649999999999</v>
      </c>
      <c r="AV2412" s="90">
        <v>83.928245088306696</v>
      </c>
      <c r="AW2412" s="90">
        <v>280.37227250162903</v>
      </c>
      <c r="AX2412" s="90">
        <v>0.2106709309</v>
      </c>
    </row>
    <row r="2413" spans="1:50" x14ac:dyDescent="0.25">
      <c r="A2413" s="102">
        <v>830000</v>
      </c>
      <c r="B2413" s="102">
        <v>2400000</v>
      </c>
      <c r="C2413" s="102">
        <v>2400000</v>
      </c>
      <c r="D2413" s="90" t="s">
        <v>374</v>
      </c>
      <c r="E2413" s="90" t="s">
        <v>68</v>
      </c>
      <c r="F2413" s="90" t="s">
        <v>375</v>
      </c>
      <c r="G2413" s="90" t="s">
        <v>376</v>
      </c>
      <c r="H2413" s="90">
        <v>0.59</v>
      </c>
      <c r="I2413" s="90">
        <v>0.64</v>
      </c>
      <c r="J2413" s="90" t="s">
        <v>244</v>
      </c>
      <c r="K2413" s="90">
        <v>8.9535792696119998E-2</v>
      </c>
      <c r="L2413" s="90">
        <v>3749.30201762556</v>
      </c>
      <c r="M2413" s="90">
        <v>10.497267010217501</v>
      </c>
      <c r="N2413" s="90">
        <v>1.93757987881501</v>
      </c>
      <c r="O2413" s="90">
        <v>0.93988112290269998</v>
      </c>
      <c r="P2413" s="90">
        <v>0.17348275036176</v>
      </c>
      <c r="Q2413" s="90">
        <v>335.69672820528501</v>
      </c>
      <c r="R2413" s="90">
        <v>1330</v>
      </c>
      <c r="S2413" s="90" t="s">
        <v>397</v>
      </c>
      <c r="T2413" s="90">
        <v>1330</v>
      </c>
      <c r="U2413" s="90" t="s">
        <v>378</v>
      </c>
      <c r="V2413" s="90" t="s">
        <v>244</v>
      </c>
      <c r="Z2413" s="90">
        <v>0</v>
      </c>
      <c r="AA2413" s="90">
        <v>1</v>
      </c>
      <c r="AB2413" s="90">
        <v>0.93988112290269998</v>
      </c>
      <c r="AC2413" s="90">
        <v>0.17348275036176</v>
      </c>
      <c r="AD2413" s="90">
        <v>335.69672820528302</v>
      </c>
      <c r="AF2413" s="90">
        <v>-1</v>
      </c>
      <c r="AG2413" s="90">
        <v>-1</v>
      </c>
      <c r="AH2413" s="90">
        <v>-1</v>
      </c>
      <c r="AI2413" s="90">
        <v>-1</v>
      </c>
      <c r="AJ2413" s="90">
        <v>0</v>
      </c>
      <c r="AM2413" s="90" t="s">
        <v>379</v>
      </c>
      <c r="AN2413" s="90">
        <v>-1</v>
      </c>
      <c r="AQ2413" s="90">
        <v>358</v>
      </c>
      <c r="AR2413" s="90" t="s">
        <v>422</v>
      </c>
      <c r="AS2413" s="90" t="s">
        <v>250</v>
      </c>
      <c r="AT2413" s="90" t="s">
        <v>244</v>
      </c>
      <c r="AU2413" s="90">
        <v>86.412649999999999</v>
      </c>
      <c r="AV2413" s="90">
        <v>87.365360972494003</v>
      </c>
      <c r="AW2413" s="90">
        <v>362.338497706986</v>
      </c>
      <c r="AX2413" s="90">
        <v>0.27226012020000001</v>
      </c>
    </row>
    <row r="2414" spans="1:50" x14ac:dyDescent="0.25">
      <c r="A2414" s="102">
        <v>830000</v>
      </c>
      <c r="B2414" s="102">
        <v>2400000</v>
      </c>
      <c r="C2414" s="102">
        <v>2400000</v>
      </c>
      <c r="D2414" s="90" t="s">
        <v>374</v>
      </c>
      <c r="E2414" s="90" t="s">
        <v>68</v>
      </c>
      <c r="F2414" s="90" t="s">
        <v>375</v>
      </c>
      <c r="G2414" s="90" t="s">
        <v>376</v>
      </c>
      <c r="H2414" s="90">
        <v>0.59</v>
      </c>
      <c r="I2414" s="90">
        <v>0.64</v>
      </c>
      <c r="J2414" s="90" t="s">
        <v>244</v>
      </c>
      <c r="K2414" s="90">
        <v>4.5437922305439998E-2</v>
      </c>
      <c r="L2414" s="90">
        <v>3749.30201762556</v>
      </c>
      <c r="M2414" s="90">
        <v>10.497267010217501</v>
      </c>
      <c r="N2414" s="90">
        <v>1.93757987881501</v>
      </c>
      <c r="O2414" s="90">
        <v>0.47697400282973001</v>
      </c>
      <c r="P2414" s="90">
        <v>8.8039603994179996E-2</v>
      </c>
      <c r="Q2414" s="90">
        <v>170.36049377650301</v>
      </c>
      <c r="R2414" s="90">
        <v>1330</v>
      </c>
      <c r="S2414" s="90" t="s">
        <v>397</v>
      </c>
      <c r="T2414" s="90">
        <v>1330</v>
      </c>
      <c r="U2414" s="90" t="s">
        <v>378</v>
      </c>
      <c r="V2414" s="90" t="s">
        <v>244</v>
      </c>
      <c r="Z2414" s="90">
        <v>0</v>
      </c>
      <c r="AA2414" s="90">
        <v>1</v>
      </c>
      <c r="AB2414" s="90">
        <v>0.47697400282973001</v>
      </c>
      <c r="AC2414" s="90">
        <v>8.8039603994179996E-2</v>
      </c>
      <c r="AD2414" s="90">
        <v>170.36049377650301</v>
      </c>
      <c r="AF2414" s="90">
        <v>-1</v>
      </c>
      <c r="AG2414" s="90">
        <v>-1</v>
      </c>
      <c r="AH2414" s="90">
        <v>-1</v>
      </c>
      <c r="AI2414" s="90">
        <v>-1</v>
      </c>
      <c r="AJ2414" s="90">
        <v>0</v>
      </c>
      <c r="AM2414" s="90" t="s">
        <v>379</v>
      </c>
      <c r="AN2414" s="90">
        <v>-1</v>
      </c>
      <c r="AQ2414" s="90">
        <v>358</v>
      </c>
      <c r="AR2414" s="90" t="s">
        <v>422</v>
      </c>
      <c r="AS2414" s="90" t="s">
        <v>250</v>
      </c>
      <c r="AT2414" s="90" t="s">
        <v>244</v>
      </c>
      <c r="AU2414" s="90">
        <v>86.412649999999999</v>
      </c>
      <c r="AV2414" s="90">
        <v>55.9853320524022</v>
      </c>
      <c r="AW2414" s="90">
        <v>183.88074770228599</v>
      </c>
      <c r="AX2414" s="90">
        <v>0.13816747260000001</v>
      </c>
    </row>
    <row r="2415" spans="1:50" x14ac:dyDescent="0.25">
      <c r="A2415" s="102">
        <v>830000</v>
      </c>
      <c r="B2415" s="102">
        <v>2400000</v>
      </c>
      <c r="C2415" s="102">
        <v>2400000</v>
      </c>
      <c r="D2415" s="90" t="s">
        <v>374</v>
      </c>
      <c r="E2415" s="90" t="s">
        <v>68</v>
      </c>
      <c r="F2415" s="90" t="s">
        <v>375</v>
      </c>
      <c r="G2415" s="90" t="s">
        <v>376</v>
      </c>
      <c r="H2415" s="90">
        <v>0.59</v>
      </c>
      <c r="I2415" s="90">
        <v>0.64</v>
      </c>
      <c r="J2415" s="90" t="s">
        <v>244</v>
      </c>
      <c r="K2415" s="90">
        <v>0.12564533513466999</v>
      </c>
      <c r="L2415" s="90">
        <v>3749.30201762556</v>
      </c>
      <c r="M2415" s="90">
        <v>10.497267010217501</v>
      </c>
      <c r="N2415" s="90">
        <v>1.93757987881501</v>
      </c>
      <c r="O2415" s="90">
        <v>1.3189326314968901</v>
      </c>
      <c r="P2415" s="90">
        <v>0.24344787322389999</v>
      </c>
      <c r="Q2415" s="90">
        <v>471.08230852565703</v>
      </c>
      <c r="R2415" s="90">
        <v>1330</v>
      </c>
      <c r="S2415" s="90" t="s">
        <v>397</v>
      </c>
      <c r="T2415" s="90">
        <v>1330</v>
      </c>
      <c r="U2415" s="90" t="s">
        <v>378</v>
      </c>
      <c r="V2415" s="90" t="s">
        <v>244</v>
      </c>
      <c r="Z2415" s="90">
        <v>0</v>
      </c>
      <c r="AA2415" s="90">
        <v>1</v>
      </c>
      <c r="AB2415" s="90">
        <v>1.3189326314968901</v>
      </c>
      <c r="AC2415" s="90">
        <v>0.24344787322389999</v>
      </c>
      <c r="AD2415" s="90">
        <v>471.08230852565703</v>
      </c>
      <c r="AF2415" s="90">
        <v>-1</v>
      </c>
      <c r="AG2415" s="90">
        <v>-1</v>
      </c>
      <c r="AH2415" s="90">
        <v>-1</v>
      </c>
      <c r="AI2415" s="90">
        <v>-1</v>
      </c>
      <c r="AJ2415" s="90">
        <v>0</v>
      </c>
      <c r="AM2415" s="90" t="s">
        <v>379</v>
      </c>
      <c r="AN2415" s="90">
        <v>-1</v>
      </c>
      <c r="AQ2415" s="90">
        <v>358</v>
      </c>
      <c r="AR2415" s="90" t="s">
        <v>422</v>
      </c>
      <c r="AS2415" s="90" t="s">
        <v>250</v>
      </c>
      <c r="AT2415" s="90" t="s">
        <v>244</v>
      </c>
      <c r="AU2415" s="90">
        <v>86.412649999999999</v>
      </c>
      <c r="AV2415" s="90">
        <v>97.152310232850098</v>
      </c>
      <c r="AW2415" s="90">
        <v>508.46863143433899</v>
      </c>
      <c r="AX2415" s="90">
        <v>0.3820618885</v>
      </c>
    </row>
    <row r="2416" spans="1:50" x14ac:dyDescent="0.25">
      <c r="A2416" s="102">
        <v>830000</v>
      </c>
      <c r="B2416" s="102">
        <v>2400000</v>
      </c>
      <c r="C2416" s="102">
        <v>2400000</v>
      </c>
      <c r="D2416" s="90" t="s">
        <v>374</v>
      </c>
      <c r="E2416" s="90" t="s">
        <v>68</v>
      </c>
      <c r="F2416" s="90" t="s">
        <v>375</v>
      </c>
      <c r="G2416" s="90" t="s">
        <v>376</v>
      </c>
      <c r="H2416" s="90">
        <v>0.59</v>
      </c>
      <c r="I2416" s="90">
        <v>0.64</v>
      </c>
      <c r="J2416" s="90" t="s">
        <v>244</v>
      </c>
      <c r="K2416" s="90">
        <v>0.12410672787671</v>
      </c>
      <c r="L2416" s="90">
        <v>3749.30201762556</v>
      </c>
      <c r="M2416" s="90">
        <v>10.497267010217501</v>
      </c>
      <c r="N2416" s="90">
        <v>1.93757987881501</v>
      </c>
      <c r="O2416" s="90">
        <v>1.3027814602863099</v>
      </c>
      <c r="P2416" s="90">
        <v>0.24046669875949001</v>
      </c>
      <c r="Q2416" s="90">
        <v>465.313605229085</v>
      </c>
      <c r="R2416" s="90">
        <v>1210</v>
      </c>
      <c r="S2416" s="90" t="s">
        <v>385</v>
      </c>
      <c r="T2416" s="90">
        <v>1210</v>
      </c>
      <c r="U2416" s="90" t="s">
        <v>378</v>
      </c>
      <c r="V2416" s="90" t="s">
        <v>244</v>
      </c>
      <c r="Z2416" s="90">
        <v>0</v>
      </c>
      <c r="AA2416" s="90">
        <v>1</v>
      </c>
      <c r="AB2416" s="90">
        <v>1.3027814602863099</v>
      </c>
      <c r="AC2416" s="90">
        <v>0.24046669875949001</v>
      </c>
      <c r="AD2416" s="90">
        <v>465.313605229085</v>
      </c>
      <c r="AF2416" s="90">
        <v>-1</v>
      </c>
      <c r="AG2416" s="90">
        <v>-1</v>
      </c>
      <c r="AH2416" s="90">
        <v>-1</v>
      </c>
      <c r="AI2416" s="90">
        <v>-1</v>
      </c>
      <c r="AJ2416" s="90">
        <v>0</v>
      </c>
      <c r="AM2416" s="90" t="s">
        <v>379</v>
      </c>
      <c r="AN2416" s="90">
        <v>-1</v>
      </c>
      <c r="AQ2416" s="90">
        <v>358</v>
      </c>
      <c r="AR2416" s="90" t="s">
        <v>422</v>
      </c>
      <c r="AS2416" s="90" t="s">
        <v>250</v>
      </c>
      <c r="AT2416" s="90" t="s">
        <v>244</v>
      </c>
      <c r="AU2416" s="90">
        <v>86.412649999999999</v>
      </c>
      <c r="AV2416" s="90">
        <v>96.336691648989003</v>
      </c>
      <c r="AW2416" s="90">
        <v>502.24210877094498</v>
      </c>
      <c r="AX2416" s="90">
        <v>0.37738329700000001</v>
      </c>
    </row>
    <row r="2417" spans="1:50" x14ac:dyDescent="0.25">
      <c r="A2417" s="102">
        <v>830000</v>
      </c>
      <c r="B2417" s="102">
        <v>2400000</v>
      </c>
      <c r="C2417" s="102">
        <v>2400000</v>
      </c>
      <c r="D2417" s="90" t="s">
        <v>374</v>
      </c>
      <c r="E2417" s="90" t="s">
        <v>68</v>
      </c>
      <c r="F2417" s="90" t="s">
        <v>375</v>
      </c>
      <c r="G2417" s="90" t="s">
        <v>376</v>
      </c>
      <c r="H2417" s="90">
        <v>0.59</v>
      </c>
      <c r="I2417" s="90">
        <v>0.64</v>
      </c>
      <c r="J2417" s="90" t="s">
        <v>244</v>
      </c>
      <c r="K2417" s="90">
        <v>0.12758571259821</v>
      </c>
      <c r="L2417" s="90">
        <v>3749.30201762556</v>
      </c>
      <c r="M2417" s="90">
        <v>10.497267010217501</v>
      </c>
      <c r="N2417" s="90">
        <v>1.93757987881501</v>
      </c>
      <c r="O2417" s="90">
        <v>1.3393012918323699</v>
      </c>
      <c r="P2417" s="90">
        <v>0.24720750955458001</v>
      </c>
      <c r="Q2417" s="90">
        <v>478.35736966469699</v>
      </c>
      <c r="R2417" s="90">
        <v>1300</v>
      </c>
      <c r="S2417" s="90" t="s">
        <v>387</v>
      </c>
      <c r="T2417" s="90">
        <v>1300</v>
      </c>
      <c r="U2417" s="90" t="s">
        <v>378</v>
      </c>
      <c r="V2417" s="90" t="s">
        <v>244</v>
      </c>
      <c r="Z2417" s="90">
        <v>0</v>
      </c>
      <c r="AA2417" s="90">
        <v>1</v>
      </c>
      <c r="AB2417" s="90">
        <v>1.3393012918323699</v>
      </c>
      <c r="AC2417" s="90">
        <v>0.24720750955458001</v>
      </c>
      <c r="AD2417" s="90">
        <v>478.35736966469699</v>
      </c>
      <c r="AF2417" s="90">
        <v>-1</v>
      </c>
      <c r="AG2417" s="90">
        <v>-1</v>
      </c>
      <c r="AH2417" s="90">
        <v>-1</v>
      </c>
      <c r="AI2417" s="90">
        <v>-1</v>
      </c>
      <c r="AJ2417" s="90">
        <v>0</v>
      </c>
      <c r="AM2417" s="90" t="s">
        <v>379</v>
      </c>
      <c r="AN2417" s="90">
        <v>-1</v>
      </c>
      <c r="AQ2417" s="90">
        <v>358</v>
      </c>
      <c r="AR2417" s="90" t="s">
        <v>422</v>
      </c>
      <c r="AS2417" s="90" t="s">
        <v>250</v>
      </c>
      <c r="AT2417" s="90" t="s">
        <v>244</v>
      </c>
      <c r="AU2417" s="90">
        <v>86.412649999999999</v>
      </c>
      <c r="AV2417" s="90">
        <v>94.896339025333006</v>
      </c>
      <c r="AW2417" s="90">
        <v>516.321060434581</v>
      </c>
      <c r="AX2417" s="90">
        <v>0.38796218139999999</v>
      </c>
    </row>
    <row r="2418" spans="1:50" x14ac:dyDescent="0.25">
      <c r="A2418" s="102">
        <v>830000</v>
      </c>
      <c r="B2418" s="102">
        <v>2400000</v>
      </c>
      <c r="C2418" s="102">
        <v>2400000</v>
      </c>
      <c r="D2418" s="90" t="s">
        <v>374</v>
      </c>
      <c r="E2418" s="90" t="s">
        <v>68</v>
      </c>
      <c r="F2418" s="90" t="s">
        <v>375</v>
      </c>
      <c r="G2418" s="90" t="s">
        <v>376</v>
      </c>
      <c r="H2418" s="90">
        <v>0.59</v>
      </c>
      <c r="I2418" s="90">
        <v>0.64</v>
      </c>
      <c r="J2418" s="90" t="s">
        <v>244</v>
      </c>
      <c r="K2418" s="90">
        <v>3.6091930413189997E-2</v>
      </c>
      <c r="L2418" s="90">
        <v>3749.30201762556</v>
      </c>
      <c r="M2418" s="90">
        <v>10.497267010217501</v>
      </c>
      <c r="N2418" s="90">
        <v>1.93757987881501</v>
      </c>
      <c r="O2418" s="90">
        <v>0.37886663046143998</v>
      </c>
      <c r="P2418" s="90">
        <v>6.9930998156179994E-2</v>
      </c>
      <c r="Q2418" s="90">
        <v>135.31954751817401</v>
      </c>
      <c r="R2418" s="90">
        <v>1330</v>
      </c>
      <c r="S2418" s="90" t="s">
        <v>397</v>
      </c>
      <c r="T2418" s="90">
        <v>1330</v>
      </c>
      <c r="U2418" s="90" t="s">
        <v>378</v>
      </c>
      <c r="V2418" s="90" t="s">
        <v>244</v>
      </c>
      <c r="Z2418" s="90">
        <v>0</v>
      </c>
      <c r="AA2418" s="90">
        <v>1</v>
      </c>
      <c r="AB2418" s="90">
        <v>0.37886663046143998</v>
      </c>
      <c r="AC2418" s="90">
        <v>6.9930998156179994E-2</v>
      </c>
      <c r="AD2418" s="90">
        <v>135.31954751817301</v>
      </c>
      <c r="AF2418" s="90">
        <v>-1</v>
      </c>
      <c r="AG2418" s="90">
        <v>-1</v>
      </c>
      <c r="AH2418" s="90">
        <v>-1</v>
      </c>
      <c r="AI2418" s="90">
        <v>-1</v>
      </c>
      <c r="AJ2418" s="90">
        <v>0</v>
      </c>
      <c r="AM2418" s="90" t="s">
        <v>379</v>
      </c>
      <c r="AN2418" s="90">
        <v>-1</v>
      </c>
      <c r="AQ2418" s="90">
        <v>358</v>
      </c>
      <c r="AR2418" s="90" t="s">
        <v>422</v>
      </c>
      <c r="AS2418" s="90" t="s">
        <v>250</v>
      </c>
      <c r="AT2418" s="90" t="s">
        <v>244</v>
      </c>
      <c r="AU2418" s="90">
        <v>86.412649999999999</v>
      </c>
      <c r="AV2418" s="90">
        <v>50.516438392701701</v>
      </c>
      <c r="AW2418" s="90">
        <v>146.05886038943001</v>
      </c>
      <c r="AX2418" s="90">
        <v>0.1097482137</v>
      </c>
    </row>
    <row r="2419" spans="1:50" x14ac:dyDescent="0.25">
      <c r="A2419" s="102">
        <v>830000</v>
      </c>
      <c r="B2419" s="102">
        <v>2400000</v>
      </c>
      <c r="C2419" s="102">
        <v>2400000</v>
      </c>
      <c r="D2419" s="90" t="s">
        <v>374</v>
      </c>
      <c r="E2419" s="90" t="s">
        <v>68</v>
      </c>
      <c r="F2419" s="90" t="s">
        <v>375</v>
      </c>
      <c r="G2419" s="90" t="s">
        <v>376</v>
      </c>
      <c r="H2419" s="90">
        <v>0.59</v>
      </c>
      <c r="I2419" s="90">
        <v>0.64</v>
      </c>
      <c r="J2419" s="90" t="s">
        <v>244</v>
      </c>
      <c r="K2419" s="90">
        <v>7.8535248189999998E-5</v>
      </c>
      <c r="L2419" s="90">
        <v>3749.30201762556</v>
      </c>
      <c r="M2419" s="90">
        <v>10.497267010217501</v>
      </c>
      <c r="N2419" s="90">
        <v>1.93757987881501</v>
      </c>
      <c r="O2419" s="90">
        <v>8.2440546998999999E-4</v>
      </c>
      <c r="P2419" s="90">
        <v>1.5216831667000001E-4</v>
      </c>
      <c r="Q2419" s="90">
        <v>0.29445236450473</v>
      </c>
      <c r="R2419" s="90">
        <v>1330</v>
      </c>
      <c r="S2419" s="90" t="s">
        <v>397</v>
      </c>
      <c r="T2419" s="90">
        <v>1330</v>
      </c>
      <c r="U2419" s="90" t="s">
        <v>378</v>
      </c>
      <c r="V2419" s="90" t="s">
        <v>244</v>
      </c>
      <c r="Z2419" s="90">
        <v>0</v>
      </c>
      <c r="AA2419" s="90">
        <v>1</v>
      </c>
      <c r="AB2419" s="90">
        <v>8.2440546998999999E-4</v>
      </c>
      <c r="AC2419" s="90">
        <v>1.5216831667000001E-4</v>
      </c>
      <c r="AD2419" s="90">
        <v>0.29445236450589002</v>
      </c>
      <c r="AF2419" s="90">
        <v>-1</v>
      </c>
      <c r="AG2419" s="90">
        <v>-1</v>
      </c>
      <c r="AH2419" s="90">
        <v>-1</v>
      </c>
      <c r="AI2419" s="90">
        <v>-1</v>
      </c>
      <c r="AJ2419" s="90">
        <v>0</v>
      </c>
      <c r="AM2419" s="90" t="s">
        <v>379</v>
      </c>
      <c r="AN2419" s="90">
        <v>-1</v>
      </c>
      <c r="AQ2419" s="90">
        <v>358</v>
      </c>
      <c r="AR2419" s="90" t="s">
        <v>422</v>
      </c>
      <c r="AS2419" s="90" t="s">
        <v>250</v>
      </c>
      <c r="AT2419" s="90" t="s">
        <v>244</v>
      </c>
      <c r="AU2419" s="90">
        <v>86.412649999999999</v>
      </c>
      <c r="AV2419" s="90">
        <v>10.462846595895799</v>
      </c>
      <c r="AW2419" s="90">
        <v>0.31782087353587002</v>
      </c>
      <c r="AX2419" s="90">
        <v>2.388097E-4</v>
      </c>
    </row>
    <row r="2420" spans="1:50" x14ac:dyDescent="0.25">
      <c r="A2420" s="102">
        <v>830000</v>
      </c>
      <c r="B2420" s="102">
        <v>2400000</v>
      </c>
      <c r="C2420" s="102">
        <v>2400000</v>
      </c>
      <c r="D2420" s="90" t="s">
        <v>374</v>
      </c>
      <c r="E2420" s="90" t="s">
        <v>68</v>
      </c>
      <c r="F2420" s="90" t="s">
        <v>375</v>
      </c>
      <c r="G2420" s="90" t="s">
        <v>376</v>
      </c>
      <c r="H2420" s="90">
        <v>0.59</v>
      </c>
      <c r="I2420" s="90">
        <v>0.64</v>
      </c>
      <c r="J2420" s="90" t="s">
        <v>244</v>
      </c>
      <c r="K2420" s="90">
        <v>7.6042311026230006E-2</v>
      </c>
      <c r="L2420" s="90">
        <v>3721.07280003708</v>
      </c>
      <c r="M2420" s="90">
        <v>9.6107922252037206</v>
      </c>
      <c r="N2420" s="90">
        <v>1.5286418641813599</v>
      </c>
      <c r="O2420" s="90">
        <v>0.73082685159746996</v>
      </c>
      <c r="P2420" s="90">
        <v>0.1162414600838</v>
      </c>
      <c r="Q2420" s="90">
        <v>282.95897521168598</v>
      </c>
      <c r="R2420" s="90">
        <v>1210</v>
      </c>
      <c r="S2420" s="90" t="s">
        <v>385</v>
      </c>
      <c r="T2420" s="90">
        <v>1210</v>
      </c>
      <c r="U2420" s="90" t="s">
        <v>378</v>
      </c>
      <c r="V2420" s="90" t="s">
        <v>244</v>
      </c>
      <c r="Z2420" s="90">
        <v>0</v>
      </c>
      <c r="AA2420" s="90">
        <v>1</v>
      </c>
      <c r="AB2420" s="90">
        <v>0.73082685159746996</v>
      </c>
      <c r="AC2420" s="90">
        <v>0.1162414600838</v>
      </c>
      <c r="AD2420" s="90">
        <v>282.95897521168803</v>
      </c>
      <c r="AF2420" s="90">
        <v>-1</v>
      </c>
      <c r="AG2420" s="90">
        <v>-1</v>
      </c>
      <c r="AH2420" s="90">
        <v>-1</v>
      </c>
      <c r="AI2420" s="90">
        <v>-1</v>
      </c>
      <c r="AJ2420" s="90">
        <v>0</v>
      </c>
      <c r="AM2420" s="90" t="s">
        <v>379</v>
      </c>
      <c r="AN2420" s="90">
        <v>-1</v>
      </c>
      <c r="AQ2420" s="90">
        <v>358</v>
      </c>
      <c r="AR2420" s="90" t="s">
        <v>422</v>
      </c>
      <c r="AS2420" s="90" t="s">
        <v>250</v>
      </c>
      <c r="AT2420" s="90" t="s">
        <v>244</v>
      </c>
      <c r="AU2420" s="90">
        <v>86.412649999999999</v>
      </c>
      <c r="AV2420" s="90">
        <v>94.317685549762601</v>
      </c>
      <c r="AW2420" s="90">
        <v>307.73231475066302</v>
      </c>
      <c r="AX2420" s="90">
        <v>0.22948821999999999</v>
      </c>
    </row>
    <row r="2421" spans="1:50" x14ac:dyDescent="0.25">
      <c r="A2421" s="102">
        <v>830000</v>
      </c>
      <c r="B2421" s="102">
        <v>2400000</v>
      </c>
      <c r="C2421" s="102">
        <v>2400000</v>
      </c>
      <c r="D2421" s="90" t="s">
        <v>374</v>
      </c>
      <c r="E2421" s="90" t="s">
        <v>68</v>
      </c>
      <c r="F2421" s="90" t="s">
        <v>375</v>
      </c>
      <c r="G2421" s="90" t="s">
        <v>376</v>
      </c>
      <c r="H2421" s="90">
        <v>0.59</v>
      </c>
      <c r="I2421" s="90">
        <v>0.64</v>
      </c>
      <c r="J2421" s="90" t="s">
        <v>244</v>
      </c>
      <c r="K2421" s="90">
        <v>2.713964429468E-2</v>
      </c>
      <c r="L2421" s="90">
        <v>3721.07280003708</v>
      </c>
      <c r="M2421" s="90">
        <v>9.6107922252037206</v>
      </c>
      <c r="N2421" s="90">
        <v>1.5286418641813599</v>
      </c>
      <c r="O2421" s="90">
        <v>0.26083348238218002</v>
      </c>
      <c r="P2421" s="90">
        <v>4.148679644785E-2</v>
      </c>
      <c r="Q2421" s="90">
        <v>100.988592187645</v>
      </c>
      <c r="R2421" s="90">
        <v>1330</v>
      </c>
      <c r="S2421" s="90" t="s">
        <v>397</v>
      </c>
      <c r="T2421" s="90">
        <v>1330</v>
      </c>
      <c r="U2421" s="90" t="s">
        <v>378</v>
      </c>
      <c r="V2421" s="90" t="s">
        <v>244</v>
      </c>
      <c r="Z2421" s="90">
        <v>0</v>
      </c>
      <c r="AA2421" s="90">
        <v>1</v>
      </c>
      <c r="AB2421" s="90">
        <v>0.26083348238218002</v>
      </c>
      <c r="AC2421" s="90">
        <v>4.148679644785E-2</v>
      </c>
      <c r="AD2421" s="90">
        <v>100.988592187644</v>
      </c>
      <c r="AF2421" s="90">
        <v>-1</v>
      </c>
      <c r="AG2421" s="90">
        <v>-1</v>
      </c>
      <c r="AH2421" s="90">
        <v>-1</v>
      </c>
      <c r="AI2421" s="90">
        <v>-1</v>
      </c>
      <c r="AJ2421" s="90">
        <v>0</v>
      </c>
      <c r="AM2421" s="90" t="s">
        <v>379</v>
      </c>
      <c r="AN2421" s="90">
        <v>-1</v>
      </c>
      <c r="AQ2421" s="90">
        <v>358</v>
      </c>
      <c r="AR2421" s="90" t="s">
        <v>422</v>
      </c>
      <c r="AS2421" s="90" t="s">
        <v>250</v>
      </c>
      <c r="AT2421" s="90" t="s">
        <v>244</v>
      </c>
      <c r="AU2421" s="90">
        <v>86.412649999999999</v>
      </c>
      <c r="AV2421" s="90">
        <v>41.927879715014001</v>
      </c>
      <c r="AW2421" s="90">
        <v>109.83024381560899</v>
      </c>
      <c r="AX2421" s="90">
        <v>8.19047787E-2</v>
      </c>
    </row>
    <row r="2422" spans="1:50" x14ac:dyDescent="0.25">
      <c r="A2422" s="102">
        <v>830000</v>
      </c>
      <c r="B2422" s="102">
        <v>2400000</v>
      </c>
      <c r="C2422" s="102">
        <v>2400000</v>
      </c>
      <c r="D2422" s="90" t="s">
        <v>374</v>
      </c>
      <c r="E2422" s="90" t="s">
        <v>68</v>
      </c>
      <c r="F2422" s="90" t="s">
        <v>375</v>
      </c>
      <c r="G2422" s="90" t="s">
        <v>376</v>
      </c>
      <c r="H2422" s="90">
        <v>0.59</v>
      </c>
      <c r="I2422" s="90">
        <v>0.64</v>
      </c>
      <c r="J2422" s="90" t="s">
        <v>244</v>
      </c>
      <c r="K2422" s="90">
        <v>4.1064097460360001E-2</v>
      </c>
      <c r="L2422" s="90">
        <v>3721.07280003708</v>
      </c>
      <c r="M2422" s="90">
        <v>9.6107922252037206</v>
      </c>
      <c r="N2422" s="90">
        <v>1.5286418641813599</v>
      </c>
      <c r="O2422" s="90">
        <v>0.3946585086071</v>
      </c>
      <c r="P2422" s="90">
        <v>6.2772298492740006E-2</v>
      </c>
      <c r="Q2422" s="90">
        <v>152.80249611784299</v>
      </c>
      <c r="R2422" s="90">
        <v>1210</v>
      </c>
      <c r="S2422" s="90" t="s">
        <v>385</v>
      </c>
      <c r="T2422" s="90">
        <v>1210</v>
      </c>
      <c r="U2422" s="90" t="s">
        <v>378</v>
      </c>
      <c r="V2422" s="90" t="s">
        <v>244</v>
      </c>
      <c r="Z2422" s="90">
        <v>0</v>
      </c>
      <c r="AA2422" s="90">
        <v>1</v>
      </c>
      <c r="AB2422" s="90">
        <v>0.3946585086071</v>
      </c>
      <c r="AC2422" s="90">
        <v>6.2772298492740006E-2</v>
      </c>
      <c r="AD2422" s="90">
        <v>152.80249611784399</v>
      </c>
      <c r="AF2422" s="90">
        <v>-1</v>
      </c>
      <c r="AG2422" s="90">
        <v>-1</v>
      </c>
      <c r="AH2422" s="90">
        <v>-1</v>
      </c>
      <c r="AI2422" s="90">
        <v>-1</v>
      </c>
      <c r="AJ2422" s="90">
        <v>0</v>
      </c>
      <c r="AM2422" s="90" t="s">
        <v>379</v>
      </c>
      <c r="AN2422" s="90">
        <v>-1</v>
      </c>
      <c r="AQ2422" s="90">
        <v>358</v>
      </c>
      <c r="AR2422" s="90" t="s">
        <v>422</v>
      </c>
      <c r="AS2422" s="90" t="s">
        <v>250</v>
      </c>
      <c r="AT2422" s="90" t="s">
        <v>244</v>
      </c>
      <c r="AU2422" s="90">
        <v>86.412649999999999</v>
      </c>
      <c r="AV2422" s="90">
        <v>52.858323002648298</v>
      </c>
      <c r="AW2422" s="90">
        <v>166.18050653754699</v>
      </c>
      <c r="AX2422" s="90">
        <v>0.1239274097</v>
      </c>
    </row>
    <row r="2423" spans="1:50" x14ac:dyDescent="0.25">
      <c r="A2423" s="102">
        <v>830000</v>
      </c>
      <c r="B2423" s="102">
        <v>2400000</v>
      </c>
      <c r="C2423" s="102">
        <v>2400000</v>
      </c>
      <c r="D2423" s="90" t="s">
        <v>374</v>
      </c>
      <c r="E2423" s="90" t="s">
        <v>68</v>
      </c>
      <c r="F2423" s="90" t="s">
        <v>375</v>
      </c>
      <c r="G2423" s="90" t="s">
        <v>376</v>
      </c>
      <c r="H2423" s="90">
        <v>0.59</v>
      </c>
      <c r="I2423" s="90">
        <v>0.64</v>
      </c>
      <c r="J2423" s="90" t="s">
        <v>244</v>
      </c>
      <c r="K2423" s="90">
        <v>3.3709893600630002E-2</v>
      </c>
      <c r="L2423" s="90">
        <v>3721.07280003708</v>
      </c>
      <c r="M2423" s="90">
        <v>9.6107922252037206</v>
      </c>
      <c r="N2423" s="90">
        <v>1.5286418641813599</v>
      </c>
      <c r="O2423" s="90">
        <v>0.32397878332946001</v>
      </c>
      <c r="P2423" s="90">
        <v>5.1530354595029998E-2</v>
      </c>
      <c r="Q2423" s="90">
        <v>125.43696816948101</v>
      </c>
      <c r="R2423" s="90">
        <v>1210</v>
      </c>
      <c r="S2423" s="90" t="s">
        <v>385</v>
      </c>
      <c r="T2423" s="90">
        <v>1210</v>
      </c>
      <c r="U2423" s="90" t="s">
        <v>378</v>
      </c>
      <c r="V2423" s="90" t="s">
        <v>244</v>
      </c>
      <c r="Z2423" s="90">
        <v>0</v>
      </c>
      <c r="AA2423" s="90">
        <v>1</v>
      </c>
      <c r="AB2423" s="90">
        <v>0.32397878332946001</v>
      </c>
      <c r="AC2423" s="90">
        <v>5.1530354595029998E-2</v>
      </c>
      <c r="AD2423" s="90">
        <v>125.43696816948</v>
      </c>
      <c r="AF2423" s="90">
        <v>-1</v>
      </c>
      <c r="AG2423" s="90">
        <v>-1</v>
      </c>
      <c r="AH2423" s="90">
        <v>-1</v>
      </c>
      <c r="AI2423" s="90">
        <v>-1</v>
      </c>
      <c r="AJ2423" s="90">
        <v>0</v>
      </c>
      <c r="AM2423" s="90" t="s">
        <v>379</v>
      </c>
      <c r="AN2423" s="90">
        <v>-1</v>
      </c>
      <c r="AQ2423" s="90">
        <v>358</v>
      </c>
      <c r="AR2423" s="90" t="s">
        <v>422</v>
      </c>
      <c r="AS2423" s="90" t="s">
        <v>250</v>
      </c>
      <c r="AT2423" s="90" t="s">
        <v>244</v>
      </c>
      <c r="AU2423" s="90">
        <v>86.412649999999999</v>
      </c>
      <c r="AV2423" s="90">
        <v>47.323255292008803</v>
      </c>
      <c r="AW2423" s="90">
        <v>136.41909941616501</v>
      </c>
      <c r="AX2423" s="90">
        <v>0.10173314529999999</v>
      </c>
    </row>
    <row r="2424" spans="1:50" x14ac:dyDescent="0.25">
      <c r="A2424" s="102">
        <v>830000</v>
      </c>
      <c r="B2424" s="102">
        <v>2400000</v>
      </c>
      <c r="C2424" s="102">
        <v>2400000</v>
      </c>
      <c r="D2424" s="90" t="s">
        <v>374</v>
      </c>
      <c r="E2424" s="90" t="s">
        <v>68</v>
      </c>
      <c r="F2424" s="90" t="s">
        <v>375</v>
      </c>
      <c r="G2424" s="90" t="s">
        <v>376</v>
      </c>
      <c r="H2424" s="90">
        <v>0.59</v>
      </c>
      <c r="I2424" s="90">
        <v>0.64</v>
      </c>
      <c r="J2424" s="90" t="s">
        <v>244</v>
      </c>
      <c r="K2424" s="90">
        <v>2.3516991122230001E-2</v>
      </c>
      <c r="L2424" s="90">
        <v>3721.07280003708</v>
      </c>
      <c r="M2424" s="90">
        <v>9.6107922252037206</v>
      </c>
      <c r="N2424" s="90">
        <v>1.5286418641813599</v>
      </c>
      <c r="O2424" s="90">
        <v>0.2260169154378</v>
      </c>
      <c r="P2424" s="90">
        <v>3.5949057149030003E-2</v>
      </c>
      <c r="Q2424" s="90">
        <v>87.508436003677105</v>
      </c>
      <c r="R2424" s="90">
        <v>1300</v>
      </c>
      <c r="S2424" s="90" t="s">
        <v>387</v>
      </c>
      <c r="T2424" s="90">
        <v>1300</v>
      </c>
      <c r="U2424" s="90" t="s">
        <v>378</v>
      </c>
      <c r="V2424" s="90" t="s">
        <v>244</v>
      </c>
      <c r="Z2424" s="90">
        <v>0</v>
      </c>
      <c r="AA2424" s="90">
        <v>1</v>
      </c>
      <c r="AB2424" s="90">
        <v>0.2260169154378</v>
      </c>
      <c r="AC2424" s="90">
        <v>3.5949057149030003E-2</v>
      </c>
      <c r="AD2424" s="90">
        <v>87.508436003676707</v>
      </c>
      <c r="AF2424" s="90">
        <v>-1</v>
      </c>
      <c r="AG2424" s="90">
        <v>-1</v>
      </c>
      <c r="AH2424" s="90">
        <v>-1</v>
      </c>
      <c r="AI2424" s="90">
        <v>-1</v>
      </c>
      <c r="AJ2424" s="90">
        <v>0</v>
      </c>
      <c r="AM2424" s="90" t="s">
        <v>379</v>
      </c>
      <c r="AN2424" s="90">
        <v>-1</v>
      </c>
      <c r="AQ2424" s="90">
        <v>358</v>
      </c>
      <c r="AR2424" s="90" t="s">
        <v>422</v>
      </c>
      <c r="AS2424" s="90" t="s">
        <v>250</v>
      </c>
      <c r="AT2424" s="90" t="s">
        <v>244</v>
      </c>
      <c r="AU2424" s="90">
        <v>86.412649999999999</v>
      </c>
      <c r="AV2424" s="90">
        <v>39.026044537507502</v>
      </c>
      <c r="AW2424" s="90">
        <v>95.169886558556101</v>
      </c>
      <c r="AX2424" s="90">
        <v>7.0971967600000005E-2</v>
      </c>
    </row>
    <row r="2425" spans="1:50" x14ac:dyDescent="0.25">
      <c r="A2425" s="102">
        <v>830000</v>
      </c>
      <c r="B2425" s="102">
        <v>2400000</v>
      </c>
      <c r="C2425" s="102">
        <v>2400000</v>
      </c>
      <c r="D2425" s="90" t="s">
        <v>374</v>
      </c>
      <c r="E2425" s="90" t="s">
        <v>68</v>
      </c>
      <c r="F2425" s="90" t="s">
        <v>375</v>
      </c>
      <c r="G2425" s="90" t="s">
        <v>376</v>
      </c>
      <c r="H2425" s="90">
        <v>0.59</v>
      </c>
      <c r="I2425" s="90">
        <v>0.64</v>
      </c>
      <c r="J2425" s="90" t="s">
        <v>244</v>
      </c>
      <c r="K2425" s="90">
        <v>0.32252993666171997</v>
      </c>
      <c r="L2425" s="90">
        <v>3721.07280003708</v>
      </c>
      <c r="M2425" s="90">
        <v>9.6107922252037206</v>
      </c>
      <c r="N2425" s="90">
        <v>1.5286418641813599</v>
      </c>
      <c r="O2425" s="90">
        <v>3.0997682076639199</v>
      </c>
      <c r="P2425" s="90">
        <v>0.49303276363287002</v>
      </c>
      <c r="Q2425" s="90">
        <v>1200.15737450961</v>
      </c>
      <c r="R2425" s="90">
        <v>1210</v>
      </c>
      <c r="S2425" s="90" t="s">
        <v>385</v>
      </c>
      <c r="T2425" s="90">
        <v>1210</v>
      </c>
      <c r="U2425" s="90" t="s">
        <v>378</v>
      </c>
      <c r="V2425" s="90" t="s">
        <v>244</v>
      </c>
      <c r="Z2425" s="90">
        <v>0</v>
      </c>
      <c r="AA2425" s="90">
        <v>1</v>
      </c>
      <c r="AB2425" s="90">
        <v>3.0997682076639199</v>
      </c>
      <c r="AC2425" s="90">
        <v>0.49303276363287002</v>
      </c>
      <c r="AD2425" s="90">
        <v>1200.15737450961</v>
      </c>
      <c r="AF2425" s="90">
        <v>-1</v>
      </c>
      <c r="AG2425" s="90">
        <v>-1</v>
      </c>
      <c r="AH2425" s="90">
        <v>-1</v>
      </c>
      <c r="AI2425" s="90">
        <v>-1</v>
      </c>
      <c r="AJ2425" s="90">
        <v>0</v>
      </c>
      <c r="AM2425" s="90" t="s">
        <v>379</v>
      </c>
      <c r="AN2425" s="90">
        <v>-1</v>
      </c>
      <c r="AQ2425" s="90">
        <v>358</v>
      </c>
      <c r="AR2425" s="90" t="s">
        <v>422</v>
      </c>
      <c r="AS2425" s="90" t="s">
        <v>250</v>
      </c>
      <c r="AT2425" s="90" t="s">
        <v>244</v>
      </c>
      <c r="AU2425" s="90">
        <v>86.412649999999999</v>
      </c>
      <c r="AV2425" s="90">
        <v>145.20413717382499</v>
      </c>
      <c r="AW2425" s="90">
        <v>1305.2323455957501</v>
      </c>
      <c r="AX2425" s="90">
        <v>0.97336364519999996</v>
      </c>
    </row>
    <row r="2426" spans="1:50" x14ac:dyDescent="0.25">
      <c r="A2426" s="102">
        <v>830000</v>
      </c>
      <c r="B2426" s="102">
        <v>2400000</v>
      </c>
      <c r="C2426" s="102">
        <v>2400000</v>
      </c>
      <c r="D2426" s="90" t="s">
        <v>374</v>
      </c>
      <c r="E2426" s="90" t="s">
        <v>68</v>
      </c>
      <c r="F2426" s="90" t="s">
        <v>375</v>
      </c>
      <c r="G2426" s="90" t="s">
        <v>376</v>
      </c>
      <c r="H2426" s="90">
        <v>0.59</v>
      </c>
      <c r="I2426" s="90">
        <v>0.64</v>
      </c>
      <c r="J2426" s="90" t="s">
        <v>244</v>
      </c>
      <c r="K2426" s="90">
        <v>9.3760579317910001E-2</v>
      </c>
      <c r="L2426" s="90">
        <v>3721.07280003708</v>
      </c>
      <c r="M2426" s="90">
        <v>9.6107922252037206</v>
      </c>
      <c r="N2426" s="90">
        <v>1.5286418641813599</v>
      </c>
      <c r="O2426" s="90">
        <v>0.90111344673921001</v>
      </c>
      <c r="P2426" s="90">
        <v>0.14332634675525999</v>
      </c>
      <c r="Q2426" s="90">
        <v>348.88994141561301</v>
      </c>
      <c r="R2426" s="90">
        <v>1300</v>
      </c>
      <c r="S2426" s="90" t="s">
        <v>387</v>
      </c>
      <c r="T2426" s="90">
        <v>1300</v>
      </c>
      <c r="U2426" s="90" t="s">
        <v>378</v>
      </c>
      <c r="V2426" s="90" t="s">
        <v>244</v>
      </c>
      <c r="Z2426" s="90">
        <v>0</v>
      </c>
      <c r="AA2426" s="90">
        <v>1</v>
      </c>
      <c r="AB2426" s="90">
        <v>0.90111344673921001</v>
      </c>
      <c r="AC2426" s="90">
        <v>0.14332634675525999</v>
      </c>
      <c r="AD2426" s="90">
        <v>348.88994141561102</v>
      </c>
      <c r="AF2426" s="90">
        <v>-1</v>
      </c>
      <c r="AG2426" s="90">
        <v>-1</v>
      </c>
      <c r="AH2426" s="90">
        <v>-1</v>
      </c>
      <c r="AI2426" s="90">
        <v>-1</v>
      </c>
      <c r="AJ2426" s="90">
        <v>0</v>
      </c>
      <c r="AM2426" s="90" t="s">
        <v>379</v>
      </c>
      <c r="AN2426" s="90">
        <v>-1</v>
      </c>
      <c r="AQ2426" s="90">
        <v>358</v>
      </c>
      <c r="AR2426" s="90" t="s">
        <v>422</v>
      </c>
      <c r="AS2426" s="90" t="s">
        <v>250</v>
      </c>
      <c r="AT2426" s="90" t="s">
        <v>244</v>
      </c>
      <c r="AU2426" s="90">
        <v>86.412649999999999</v>
      </c>
      <c r="AV2426" s="90">
        <v>99.493591326213107</v>
      </c>
      <c r="AW2426" s="90">
        <v>379.43560258064701</v>
      </c>
      <c r="AX2426" s="90">
        <v>0.28296021199999999</v>
      </c>
    </row>
    <row r="2427" spans="1:50" x14ac:dyDescent="0.25">
      <c r="A2427" s="102">
        <v>830000</v>
      </c>
      <c r="B2427" s="102">
        <v>2400000</v>
      </c>
      <c r="C2427" s="102">
        <v>2400000</v>
      </c>
      <c r="D2427" s="90" t="s">
        <v>374</v>
      </c>
      <c r="E2427" s="90" t="s">
        <v>68</v>
      </c>
      <c r="F2427" s="90" t="s">
        <v>375</v>
      </c>
      <c r="G2427" s="90" t="s">
        <v>376</v>
      </c>
      <c r="H2427" s="90">
        <v>0.59</v>
      </c>
      <c r="I2427" s="90">
        <v>0.64</v>
      </c>
      <c r="J2427" s="90" t="s">
        <v>244</v>
      </c>
      <c r="K2427" s="90">
        <v>0.20049441937609</v>
      </c>
      <c r="L2427" s="90">
        <v>3764.71334164167</v>
      </c>
      <c r="M2427" s="90">
        <v>9.0145507135374405</v>
      </c>
      <c r="N2427" s="90">
        <v>1.57031124068599</v>
      </c>
      <c r="O2427" s="90">
        <v>1.80736711124702</v>
      </c>
      <c r="P2427" s="90">
        <v>0.31483864044108001</v>
      </c>
      <c r="Q2427" s="90">
        <v>754.80401554987304</v>
      </c>
      <c r="R2427" s="90">
        <v>1300</v>
      </c>
      <c r="S2427" s="90" t="s">
        <v>387</v>
      </c>
      <c r="T2427" s="90">
        <v>1300</v>
      </c>
      <c r="U2427" s="90" t="s">
        <v>378</v>
      </c>
      <c r="V2427" s="90" t="s">
        <v>244</v>
      </c>
      <c r="Z2427" s="90">
        <v>0</v>
      </c>
      <c r="AA2427" s="90">
        <v>1</v>
      </c>
      <c r="AB2427" s="90">
        <v>1.80736711124702</v>
      </c>
      <c r="AC2427" s="90">
        <v>0.31483864044108001</v>
      </c>
      <c r="AD2427" s="90">
        <v>754.80401554987304</v>
      </c>
      <c r="AF2427" s="90">
        <v>-1</v>
      </c>
      <c r="AG2427" s="90">
        <v>-1</v>
      </c>
      <c r="AH2427" s="90">
        <v>-1</v>
      </c>
      <c r="AI2427" s="90">
        <v>-1</v>
      </c>
      <c r="AJ2427" s="90">
        <v>0</v>
      </c>
      <c r="AM2427" s="90" t="s">
        <v>379</v>
      </c>
      <c r="AN2427" s="90">
        <v>-1</v>
      </c>
      <c r="AQ2427" s="90">
        <v>358</v>
      </c>
      <c r="AR2427" s="90" t="s">
        <v>422</v>
      </c>
      <c r="AS2427" s="90" t="s">
        <v>250</v>
      </c>
      <c r="AT2427" s="90" t="s">
        <v>244</v>
      </c>
      <c r="AU2427" s="90">
        <v>86.412649999999999</v>
      </c>
      <c r="AV2427" s="90">
        <v>132.72038179547499</v>
      </c>
      <c r="AW2427" s="90">
        <v>811.37212870749704</v>
      </c>
      <c r="AX2427" s="90">
        <v>0.61216870690000003</v>
      </c>
    </row>
    <row r="2428" spans="1:50" x14ac:dyDescent="0.25">
      <c r="A2428" s="102">
        <v>830000</v>
      </c>
      <c r="B2428" s="102">
        <v>2400000</v>
      </c>
      <c r="C2428" s="102">
        <v>2400000</v>
      </c>
      <c r="D2428" s="90" t="s">
        <v>374</v>
      </c>
      <c r="E2428" s="90" t="s">
        <v>68</v>
      </c>
      <c r="F2428" s="90" t="s">
        <v>375</v>
      </c>
      <c r="G2428" s="90" t="s">
        <v>376</v>
      </c>
      <c r="H2428" s="90">
        <v>0.59</v>
      </c>
      <c r="I2428" s="90">
        <v>0.64</v>
      </c>
      <c r="J2428" s="90" t="s">
        <v>244</v>
      </c>
      <c r="K2428" s="90">
        <v>5.4883717008499998E-2</v>
      </c>
      <c r="L2428" s="90">
        <v>3764.71334164167</v>
      </c>
      <c r="M2428" s="90">
        <v>9.0145507135374405</v>
      </c>
      <c r="N2428" s="90">
        <v>1.57031124068599</v>
      </c>
      <c r="O2428" s="90">
        <v>0.49475205032059</v>
      </c>
      <c r="P2428" s="90">
        <v>8.6184517749079995E-2</v>
      </c>
      <c r="Q2428" s="90">
        <v>206.62146166080001</v>
      </c>
      <c r="R2428" s="90">
        <v>1300</v>
      </c>
      <c r="S2428" s="90" t="s">
        <v>387</v>
      </c>
      <c r="T2428" s="90">
        <v>1300</v>
      </c>
      <c r="U2428" s="90" t="s">
        <v>378</v>
      </c>
      <c r="V2428" s="90" t="s">
        <v>244</v>
      </c>
      <c r="Z2428" s="90">
        <v>0</v>
      </c>
      <c r="AA2428" s="90">
        <v>1</v>
      </c>
      <c r="AB2428" s="90">
        <v>0.49475205032059</v>
      </c>
      <c r="AC2428" s="90">
        <v>8.6184517749079995E-2</v>
      </c>
      <c r="AD2428" s="90">
        <v>792.22297400734101</v>
      </c>
      <c r="AF2428" s="90">
        <v>-1</v>
      </c>
      <c r="AG2428" s="90">
        <v>-1</v>
      </c>
      <c r="AH2428" s="90">
        <v>-1</v>
      </c>
      <c r="AI2428" s="90">
        <v>-1</v>
      </c>
      <c r="AJ2428" s="90">
        <v>0</v>
      </c>
      <c r="AM2428" s="90" t="s">
        <v>379</v>
      </c>
      <c r="AN2428" s="90">
        <v>-1</v>
      </c>
      <c r="AQ2428" s="90">
        <v>358</v>
      </c>
      <c r="AR2428" s="90" t="s">
        <v>422</v>
      </c>
      <c r="AS2428" s="90" t="s">
        <v>250</v>
      </c>
      <c r="AT2428" s="90" t="s">
        <v>244</v>
      </c>
      <c r="AU2428" s="90">
        <v>86.412649999999999</v>
      </c>
      <c r="AV2428" s="90">
        <v>86.013867103219098</v>
      </c>
      <c r="AW2428" s="90">
        <v>222.10652266104799</v>
      </c>
      <c r="AX2428" s="90">
        <v>0.64251660499999996</v>
      </c>
    </row>
    <row r="2429" spans="1:50" x14ac:dyDescent="0.25">
      <c r="A2429" s="102">
        <v>830000</v>
      </c>
      <c r="B2429" s="102">
        <v>2400000</v>
      </c>
      <c r="C2429" s="102">
        <v>2400000</v>
      </c>
      <c r="D2429" s="90" t="s">
        <v>374</v>
      </c>
      <c r="E2429" s="90" t="s">
        <v>68</v>
      </c>
      <c r="F2429" s="90" t="s">
        <v>375</v>
      </c>
      <c r="G2429" s="90" t="s">
        <v>376</v>
      </c>
      <c r="H2429" s="90">
        <v>0.59</v>
      </c>
      <c r="I2429" s="90">
        <v>0.64</v>
      </c>
      <c r="J2429" s="90" t="s">
        <v>244</v>
      </c>
      <c r="K2429" s="90">
        <v>4.2063968967479999E-2</v>
      </c>
      <c r="L2429" s="90">
        <v>3764.71334164167</v>
      </c>
      <c r="M2429" s="90">
        <v>9.0145507135374405</v>
      </c>
      <c r="N2429" s="90">
        <v>1.57031124068599</v>
      </c>
      <c r="O2429" s="90">
        <v>0.37918778147004001</v>
      </c>
      <c r="P2429" s="90">
        <v>6.60535232975E-2</v>
      </c>
      <c r="Q2429" s="90">
        <v>158.35878517428401</v>
      </c>
      <c r="R2429" s="90">
        <v>1300</v>
      </c>
      <c r="S2429" s="90" t="s">
        <v>387</v>
      </c>
      <c r="T2429" s="90">
        <v>1300</v>
      </c>
      <c r="U2429" s="90" t="s">
        <v>378</v>
      </c>
      <c r="V2429" s="90" t="s">
        <v>244</v>
      </c>
      <c r="Z2429" s="90">
        <v>0</v>
      </c>
      <c r="AA2429" s="90">
        <v>1</v>
      </c>
      <c r="AB2429" s="90">
        <v>0.37918778147004001</v>
      </c>
      <c r="AC2429" s="90">
        <v>6.60535232975E-2</v>
      </c>
      <c r="AD2429" s="90">
        <v>158.35878517428401</v>
      </c>
      <c r="AF2429" s="90">
        <v>-1</v>
      </c>
      <c r="AG2429" s="90">
        <v>-1</v>
      </c>
      <c r="AH2429" s="90">
        <v>-1</v>
      </c>
      <c r="AI2429" s="90">
        <v>-1</v>
      </c>
      <c r="AJ2429" s="90">
        <v>0</v>
      </c>
      <c r="AM2429" s="90" t="s">
        <v>379</v>
      </c>
      <c r="AN2429" s="90">
        <v>-1</v>
      </c>
      <c r="AQ2429" s="90">
        <v>358</v>
      </c>
      <c r="AR2429" s="90" t="s">
        <v>422</v>
      </c>
      <c r="AS2429" s="90" t="s">
        <v>250</v>
      </c>
      <c r="AT2429" s="90" t="s">
        <v>244</v>
      </c>
      <c r="AU2429" s="90">
        <v>86.412649999999999</v>
      </c>
      <c r="AV2429" s="90">
        <v>52.326496898978398</v>
      </c>
      <c r="AW2429" s="90">
        <v>170.22684296769199</v>
      </c>
      <c r="AX2429" s="90">
        <v>0.12843372680000001</v>
      </c>
    </row>
    <row r="2430" spans="1:50" x14ac:dyDescent="0.25">
      <c r="A2430" s="102">
        <v>830000</v>
      </c>
      <c r="B2430" s="102">
        <v>2400000</v>
      </c>
      <c r="C2430" s="102">
        <v>2400000</v>
      </c>
      <c r="D2430" s="90" t="s">
        <v>374</v>
      </c>
      <c r="E2430" s="90" t="s">
        <v>68</v>
      </c>
      <c r="F2430" s="90" t="s">
        <v>375</v>
      </c>
      <c r="G2430" s="90" t="s">
        <v>376</v>
      </c>
      <c r="H2430" s="90">
        <v>0.59</v>
      </c>
      <c r="I2430" s="90">
        <v>0.64</v>
      </c>
      <c r="J2430" s="90" t="s">
        <v>244</v>
      </c>
      <c r="K2430" s="90">
        <v>9.3825976283109999E-2</v>
      </c>
      <c r="L2430" s="90">
        <v>3764.71334164167</v>
      </c>
      <c r="M2430" s="90">
        <v>9.0145507135374405</v>
      </c>
      <c r="N2430" s="90">
        <v>1.57031124068599</v>
      </c>
      <c r="O2430" s="90">
        <v>0.84579902145132002</v>
      </c>
      <c r="P2430" s="90">
        <v>0.14733598522571001</v>
      </c>
      <c r="Q2430" s="90">
        <v>353.22790470560898</v>
      </c>
      <c r="R2430" s="90">
        <v>1300</v>
      </c>
      <c r="S2430" s="90" t="s">
        <v>387</v>
      </c>
      <c r="T2430" s="90">
        <v>1300</v>
      </c>
      <c r="U2430" s="90" t="s">
        <v>378</v>
      </c>
      <c r="V2430" s="90" t="s">
        <v>244</v>
      </c>
      <c r="Z2430" s="90">
        <v>0</v>
      </c>
      <c r="AA2430" s="90">
        <v>1</v>
      </c>
      <c r="AB2430" s="90">
        <v>0.84579902145132002</v>
      </c>
      <c r="AC2430" s="90">
        <v>0.14733598522571001</v>
      </c>
      <c r="AD2430" s="90">
        <v>353.22790470561</v>
      </c>
      <c r="AF2430" s="90">
        <v>-1</v>
      </c>
      <c r="AG2430" s="90">
        <v>-1</v>
      </c>
      <c r="AH2430" s="90">
        <v>-1</v>
      </c>
      <c r="AI2430" s="90">
        <v>-1</v>
      </c>
      <c r="AJ2430" s="90">
        <v>0</v>
      </c>
      <c r="AM2430" s="90" t="s">
        <v>379</v>
      </c>
      <c r="AN2430" s="90">
        <v>-1</v>
      </c>
      <c r="AQ2430" s="90">
        <v>358</v>
      </c>
      <c r="AR2430" s="90" t="s">
        <v>422</v>
      </c>
      <c r="AS2430" s="90" t="s">
        <v>250</v>
      </c>
      <c r="AT2430" s="90" t="s">
        <v>244</v>
      </c>
      <c r="AU2430" s="90">
        <v>86.412649999999999</v>
      </c>
      <c r="AV2430" s="90">
        <v>93.267657041084306</v>
      </c>
      <c r="AW2430" s="90">
        <v>379.70025470928698</v>
      </c>
      <c r="AX2430" s="90">
        <v>0.28647843039999998</v>
      </c>
    </row>
    <row r="2431" spans="1:50" x14ac:dyDescent="0.25">
      <c r="A2431" s="102">
        <v>830000</v>
      </c>
      <c r="B2431" s="102">
        <v>2400000</v>
      </c>
      <c r="C2431" s="102">
        <v>2400000</v>
      </c>
      <c r="D2431" s="90" t="s">
        <v>374</v>
      </c>
      <c r="E2431" s="90" t="s">
        <v>68</v>
      </c>
      <c r="F2431" s="90" t="s">
        <v>375</v>
      </c>
      <c r="G2431" s="90" t="s">
        <v>376</v>
      </c>
      <c r="H2431" s="90">
        <v>0.59</v>
      </c>
      <c r="I2431" s="90">
        <v>0.64</v>
      </c>
      <c r="J2431" s="90" t="s">
        <v>244</v>
      </c>
      <c r="K2431" s="90">
        <v>6.5666029962999995E-4</v>
      </c>
      <c r="L2431" s="90">
        <v>3769.01908054044</v>
      </c>
      <c r="M2431" s="90">
        <v>8.9315846147739304</v>
      </c>
      <c r="N2431" s="90">
        <v>1.4813569171929</v>
      </c>
      <c r="O2431" s="90">
        <v>5.8650170293800003E-3</v>
      </c>
      <c r="P2431" s="90">
        <v>9.7274827711000004E-4</v>
      </c>
      <c r="Q2431" s="90">
        <v>2.4749651987727899</v>
      </c>
      <c r="R2431" s="90">
        <v>1210</v>
      </c>
      <c r="S2431" s="90" t="s">
        <v>385</v>
      </c>
      <c r="T2431" s="90">
        <v>1210</v>
      </c>
      <c r="U2431" s="90" t="s">
        <v>378</v>
      </c>
      <c r="V2431" s="90" t="s">
        <v>244</v>
      </c>
      <c r="Z2431" s="90">
        <v>0</v>
      </c>
      <c r="AA2431" s="90">
        <v>1</v>
      </c>
      <c r="AB2431" s="90">
        <v>5.8650170293800003E-3</v>
      </c>
      <c r="AC2431" s="90">
        <v>9.7274827711000004E-4</v>
      </c>
      <c r="AD2431" s="90">
        <v>2.4749651987729999</v>
      </c>
      <c r="AF2431" s="90">
        <v>-1</v>
      </c>
      <c r="AG2431" s="90">
        <v>-1</v>
      </c>
      <c r="AH2431" s="90">
        <v>-1</v>
      </c>
      <c r="AI2431" s="90">
        <v>-1</v>
      </c>
      <c r="AJ2431" s="90">
        <v>0</v>
      </c>
      <c r="AM2431" s="90" t="s">
        <v>379</v>
      </c>
      <c r="AN2431" s="90">
        <v>-1</v>
      </c>
      <c r="AQ2431" s="90">
        <v>358</v>
      </c>
      <c r="AR2431" s="90" t="s">
        <v>422</v>
      </c>
      <c r="AS2431" s="90" t="s">
        <v>250</v>
      </c>
      <c r="AT2431" s="90" t="s">
        <v>244</v>
      </c>
      <c r="AU2431" s="90">
        <v>86.412649999999999</v>
      </c>
      <c r="AV2431" s="90">
        <v>6.76013626844101</v>
      </c>
      <c r="AW2431" s="90">
        <v>2.65740995092942</v>
      </c>
      <c r="AX2431" s="90">
        <v>2.0072710000000001E-3</v>
      </c>
    </row>
    <row r="2432" spans="1:50" x14ac:dyDescent="0.25">
      <c r="A2432" s="102">
        <v>830000</v>
      </c>
      <c r="B2432" s="102">
        <v>2400000</v>
      </c>
      <c r="C2432" s="102">
        <v>2400000</v>
      </c>
      <c r="D2432" s="90" t="s">
        <v>374</v>
      </c>
      <c r="E2432" s="90" t="s">
        <v>68</v>
      </c>
      <c r="F2432" s="90" t="s">
        <v>375</v>
      </c>
      <c r="G2432" s="90" t="s">
        <v>376</v>
      </c>
      <c r="H2432" s="90">
        <v>0.59</v>
      </c>
      <c r="I2432" s="90">
        <v>0.64</v>
      </c>
      <c r="J2432" s="90" t="s">
        <v>244</v>
      </c>
      <c r="K2432" s="90">
        <v>8.0999899836199998E-3</v>
      </c>
      <c r="L2432" s="90">
        <v>3769.01908054044</v>
      </c>
      <c r="M2432" s="90">
        <v>8.9315846147739304</v>
      </c>
      <c r="N2432" s="90">
        <v>1.4813569171929</v>
      </c>
      <c r="O2432" s="90">
        <v>7.2345745917560003E-2</v>
      </c>
      <c r="P2432" s="90">
        <v>1.199897619143E-2</v>
      </c>
      <c r="Q2432" s="90">
        <v>30.529016800469101</v>
      </c>
      <c r="R2432" s="90">
        <v>1210</v>
      </c>
      <c r="S2432" s="90" t="s">
        <v>385</v>
      </c>
      <c r="T2432" s="90">
        <v>1210</v>
      </c>
      <c r="U2432" s="90" t="s">
        <v>378</v>
      </c>
      <c r="V2432" s="90" t="s">
        <v>244</v>
      </c>
      <c r="Z2432" s="90">
        <v>0</v>
      </c>
      <c r="AA2432" s="90">
        <v>1</v>
      </c>
      <c r="AB2432" s="90">
        <v>7.2345745917560003E-2</v>
      </c>
      <c r="AC2432" s="90">
        <v>1.199897619143E-2</v>
      </c>
      <c r="AD2432" s="90">
        <v>30.529016800469002</v>
      </c>
      <c r="AF2432" s="90">
        <v>-1</v>
      </c>
      <c r="AG2432" s="90">
        <v>-1</v>
      </c>
      <c r="AH2432" s="90">
        <v>-1</v>
      </c>
      <c r="AI2432" s="90">
        <v>-1</v>
      </c>
      <c r="AJ2432" s="90">
        <v>0</v>
      </c>
      <c r="AM2432" s="90" t="s">
        <v>379</v>
      </c>
      <c r="AN2432" s="90">
        <v>-1</v>
      </c>
      <c r="AQ2432" s="90">
        <v>358</v>
      </c>
      <c r="AR2432" s="90" t="s">
        <v>422</v>
      </c>
      <c r="AS2432" s="90" t="s">
        <v>250</v>
      </c>
      <c r="AT2432" s="90" t="s">
        <v>244</v>
      </c>
      <c r="AU2432" s="90">
        <v>86.412649999999999</v>
      </c>
      <c r="AV2432" s="90">
        <v>61.607799527714199</v>
      </c>
      <c r="AW2432" s="90">
        <v>32.779496486608302</v>
      </c>
      <c r="AX2432" s="90">
        <v>2.4759948699999999E-2</v>
      </c>
    </row>
    <row r="2433" spans="1:50" x14ac:dyDescent="0.25">
      <c r="A2433" s="102">
        <v>830000</v>
      </c>
      <c r="B2433" s="102">
        <v>2400000</v>
      </c>
      <c r="C2433" s="102">
        <v>2400000</v>
      </c>
      <c r="D2433" s="90" t="s">
        <v>374</v>
      </c>
      <c r="E2433" s="90" t="s">
        <v>68</v>
      </c>
      <c r="F2433" s="90" t="s">
        <v>375</v>
      </c>
      <c r="G2433" s="90" t="s">
        <v>376</v>
      </c>
      <c r="H2433" s="90">
        <v>0.59</v>
      </c>
      <c r="I2433" s="90">
        <v>0.64</v>
      </c>
      <c r="J2433" s="90" t="s">
        <v>244</v>
      </c>
      <c r="K2433" s="90">
        <v>2.6183525989999999E-5</v>
      </c>
      <c r="L2433" s="90">
        <v>3769.01908054044</v>
      </c>
      <c r="M2433" s="90">
        <v>8.9315846147739304</v>
      </c>
      <c r="N2433" s="90">
        <v>1.4813569171929</v>
      </c>
      <c r="O2433" s="90">
        <v>2.3386037789000001E-4</v>
      </c>
      <c r="P2433" s="90">
        <v>3.8787147340000003E-5</v>
      </c>
      <c r="Q2433" s="90">
        <v>9.8686209052130006E-2</v>
      </c>
      <c r="R2433" s="90">
        <v>1210</v>
      </c>
      <c r="S2433" s="90" t="s">
        <v>385</v>
      </c>
      <c r="T2433" s="90">
        <v>1210</v>
      </c>
      <c r="U2433" s="90" t="s">
        <v>378</v>
      </c>
      <c r="V2433" s="90" t="s">
        <v>244</v>
      </c>
      <c r="Z2433" s="90">
        <v>0</v>
      </c>
      <c r="AA2433" s="90">
        <v>1</v>
      </c>
      <c r="AB2433" s="90">
        <v>2.3386037789000001E-4</v>
      </c>
      <c r="AC2433" s="90">
        <v>3.8787147340000003E-5</v>
      </c>
      <c r="AD2433" s="90">
        <v>9.8686209051070006E-2</v>
      </c>
      <c r="AF2433" s="90">
        <v>-1</v>
      </c>
      <c r="AG2433" s="90">
        <v>-1</v>
      </c>
      <c r="AH2433" s="90">
        <v>-1</v>
      </c>
      <c r="AI2433" s="90">
        <v>-1</v>
      </c>
      <c r="AJ2433" s="90">
        <v>0</v>
      </c>
      <c r="AM2433" s="90" t="s">
        <v>379</v>
      </c>
      <c r="AN2433" s="90">
        <v>-1</v>
      </c>
      <c r="AQ2433" s="90">
        <v>358</v>
      </c>
      <c r="AR2433" s="90" t="s">
        <v>422</v>
      </c>
      <c r="AS2433" s="90" t="s">
        <v>250</v>
      </c>
      <c r="AT2433" s="90" t="s">
        <v>244</v>
      </c>
      <c r="AU2433" s="90">
        <v>86.412649999999999</v>
      </c>
      <c r="AV2433" s="90">
        <v>3.69304544088914</v>
      </c>
      <c r="AW2433" s="90">
        <v>0.10596097031255999</v>
      </c>
      <c r="AX2433" s="90">
        <v>8.0037500000000001E-5</v>
      </c>
    </row>
    <row r="2434" spans="1:50" x14ac:dyDescent="0.25">
      <c r="A2434" s="102">
        <v>830000</v>
      </c>
      <c r="B2434" s="102">
        <v>2400000</v>
      </c>
      <c r="C2434" s="102">
        <v>2400000</v>
      </c>
      <c r="D2434" s="90" t="s">
        <v>374</v>
      </c>
      <c r="E2434" s="90" t="s">
        <v>68</v>
      </c>
      <c r="F2434" s="90" t="s">
        <v>375</v>
      </c>
      <c r="G2434" s="90" t="s">
        <v>376</v>
      </c>
      <c r="H2434" s="90">
        <v>0.59</v>
      </c>
      <c r="I2434" s="90">
        <v>0.64</v>
      </c>
      <c r="J2434" s="90" t="s">
        <v>244</v>
      </c>
      <c r="K2434" s="90">
        <v>8.185772604904E-2</v>
      </c>
      <c r="L2434" s="90">
        <v>3727.2808892115299</v>
      </c>
      <c r="M2434" s="90">
        <v>9.8006198782253708</v>
      </c>
      <c r="N2434" s="90">
        <v>1.61618535906076</v>
      </c>
      <c r="O2434" s="90">
        <v>0.80225645710256999</v>
      </c>
      <c r="P2434" s="90">
        <v>0.13229725836646999</v>
      </c>
      <c r="Q2434" s="90">
        <v>305.10673793691001</v>
      </c>
      <c r="R2434" s="90">
        <v>1200</v>
      </c>
      <c r="S2434" s="90" t="s">
        <v>384</v>
      </c>
      <c r="T2434" s="90">
        <v>1200</v>
      </c>
      <c r="U2434" s="90" t="s">
        <v>378</v>
      </c>
      <c r="V2434" s="90" t="s">
        <v>244</v>
      </c>
      <c r="Z2434" s="90">
        <v>0</v>
      </c>
      <c r="AA2434" s="90">
        <v>1</v>
      </c>
      <c r="AB2434" s="90">
        <v>0.80225645710256999</v>
      </c>
      <c r="AC2434" s="90">
        <v>0.13229725836646999</v>
      </c>
      <c r="AD2434" s="90">
        <v>305.10673793691001</v>
      </c>
      <c r="AF2434" s="90">
        <v>-1</v>
      </c>
      <c r="AG2434" s="90">
        <v>-1</v>
      </c>
      <c r="AH2434" s="90">
        <v>-1</v>
      </c>
      <c r="AI2434" s="90">
        <v>-1</v>
      </c>
      <c r="AJ2434" s="90">
        <v>0</v>
      </c>
      <c r="AM2434" s="90" t="s">
        <v>379</v>
      </c>
      <c r="AN2434" s="90">
        <v>-1</v>
      </c>
      <c r="AQ2434" s="90">
        <v>358</v>
      </c>
      <c r="AR2434" s="90" t="s">
        <v>422</v>
      </c>
      <c r="AS2434" s="90" t="s">
        <v>250</v>
      </c>
      <c r="AT2434" s="90" t="s">
        <v>244</v>
      </c>
      <c r="AU2434" s="90">
        <v>86.412649999999999</v>
      </c>
      <c r="AV2434" s="90">
        <v>113.413536933714</v>
      </c>
      <c r="AW2434" s="90">
        <v>331.26646438462899</v>
      </c>
      <c r="AX2434" s="90">
        <v>0.24745072009999999</v>
      </c>
    </row>
    <row r="2435" spans="1:50" x14ac:dyDescent="0.25">
      <c r="A2435" s="102">
        <v>830000</v>
      </c>
      <c r="B2435" s="102">
        <v>2400000</v>
      </c>
      <c r="C2435" s="102">
        <v>2400000</v>
      </c>
      <c r="D2435" s="90" t="s">
        <v>374</v>
      </c>
      <c r="E2435" s="90" t="s">
        <v>68</v>
      </c>
      <c r="F2435" s="90" t="s">
        <v>375</v>
      </c>
      <c r="G2435" s="90" t="s">
        <v>376</v>
      </c>
      <c r="H2435" s="90">
        <v>0.59</v>
      </c>
      <c r="I2435" s="90">
        <v>0.64</v>
      </c>
      <c r="J2435" s="90" t="s">
        <v>244</v>
      </c>
      <c r="K2435" s="90">
        <v>7.5106314294900001E-2</v>
      </c>
      <c r="L2435" s="90">
        <v>3727.2808892115299</v>
      </c>
      <c r="M2435" s="90">
        <v>9.8006198782253708</v>
      </c>
      <c r="N2435" s="90">
        <v>1.61618535906076</v>
      </c>
      <c r="O2435" s="90">
        <v>0.73608843685890002</v>
      </c>
      <c r="P2435" s="90">
        <v>0.12138572553644</v>
      </c>
      <c r="Q2435" s="90">
        <v>279.942329930521</v>
      </c>
      <c r="R2435" s="90">
        <v>1300</v>
      </c>
      <c r="S2435" s="90" t="s">
        <v>387</v>
      </c>
      <c r="T2435" s="90">
        <v>1300</v>
      </c>
      <c r="U2435" s="90" t="s">
        <v>378</v>
      </c>
      <c r="V2435" s="90" t="s">
        <v>244</v>
      </c>
      <c r="Z2435" s="90">
        <v>0</v>
      </c>
      <c r="AA2435" s="90">
        <v>1</v>
      </c>
      <c r="AB2435" s="90">
        <v>0.73608843685890002</v>
      </c>
      <c r="AC2435" s="90">
        <v>0.12138572553644</v>
      </c>
      <c r="AD2435" s="90">
        <v>279.94232993051997</v>
      </c>
      <c r="AF2435" s="90">
        <v>-1</v>
      </c>
      <c r="AG2435" s="90">
        <v>-1</v>
      </c>
      <c r="AH2435" s="90">
        <v>-1</v>
      </c>
      <c r="AI2435" s="90">
        <v>-1</v>
      </c>
      <c r="AJ2435" s="90">
        <v>0</v>
      </c>
      <c r="AM2435" s="90" t="s">
        <v>379</v>
      </c>
      <c r="AN2435" s="90">
        <v>-1</v>
      </c>
      <c r="AQ2435" s="90">
        <v>358</v>
      </c>
      <c r="AR2435" s="90" t="s">
        <v>422</v>
      </c>
      <c r="AS2435" s="90" t="s">
        <v>250</v>
      </c>
      <c r="AT2435" s="90" t="s">
        <v>244</v>
      </c>
      <c r="AU2435" s="90">
        <v>86.412649999999999</v>
      </c>
      <c r="AV2435" s="90">
        <v>112.227754296851</v>
      </c>
      <c r="AW2435" s="90">
        <v>303.94447036713598</v>
      </c>
      <c r="AX2435" s="90">
        <v>0.2270416301</v>
      </c>
    </row>
    <row r="2436" spans="1:50" x14ac:dyDescent="0.25">
      <c r="A2436" s="102">
        <v>830000</v>
      </c>
      <c r="B2436" s="102">
        <v>2400000</v>
      </c>
      <c r="C2436" s="102">
        <v>2400000</v>
      </c>
      <c r="D2436" s="90" t="s">
        <v>374</v>
      </c>
      <c r="E2436" s="90" t="s">
        <v>68</v>
      </c>
      <c r="F2436" s="90" t="s">
        <v>375</v>
      </c>
      <c r="G2436" s="90" t="s">
        <v>376</v>
      </c>
      <c r="H2436" s="90">
        <v>0.59</v>
      </c>
      <c r="I2436" s="90">
        <v>0.64</v>
      </c>
      <c r="J2436" s="90" t="s">
        <v>244</v>
      </c>
      <c r="K2436" s="90">
        <v>4.4267221661900003E-3</v>
      </c>
      <c r="L2436" s="90">
        <v>3727.2808892115299</v>
      </c>
      <c r="M2436" s="90">
        <v>9.8006198782253708</v>
      </c>
      <c r="N2436" s="90">
        <v>1.61618535906076</v>
      </c>
      <c r="O2436" s="90">
        <v>4.3384621257340002E-2</v>
      </c>
      <c r="P2436" s="90">
        <v>7.1544035536199998E-3</v>
      </c>
      <c r="Q2436" s="90">
        <v>16.499636931889</v>
      </c>
      <c r="R2436" s="90">
        <v>1210</v>
      </c>
      <c r="S2436" s="90" t="s">
        <v>385</v>
      </c>
      <c r="T2436" s="90">
        <v>1210</v>
      </c>
      <c r="U2436" s="90" t="s">
        <v>378</v>
      </c>
      <c r="V2436" s="90" t="s">
        <v>244</v>
      </c>
      <c r="Z2436" s="90">
        <v>0</v>
      </c>
      <c r="AA2436" s="90">
        <v>1</v>
      </c>
      <c r="AB2436" s="90">
        <v>4.3384621257340002E-2</v>
      </c>
      <c r="AC2436" s="90">
        <v>7.1544035536199998E-3</v>
      </c>
      <c r="AD2436" s="90">
        <v>16.499636931889501</v>
      </c>
      <c r="AF2436" s="90">
        <v>-1</v>
      </c>
      <c r="AG2436" s="90">
        <v>-1</v>
      </c>
      <c r="AH2436" s="90">
        <v>-1</v>
      </c>
      <c r="AI2436" s="90">
        <v>-1</v>
      </c>
      <c r="AJ2436" s="90">
        <v>0</v>
      </c>
      <c r="AM2436" s="90" t="s">
        <v>379</v>
      </c>
      <c r="AN2436" s="90">
        <v>-1</v>
      </c>
      <c r="AQ2436" s="90">
        <v>358</v>
      </c>
      <c r="AR2436" s="90" t="s">
        <v>422</v>
      </c>
      <c r="AS2436" s="90" t="s">
        <v>250</v>
      </c>
      <c r="AT2436" s="90" t="s">
        <v>244</v>
      </c>
      <c r="AU2436" s="90">
        <v>86.412649999999999</v>
      </c>
      <c r="AV2436" s="90">
        <v>17.021222430527299</v>
      </c>
      <c r="AW2436" s="90">
        <v>17.914309028426899</v>
      </c>
      <c r="AX2436" s="90">
        <v>1.3381700700000001E-2</v>
      </c>
    </row>
    <row r="2437" spans="1:50" x14ac:dyDescent="0.25">
      <c r="A2437" s="102">
        <v>830000</v>
      </c>
      <c r="B2437" s="102">
        <v>2400000</v>
      </c>
      <c r="C2437" s="102">
        <v>2400000</v>
      </c>
      <c r="D2437" s="90" t="s">
        <v>374</v>
      </c>
      <c r="E2437" s="90" t="s">
        <v>68</v>
      </c>
      <c r="F2437" s="90" t="s">
        <v>375</v>
      </c>
      <c r="G2437" s="90" t="s">
        <v>376</v>
      </c>
      <c r="H2437" s="90">
        <v>0.59</v>
      </c>
      <c r="I2437" s="90">
        <v>0.64</v>
      </c>
      <c r="J2437" s="90" t="s">
        <v>244</v>
      </c>
      <c r="K2437" s="90">
        <v>2.1920270661750001E-2</v>
      </c>
      <c r="L2437" s="90">
        <v>3727.2808892115299</v>
      </c>
      <c r="M2437" s="90">
        <v>9.8006198782253708</v>
      </c>
      <c r="N2437" s="90">
        <v>1.61618535906076</v>
      </c>
      <c r="O2437" s="90">
        <v>0.21483224038365001</v>
      </c>
      <c r="P2437" s="90">
        <v>3.5427220510169999E-2</v>
      </c>
      <c r="Q2437" s="90">
        <v>81.7030059238961</v>
      </c>
      <c r="R2437" s="90">
        <v>1210</v>
      </c>
      <c r="S2437" s="90" t="s">
        <v>385</v>
      </c>
      <c r="T2437" s="90">
        <v>1210</v>
      </c>
      <c r="U2437" s="90" t="s">
        <v>378</v>
      </c>
      <c r="V2437" s="90" t="s">
        <v>244</v>
      </c>
      <c r="Z2437" s="90">
        <v>0</v>
      </c>
      <c r="AA2437" s="90">
        <v>1</v>
      </c>
      <c r="AB2437" s="90">
        <v>0.21483224038365001</v>
      </c>
      <c r="AC2437" s="90">
        <v>3.5427220510169999E-2</v>
      </c>
      <c r="AD2437" s="90">
        <v>81.703005923895006</v>
      </c>
      <c r="AF2437" s="90">
        <v>-1</v>
      </c>
      <c r="AG2437" s="90">
        <v>-1</v>
      </c>
      <c r="AH2437" s="90">
        <v>-1</v>
      </c>
      <c r="AI2437" s="90">
        <v>-1</v>
      </c>
      <c r="AJ2437" s="90">
        <v>0</v>
      </c>
      <c r="AM2437" s="90" t="s">
        <v>379</v>
      </c>
      <c r="AN2437" s="90">
        <v>-1</v>
      </c>
      <c r="AQ2437" s="90">
        <v>358</v>
      </c>
      <c r="AR2437" s="90" t="s">
        <v>422</v>
      </c>
      <c r="AS2437" s="90" t="s">
        <v>250</v>
      </c>
      <c r="AT2437" s="90" t="s">
        <v>244</v>
      </c>
      <c r="AU2437" s="90">
        <v>86.412649999999999</v>
      </c>
      <c r="AV2437" s="90">
        <v>48.165300034147599</v>
      </c>
      <c r="AW2437" s="90">
        <v>88.708188108260302</v>
      </c>
      <c r="AX2437" s="90">
        <v>6.6263589600000006E-2</v>
      </c>
    </row>
    <row r="2438" spans="1:50" x14ac:dyDescent="0.25">
      <c r="A2438" s="102">
        <v>830000</v>
      </c>
      <c r="B2438" s="102">
        <v>2400000</v>
      </c>
      <c r="C2438" s="102">
        <v>2400000</v>
      </c>
      <c r="D2438" s="90" t="s">
        <v>374</v>
      </c>
      <c r="E2438" s="90" t="s">
        <v>68</v>
      </c>
      <c r="F2438" s="90" t="s">
        <v>375</v>
      </c>
      <c r="G2438" s="90" t="s">
        <v>376</v>
      </c>
      <c r="H2438" s="90">
        <v>0.59</v>
      </c>
      <c r="I2438" s="90">
        <v>0.64</v>
      </c>
      <c r="J2438" s="90" t="s">
        <v>244</v>
      </c>
      <c r="K2438" s="90">
        <v>2.0330861310739998E-2</v>
      </c>
      <c r="L2438" s="90">
        <v>3727.2808892115299</v>
      </c>
      <c r="M2438" s="90">
        <v>9.8006198782253708</v>
      </c>
      <c r="N2438" s="90">
        <v>1.61618535906076</v>
      </c>
      <c r="O2438" s="90">
        <v>0.19925504350351</v>
      </c>
      <c r="P2438" s="90">
        <v>3.2858440387509999E-2</v>
      </c>
      <c r="Q2438" s="90">
        <v>75.7788308247424</v>
      </c>
      <c r="R2438" s="90">
        <v>1210</v>
      </c>
      <c r="S2438" s="90" t="s">
        <v>385</v>
      </c>
      <c r="T2438" s="90">
        <v>1210</v>
      </c>
      <c r="U2438" s="90" t="s">
        <v>378</v>
      </c>
      <c r="V2438" s="90" t="s">
        <v>244</v>
      </c>
      <c r="Z2438" s="90">
        <v>0</v>
      </c>
      <c r="AA2438" s="90">
        <v>1</v>
      </c>
      <c r="AB2438" s="90">
        <v>0.19925504350351</v>
      </c>
      <c r="AC2438" s="90">
        <v>3.2858440387509999E-2</v>
      </c>
      <c r="AD2438" s="90">
        <v>75.778830824743906</v>
      </c>
      <c r="AF2438" s="90">
        <v>-1</v>
      </c>
      <c r="AG2438" s="90">
        <v>-1</v>
      </c>
      <c r="AH2438" s="90">
        <v>-1</v>
      </c>
      <c r="AI2438" s="90">
        <v>-1</v>
      </c>
      <c r="AJ2438" s="90">
        <v>0</v>
      </c>
      <c r="AM2438" s="90" t="s">
        <v>379</v>
      </c>
      <c r="AN2438" s="90">
        <v>-1</v>
      </c>
      <c r="AQ2438" s="90">
        <v>358</v>
      </c>
      <c r="AR2438" s="90" t="s">
        <v>422</v>
      </c>
      <c r="AS2438" s="90" t="s">
        <v>250</v>
      </c>
      <c r="AT2438" s="90" t="s">
        <v>244</v>
      </c>
      <c r="AU2438" s="90">
        <v>86.412649999999999</v>
      </c>
      <c r="AV2438" s="90">
        <v>46.618277282648897</v>
      </c>
      <c r="AW2438" s="90">
        <v>82.276076668305606</v>
      </c>
      <c r="AX2438" s="90">
        <v>6.1458905799999998E-2</v>
      </c>
    </row>
    <row r="2439" spans="1:50" x14ac:dyDescent="0.25">
      <c r="A2439" s="102">
        <v>830000</v>
      </c>
      <c r="B2439" s="102">
        <v>2400000</v>
      </c>
      <c r="C2439" s="102">
        <v>2400000</v>
      </c>
      <c r="D2439" s="90" t="s">
        <v>374</v>
      </c>
      <c r="E2439" s="90" t="s">
        <v>68</v>
      </c>
      <c r="F2439" s="90" t="s">
        <v>375</v>
      </c>
      <c r="G2439" s="90" t="s">
        <v>376</v>
      </c>
      <c r="H2439" s="90">
        <v>0.59</v>
      </c>
      <c r="I2439" s="90">
        <v>0.64</v>
      </c>
      <c r="J2439" s="90" t="s">
        <v>244</v>
      </c>
      <c r="K2439" s="90">
        <v>8.0589723856500008E-3</v>
      </c>
      <c r="L2439" s="90">
        <v>3727.2808892115299</v>
      </c>
      <c r="M2439" s="90">
        <v>9.8006198782253708</v>
      </c>
      <c r="N2439" s="90">
        <v>1.61618535906076</v>
      </c>
      <c r="O2439" s="90">
        <v>7.8982924960879997E-2</v>
      </c>
      <c r="P2439" s="90">
        <v>1.302479317876E-2</v>
      </c>
      <c r="Q2439" s="90">
        <v>30.038053759720398</v>
      </c>
      <c r="R2439" s="90">
        <v>1210</v>
      </c>
      <c r="S2439" s="90" t="s">
        <v>385</v>
      </c>
      <c r="T2439" s="90">
        <v>1210</v>
      </c>
      <c r="U2439" s="90" t="s">
        <v>378</v>
      </c>
      <c r="V2439" s="90" t="s">
        <v>244</v>
      </c>
      <c r="Z2439" s="90">
        <v>0</v>
      </c>
      <c r="AA2439" s="90">
        <v>1</v>
      </c>
      <c r="AB2439" s="90">
        <v>7.8982924960879997E-2</v>
      </c>
      <c r="AC2439" s="90">
        <v>1.302479317876E-2</v>
      </c>
      <c r="AD2439" s="90">
        <v>30.038053759719499</v>
      </c>
      <c r="AF2439" s="90">
        <v>-1</v>
      </c>
      <c r="AG2439" s="90">
        <v>-1</v>
      </c>
      <c r="AH2439" s="90">
        <v>-1</v>
      </c>
      <c r="AI2439" s="90">
        <v>-1</v>
      </c>
      <c r="AJ2439" s="90">
        <v>0</v>
      </c>
      <c r="AM2439" s="90" t="s">
        <v>379</v>
      </c>
      <c r="AN2439" s="90">
        <v>-1</v>
      </c>
      <c r="AQ2439" s="90">
        <v>358</v>
      </c>
      <c r="AR2439" s="90" t="s">
        <v>422</v>
      </c>
      <c r="AS2439" s="90" t="s">
        <v>250</v>
      </c>
      <c r="AT2439" s="90" t="s">
        <v>244</v>
      </c>
      <c r="AU2439" s="90">
        <v>86.412649999999999</v>
      </c>
      <c r="AV2439" s="90">
        <v>23.9188336407523</v>
      </c>
      <c r="AW2439" s="90">
        <v>32.613504156814997</v>
      </c>
      <c r="AX2439" s="90">
        <v>2.4361763000000002E-2</v>
      </c>
    </row>
    <row r="2440" spans="1:50" x14ac:dyDescent="0.25">
      <c r="A2440" s="102">
        <v>830000</v>
      </c>
      <c r="B2440" s="102">
        <v>2400000</v>
      </c>
      <c r="C2440" s="102">
        <v>2400000</v>
      </c>
      <c r="D2440" s="90" t="s">
        <v>374</v>
      </c>
      <c r="E2440" s="90" t="s">
        <v>68</v>
      </c>
      <c r="F2440" s="90" t="s">
        <v>375</v>
      </c>
      <c r="G2440" s="90" t="s">
        <v>376</v>
      </c>
      <c r="H2440" s="90">
        <v>0.59</v>
      </c>
      <c r="I2440" s="90">
        <v>0.64</v>
      </c>
      <c r="J2440" s="90" t="s">
        <v>244</v>
      </c>
      <c r="K2440" s="90">
        <v>3.2892956880690001E-2</v>
      </c>
      <c r="L2440" s="90">
        <v>3738.66490964901</v>
      </c>
      <c r="M2440" s="90">
        <v>10.176386056100799</v>
      </c>
      <c r="N2440" s="90">
        <v>1.7898962071248701</v>
      </c>
      <c r="O2440" s="90">
        <v>0.33473142774462999</v>
      </c>
      <c r="P2440" s="90">
        <v>5.8874978761869999E-2</v>
      </c>
      <c r="Q2440" s="90">
        <v>122.975743664452</v>
      </c>
      <c r="R2440" s="90">
        <v>1200</v>
      </c>
      <c r="S2440" s="90" t="s">
        <v>384</v>
      </c>
      <c r="T2440" s="90">
        <v>1200</v>
      </c>
      <c r="U2440" s="90" t="s">
        <v>378</v>
      </c>
      <c r="V2440" s="90" t="s">
        <v>244</v>
      </c>
      <c r="Z2440" s="90">
        <v>0</v>
      </c>
      <c r="AA2440" s="90">
        <v>1</v>
      </c>
      <c r="AB2440" s="90">
        <v>0.33473142774462999</v>
      </c>
      <c r="AC2440" s="90">
        <v>5.8874978761869999E-2</v>
      </c>
      <c r="AD2440" s="90">
        <v>475.69295128180403</v>
      </c>
      <c r="AF2440" s="90">
        <v>-1</v>
      </c>
      <c r="AG2440" s="90">
        <v>-1</v>
      </c>
      <c r="AH2440" s="90">
        <v>-1</v>
      </c>
      <c r="AI2440" s="90">
        <v>-1</v>
      </c>
      <c r="AJ2440" s="90">
        <v>0</v>
      </c>
      <c r="AM2440" s="90" t="s">
        <v>379</v>
      </c>
      <c r="AN2440" s="90">
        <v>-1</v>
      </c>
      <c r="AQ2440" s="90">
        <v>358</v>
      </c>
      <c r="AR2440" s="90" t="s">
        <v>422</v>
      </c>
      <c r="AS2440" s="90" t="s">
        <v>250</v>
      </c>
      <c r="AT2440" s="90" t="s">
        <v>244</v>
      </c>
      <c r="AU2440" s="90">
        <v>86.412649999999999</v>
      </c>
      <c r="AV2440" s="90">
        <v>72.741260774184397</v>
      </c>
      <c r="AW2440" s="90">
        <v>133.113073804365</v>
      </c>
      <c r="AX2440" s="90">
        <v>0.38580125809999999</v>
      </c>
    </row>
    <row r="2441" spans="1:50" x14ac:dyDescent="0.25">
      <c r="A2441" s="102">
        <v>830000</v>
      </c>
      <c r="B2441" s="102">
        <v>2400000</v>
      </c>
      <c r="C2441" s="102">
        <v>2400000</v>
      </c>
      <c r="D2441" s="90" t="s">
        <v>374</v>
      </c>
      <c r="E2441" s="90" t="s">
        <v>68</v>
      </c>
      <c r="F2441" s="90" t="s">
        <v>375</v>
      </c>
      <c r="G2441" s="90" t="s">
        <v>376</v>
      </c>
      <c r="H2441" s="90">
        <v>0.59</v>
      </c>
      <c r="I2441" s="90">
        <v>0.64</v>
      </c>
      <c r="J2441" s="90" t="s">
        <v>244</v>
      </c>
      <c r="K2441" s="90">
        <v>0.17148352480042001</v>
      </c>
      <c r="L2441" s="90">
        <v>3738.66490964901</v>
      </c>
      <c r="M2441" s="90">
        <v>10.176386056100799</v>
      </c>
      <c r="N2441" s="90">
        <v>1.7898962071248701</v>
      </c>
      <c r="O2441" s="90">
        <v>1.74508255063008</v>
      </c>
      <c r="P2441" s="90">
        <v>0.30693771062468</v>
      </c>
      <c r="Q2441" s="90">
        <v>641.11943675427904</v>
      </c>
      <c r="R2441" s="90">
        <v>1300</v>
      </c>
      <c r="S2441" s="90" t="s">
        <v>387</v>
      </c>
      <c r="T2441" s="90">
        <v>1300</v>
      </c>
      <c r="U2441" s="90" t="s">
        <v>378</v>
      </c>
      <c r="V2441" s="90" t="s">
        <v>244</v>
      </c>
      <c r="Z2441" s="90">
        <v>0</v>
      </c>
      <c r="AA2441" s="90">
        <v>1</v>
      </c>
      <c r="AB2441" s="90">
        <v>1.74508255063008</v>
      </c>
      <c r="AC2441" s="90">
        <v>0.30693771062468</v>
      </c>
      <c r="AD2441" s="90">
        <v>642.41050350591695</v>
      </c>
      <c r="AF2441" s="90">
        <v>-1</v>
      </c>
      <c r="AG2441" s="90">
        <v>-1</v>
      </c>
      <c r="AH2441" s="90">
        <v>-1</v>
      </c>
      <c r="AI2441" s="90">
        <v>-1</v>
      </c>
      <c r="AJ2441" s="90">
        <v>0</v>
      </c>
      <c r="AM2441" s="90" t="s">
        <v>379</v>
      </c>
      <c r="AN2441" s="90">
        <v>-1</v>
      </c>
      <c r="AQ2441" s="90">
        <v>358</v>
      </c>
      <c r="AR2441" s="90" t="s">
        <v>422</v>
      </c>
      <c r="AS2441" s="90" t="s">
        <v>250</v>
      </c>
      <c r="AT2441" s="90" t="s">
        <v>244</v>
      </c>
      <c r="AU2441" s="90">
        <v>86.412649999999999</v>
      </c>
      <c r="AV2441" s="90">
        <v>248.64978482664699</v>
      </c>
      <c r="AW2441" s="90">
        <v>693.96920367439395</v>
      </c>
      <c r="AX2441" s="90">
        <v>0.52101419589999998</v>
      </c>
    </row>
    <row r="2442" spans="1:50" x14ac:dyDescent="0.25">
      <c r="A2442" s="102">
        <v>830000</v>
      </c>
      <c r="B2442" s="102">
        <v>2400000</v>
      </c>
      <c r="C2442" s="102">
        <v>2400000</v>
      </c>
      <c r="D2442" s="90" t="s">
        <v>374</v>
      </c>
      <c r="E2442" s="90" t="s">
        <v>68</v>
      </c>
      <c r="F2442" s="90" t="s">
        <v>375</v>
      </c>
      <c r="G2442" s="90" t="s">
        <v>376</v>
      </c>
      <c r="H2442" s="90">
        <v>0.59</v>
      </c>
      <c r="I2442" s="90">
        <v>0.64</v>
      </c>
      <c r="J2442" s="90" t="s">
        <v>381</v>
      </c>
      <c r="K2442" s="90">
        <v>2.5254720371500001E-3</v>
      </c>
      <c r="L2442" s="90">
        <v>3738.66490964901</v>
      </c>
      <c r="M2442" s="90">
        <v>10.176386056100799</v>
      </c>
      <c r="N2442" s="90">
        <v>1.7898962071248701</v>
      </c>
      <c r="O2442" s="90">
        <v>2.5700178423969999E-2</v>
      </c>
      <c r="P2442" s="90">
        <v>4.5203328204999997E-3</v>
      </c>
      <c r="Q2442" s="90">
        <v>9.4418936856112108</v>
      </c>
      <c r="R2442" s="90">
        <v>1300</v>
      </c>
      <c r="S2442" s="90" t="s">
        <v>387</v>
      </c>
      <c r="T2442" s="90">
        <v>1300</v>
      </c>
      <c r="U2442" s="90" t="s">
        <v>382</v>
      </c>
      <c r="V2442" s="90" t="s">
        <v>381</v>
      </c>
      <c r="Z2442" s="90">
        <v>0</v>
      </c>
      <c r="AA2442" s="90">
        <v>1</v>
      </c>
      <c r="AB2442" s="90">
        <v>2.5700178423969999E-2</v>
      </c>
      <c r="AC2442" s="90">
        <v>4.5203328204999997E-3</v>
      </c>
      <c r="AD2442" s="90">
        <v>9.4418936856121807</v>
      </c>
      <c r="AF2442" s="90">
        <v>-1</v>
      </c>
      <c r="AG2442" s="90">
        <v>-1</v>
      </c>
      <c r="AH2442" s="90">
        <v>-1</v>
      </c>
      <c r="AI2442" s="90">
        <v>-1</v>
      </c>
      <c r="AJ2442" s="90">
        <v>0</v>
      </c>
      <c r="AM2442" s="90" t="s">
        <v>379</v>
      </c>
      <c r="AN2442" s="90">
        <v>-1</v>
      </c>
      <c r="AQ2442" s="90">
        <v>358</v>
      </c>
      <c r="AR2442" s="90" t="s">
        <v>422</v>
      </c>
      <c r="AS2442" s="90" t="s">
        <v>250</v>
      </c>
      <c r="AT2442" s="90" t="s">
        <v>244</v>
      </c>
      <c r="AU2442" s="90">
        <v>86.412649999999999</v>
      </c>
      <c r="AV2442" s="90">
        <v>100.44193001590401</v>
      </c>
      <c r="AW2442" s="90">
        <v>10.2202227331533</v>
      </c>
      <c r="AX2442" s="90">
        <v>7.6576591000000003E-3</v>
      </c>
    </row>
    <row r="2443" spans="1:50" x14ac:dyDescent="0.25">
      <c r="A2443" s="102">
        <v>830000</v>
      </c>
      <c r="B2443" s="102">
        <v>2400000</v>
      </c>
      <c r="C2443" s="102">
        <v>2400000</v>
      </c>
      <c r="D2443" s="90" t="s">
        <v>374</v>
      </c>
      <c r="E2443" s="90" t="s">
        <v>68</v>
      </c>
      <c r="F2443" s="90" t="s">
        <v>375</v>
      </c>
      <c r="G2443" s="90" t="s">
        <v>376</v>
      </c>
      <c r="H2443" s="90">
        <v>0.59</v>
      </c>
      <c r="I2443" s="90">
        <v>0.64</v>
      </c>
      <c r="J2443" s="90" t="s">
        <v>244</v>
      </c>
      <c r="K2443" s="90">
        <v>3.7837643849700002E-2</v>
      </c>
      <c r="L2443" s="90">
        <v>3738.66490964901</v>
      </c>
      <c r="M2443" s="90">
        <v>10.176386056100799</v>
      </c>
      <c r="N2443" s="90">
        <v>1.7898962071248701</v>
      </c>
      <c r="O2443" s="90">
        <v>0.38505047126782999</v>
      </c>
      <c r="P2443" s="90">
        <v>6.7725455213119998E-2</v>
      </c>
      <c r="Q2443" s="90">
        <v>141.46227132468499</v>
      </c>
      <c r="R2443" s="90">
        <v>1330</v>
      </c>
      <c r="S2443" s="90" t="s">
        <v>397</v>
      </c>
      <c r="T2443" s="90">
        <v>1330</v>
      </c>
      <c r="U2443" s="90" t="s">
        <v>378</v>
      </c>
      <c r="V2443" s="90" t="s">
        <v>244</v>
      </c>
      <c r="Z2443" s="90">
        <v>0</v>
      </c>
      <c r="AA2443" s="90">
        <v>1</v>
      </c>
      <c r="AB2443" s="90">
        <v>0.38505047126782999</v>
      </c>
      <c r="AC2443" s="90">
        <v>6.7725455213119998E-2</v>
      </c>
      <c r="AD2443" s="90">
        <v>141.46227132468599</v>
      </c>
      <c r="AF2443" s="90">
        <v>-1</v>
      </c>
      <c r="AG2443" s="90">
        <v>-1</v>
      </c>
      <c r="AH2443" s="90">
        <v>-1</v>
      </c>
      <c r="AI2443" s="90">
        <v>-1</v>
      </c>
      <c r="AJ2443" s="90">
        <v>0</v>
      </c>
      <c r="AM2443" s="90" t="s">
        <v>379</v>
      </c>
      <c r="AN2443" s="90">
        <v>-1</v>
      </c>
      <c r="AQ2443" s="90">
        <v>358</v>
      </c>
      <c r="AR2443" s="90" t="s">
        <v>422</v>
      </c>
      <c r="AS2443" s="90" t="s">
        <v>250</v>
      </c>
      <c r="AT2443" s="90" t="s">
        <v>244</v>
      </c>
      <c r="AU2443" s="90">
        <v>86.412649999999999</v>
      </c>
      <c r="AV2443" s="90">
        <v>49.583539138220097</v>
      </c>
      <c r="AW2443" s="90">
        <v>153.123512021659</v>
      </c>
      <c r="AX2443" s="90">
        <v>0.1147301471</v>
      </c>
    </row>
    <row r="2444" spans="1:50" x14ac:dyDescent="0.25">
      <c r="A2444" s="102">
        <v>830000</v>
      </c>
      <c r="B2444" s="102">
        <v>2400000</v>
      </c>
      <c r="C2444" s="102">
        <v>2400000</v>
      </c>
      <c r="D2444" s="90" t="s">
        <v>374</v>
      </c>
      <c r="E2444" s="90" t="s">
        <v>68</v>
      </c>
      <c r="F2444" s="90" t="s">
        <v>375</v>
      </c>
      <c r="G2444" s="90" t="s">
        <v>376</v>
      </c>
      <c r="H2444" s="90">
        <v>0.59</v>
      </c>
      <c r="I2444" s="90">
        <v>0.64</v>
      </c>
      <c r="J2444" s="90" t="s">
        <v>244</v>
      </c>
      <c r="K2444" s="90">
        <v>4.6586746691750003E-2</v>
      </c>
      <c r="L2444" s="90">
        <v>3738.66490964901</v>
      </c>
      <c r="M2444" s="90">
        <v>10.176386056100799</v>
      </c>
      <c r="N2444" s="90">
        <v>1.7898962071248701</v>
      </c>
      <c r="O2444" s="90">
        <v>0.47408471943309999</v>
      </c>
      <c r="P2444" s="90">
        <v>8.338544120586E-2</v>
      </c>
      <c r="Q2444" s="90">
        <v>174.172235111183</v>
      </c>
      <c r="R2444" s="90">
        <v>1330</v>
      </c>
      <c r="S2444" s="90" t="s">
        <v>397</v>
      </c>
      <c r="T2444" s="90">
        <v>1330</v>
      </c>
      <c r="U2444" s="90" t="s">
        <v>378</v>
      </c>
      <c r="V2444" s="90" t="s">
        <v>244</v>
      </c>
      <c r="Z2444" s="90">
        <v>0</v>
      </c>
      <c r="AA2444" s="90">
        <v>1</v>
      </c>
      <c r="AB2444" s="90">
        <v>0.47408471943309999</v>
      </c>
      <c r="AC2444" s="90">
        <v>8.338544120586E-2</v>
      </c>
      <c r="AD2444" s="90">
        <v>174.17223511118101</v>
      </c>
      <c r="AF2444" s="90">
        <v>-1</v>
      </c>
      <c r="AG2444" s="90">
        <v>-1</v>
      </c>
      <c r="AH2444" s="90">
        <v>-1</v>
      </c>
      <c r="AI2444" s="90">
        <v>-1</v>
      </c>
      <c r="AJ2444" s="90">
        <v>0</v>
      </c>
      <c r="AM2444" s="90" t="s">
        <v>379</v>
      </c>
      <c r="AN2444" s="90">
        <v>-1</v>
      </c>
      <c r="AQ2444" s="90">
        <v>358</v>
      </c>
      <c r="AR2444" s="90" t="s">
        <v>422</v>
      </c>
      <c r="AS2444" s="90" t="s">
        <v>250</v>
      </c>
      <c r="AT2444" s="90" t="s">
        <v>244</v>
      </c>
      <c r="AU2444" s="90">
        <v>86.412649999999999</v>
      </c>
      <c r="AV2444" s="90">
        <v>55.234942717324301</v>
      </c>
      <c r="AW2444" s="90">
        <v>188.529875048261</v>
      </c>
      <c r="AX2444" s="90">
        <v>0.14125890930000001</v>
      </c>
    </row>
    <row r="2445" spans="1:50" x14ac:dyDescent="0.25">
      <c r="A2445" s="102">
        <v>830000</v>
      </c>
      <c r="B2445" s="102">
        <v>2400000</v>
      </c>
      <c r="C2445" s="102">
        <v>2400000</v>
      </c>
      <c r="D2445" s="90" t="s">
        <v>374</v>
      </c>
      <c r="E2445" s="90" t="s">
        <v>68</v>
      </c>
      <c r="F2445" s="90" t="s">
        <v>375</v>
      </c>
      <c r="G2445" s="90" t="s">
        <v>376</v>
      </c>
      <c r="H2445" s="90">
        <v>0.59</v>
      </c>
      <c r="I2445" s="90">
        <v>0.64</v>
      </c>
      <c r="J2445" s="90" t="s">
        <v>244</v>
      </c>
      <c r="K2445" s="90">
        <v>4.8105864837470001E-2</v>
      </c>
      <c r="L2445" s="90">
        <v>3738.66490964901</v>
      </c>
      <c r="M2445" s="90">
        <v>10.176386056100799</v>
      </c>
      <c r="N2445" s="90">
        <v>1.7898962071248701</v>
      </c>
      <c r="O2445" s="90">
        <v>0.48954385214870999</v>
      </c>
      <c r="P2445" s="90">
        <v>8.6104505013050003E-2</v>
      </c>
      <c r="Q2445" s="90">
        <v>179.851708816171</v>
      </c>
      <c r="R2445" s="90">
        <v>1210</v>
      </c>
      <c r="S2445" s="90" t="s">
        <v>385</v>
      </c>
      <c r="T2445" s="90">
        <v>1210</v>
      </c>
      <c r="U2445" s="90" t="s">
        <v>378</v>
      </c>
      <c r="V2445" s="90" t="s">
        <v>244</v>
      </c>
      <c r="Z2445" s="90">
        <v>0</v>
      </c>
      <c r="AA2445" s="90">
        <v>1</v>
      </c>
      <c r="AB2445" s="90">
        <v>0.48954385214870999</v>
      </c>
      <c r="AC2445" s="90">
        <v>8.6104505013050003E-2</v>
      </c>
      <c r="AD2445" s="90">
        <v>179.85170881617199</v>
      </c>
      <c r="AF2445" s="90">
        <v>-1</v>
      </c>
      <c r="AG2445" s="90">
        <v>-1</v>
      </c>
      <c r="AH2445" s="90">
        <v>-1</v>
      </c>
      <c r="AI2445" s="90">
        <v>-1</v>
      </c>
      <c r="AJ2445" s="90">
        <v>0</v>
      </c>
      <c r="AM2445" s="90" t="s">
        <v>379</v>
      </c>
      <c r="AN2445" s="90">
        <v>-1</v>
      </c>
      <c r="AQ2445" s="90">
        <v>358</v>
      </c>
      <c r="AR2445" s="90" t="s">
        <v>422</v>
      </c>
      <c r="AS2445" s="90" t="s">
        <v>250</v>
      </c>
      <c r="AT2445" s="90" t="s">
        <v>244</v>
      </c>
      <c r="AU2445" s="90">
        <v>86.412649999999999</v>
      </c>
      <c r="AV2445" s="90">
        <v>56.0404259920074</v>
      </c>
      <c r="AW2445" s="90">
        <v>194.67752807262599</v>
      </c>
      <c r="AX2445" s="90">
        <v>0.1458651329</v>
      </c>
    </row>
    <row r="2446" spans="1:50" x14ac:dyDescent="0.25">
      <c r="A2446" s="102">
        <v>830000</v>
      </c>
      <c r="B2446" s="102">
        <v>2400000</v>
      </c>
      <c r="C2446" s="102">
        <v>2400000</v>
      </c>
      <c r="D2446" s="90" t="s">
        <v>374</v>
      </c>
      <c r="E2446" s="90" t="s">
        <v>68</v>
      </c>
      <c r="F2446" s="90" t="s">
        <v>375</v>
      </c>
      <c r="G2446" s="90" t="s">
        <v>376</v>
      </c>
      <c r="H2446" s="90">
        <v>0.59</v>
      </c>
      <c r="I2446" s="90">
        <v>0.64</v>
      </c>
      <c r="J2446" s="90" t="s">
        <v>244</v>
      </c>
      <c r="K2446" s="90">
        <v>2.0991487838000001E-4</v>
      </c>
      <c r="L2446" s="90">
        <v>3738.66490964901</v>
      </c>
      <c r="M2446" s="90">
        <v>10.176386056100799</v>
      </c>
      <c r="N2446" s="90">
        <v>1.7898962071248701</v>
      </c>
      <c r="O2446" s="90">
        <v>2.1361748413699999E-3</v>
      </c>
      <c r="P2446" s="90">
        <v>3.7572584464000002E-4</v>
      </c>
      <c r="Q2446" s="90">
        <v>0.78480138983497005</v>
      </c>
      <c r="R2446" s="90">
        <v>1210</v>
      </c>
      <c r="S2446" s="90" t="s">
        <v>385</v>
      </c>
      <c r="T2446" s="90">
        <v>1210</v>
      </c>
      <c r="U2446" s="90" t="s">
        <v>378</v>
      </c>
      <c r="V2446" s="90" t="s">
        <v>244</v>
      </c>
      <c r="Z2446" s="90">
        <v>0</v>
      </c>
      <c r="AA2446" s="90">
        <v>1</v>
      </c>
      <c r="AB2446" s="90">
        <v>2.1361748413699999E-3</v>
      </c>
      <c r="AC2446" s="90">
        <v>3.7572584464000002E-4</v>
      </c>
      <c r="AD2446" s="90">
        <v>1.55178367445307</v>
      </c>
      <c r="AF2446" s="90">
        <v>-1</v>
      </c>
      <c r="AG2446" s="90">
        <v>-1</v>
      </c>
      <c r="AH2446" s="90">
        <v>-1</v>
      </c>
      <c r="AI2446" s="90">
        <v>-1</v>
      </c>
      <c r="AJ2446" s="90">
        <v>0</v>
      </c>
      <c r="AM2446" s="90" t="s">
        <v>379</v>
      </c>
      <c r="AN2446" s="90">
        <v>-1</v>
      </c>
      <c r="AQ2446" s="90">
        <v>358</v>
      </c>
      <c r="AR2446" s="90" t="s">
        <v>422</v>
      </c>
      <c r="AS2446" s="90" t="s">
        <v>250</v>
      </c>
      <c r="AT2446" s="90" t="s">
        <v>244</v>
      </c>
      <c r="AU2446" s="90">
        <v>86.412649999999999</v>
      </c>
      <c r="AV2446" s="90">
        <v>17.249892393967102</v>
      </c>
      <c r="AW2446" s="90">
        <v>0.84949537375412998</v>
      </c>
      <c r="AX2446" s="90">
        <v>1.2585431E-3</v>
      </c>
    </row>
    <row r="2447" spans="1:50" x14ac:dyDescent="0.25">
      <c r="A2447" s="102">
        <v>830000</v>
      </c>
      <c r="B2447" s="102">
        <v>2400000</v>
      </c>
      <c r="C2447" s="102">
        <v>2400000</v>
      </c>
      <c r="D2447" s="90" t="s">
        <v>374</v>
      </c>
      <c r="E2447" s="90" t="s">
        <v>68</v>
      </c>
      <c r="F2447" s="90" t="s">
        <v>375</v>
      </c>
      <c r="G2447" s="90" t="s">
        <v>376</v>
      </c>
      <c r="H2447" s="90">
        <v>0.59</v>
      </c>
      <c r="I2447" s="90">
        <v>0.64</v>
      </c>
      <c r="J2447" s="90" t="s">
        <v>244</v>
      </c>
      <c r="K2447" s="90">
        <v>8.4096298154560004E-2</v>
      </c>
      <c r="L2447" s="90">
        <v>3760.2013205875701</v>
      </c>
      <c r="M2447" s="90">
        <v>10.8146359216943</v>
      </c>
      <c r="N2447" s="90">
        <v>2.0833175768882302</v>
      </c>
      <c r="O2447" s="90">
        <v>0.90947084690387003</v>
      </c>
      <c r="P2447" s="90">
        <v>0.17519929609662999</v>
      </c>
      <c r="Q2447" s="90">
        <v>316.21901137732101</v>
      </c>
      <c r="R2447" s="90">
        <v>1300</v>
      </c>
      <c r="S2447" s="90" t="s">
        <v>387</v>
      </c>
      <c r="T2447" s="90">
        <v>1300</v>
      </c>
      <c r="U2447" s="90" t="s">
        <v>378</v>
      </c>
      <c r="V2447" s="90" t="s">
        <v>244</v>
      </c>
      <c r="Z2447" s="90">
        <v>0</v>
      </c>
      <c r="AA2447" s="90">
        <v>1</v>
      </c>
      <c r="AB2447" s="90">
        <v>0.90947084690387003</v>
      </c>
      <c r="AC2447" s="90">
        <v>0.17519929609662999</v>
      </c>
      <c r="AD2447" s="90">
        <v>316.21901137732101</v>
      </c>
      <c r="AF2447" s="90">
        <v>-1</v>
      </c>
      <c r="AG2447" s="90">
        <v>-1</v>
      </c>
      <c r="AH2447" s="90">
        <v>-1</v>
      </c>
      <c r="AI2447" s="90">
        <v>-1</v>
      </c>
      <c r="AJ2447" s="90">
        <v>0</v>
      </c>
      <c r="AM2447" s="90" t="s">
        <v>379</v>
      </c>
      <c r="AN2447" s="90">
        <v>-1</v>
      </c>
      <c r="AQ2447" s="90">
        <v>358</v>
      </c>
      <c r="AR2447" s="90" t="s">
        <v>422</v>
      </c>
      <c r="AS2447" s="90" t="s">
        <v>250</v>
      </c>
      <c r="AT2447" s="90" t="s">
        <v>244</v>
      </c>
      <c r="AU2447" s="90">
        <v>86.412649999999999</v>
      </c>
      <c r="AV2447" s="90">
        <v>113.631388122731</v>
      </c>
      <c r="AW2447" s="90">
        <v>340.32564428686601</v>
      </c>
      <c r="AX2447" s="90">
        <v>0.2564631074</v>
      </c>
    </row>
    <row r="2448" spans="1:50" x14ac:dyDescent="0.25">
      <c r="A2448" s="102">
        <v>830000</v>
      </c>
      <c r="B2448" s="102">
        <v>2400000</v>
      </c>
      <c r="C2448" s="102">
        <v>2400000</v>
      </c>
      <c r="D2448" s="90" t="s">
        <v>374</v>
      </c>
      <c r="E2448" s="90" t="s">
        <v>68</v>
      </c>
      <c r="F2448" s="90" t="s">
        <v>375</v>
      </c>
      <c r="G2448" s="90" t="s">
        <v>376</v>
      </c>
      <c r="H2448" s="90">
        <v>0.59</v>
      </c>
      <c r="I2448" s="90">
        <v>0.64</v>
      </c>
      <c r="J2448" s="90" t="s">
        <v>381</v>
      </c>
      <c r="K2448" s="90">
        <v>7.3691939130989995E-2</v>
      </c>
      <c r="L2448" s="90">
        <v>3760.2013205875701</v>
      </c>
      <c r="M2448" s="90">
        <v>10.8146359216943</v>
      </c>
      <c r="N2448" s="90">
        <v>2.0833175768882302</v>
      </c>
      <c r="O2448" s="90">
        <v>0.79695149206537996</v>
      </c>
      <c r="P2448" s="90">
        <v>0.15352371206658</v>
      </c>
      <c r="Q2448" s="90">
        <v>277.09652683703001</v>
      </c>
      <c r="R2448" s="90">
        <v>1300</v>
      </c>
      <c r="S2448" s="90" t="s">
        <v>387</v>
      </c>
      <c r="T2448" s="90">
        <v>1300</v>
      </c>
      <c r="U2448" s="90" t="s">
        <v>382</v>
      </c>
      <c r="V2448" s="90" t="s">
        <v>381</v>
      </c>
      <c r="Z2448" s="90">
        <v>0</v>
      </c>
      <c r="AA2448" s="90">
        <v>1</v>
      </c>
      <c r="AB2448" s="90">
        <v>0.79695149206537996</v>
      </c>
      <c r="AC2448" s="90">
        <v>0.15352371206658</v>
      </c>
      <c r="AD2448" s="90">
        <v>277.09652683702899</v>
      </c>
      <c r="AF2448" s="90">
        <v>-1</v>
      </c>
      <c r="AG2448" s="90">
        <v>-1</v>
      </c>
      <c r="AH2448" s="90">
        <v>-1</v>
      </c>
      <c r="AI2448" s="90">
        <v>-1</v>
      </c>
      <c r="AJ2448" s="90">
        <v>0</v>
      </c>
      <c r="AM2448" s="90" t="s">
        <v>379</v>
      </c>
      <c r="AN2448" s="90">
        <v>-1</v>
      </c>
      <c r="AQ2448" s="90">
        <v>358</v>
      </c>
      <c r="AR2448" s="90" t="s">
        <v>422</v>
      </c>
      <c r="AS2448" s="90" t="s">
        <v>250</v>
      </c>
      <c r="AT2448" s="90" t="s">
        <v>244</v>
      </c>
      <c r="AU2448" s="90">
        <v>86.412649999999999</v>
      </c>
      <c r="AV2448" s="90">
        <v>112.160695465925</v>
      </c>
      <c r="AW2448" s="90">
        <v>298.220697151379</v>
      </c>
      <c r="AX2448" s="90">
        <v>0.22473359840000001</v>
      </c>
    </row>
    <row r="2449" spans="1:50" x14ac:dyDescent="0.25">
      <c r="A2449" s="102">
        <v>830000</v>
      </c>
      <c r="B2449" s="102">
        <v>2400000</v>
      </c>
      <c r="C2449" s="102">
        <v>2400000</v>
      </c>
      <c r="D2449" s="90" t="s">
        <v>374</v>
      </c>
      <c r="E2449" s="90" t="s">
        <v>68</v>
      </c>
      <c r="F2449" s="90" t="s">
        <v>375</v>
      </c>
      <c r="G2449" s="90" t="s">
        <v>376</v>
      </c>
      <c r="H2449" s="90">
        <v>0.59</v>
      </c>
      <c r="I2449" s="90">
        <v>0.64</v>
      </c>
      <c r="J2449" s="90" t="s">
        <v>244</v>
      </c>
      <c r="K2449" s="90">
        <v>3.8820771751499998E-3</v>
      </c>
      <c r="L2449" s="90">
        <v>3760.2013205875701</v>
      </c>
      <c r="M2449" s="90">
        <v>10.8146359216943</v>
      </c>
      <c r="N2449" s="90">
        <v>2.0833175768882302</v>
      </c>
      <c r="O2449" s="90">
        <v>4.1983251269190003E-2</v>
      </c>
      <c r="P2449" s="90">
        <v>8.0875996138299999E-3</v>
      </c>
      <c r="Q2449" s="90">
        <v>14.597391720633199</v>
      </c>
      <c r="R2449" s="90">
        <v>1300</v>
      </c>
      <c r="S2449" s="90" t="s">
        <v>387</v>
      </c>
      <c r="T2449" s="90">
        <v>1300</v>
      </c>
      <c r="U2449" s="90" t="s">
        <v>378</v>
      </c>
      <c r="V2449" s="90" t="s">
        <v>244</v>
      </c>
      <c r="Z2449" s="90">
        <v>0</v>
      </c>
      <c r="AA2449" s="90">
        <v>1</v>
      </c>
      <c r="AB2449" s="90">
        <v>4.1983251269190003E-2</v>
      </c>
      <c r="AC2449" s="90">
        <v>8.0875996138299999E-3</v>
      </c>
      <c r="AD2449" s="90">
        <v>14.597391720634301</v>
      </c>
      <c r="AF2449" s="90">
        <v>-1</v>
      </c>
      <c r="AG2449" s="90">
        <v>-1</v>
      </c>
      <c r="AH2449" s="90">
        <v>-1</v>
      </c>
      <c r="AI2449" s="90">
        <v>-1</v>
      </c>
      <c r="AJ2449" s="90">
        <v>0</v>
      </c>
      <c r="AM2449" s="90" t="s">
        <v>379</v>
      </c>
      <c r="AN2449" s="90">
        <v>-1</v>
      </c>
      <c r="AQ2449" s="90">
        <v>358</v>
      </c>
      <c r="AR2449" s="90" t="s">
        <v>422</v>
      </c>
      <c r="AS2449" s="90" t="s">
        <v>250</v>
      </c>
      <c r="AT2449" s="90" t="s">
        <v>244</v>
      </c>
      <c r="AU2449" s="90">
        <v>86.412649999999999</v>
      </c>
      <c r="AV2449" s="90">
        <v>48.029465222194503</v>
      </c>
      <c r="AW2449" s="90">
        <v>15.710208948521499</v>
      </c>
      <c r="AX2449" s="90">
        <v>1.1838922700000001E-2</v>
      </c>
    </row>
    <row r="2450" spans="1:50" x14ac:dyDescent="0.25">
      <c r="A2450" s="102">
        <v>830000</v>
      </c>
      <c r="B2450" s="102">
        <v>2400000</v>
      </c>
      <c r="C2450" s="102">
        <v>2400000</v>
      </c>
      <c r="D2450" s="90" t="s">
        <v>374</v>
      </c>
      <c r="E2450" s="90" t="s">
        <v>68</v>
      </c>
      <c r="F2450" s="90" t="s">
        <v>375</v>
      </c>
      <c r="G2450" s="90" t="s">
        <v>376</v>
      </c>
      <c r="H2450" s="90">
        <v>0.59</v>
      </c>
      <c r="I2450" s="90">
        <v>0.64</v>
      </c>
      <c r="J2450" s="90" t="s">
        <v>244</v>
      </c>
      <c r="K2450" s="90">
        <v>0.14624874311809999</v>
      </c>
      <c r="L2450" s="90">
        <v>3760.2013205875701</v>
      </c>
      <c r="M2450" s="90">
        <v>10.8146359216943</v>
      </c>
      <c r="N2450" s="90">
        <v>2.0833175768882302</v>
      </c>
      <c r="O2450" s="90">
        <v>1.5816269108277301</v>
      </c>
      <c r="P2450" s="90">
        <v>0.30468257713576002</v>
      </c>
      <c r="Q2450" s="90">
        <v>549.92471700697899</v>
      </c>
      <c r="R2450" s="90">
        <v>1330</v>
      </c>
      <c r="S2450" s="90" t="s">
        <v>397</v>
      </c>
      <c r="T2450" s="90">
        <v>1330</v>
      </c>
      <c r="U2450" s="90" t="s">
        <v>378</v>
      </c>
      <c r="V2450" s="90" t="s">
        <v>244</v>
      </c>
      <c r="Z2450" s="90">
        <v>0</v>
      </c>
      <c r="AA2450" s="90">
        <v>1</v>
      </c>
      <c r="AB2450" s="90">
        <v>1.5816269108277301</v>
      </c>
      <c r="AC2450" s="90">
        <v>0.30468257713576002</v>
      </c>
      <c r="AD2450" s="90">
        <v>549.92471700697899</v>
      </c>
      <c r="AF2450" s="90">
        <v>-1</v>
      </c>
      <c r="AG2450" s="90">
        <v>-1</v>
      </c>
      <c r="AH2450" s="90">
        <v>-1</v>
      </c>
      <c r="AI2450" s="90">
        <v>-1</v>
      </c>
      <c r="AJ2450" s="90">
        <v>0</v>
      </c>
      <c r="AM2450" s="90" t="s">
        <v>379</v>
      </c>
      <c r="AN2450" s="90">
        <v>-1</v>
      </c>
      <c r="AQ2450" s="90">
        <v>358</v>
      </c>
      <c r="AR2450" s="90" t="s">
        <v>422</v>
      </c>
      <c r="AS2450" s="90" t="s">
        <v>250</v>
      </c>
      <c r="AT2450" s="90" t="s">
        <v>244</v>
      </c>
      <c r="AU2450" s="90">
        <v>86.412649999999999</v>
      </c>
      <c r="AV2450" s="90">
        <v>106.96150960064401</v>
      </c>
      <c r="AW2450" s="90">
        <v>591.84766535543997</v>
      </c>
      <c r="AX2450" s="90">
        <v>0.4460054477</v>
      </c>
    </row>
    <row r="2451" spans="1:50" x14ac:dyDescent="0.25">
      <c r="A2451" s="102">
        <v>830000</v>
      </c>
      <c r="B2451" s="102">
        <v>2400000</v>
      </c>
      <c r="C2451" s="102">
        <v>2400000</v>
      </c>
      <c r="D2451" s="90" t="s">
        <v>374</v>
      </c>
      <c r="E2451" s="90" t="s">
        <v>68</v>
      </c>
      <c r="F2451" s="90" t="s">
        <v>375</v>
      </c>
      <c r="G2451" s="90" t="s">
        <v>376</v>
      </c>
      <c r="H2451" s="90">
        <v>0.59</v>
      </c>
      <c r="I2451" s="90">
        <v>0.64</v>
      </c>
      <c r="J2451" s="90" t="s">
        <v>244</v>
      </c>
      <c r="K2451" s="90">
        <v>0.14035961671618</v>
      </c>
      <c r="L2451" s="90">
        <v>3760.2013205875701</v>
      </c>
      <c r="M2451" s="90">
        <v>10.8146359216943</v>
      </c>
      <c r="N2451" s="90">
        <v>2.0833175768882302</v>
      </c>
      <c r="O2451" s="90">
        <v>1.5179381528940701</v>
      </c>
      <c r="P2451" s="90">
        <v>0.29241365659010998</v>
      </c>
      <c r="Q2451" s="90">
        <v>527.78041613335301</v>
      </c>
      <c r="R2451" s="90">
        <v>1330</v>
      </c>
      <c r="S2451" s="90" t="s">
        <v>397</v>
      </c>
      <c r="T2451" s="90">
        <v>1330</v>
      </c>
      <c r="U2451" s="90" t="s">
        <v>378</v>
      </c>
      <c r="V2451" s="90" t="s">
        <v>244</v>
      </c>
      <c r="Z2451" s="90">
        <v>0</v>
      </c>
      <c r="AA2451" s="90">
        <v>1</v>
      </c>
      <c r="AB2451" s="90">
        <v>1.5179381528940701</v>
      </c>
      <c r="AC2451" s="90">
        <v>0.29241365659010998</v>
      </c>
      <c r="AD2451" s="90">
        <v>527.78041613335301</v>
      </c>
      <c r="AF2451" s="90">
        <v>-1</v>
      </c>
      <c r="AG2451" s="90">
        <v>-1</v>
      </c>
      <c r="AH2451" s="90">
        <v>-1</v>
      </c>
      <c r="AI2451" s="90">
        <v>-1</v>
      </c>
      <c r="AJ2451" s="90">
        <v>0</v>
      </c>
      <c r="AM2451" s="90" t="s">
        <v>379</v>
      </c>
      <c r="AN2451" s="90">
        <v>-1</v>
      </c>
      <c r="AQ2451" s="90">
        <v>358</v>
      </c>
      <c r="AR2451" s="90" t="s">
        <v>422</v>
      </c>
      <c r="AS2451" s="90" t="s">
        <v>250</v>
      </c>
      <c r="AT2451" s="90" t="s">
        <v>244</v>
      </c>
      <c r="AU2451" s="90">
        <v>86.412649999999999</v>
      </c>
      <c r="AV2451" s="90">
        <v>105.089058819256</v>
      </c>
      <c r="AW2451" s="90">
        <v>568.01521635348297</v>
      </c>
      <c r="AX2451" s="90">
        <v>0.42804575519999999</v>
      </c>
    </row>
    <row r="2452" spans="1:50" x14ac:dyDescent="0.25">
      <c r="A2452" s="102">
        <v>830000</v>
      </c>
      <c r="B2452" s="102">
        <v>2400000</v>
      </c>
      <c r="C2452" s="102">
        <v>2400000</v>
      </c>
      <c r="D2452" s="90" t="s">
        <v>374</v>
      </c>
      <c r="E2452" s="90" t="s">
        <v>68</v>
      </c>
      <c r="F2452" s="90" t="s">
        <v>375</v>
      </c>
      <c r="G2452" s="90" t="s">
        <v>376</v>
      </c>
      <c r="H2452" s="90">
        <v>0.59</v>
      </c>
      <c r="I2452" s="90">
        <v>0.64</v>
      </c>
      <c r="J2452" s="90" t="s">
        <v>244</v>
      </c>
      <c r="K2452" s="90">
        <v>0.16948478355095001</v>
      </c>
      <c r="L2452" s="90">
        <v>3760.2013205875701</v>
      </c>
      <c r="M2452" s="90">
        <v>10.8146359216943</v>
      </c>
      <c r="N2452" s="90">
        <v>2.0833175768882302</v>
      </c>
      <c r="O2452" s="90">
        <v>1.83291622837079</v>
      </c>
      <c r="P2452" s="90">
        <v>0.35309062858681001</v>
      </c>
      <c r="Q2452" s="90">
        <v>637.29690692781503</v>
      </c>
      <c r="R2452" s="90">
        <v>1340</v>
      </c>
      <c r="S2452" s="90" t="s">
        <v>407</v>
      </c>
      <c r="T2452" s="90">
        <v>1340</v>
      </c>
      <c r="U2452" s="90" t="s">
        <v>378</v>
      </c>
      <c r="V2452" s="90" t="s">
        <v>244</v>
      </c>
      <c r="Z2452" s="90">
        <v>0</v>
      </c>
      <c r="AA2452" s="90">
        <v>1</v>
      </c>
      <c r="AB2452" s="90">
        <v>1.83291622837079</v>
      </c>
      <c r="AC2452" s="90">
        <v>0.35309062858681001</v>
      </c>
      <c r="AD2452" s="90">
        <v>637.29690692781503</v>
      </c>
      <c r="AF2452" s="90">
        <v>-1</v>
      </c>
      <c r="AG2452" s="90">
        <v>-1</v>
      </c>
      <c r="AH2452" s="90">
        <v>-1</v>
      </c>
      <c r="AI2452" s="90">
        <v>-1</v>
      </c>
      <c r="AJ2452" s="90">
        <v>0</v>
      </c>
      <c r="AM2452" s="90" t="s">
        <v>379</v>
      </c>
      <c r="AN2452" s="90">
        <v>-1</v>
      </c>
      <c r="AQ2452" s="90">
        <v>358</v>
      </c>
      <c r="AR2452" s="90" t="s">
        <v>422</v>
      </c>
      <c r="AS2452" s="90" t="s">
        <v>250</v>
      </c>
      <c r="AT2452" s="90" t="s">
        <v>244</v>
      </c>
      <c r="AU2452" s="90">
        <v>86.412649999999999</v>
      </c>
      <c r="AV2452" s="90">
        <v>110.405161059365</v>
      </c>
      <c r="AW2452" s="90">
        <v>685.88058481227301</v>
      </c>
      <c r="AX2452" s="90">
        <v>0.51686691559999998</v>
      </c>
    </row>
    <row r="2453" spans="1:50" x14ac:dyDescent="0.25">
      <c r="A2453" s="102">
        <v>830000</v>
      </c>
      <c r="B2453" s="102">
        <v>2400000</v>
      </c>
      <c r="C2453" s="102">
        <v>2400000</v>
      </c>
      <c r="D2453" s="90" t="s">
        <v>374</v>
      </c>
      <c r="E2453" s="90" t="s">
        <v>68</v>
      </c>
      <c r="F2453" s="90" t="s">
        <v>375</v>
      </c>
      <c r="G2453" s="90" t="s">
        <v>376</v>
      </c>
      <c r="H2453" s="90">
        <v>0.59</v>
      </c>
      <c r="I2453" s="90">
        <v>0.64</v>
      </c>
      <c r="J2453" s="90" t="s">
        <v>244</v>
      </c>
      <c r="K2453" s="90">
        <v>0.19522115912167001</v>
      </c>
      <c r="L2453" s="90">
        <v>3775.5230372783799</v>
      </c>
      <c r="M2453" s="90">
        <v>8.7387524083633803</v>
      </c>
      <c r="N2453" s="90">
        <v>1.53386414944306</v>
      </c>
      <c r="O2453" s="90">
        <v>1.7059893744380401</v>
      </c>
      <c r="P2453" s="90">
        <v>0.29944273718946002</v>
      </c>
      <c r="Q2453" s="90">
        <v>737.06198362808004</v>
      </c>
      <c r="R2453" s="90">
        <v>1300</v>
      </c>
      <c r="S2453" s="90" t="s">
        <v>387</v>
      </c>
      <c r="T2453" s="90">
        <v>1300</v>
      </c>
      <c r="U2453" s="90" t="s">
        <v>378</v>
      </c>
      <c r="V2453" s="90" t="s">
        <v>244</v>
      </c>
      <c r="Z2453" s="90">
        <v>0</v>
      </c>
      <c r="AA2453" s="90">
        <v>1</v>
      </c>
      <c r="AB2453" s="90">
        <v>1.7059893744380401</v>
      </c>
      <c r="AC2453" s="90">
        <v>0.29944273718946002</v>
      </c>
      <c r="AD2453" s="90">
        <v>737.06198362808004</v>
      </c>
      <c r="AF2453" s="90">
        <v>-1</v>
      </c>
      <c r="AG2453" s="90">
        <v>-1</v>
      </c>
      <c r="AH2453" s="90">
        <v>-1</v>
      </c>
      <c r="AI2453" s="90">
        <v>-1</v>
      </c>
      <c r="AJ2453" s="90">
        <v>0</v>
      </c>
      <c r="AM2453" s="90" t="s">
        <v>379</v>
      </c>
      <c r="AN2453" s="90">
        <v>-1</v>
      </c>
      <c r="AQ2453" s="90">
        <v>358</v>
      </c>
      <c r="AR2453" s="90" t="s">
        <v>422</v>
      </c>
      <c r="AS2453" s="90" t="s">
        <v>250</v>
      </c>
      <c r="AT2453" s="90" t="s">
        <v>244</v>
      </c>
      <c r="AU2453" s="90">
        <v>86.412649999999999</v>
      </c>
      <c r="AV2453" s="90">
        <v>131.86380723777199</v>
      </c>
      <c r="AW2453" s="90">
        <v>790.03200157992899</v>
      </c>
      <c r="AX2453" s="90">
        <v>0.59777938659999996</v>
      </c>
    </row>
    <row r="2454" spans="1:50" x14ac:dyDescent="0.25">
      <c r="A2454" s="102">
        <v>830000</v>
      </c>
      <c r="B2454" s="102">
        <v>2400000</v>
      </c>
      <c r="C2454" s="102">
        <v>2400000</v>
      </c>
      <c r="D2454" s="90" t="s">
        <v>374</v>
      </c>
      <c r="E2454" s="90" t="s">
        <v>68</v>
      </c>
      <c r="F2454" s="90" t="s">
        <v>375</v>
      </c>
      <c r="G2454" s="90" t="s">
        <v>376</v>
      </c>
      <c r="H2454" s="90">
        <v>0.59</v>
      </c>
      <c r="I2454" s="90">
        <v>0.64</v>
      </c>
      <c r="J2454" s="90" t="s">
        <v>244</v>
      </c>
      <c r="K2454" s="90">
        <v>0.10263078762348</v>
      </c>
      <c r="L2454" s="90">
        <v>3775.5230372783799</v>
      </c>
      <c r="M2454" s="90">
        <v>8.7387524083633803</v>
      </c>
      <c r="N2454" s="90">
        <v>1.53386414944306</v>
      </c>
      <c r="O2454" s="90">
        <v>0.89686504251693999</v>
      </c>
      <c r="P2454" s="90">
        <v>0.15742168576476001</v>
      </c>
      <c r="Q2454" s="90">
        <v>387.48490300648501</v>
      </c>
      <c r="R2454" s="90">
        <v>1300</v>
      </c>
      <c r="S2454" s="90" t="s">
        <v>387</v>
      </c>
      <c r="T2454" s="90">
        <v>1300</v>
      </c>
      <c r="U2454" s="90" t="s">
        <v>378</v>
      </c>
      <c r="V2454" s="90" t="s">
        <v>244</v>
      </c>
      <c r="Z2454" s="90">
        <v>0</v>
      </c>
      <c r="AA2454" s="90">
        <v>1</v>
      </c>
      <c r="AB2454" s="90">
        <v>0.89686504251693999</v>
      </c>
      <c r="AC2454" s="90">
        <v>0.15742168576476001</v>
      </c>
      <c r="AD2454" s="90">
        <v>1045.5948560726599</v>
      </c>
      <c r="AF2454" s="90">
        <v>-1</v>
      </c>
      <c r="AG2454" s="90">
        <v>-1</v>
      </c>
      <c r="AH2454" s="90">
        <v>-1</v>
      </c>
      <c r="AI2454" s="90">
        <v>-1</v>
      </c>
      <c r="AJ2454" s="90">
        <v>0</v>
      </c>
      <c r="AM2454" s="90" t="s">
        <v>379</v>
      </c>
      <c r="AN2454" s="90">
        <v>-1</v>
      </c>
      <c r="AQ2454" s="90">
        <v>358</v>
      </c>
      <c r="AR2454" s="90" t="s">
        <v>422</v>
      </c>
      <c r="AS2454" s="90" t="s">
        <v>250</v>
      </c>
      <c r="AT2454" s="90" t="s">
        <v>244</v>
      </c>
      <c r="AU2454" s="90">
        <v>86.412649999999999</v>
      </c>
      <c r="AV2454" s="90">
        <v>116.776186072252</v>
      </c>
      <c r="AW2454" s="90">
        <v>415.33206203006199</v>
      </c>
      <c r="AX2454" s="90">
        <v>0.84800880460000005</v>
      </c>
    </row>
    <row r="2455" spans="1:50" x14ac:dyDescent="0.25">
      <c r="A2455" s="102">
        <v>830000</v>
      </c>
      <c r="B2455" s="102">
        <v>2400000</v>
      </c>
      <c r="C2455" s="102">
        <v>2400000</v>
      </c>
      <c r="D2455" s="90" t="s">
        <v>374</v>
      </c>
      <c r="E2455" s="90" t="s">
        <v>68</v>
      </c>
      <c r="F2455" s="90" t="s">
        <v>375</v>
      </c>
      <c r="G2455" s="90" t="s">
        <v>376</v>
      </c>
      <c r="H2455" s="90">
        <v>0.59</v>
      </c>
      <c r="I2455" s="90">
        <v>0.64</v>
      </c>
      <c r="J2455" s="90" t="s">
        <v>244</v>
      </c>
      <c r="K2455" s="90">
        <v>9.4084034852379997E-2</v>
      </c>
      <c r="L2455" s="90">
        <v>3775.5230372783799</v>
      </c>
      <c r="M2455" s="90">
        <v>8.7387524083633803</v>
      </c>
      <c r="N2455" s="90">
        <v>1.53386414944306</v>
      </c>
      <c r="O2455" s="90">
        <v>0.82217708615479002</v>
      </c>
      <c r="P2455" s="90">
        <v>0.14431212809502</v>
      </c>
      <c r="Q2455" s="90">
        <v>355.21644102527</v>
      </c>
      <c r="R2455" s="90">
        <v>1300</v>
      </c>
      <c r="S2455" s="90" t="s">
        <v>387</v>
      </c>
      <c r="T2455" s="90">
        <v>1300</v>
      </c>
      <c r="U2455" s="90" t="s">
        <v>378</v>
      </c>
      <c r="V2455" s="90" t="s">
        <v>244</v>
      </c>
      <c r="Z2455" s="90">
        <v>0</v>
      </c>
      <c r="AA2455" s="90">
        <v>1</v>
      </c>
      <c r="AB2455" s="90">
        <v>0.82217708615479002</v>
      </c>
      <c r="AC2455" s="90">
        <v>0.14431212809502</v>
      </c>
      <c r="AD2455" s="90">
        <v>355.21644102526801</v>
      </c>
      <c r="AF2455" s="90">
        <v>-1</v>
      </c>
      <c r="AG2455" s="90">
        <v>-1</v>
      </c>
      <c r="AH2455" s="90">
        <v>-1</v>
      </c>
      <c r="AI2455" s="90">
        <v>-1</v>
      </c>
      <c r="AJ2455" s="90">
        <v>0</v>
      </c>
      <c r="AM2455" s="90" t="s">
        <v>379</v>
      </c>
      <c r="AN2455" s="90">
        <v>-1</v>
      </c>
      <c r="AQ2455" s="90">
        <v>358</v>
      </c>
      <c r="AR2455" s="90" t="s">
        <v>422</v>
      </c>
      <c r="AS2455" s="90" t="s">
        <v>250</v>
      </c>
      <c r="AT2455" s="90" t="s">
        <v>244</v>
      </c>
      <c r="AU2455" s="90">
        <v>86.412649999999999</v>
      </c>
      <c r="AV2455" s="90">
        <v>115.34414353673201</v>
      </c>
      <c r="AW2455" s="90">
        <v>380.74458068766501</v>
      </c>
      <c r="AX2455" s="90">
        <v>0.28809119300000002</v>
      </c>
    </row>
    <row r="2456" spans="1:50" x14ac:dyDescent="0.25">
      <c r="A2456" s="102">
        <v>830000</v>
      </c>
      <c r="B2456" s="102">
        <v>2400000</v>
      </c>
      <c r="C2456" s="102">
        <v>2400000</v>
      </c>
      <c r="D2456" s="90" t="s">
        <v>374</v>
      </c>
      <c r="E2456" s="90" t="s">
        <v>68</v>
      </c>
      <c r="F2456" s="90" t="s">
        <v>375</v>
      </c>
      <c r="G2456" s="90" t="s">
        <v>376</v>
      </c>
      <c r="H2456" s="90">
        <v>0.59</v>
      </c>
      <c r="I2456" s="90">
        <v>0.64</v>
      </c>
      <c r="J2456" s="90" t="s">
        <v>244</v>
      </c>
      <c r="K2456" s="90">
        <v>4.4663138526729998E-2</v>
      </c>
      <c r="L2456" s="90">
        <v>3753.31698130307</v>
      </c>
      <c r="M2456" s="90">
        <v>9.9456634254991698</v>
      </c>
      <c r="N2456" s="90">
        <v>1.7438898703919601</v>
      </c>
      <c r="O2456" s="90">
        <v>0.44420454331336001</v>
      </c>
      <c r="P2456" s="90">
        <v>7.7887594856679995E-2</v>
      </c>
      <c r="Q2456" s="90">
        <v>167.63491627068899</v>
      </c>
      <c r="R2456" s="90">
        <v>1330</v>
      </c>
      <c r="S2456" s="90" t="s">
        <v>397</v>
      </c>
      <c r="T2456" s="90">
        <v>1330</v>
      </c>
      <c r="U2456" s="90" t="s">
        <v>378</v>
      </c>
      <c r="V2456" s="90" t="s">
        <v>244</v>
      </c>
      <c r="Z2456" s="90">
        <v>0</v>
      </c>
      <c r="AA2456" s="90">
        <v>1</v>
      </c>
      <c r="AB2456" s="90">
        <v>0.44420454331336001</v>
      </c>
      <c r="AC2456" s="90">
        <v>7.7887594856679995E-2</v>
      </c>
      <c r="AD2456" s="90">
        <v>167.634916270688</v>
      </c>
      <c r="AF2456" s="90">
        <v>-1</v>
      </c>
      <c r="AG2456" s="90">
        <v>-1</v>
      </c>
      <c r="AH2456" s="90">
        <v>-1</v>
      </c>
      <c r="AI2456" s="90">
        <v>-1</v>
      </c>
      <c r="AJ2456" s="90">
        <v>0</v>
      </c>
      <c r="AM2456" s="90" t="s">
        <v>379</v>
      </c>
      <c r="AN2456" s="90">
        <v>-1</v>
      </c>
      <c r="AQ2456" s="90">
        <v>358</v>
      </c>
      <c r="AR2456" s="90" t="s">
        <v>422</v>
      </c>
      <c r="AS2456" s="90" t="s">
        <v>250</v>
      </c>
      <c r="AT2456" s="90" t="s">
        <v>244</v>
      </c>
      <c r="AU2456" s="90">
        <v>86.412649999999999</v>
      </c>
      <c r="AV2456" s="90">
        <v>75.275228470011001</v>
      </c>
      <c r="AW2456" s="90">
        <v>180.74530899146001</v>
      </c>
      <c r="AX2456" s="90">
        <v>0.13595694750000001</v>
      </c>
    </row>
    <row r="2457" spans="1:50" x14ac:dyDescent="0.25">
      <c r="A2457" s="102">
        <v>830000</v>
      </c>
      <c r="B2457" s="102">
        <v>2400000</v>
      </c>
      <c r="C2457" s="102">
        <v>2400000</v>
      </c>
      <c r="D2457" s="90" t="s">
        <v>374</v>
      </c>
      <c r="E2457" s="90" t="s">
        <v>68</v>
      </c>
      <c r="F2457" s="90" t="s">
        <v>375</v>
      </c>
      <c r="G2457" s="90" t="s">
        <v>376</v>
      </c>
      <c r="H2457" s="90">
        <v>0.59</v>
      </c>
      <c r="I2457" s="90">
        <v>0.64</v>
      </c>
      <c r="J2457" s="90" t="s">
        <v>244</v>
      </c>
      <c r="K2457" s="90">
        <v>6.851250797814E-2</v>
      </c>
      <c r="L2457" s="90">
        <v>3753.31698130307</v>
      </c>
      <c r="M2457" s="90">
        <v>9.9456634254991698</v>
      </c>
      <c r="N2457" s="90">
        <v>1.7438898703919601</v>
      </c>
      <c r="O2457" s="90">
        <v>0.68140234478744999</v>
      </c>
      <c r="P2457" s="90">
        <v>0.11947826865823</v>
      </c>
      <c r="Q2457" s="90">
        <v>257.14915962603402</v>
      </c>
      <c r="R2457" s="90">
        <v>1330</v>
      </c>
      <c r="S2457" s="90" t="s">
        <v>397</v>
      </c>
      <c r="T2457" s="90">
        <v>1330</v>
      </c>
      <c r="U2457" s="90" t="s">
        <v>378</v>
      </c>
      <c r="V2457" s="90" t="s">
        <v>244</v>
      </c>
      <c r="Z2457" s="90">
        <v>0</v>
      </c>
      <c r="AA2457" s="90">
        <v>1</v>
      </c>
      <c r="AB2457" s="90">
        <v>0.68140234478744999</v>
      </c>
      <c r="AC2457" s="90">
        <v>0.11947826865823</v>
      </c>
      <c r="AD2457" s="90">
        <v>257.14915962603499</v>
      </c>
      <c r="AF2457" s="90">
        <v>-1</v>
      </c>
      <c r="AG2457" s="90">
        <v>-1</v>
      </c>
      <c r="AH2457" s="90">
        <v>-1</v>
      </c>
      <c r="AI2457" s="90">
        <v>-1</v>
      </c>
      <c r="AJ2457" s="90">
        <v>0</v>
      </c>
      <c r="AM2457" s="90" t="s">
        <v>379</v>
      </c>
      <c r="AN2457" s="90">
        <v>-1</v>
      </c>
      <c r="AQ2457" s="90">
        <v>358</v>
      </c>
      <c r="AR2457" s="90" t="s">
        <v>422</v>
      </c>
      <c r="AS2457" s="90" t="s">
        <v>250</v>
      </c>
      <c r="AT2457" s="90" t="s">
        <v>244</v>
      </c>
      <c r="AU2457" s="90">
        <v>86.412649999999999</v>
      </c>
      <c r="AV2457" s="90">
        <v>81.587683599990598</v>
      </c>
      <c r="AW2457" s="90">
        <v>277.26028292608902</v>
      </c>
      <c r="AX2457" s="90">
        <v>0.20855568499999999</v>
      </c>
    </row>
    <row r="2458" spans="1:50" x14ac:dyDescent="0.25">
      <c r="A2458" s="102">
        <v>830000</v>
      </c>
      <c r="B2458" s="102">
        <v>2400000</v>
      </c>
      <c r="C2458" s="102">
        <v>2400000</v>
      </c>
      <c r="D2458" s="90" t="s">
        <v>374</v>
      </c>
      <c r="E2458" s="90" t="s">
        <v>68</v>
      </c>
      <c r="F2458" s="90" t="s">
        <v>375</v>
      </c>
      <c r="G2458" s="90" t="s">
        <v>376</v>
      </c>
      <c r="H2458" s="90">
        <v>0.59</v>
      </c>
      <c r="I2458" s="90">
        <v>0.64</v>
      </c>
      <c r="J2458" s="90" t="s">
        <v>244</v>
      </c>
      <c r="K2458" s="90">
        <v>3.3032736986379999E-2</v>
      </c>
      <c r="L2458" s="90">
        <v>3753.31698130307</v>
      </c>
      <c r="M2458" s="90">
        <v>9.9456634254991698</v>
      </c>
      <c r="N2458" s="90">
        <v>1.7438898703919601</v>
      </c>
      <c r="O2458" s="90">
        <v>0.32853248408965002</v>
      </c>
      <c r="P2458" s="90">
        <v>5.7605455421880003E-2</v>
      </c>
      <c r="Q2458" s="90">
        <v>123.982332669928</v>
      </c>
      <c r="R2458" s="90">
        <v>1330</v>
      </c>
      <c r="S2458" s="90" t="s">
        <v>397</v>
      </c>
      <c r="T2458" s="90">
        <v>1330</v>
      </c>
      <c r="U2458" s="90" t="s">
        <v>378</v>
      </c>
      <c r="V2458" s="90" t="s">
        <v>244</v>
      </c>
      <c r="Z2458" s="90">
        <v>0</v>
      </c>
      <c r="AA2458" s="90">
        <v>1</v>
      </c>
      <c r="AB2458" s="90">
        <v>0.32853248408965002</v>
      </c>
      <c r="AC2458" s="90">
        <v>5.7605455421880003E-2</v>
      </c>
      <c r="AD2458" s="90">
        <v>123.98233266993</v>
      </c>
      <c r="AF2458" s="90">
        <v>-1</v>
      </c>
      <c r="AG2458" s="90">
        <v>-1</v>
      </c>
      <c r="AH2458" s="90">
        <v>-1</v>
      </c>
      <c r="AI2458" s="90">
        <v>-1</v>
      </c>
      <c r="AJ2458" s="90">
        <v>0</v>
      </c>
      <c r="AM2458" s="90" t="s">
        <v>379</v>
      </c>
      <c r="AN2458" s="90">
        <v>-1</v>
      </c>
      <c r="AQ2458" s="90">
        <v>358</v>
      </c>
      <c r="AR2458" s="90" t="s">
        <v>422</v>
      </c>
      <c r="AS2458" s="90" t="s">
        <v>250</v>
      </c>
      <c r="AT2458" s="90" t="s">
        <v>244</v>
      </c>
      <c r="AU2458" s="90">
        <v>86.412649999999999</v>
      </c>
      <c r="AV2458" s="90">
        <v>72.956725375888695</v>
      </c>
      <c r="AW2458" s="90">
        <v>133.67874382281599</v>
      </c>
      <c r="AX2458" s="90">
        <v>0.1005533923</v>
      </c>
    </row>
    <row r="2459" spans="1:50" x14ac:dyDescent="0.25">
      <c r="A2459" s="102">
        <v>830000</v>
      </c>
      <c r="B2459" s="102">
        <v>2400000</v>
      </c>
      <c r="C2459" s="102">
        <v>2400000</v>
      </c>
      <c r="D2459" s="90" t="s">
        <v>374</v>
      </c>
      <c r="E2459" s="90" t="s">
        <v>68</v>
      </c>
      <c r="F2459" s="90" t="s">
        <v>375</v>
      </c>
      <c r="G2459" s="90" t="s">
        <v>376</v>
      </c>
      <c r="H2459" s="90">
        <v>0.59</v>
      </c>
      <c r="I2459" s="90">
        <v>0.64</v>
      </c>
      <c r="J2459" s="90" t="s">
        <v>244</v>
      </c>
      <c r="K2459" s="90">
        <v>2.06632084302E-2</v>
      </c>
      <c r="L2459" s="90">
        <v>3753.31698130307</v>
      </c>
      <c r="M2459" s="90">
        <v>9.9456634254991698</v>
      </c>
      <c r="N2459" s="90">
        <v>1.7438898703919601</v>
      </c>
      <c r="O2459" s="90">
        <v>0.20550931633771999</v>
      </c>
      <c r="P2459" s="90">
        <v>3.6034359871220001E-2</v>
      </c>
      <c r="Q2459" s="90">
        <v>77.555571089281997</v>
      </c>
      <c r="R2459" s="90">
        <v>1330</v>
      </c>
      <c r="S2459" s="90" t="s">
        <v>397</v>
      </c>
      <c r="T2459" s="90">
        <v>1330</v>
      </c>
      <c r="U2459" s="90" t="s">
        <v>378</v>
      </c>
      <c r="V2459" s="90" t="s">
        <v>244</v>
      </c>
      <c r="Z2459" s="90">
        <v>0</v>
      </c>
      <c r="AA2459" s="90">
        <v>1</v>
      </c>
      <c r="AB2459" s="90">
        <v>0.20550931633771999</v>
      </c>
      <c r="AC2459" s="90">
        <v>3.6034359871220001E-2</v>
      </c>
      <c r="AD2459" s="90">
        <v>77.555571089280903</v>
      </c>
      <c r="AF2459" s="90">
        <v>-1</v>
      </c>
      <c r="AG2459" s="90">
        <v>-1</v>
      </c>
      <c r="AH2459" s="90">
        <v>-1</v>
      </c>
      <c r="AI2459" s="90">
        <v>-1</v>
      </c>
      <c r="AJ2459" s="90">
        <v>0</v>
      </c>
      <c r="AM2459" s="90" t="s">
        <v>379</v>
      </c>
      <c r="AN2459" s="90">
        <v>-1</v>
      </c>
      <c r="AQ2459" s="90">
        <v>358</v>
      </c>
      <c r="AR2459" s="90" t="s">
        <v>422</v>
      </c>
      <c r="AS2459" s="90" t="s">
        <v>250</v>
      </c>
      <c r="AT2459" s="90" t="s">
        <v>244</v>
      </c>
      <c r="AU2459" s="90">
        <v>86.412649999999999</v>
      </c>
      <c r="AV2459" s="90">
        <v>44.795276332479702</v>
      </c>
      <c r="AW2459" s="90">
        <v>83.621037743151604</v>
      </c>
      <c r="AX2459" s="90">
        <v>6.2899895400000003E-2</v>
      </c>
    </row>
    <row r="2460" spans="1:50" x14ac:dyDescent="0.25">
      <c r="A2460" s="102">
        <v>830000</v>
      </c>
      <c r="B2460" s="102">
        <v>2400000</v>
      </c>
      <c r="C2460" s="102">
        <v>2400000</v>
      </c>
      <c r="D2460" s="90" t="s">
        <v>374</v>
      </c>
      <c r="E2460" s="90" t="s">
        <v>68</v>
      </c>
      <c r="F2460" s="90" t="s">
        <v>375</v>
      </c>
      <c r="G2460" s="90" t="s">
        <v>376</v>
      </c>
      <c r="H2460" s="90">
        <v>0.59</v>
      </c>
      <c r="I2460" s="90">
        <v>0.64</v>
      </c>
      <c r="J2460" s="90" t="s">
        <v>244</v>
      </c>
      <c r="K2460" s="90">
        <v>6.0840813699709999E-2</v>
      </c>
      <c r="L2460" s="90">
        <v>3753.31698130307</v>
      </c>
      <c r="M2460" s="90">
        <v>9.9456634254991698</v>
      </c>
      <c r="N2460" s="90">
        <v>1.7438898703919601</v>
      </c>
      <c r="O2460" s="90">
        <v>0.60510225559090003</v>
      </c>
      <c r="P2460" s="90">
        <v>0.10609967871734</v>
      </c>
      <c r="Q2460" s="90">
        <v>228.354859215452</v>
      </c>
      <c r="R2460" s="90">
        <v>1210</v>
      </c>
      <c r="S2460" s="90" t="s">
        <v>385</v>
      </c>
      <c r="T2460" s="90">
        <v>1210</v>
      </c>
      <c r="U2460" s="90" t="s">
        <v>378</v>
      </c>
      <c r="V2460" s="90" t="s">
        <v>244</v>
      </c>
      <c r="Z2460" s="90">
        <v>0</v>
      </c>
      <c r="AA2460" s="90">
        <v>1</v>
      </c>
      <c r="AB2460" s="90">
        <v>0.60510225559090003</v>
      </c>
      <c r="AC2460" s="90">
        <v>0.10609967871734</v>
      </c>
      <c r="AD2460" s="90">
        <v>664.50527082634403</v>
      </c>
      <c r="AF2460" s="90">
        <v>-1</v>
      </c>
      <c r="AG2460" s="90">
        <v>-1</v>
      </c>
      <c r="AH2460" s="90">
        <v>-1</v>
      </c>
      <c r="AI2460" s="90">
        <v>-1</v>
      </c>
      <c r="AJ2460" s="90">
        <v>0</v>
      </c>
      <c r="AM2460" s="90" t="s">
        <v>379</v>
      </c>
      <c r="AN2460" s="90">
        <v>-1</v>
      </c>
      <c r="AQ2460" s="90">
        <v>358</v>
      </c>
      <c r="AR2460" s="90" t="s">
        <v>422</v>
      </c>
      <c r="AS2460" s="90" t="s">
        <v>250</v>
      </c>
      <c r="AT2460" s="90" t="s">
        <v>244</v>
      </c>
      <c r="AU2460" s="90">
        <v>86.412649999999999</v>
      </c>
      <c r="AV2460" s="90">
        <v>80.278484133549298</v>
      </c>
      <c r="AW2460" s="90">
        <v>246.21403766474799</v>
      </c>
      <c r="AX2460" s="90">
        <v>0.5389337152</v>
      </c>
    </row>
    <row r="2461" spans="1:50" x14ac:dyDescent="0.25">
      <c r="A2461" s="102">
        <v>830000</v>
      </c>
      <c r="B2461" s="102">
        <v>2400000</v>
      </c>
      <c r="C2461" s="102">
        <v>2400000</v>
      </c>
      <c r="D2461" s="90" t="s">
        <v>374</v>
      </c>
      <c r="E2461" s="90" t="s">
        <v>68</v>
      </c>
      <c r="F2461" s="90" t="s">
        <v>375</v>
      </c>
      <c r="G2461" s="90" t="s">
        <v>376</v>
      </c>
      <c r="H2461" s="90">
        <v>0.59</v>
      </c>
      <c r="I2461" s="90">
        <v>0.64</v>
      </c>
      <c r="J2461" s="90" t="s">
        <v>244</v>
      </c>
      <c r="K2461" s="90">
        <v>3.6132222849299997E-2</v>
      </c>
      <c r="L2461" s="90">
        <v>3753.31698130307</v>
      </c>
      <c r="M2461" s="90">
        <v>9.9456634254991698</v>
      </c>
      <c r="N2461" s="90">
        <v>1.7438898703919601</v>
      </c>
      <c r="O2461" s="90">
        <v>0.35935892727428997</v>
      </c>
      <c r="P2461" s="90">
        <v>6.3010617421640006E-2</v>
      </c>
      <c r="Q2461" s="90">
        <v>135.615685592516</v>
      </c>
      <c r="R2461" s="90">
        <v>1330</v>
      </c>
      <c r="S2461" s="90" t="s">
        <v>397</v>
      </c>
      <c r="T2461" s="90">
        <v>1330</v>
      </c>
      <c r="U2461" s="90" t="s">
        <v>378</v>
      </c>
      <c r="V2461" s="90" t="s">
        <v>244</v>
      </c>
      <c r="Z2461" s="90">
        <v>0</v>
      </c>
      <c r="AA2461" s="90">
        <v>1</v>
      </c>
      <c r="AB2461" s="90">
        <v>0.35935892727428997</v>
      </c>
      <c r="AC2461" s="90">
        <v>6.3010617421640006E-2</v>
      </c>
      <c r="AD2461" s="90">
        <v>386.64560750289297</v>
      </c>
      <c r="AF2461" s="90">
        <v>-1</v>
      </c>
      <c r="AG2461" s="90">
        <v>-1</v>
      </c>
      <c r="AH2461" s="90">
        <v>-1</v>
      </c>
      <c r="AI2461" s="90">
        <v>-1</v>
      </c>
      <c r="AJ2461" s="90">
        <v>0</v>
      </c>
      <c r="AM2461" s="90" t="s">
        <v>379</v>
      </c>
      <c r="AN2461" s="90">
        <v>-1</v>
      </c>
      <c r="AQ2461" s="90">
        <v>358</v>
      </c>
      <c r="AR2461" s="90" t="s">
        <v>422</v>
      </c>
      <c r="AS2461" s="90" t="s">
        <v>250</v>
      </c>
      <c r="AT2461" s="90" t="s">
        <v>244</v>
      </c>
      <c r="AU2461" s="90">
        <v>86.412649999999999</v>
      </c>
      <c r="AV2461" s="90">
        <v>54.110144853016998</v>
      </c>
      <c r="AW2461" s="90">
        <v>146.221918093288</v>
      </c>
      <c r="AX2461" s="90">
        <v>0.31358119020000003</v>
      </c>
    </row>
    <row r="2462" spans="1:50" x14ac:dyDescent="0.25">
      <c r="A2462" s="102">
        <v>830000</v>
      </c>
      <c r="B2462" s="102">
        <v>2400000</v>
      </c>
      <c r="C2462" s="102">
        <v>2400000</v>
      </c>
      <c r="D2462" s="90" t="s">
        <v>374</v>
      </c>
      <c r="E2462" s="90" t="s">
        <v>68</v>
      </c>
      <c r="F2462" s="90" t="s">
        <v>375</v>
      </c>
      <c r="G2462" s="90" t="s">
        <v>376</v>
      </c>
      <c r="H2462" s="90">
        <v>0.59</v>
      </c>
      <c r="I2462" s="90">
        <v>0.64</v>
      </c>
      <c r="J2462" s="90" t="s">
        <v>244</v>
      </c>
      <c r="K2462" s="90">
        <v>6.7779218897070004E-2</v>
      </c>
      <c r="L2462" s="90">
        <v>3753.31698130307</v>
      </c>
      <c r="M2462" s="90">
        <v>9.9456634254991698</v>
      </c>
      <c r="N2462" s="90">
        <v>1.7438898703919601</v>
      </c>
      <c r="O2462" s="90">
        <v>0.67410929839356004</v>
      </c>
      <c r="P2462" s="90">
        <v>0.11819949325769</v>
      </c>
      <c r="Q2462" s="90">
        <v>254.39689326585699</v>
      </c>
      <c r="R2462" s="90">
        <v>1330</v>
      </c>
      <c r="S2462" s="90" t="s">
        <v>397</v>
      </c>
      <c r="T2462" s="90">
        <v>1330</v>
      </c>
      <c r="U2462" s="90" t="s">
        <v>378</v>
      </c>
      <c r="V2462" s="90" t="s">
        <v>244</v>
      </c>
      <c r="Z2462" s="90">
        <v>0</v>
      </c>
      <c r="AA2462" s="90">
        <v>1</v>
      </c>
      <c r="AB2462" s="90">
        <v>0.67410929839356004</v>
      </c>
      <c r="AC2462" s="90">
        <v>0.11819949325769</v>
      </c>
      <c r="AD2462" s="90">
        <v>254.39689326585901</v>
      </c>
      <c r="AF2462" s="90">
        <v>-1</v>
      </c>
      <c r="AG2462" s="90">
        <v>-1</v>
      </c>
      <c r="AH2462" s="90">
        <v>-1</v>
      </c>
      <c r="AI2462" s="90">
        <v>-1</v>
      </c>
      <c r="AJ2462" s="90">
        <v>0</v>
      </c>
      <c r="AM2462" s="90" t="s">
        <v>379</v>
      </c>
      <c r="AN2462" s="90">
        <v>-1</v>
      </c>
      <c r="AQ2462" s="90">
        <v>358</v>
      </c>
      <c r="AR2462" s="90" t="s">
        <v>422</v>
      </c>
      <c r="AS2462" s="90" t="s">
        <v>250</v>
      </c>
      <c r="AT2462" s="90" t="s">
        <v>244</v>
      </c>
      <c r="AU2462" s="90">
        <v>86.412649999999999</v>
      </c>
      <c r="AV2462" s="90">
        <v>80.845009727660198</v>
      </c>
      <c r="AW2462" s="90">
        <v>274.29276729889301</v>
      </c>
      <c r="AX2462" s="90">
        <v>0.20632351439999999</v>
      </c>
    </row>
    <row r="2463" spans="1:50" x14ac:dyDescent="0.25">
      <c r="A2463" s="102">
        <v>830000</v>
      </c>
      <c r="B2463" s="102">
        <v>2400000</v>
      </c>
      <c r="C2463" s="102">
        <v>2400000</v>
      </c>
      <c r="D2463" s="90" t="s">
        <v>374</v>
      </c>
      <c r="E2463" s="90" t="s">
        <v>68</v>
      </c>
      <c r="F2463" s="90" t="s">
        <v>375</v>
      </c>
      <c r="G2463" s="90" t="s">
        <v>376</v>
      </c>
      <c r="H2463" s="90">
        <v>0.59</v>
      </c>
      <c r="I2463" s="90">
        <v>0.64</v>
      </c>
      <c r="J2463" s="90" t="s">
        <v>244</v>
      </c>
      <c r="K2463" s="90">
        <v>0.10202369632774</v>
      </c>
      <c r="L2463" s="90">
        <v>3753.31698130307</v>
      </c>
      <c r="M2463" s="90">
        <v>9.9456634254991698</v>
      </c>
      <c r="N2463" s="90">
        <v>1.7438898703919601</v>
      </c>
      <c r="O2463" s="90">
        <v>1.01469334510111</v>
      </c>
      <c r="P2463" s="90">
        <v>0.17791809056589999</v>
      </c>
      <c r="Q2463" s="90">
        <v>382.92727192224402</v>
      </c>
      <c r="R2463" s="90">
        <v>1330</v>
      </c>
      <c r="S2463" s="90" t="s">
        <v>397</v>
      </c>
      <c r="T2463" s="90">
        <v>1330</v>
      </c>
      <c r="U2463" s="90" t="s">
        <v>378</v>
      </c>
      <c r="V2463" s="90" t="s">
        <v>244</v>
      </c>
      <c r="Z2463" s="90">
        <v>0</v>
      </c>
      <c r="AA2463" s="90">
        <v>1</v>
      </c>
      <c r="AB2463" s="90">
        <v>1.01469334510111</v>
      </c>
      <c r="AC2463" s="90">
        <v>0.17791809056589999</v>
      </c>
      <c r="AD2463" s="90">
        <v>382.92727192224402</v>
      </c>
      <c r="AF2463" s="90">
        <v>-1</v>
      </c>
      <c r="AG2463" s="90">
        <v>-1</v>
      </c>
      <c r="AH2463" s="90">
        <v>-1</v>
      </c>
      <c r="AI2463" s="90">
        <v>-1</v>
      </c>
      <c r="AJ2463" s="90">
        <v>0</v>
      </c>
      <c r="AM2463" s="90" t="s">
        <v>379</v>
      </c>
      <c r="AN2463" s="90">
        <v>-1</v>
      </c>
      <c r="AQ2463" s="90">
        <v>358</v>
      </c>
      <c r="AR2463" s="90" t="s">
        <v>422</v>
      </c>
      <c r="AS2463" s="90" t="s">
        <v>250</v>
      </c>
      <c r="AT2463" s="90" t="s">
        <v>244</v>
      </c>
      <c r="AU2463" s="90">
        <v>86.412649999999999</v>
      </c>
      <c r="AV2463" s="90">
        <v>81.864719786753398</v>
      </c>
      <c r="AW2463" s="90">
        <v>412.87525072093302</v>
      </c>
      <c r="AX2463" s="90">
        <v>0.31056550849999998</v>
      </c>
    </row>
    <row r="2464" spans="1:50" x14ac:dyDescent="0.25">
      <c r="A2464" s="102">
        <v>830000</v>
      </c>
      <c r="B2464" s="102">
        <v>2400000</v>
      </c>
      <c r="C2464" s="102">
        <v>2400000</v>
      </c>
      <c r="D2464" s="90" t="s">
        <v>374</v>
      </c>
      <c r="E2464" s="90" t="s">
        <v>68</v>
      </c>
      <c r="F2464" s="90" t="s">
        <v>375</v>
      </c>
      <c r="G2464" s="90" t="s">
        <v>376</v>
      </c>
      <c r="H2464" s="90">
        <v>0.59</v>
      </c>
      <c r="I2464" s="90">
        <v>0.64</v>
      </c>
      <c r="J2464" s="90" t="s">
        <v>244</v>
      </c>
      <c r="K2464" s="90">
        <v>1.655047273215E-2</v>
      </c>
      <c r="L2464" s="90">
        <v>3734.6470768456702</v>
      </c>
      <c r="M2464" s="90">
        <v>7.9637160843338197</v>
      </c>
      <c r="N2464" s="90">
        <v>1.1506839521237799</v>
      </c>
      <c r="O2464" s="90">
        <v>0.13180326590038999</v>
      </c>
      <c r="P2464" s="90">
        <v>1.9044363372949999E-2</v>
      </c>
      <c r="Q2464" s="90">
        <v>61.810174609560498</v>
      </c>
      <c r="R2464" s="90">
        <v>1390</v>
      </c>
      <c r="S2464" s="90" t="s">
        <v>402</v>
      </c>
      <c r="T2464" s="90">
        <v>1390</v>
      </c>
      <c r="U2464" s="90" t="s">
        <v>378</v>
      </c>
      <c r="V2464" s="90" t="s">
        <v>244</v>
      </c>
      <c r="Z2464" s="90">
        <v>0</v>
      </c>
      <c r="AA2464" s="90">
        <v>1</v>
      </c>
      <c r="AB2464" s="90">
        <v>0.13180326590038999</v>
      </c>
      <c r="AC2464" s="90">
        <v>1.9044363372949999E-2</v>
      </c>
      <c r="AD2464" s="90">
        <v>61.810174609559702</v>
      </c>
      <c r="AF2464" s="90">
        <v>-1</v>
      </c>
      <c r="AG2464" s="90">
        <v>-1</v>
      </c>
      <c r="AH2464" s="90">
        <v>-1</v>
      </c>
      <c r="AI2464" s="90">
        <v>-1</v>
      </c>
      <c r="AJ2464" s="90">
        <v>0</v>
      </c>
      <c r="AM2464" s="90" t="s">
        <v>379</v>
      </c>
      <c r="AN2464" s="90">
        <v>-1</v>
      </c>
      <c r="AQ2464" s="90">
        <v>358</v>
      </c>
      <c r="AR2464" s="90" t="s">
        <v>422</v>
      </c>
      <c r="AS2464" s="90" t="s">
        <v>250</v>
      </c>
      <c r="AT2464" s="90" t="s">
        <v>244</v>
      </c>
      <c r="AU2464" s="90">
        <v>86.412649999999999</v>
      </c>
      <c r="AV2464" s="90">
        <v>59.500164835527102</v>
      </c>
      <c r="AW2464" s="90">
        <v>66.977386869880803</v>
      </c>
      <c r="AX2464" s="90">
        <v>5.01299064E-2</v>
      </c>
    </row>
    <row r="2465" spans="1:50" x14ac:dyDescent="0.25">
      <c r="A2465" s="102">
        <v>830000</v>
      </c>
      <c r="B2465" s="102">
        <v>2400000</v>
      </c>
      <c r="C2465" s="102">
        <v>2400000</v>
      </c>
      <c r="D2465" s="90" t="s">
        <v>374</v>
      </c>
      <c r="E2465" s="90" t="s">
        <v>68</v>
      </c>
      <c r="F2465" s="90" t="s">
        <v>375</v>
      </c>
      <c r="G2465" s="90" t="s">
        <v>376</v>
      </c>
      <c r="H2465" s="90">
        <v>0.59</v>
      </c>
      <c r="I2465" s="90">
        <v>0.64</v>
      </c>
      <c r="J2465" s="90" t="s">
        <v>244</v>
      </c>
      <c r="K2465" s="90">
        <v>1.8463600131480001E-2</v>
      </c>
      <c r="L2465" s="90">
        <v>3734.6470768456702</v>
      </c>
      <c r="M2465" s="90">
        <v>7.9637160843338197</v>
      </c>
      <c r="N2465" s="90">
        <v>1.1506839521237799</v>
      </c>
      <c r="O2465" s="90">
        <v>0.14703886934179999</v>
      </c>
      <c r="P2465" s="90">
        <v>2.1245768369719999E-2</v>
      </c>
      <c r="Q2465" s="90">
        <v>68.955030259094201</v>
      </c>
      <c r="R2465" s="90">
        <v>1300</v>
      </c>
      <c r="S2465" s="90" t="s">
        <v>387</v>
      </c>
      <c r="T2465" s="90">
        <v>1300</v>
      </c>
      <c r="U2465" s="90" t="s">
        <v>378</v>
      </c>
      <c r="V2465" s="90" t="s">
        <v>244</v>
      </c>
      <c r="Z2465" s="90">
        <v>0</v>
      </c>
      <c r="AA2465" s="90">
        <v>1</v>
      </c>
      <c r="AB2465" s="90">
        <v>0.14703886934179999</v>
      </c>
      <c r="AC2465" s="90">
        <v>2.1245768369719999E-2</v>
      </c>
      <c r="AD2465" s="90">
        <v>68.955030259094499</v>
      </c>
      <c r="AF2465" s="90">
        <v>-1</v>
      </c>
      <c r="AG2465" s="90">
        <v>-1</v>
      </c>
      <c r="AH2465" s="90">
        <v>-1</v>
      </c>
      <c r="AI2465" s="90">
        <v>-1</v>
      </c>
      <c r="AJ2465" s="90">
        <v>0</v>
      </c>
      <c r="AM2465" s="90" t="s">
        <v>379</v>
      </c>
      <c r="AN2465" s="90">
        <v>-1</v>
      </c>
      <c r="AQ2465" s="90">
        <v>358</v>
      </c>
      <c r="AR2465" s="90" t="s">
        <v>422</v>
      </c>
      <c r="AS2465" s="90" t="s">
        <v>250</v>
      </c>
      <c r="AT2465" s="90" t="s">
        <v>244</v>
      </c>
      <c r="AU2465" s="90">
        <v>86.412649999999999</v>
      </c>
      <c r="AV2465" s="90">
        <v>52.017448487255997</v>
      </c>
      <c r="AW2465" s="90">
        <v>74.719538772722004</v>
      </c>
      <c r="AX2465" s="90">
        <v>5.5924598800000003E-2</v>
      </c>
    </row>
    <row r="2466" spans="1:50" x14ac:dyDescent="0.25">
      <c r="A2466" s="102">
        <v>830000</v>
      </c>
      <c r="B2466" s="102">
        <v>2400000</v>
      </c>
      <c r="C2466" s="102">
        <v>2400000</v>
      </c>
      <c r="D2466" s="90" t="s">
        <v>374</v>
      </c>
      <c r="E2466" s="90" t="s">
        <v>68</v>
      </c>
      <c r="F2466" s="90" t="s">
        <v>375</v>
      </c>
      <c r="G2466" s="90" t="s">
        <v>376</v>
      </c>
      <c r="H2466" s="90">
        <v>0.59</v>
      </c>
      <c r="I2466" s="90">
        <v>0.64</v>
      </c>
      <c r="J2466" s="90" t="s">
        <v>244</v>
      </c>
      <c r="K2466" s="90">
        <v>5.0116582189260003E-2</v>
      </c>
      <c r="L2466" s="90">
        <v>3734.6470768456702</v>
      </c>
      <c r="M2466" s="90">
        <v>7.9637160843338197</v>
      </c>
      <c r="N2466" s="90">
        <v>1.1506839521237799</v>
      </c>
      <c r="O2466" s="90">
        <v>0.39911423167250998</v>
      </c>
      <c r="P2466" s="90">
        <v>5.7668346860480002E-2</v>
      </c>
      <c r="Q2466" s="90">
        <v>187.167747174645</v>
      </c>
      <c r="R2466" s="90">
        <v>1210</v>
      </c>
      <c r="S2466" s="90" t="s">
        <v>385</v>
      </c>
      <c r="T2466" s="90">
        <v>1210</v>
      </c>
      <c r="U2466" s="90" t="s">
        <v>378</v>
      </c>
      <c r="V2466" s="90" t="s">
        <v>244</v>
      </c>
      <c r="Z2466" s="90">
        <v>0</v>
      </c>
      <c r="AA2466" s="90">
        <v>1</v>
      </c>
      <c r="AB2466" s="90">
        <v>0.39911423167250998</v>
      </c>
      <c r="AC2466" s="90">
        <v>5.7668346860480002E-2</v>
      </c>
      <c r="AD2466" s="90">
        <v>187.16774717464401</v>
      </c>
      <c r="AF2466" s="90">
        <v>-1</v>
      </c>
      <c r="AG2466" s="90">
        <v>-1</v>
      </c>
      <c r="AH2466" s="90">
        <v>-1</v>
      </c>
      <c r="AI2466" s="90">
        <v>-1</v>
      </c>
      <c r="AJ2466" s="90">
        <v>0</v>
      </c>
      <c r="AM2466" s="90" t="s">
        <v>379</v>
      </c>
      <c r="AN2466" s="90">
        <v>-1</v>
      </c>
      <c r="AQ2466" s="90">
        <v>358</v>
      </c>
      <c r="AR2466" s="90" t="s">
        <v>422</v>
      </c>
      <c r="AS2466" s="90" t="s">
        <v>250</v>
      </c>
      <c r="AT2466" s="90" t="s">
        <v>244</v>
      </c>
      <c r="AU2466" s="90">
        <v>86.412649999999999</v>
      </c>
      <c r="AV2466" s="90">
        <v>73.559382056478498</v>
      </c>
      <c r="AW2466" s="90">
        <v>202.814612501375</v>
      </c>
      <c r="AX2466" s="90">
        <v>0.15179865949999999</v>
      </c>
    </row>
    <row r="2467" spans="1:50" x14ac:dyDescent="0.25">
      <c r="A2467" s="102">
        <v>830000</v>
      </c>
      <c r="B2467" s="102">
        <v>2400000</v>
      </c>
      <c r="C2467" s="102">
        <v>2400000</v>
      </c>
      <c r="D2467" s="90" t="s">
        <v>374</v>
      </c>
      <c r="E2467" s="90" t="s">
        <v>68</v>
      </c>
      <c r="F2467" s="90" t="s">
        <v>375</v>
      </c>
      <c r="G2467" s="90" t="s">
        <v>376</v>
      </c>
      <c r="H2467" s="90">
        <v>0.59</v>
      </c>
      <c r="I2467" s="90">
        <v>0.64</v>
      </c>
      <c r="J2467" s="90" t="s">
        <v>244</v>
      </c>
      <c r="K2467" s="90">
        <v>0.15600364375008999</v>
      </c>
      <c r="L2467" s="90">
        <v>3734.6470768456702</v>
      </c>
      <c r="M2467" s="90">
        <v>7.9637160843338197</v>
      </c>
      <c r="N2467" s="90">
        <v>1.1506839521237799</v>
      </c>
      <c r="O2467" s="90">
        <v>1.2423687269472701</v>
      </c>
      <c r="P2467" s="90">
        <v>0.17951088933605999</v>
      </c>
      <c r="Q2467" s="90">
        <v>582.61855210854799</v>
      </c>
      <c r="R2467" s="90">
        <v>1210</v>
      </c>
      <c r="S2467" s="90" t="s">
        <v>385</v>
      </c>
      <c r="T2467" s="90">
        <v>1210</v>
      </c>
      <c r="U2467" s="90" t="s">
        <v>378</v>
      </c>
      <c r="V2467" s="90" t="s">
        <v>244</v>
      </c>
      <c r="Z2467" s="90">
        <v>0</v>
      </c>
      <c r="AA2467" s="90">
        <v>1</v>
      </c>
      <c r="AB2467" s="90">
        <v>1.2423687269472701</v>
      </c>
      <c r="AC2467" s="90">
        <v>0.17951088933605999</v>
      </c>
      <c r="AD2467" s="90">
        <v>582.61855210854799</v>
      </c>
      <c r="AF2467" s="90">
        <v>-1</v>
      </c>
      <c r="AG2467" s="90">
        <v>-1</v>
      </c>
      <c r="AH2467" s="90">
        <v>-1</v>
      </c>
      <c r="AI2467" s="90">
        <v>-1</v>
      </c>
      <c r="AJ2467" s="90">
        <v>0</v>
      </c>
      <c r="AM2467" s="90" t="s">
        <v>379</v>
      </c>
      <c r="AN2467" s="90">
        <v>-1</v>
      </c>
      <c r="AQ2467" s="90">
        <v>358</v>
      </c>
      <c r="AR2467" s="90" t="s">
        <v>422</v>
      </c>
      <c r="AS2467" s="90" t="s">
        <v>250</v>
      </c>
      <c r="AT2467" s="90" t="s">
        <v>244</v>
      </c>
      <c r="AU2467" s="90">
        <v>86.412649999999999</v>
      </c>
      <c r="AV2467" s="90">
        <v>100.61682545191201</v>
      </c>
      <c r="AW2467" s="90">
        <v>631.32434762785203</v>
      </c>
      <c r="AX2467" s="90">
        <v>0.47252112899999998</v>
      </c>
    </row>
    <row r="2468" spans="1:50" x14ac:dyDescent="0.25">
      <c r="A2468" s="102">
        <v>830000</v>
      </c>
      <c r="B2468" s="102">
        <v>2400000</v>
      </c>
      <c r="C2468" s="102">
        <v>2400000</v>
      </c>
      <c r="D2468" s="90" t="s">
        <v>374</v>
      </c>
      <c r="E2468" s="90" t="s">
        <v>68</v>
      </c>
      <c r="F2468" s="90" t="s">
        <v>375</v>
      </c>
      <c r="G2468" s="90" t="s">
        <v>376</v>
      </c>
      <c r="H2468" s="90">
        <v>0.59</v>
      </c>
      <c r="I2468" s="90">
        <v>0.64</v>
      </c>
      <c r="J2468" s="90" t="s">
        <v>244</v>
      </c>
      <c r="K2468" s="90">
        <v>8.8639101067679998E-2</v>
      </c>
      <c r="L2468" s="90">
        <v>3734.6470768456702</v>
      </c>
      <c r="M2468" s="90">
        <v>7.9637160843338197</v>
      </c>
      <c r="N2468" s="90">
        <v>1.1506839521237799</v>
      </c>
      <c r="O2468" s="90">
        <v>0.70589663487362997</v>
      </c>
      <c r="P2468" s="90">
        <v>0.10199559112926</v>
      </c>
      <c r="Q2468" s="90">
        <v>331.035759696669</v>
      </c>
      <c r="R2468" s="90">
        <v>1210</v>
      </c>
      <c r="S2468" s="90" t="s">
        <v>385</v>
      </c>
      <c r="T2468" s="90">
        <v>1210</v>
      </c>
      <c r="U2468" s="90" t="s">
        <v>378</v>
      </c>
      <c r="V2468" s="90" t="s">
        <v>244</v>
      </c>
      <c r="Z2468" s="90">
        <v>0</v>
      </c>
      <c r="AA2468" s="90">
        <v>1</v>
      </c>
      <c r="AB2468" s="90">
        <v>0.70589663487362997</v>
      </c>
      <c r="AC2468" s="90">
        <v>0.10199559112926</v>
      </c>
      <c r="AD2468" s="90">
        <v>331.03575969666798</v>
      </c>
      <c r="AF2468" s="90">
        <v>-1</v>
      </c>
      <c r="AG2468" s="90">
        <v>-1</v>
      </c>
      <c r="AH2468" s="90">
        <v>-1</v>
      </c>
      <c r="AI2468" s="90">
        <v>-1</v>
      </c>
      <c r="AJ2468" s="90">
        <v>0</v>
      </c>
      <c r="AM2468" s="90" t="s">
        <v>379</v>
      </c>
      <c r="AN2468" s="90">
        <v>-1</v>
      </c>
      <c r="AQ2468" s="90">
        <v>358</v>
      </c>
      <c r="AR2468" s="90" t="s">
        <v>422</v>
      </c>
      <c r="AS2468" s="90" t="s">
        <v>250</v>
      </c>
      <c r="AT2468" s="90" t="s">
        <v>244</v>
      </c>
      <c r="AU2468" s="90">
        <v>86.412649999999999</v>
      </c>
      <c r="AV2468" s="90">
        <v>85.436855577211901</v>
      </c>
      <c r="AW2468" s="90">
        <v>358.70971543153399</v>
      </c>
      <c r="AX2468" s="90">
        <v>0.26847993489999999</v>
      </c>
    </row>
    <row r="2469" spans="1:50" x14ac:dyDescent="0.25">
      <c r="A2469" s="102">
        <v>830000</v>
      </c>
      <c r="B2469" s="102">
        <v>2400000</v>
      </c>
      <c r="C2469" s="102">
        <v>2400000</v>
      </c>
      <c r="D2469" s="90" t="s">
        <v>374</v>
      </c>
      <c r="E2469" s="90" t="s">
        <v>68</v>
      </c>
      <c r="F2469" s="90" t="s">
        <v>375</v>
      </c>
      <c r="G2469" s="90" t="s">
        <v>376</v>
      </c>
      <c r="H2469" s="90">
        <v>0.59</v>
      </c>
      <c r="I2469" s="90">
        <v>0.64</v>
      </c>
      <c r="J2469" s="90" t="s">
        <v>244</v>
      </c>
      <c r="K2469" s="90">
        <v>5.0035633419389998E-2</v>
      </c>
      <c r="L2469" s="90">
        <v>3734.6470768456702</v>
      </c>
      <c r="M2469" s="90">
        <v>7.9637160843338197</v>
      </c>
      <c r="N2469" s="90">
        <v>1.1506839521237799</v>
      </c>
      <c r="O2469" s="90">
        <v>0.39846957865183003</v>
      </c>
      <c r="P2469" s="90">
        <v>5.7575200410040002E-2</v>
      </c>
      <c r="Q2469" s="90">
        <v>186.86543208785</v>
      </c>
      <c r="R2469" s="90">
        <v>1210</v>
      </c>
      <c r="S2469" s="90" t="s">
        <v>385</v>
      </c>
      <c r="T2469" s="90">
        <v>1210</v>
      </c>
      <c r="U2469" s="90" t="s">
        <v>378</v>
      </c>
      <c r="V2469" s="90" t="s">
        <v>244</v>
      </c>
      <c r="Z2469" s="90">
        <v>0</v>
      </c>
      <c r="AA2469" s="90">
        <v>1</v>
      </c>
      <c r="AB2469" s="90">
        <v>0.39846957865183003</v>
      </c>
      <c r="AC2469" s="90">
        <v>5.7575200410040002E-2</v>
      </c>
      <c r="AD2469" s="90">
        <v>186.865432087849</v>
      </c>
      <c r="AF2469" s="90">
        <v>-1</v>
      </c>
      <c r="AG2469" s="90">
        <v>-1</v>
      </c>
      <c r="AH2469" s="90">
        <v>-1</v>
      </c>
      <c r="AI2469" s="90">
        <v>-1</v>
      </c>
      <c r="AJ2469" s="90">
        <v>0</v>
      </c>
      <c r="AM2469" s="90" t="s">
        <v>379</v>
      </c>
      <c r="AN2469" s="90">
        <v>-1</v>
      </c>
      <c r="AQ2469" s="90">
        <v>358</v>
      </c>
      <c r="AR2469" s="90" t="s">
        <v>422</v>
      </c>
      <c r="AS2469" s="90" t="s">
        <v>250</v>
      </c>
      <c r="AT2469" s="90" t="s">
        <v>244</v>
      </c>
      <c r="AU2469" s="90">
        <v>86.412649999999999</v>
      </c>
      <c r="AV2469" s="90">
        <v>64.661362846110706</v>
      </c>
      <c r="AW2469" s="90">
        <v>202.48702445211299</v>
      </c>
      <c r="AX2469" s="90">
        <v>0.15155347290000001</v>
      </c>
    </row>
    <row r="2470" spans="1:50" x14ac:dyDescent="0.25">
      <c r="A2470" s="102">
        <v>830000</v>
      </c>
      <c r="B2470" s="102">
        <v>2400000</v>
      </c>
      <c r="C2470" s="102">
        <v>2400000</v>
      </c>
      <c r="D2470" s="90" t="s">
        <v>374</v>
      </c>
      <c r="E2470" s="90" t="s">
        <v>68</v>
      </c>
      <c r="F2470" s="90" t="s">
        <v>375</v>
      </c>
      <c r="G2470" s="90" t="s">
        <v>376</v>
      </c>
      <c r="H2470" s="90">
        <v>0.59</v>
      </c>
      <c r="I2470" s="90">
        <v>0.64</v>
      </c>
      <c r="J2470" s="90" t="s">
        <v>244</v>
      </c>
      <c r="K2470" s="90">
        <v>8.3464322004979996E-2</v>
      </c>
      <c r="L2470" s="90">
        <v>3734.6470768456702</v>
      </c>
      <c r="M2470" s="90">
        <v>7.9637160843338197</v>
      </c>
      <c r="N2470" s="90">
        <v>1.1506839521237799</v>
      </c>
      <c r="O2470" s="90">
        <v>0.66468616361914001</v>
      </c>
      <c r="P2470" s="90">
        <v>9.6041055906030001E-2</v>
      </c>
      <c r="Q2470" s="90">
        <v>311.70978619683399</v>
      </c>
      <c r="R2470" s="90">
        <v>1210</v>
      </c>
      <c r="S2470" s="90" t="s">
        <v>385</v>
      </c>
      <c r="T2470" s="90">
        <v>1210</v>
      </c>
      <c r="U2470" s="90" t="s">
        <v>378</v>
      </c>
      <c r="V2470" s="90" t="s">
        <v>244</v>
      </c>
      <c r="Z2470" s="90">
        <v>0</v>
      </c>
      <c r="AA2470" s="90">
        <v>1</v>
      </c>
      <c r="AB2470" s="90">
        <v>0.66468616361914001</v>
      </c>
      <c r="AC2470" s="90">
        <v>9.6041055906030001E-2</v>
      </c>
      <c r="AD2470" s="90">
        <v>311.70978619683302</v>
      </c>
      <c r="AF2470" s="90">
        <v>-1</v>
      </c>
      <c r="AG2470" s="90">
        <v>-1</v>
      </c>
      <c r="AH2470" s="90">
        <v>-1</v>
      </c>
      <c r="AI2470" s="90">
        <v>-1</v>
      </c>
      <c r="AJ2470" s="90">
        <v>0</v>
      </c>
      <c r="AM2470" s="90" t="s">
        <v>379</v>
      </c>
      <c r="AN2470" s="90">
        <v>-1</v>
      </c>
      <c r="AQ2470" s="90">
        <v>358</v>
      </c>
      <c r="AR2470" s="90" t="s">
        <v>422</v>
      </c>
      <c r="AS2470" s="90" t="s">
        <v>250</v>
      </c>
      <c r="AT2470" s="90" t="s">
        <v>244</v>
      </c>
      <c r="AU2470" s="90">
        <v>86.412649999999999</v>
      </c>
      <c r="AV2470" s="90">
        <v>76.335282695912994</v>
      </c>
      <c r="AW2470" s="90">
        <v>337.76812754714501</v>
      </c>
      <c r="AX2470" s="90">
        <v>0.25280599040000001</v>
      </c>
    </row>
    <row r="2471" spans="1:50" x14ac:dyDescent="0.25">
      <c r="A2471" s="102">
        <v>830000</v>
      </c>
      <c r="B2471" s="102">
        <v>2400000</v>
      </c>
      <c r="C2471" s="102">
        <v>2400000</v>
      </c>
      <c r="D2471" s="90" t="s">
        <v>374</v>
      </c>
      <c r="E2471" s="90" t="s">
        <v>68</v>
      </c>
      <c r="F2471" s="90" t="s">
        <v>375</v>
      </c>
      <c r="G2471" s="90" t="s">
        <v>376</v>
      </c>
      <c r="H2471" s="90">
        <v>0.59</v>
      </c>
      <c r="I2471" s="90">
        <v>0.64</v>
      </c>
      <c r="J2471" s="90" t="s">
        <v>244</v>
      </c>
      <c r="K2471" s="90">
        <v>0.15449009844188999</v>
      </c>
      <c r="L2471" s="90">
        <v>3734.6470768456702</v>
      </c>
      <c r="M2471" s="90">
        <v>7.9637160843338197</v>
      </c>
      <c r="N2471" s="90">
        <v>1.1506839521237799</v>
      </c>
      <c r="O2471" s="90">
        <v>1.23031528183199</v>
      </c>
      <c r="P2471" s="90">
        <v>0.1777692770391</v>
      </c>
      <c r="Q2471" s="90">
        <v>576.96599454760496</v>
      </c>
      <c r="R2471" s="90">
        <v>1210</v>
      </c>
      <c r="S2471" s="90" t="s">
        <v>385</v>
      </c>
      <c r="T2471" s="90">
        <v>1210</v>
      </c>
      <c r="U2471" s="90" t="s">
        <v>378</v>
      </c>
      <c r="V2471" s="90" t="s">
        <v>244</v>
      </c>
      <c r="Z2471" s="90">
        <v>0</v>
      </c>
      <c r="AA2471" s="90">
        <v>1</v>
      </c>
      <c r="AB2471" s="90">
        <v>1.23031528183199</v>
      </c>
      <c r="AC2471" s="90">
        <v>0.1777692770391</v>
      </c>
      <c r="AD2471" s="90">
        <v>576.96599454760496</v>
      </c>
      <c r="AF2471" s="90">
        <v>-1</v>
      </c>
      <c r="AG2471" s="90">
        <v>-1</v>
      </c>
      <c r="AH2471" s="90">
        <v>-1</v>
      </c>
      <c r="AI2471" s="90">
        <v>-1</v>
      </c>
      <c r="AJ2471" s="90">
        <v>0</v>
      </c>
      <c r="AM2471" s="90" t="s">
        <v>379</v>
      </c>
      <c r="AN2471" s="90">
        <v>-1</v>
      </c>
      <c r="AQ2471" s="90">
        <v>358</v>
      </c>
      <c r="AR2471" s="90" t="s">
        <v>422</v>
      </c>
      <c r="AS2471" s="90" t="s">
        <v>250</v>
      </c>
      <c r="AT2471" s="90" t="s">
        <v>244</v>
      </c>
      <c r="AU2471" s="90">
        <v>86.412649999999999</v>
      </c>
      <c r="AV2471" s="90">
        <v>100.03247701134801</v>
      </c>
      <c r="AW2471" s="90">
        <v>625.19924707677103</v>
      </c>
      <c r="AX2471" s="90">
        <v>0.46793673520000001</v>
      </c>
    </row>
    <row r="2472" spans="1:50" x14ac:dyDescent="0.25">
      <c r="A2472" s="102">
        <v>830000</v>
      </c>
      <c r="B2472" s="102">
        <v>2400000</v>
      </c>
      <c r="C2472" s="102">
        <v>2400000</v>
      </c>
      <c r="D2472" s="90" t="s">
        <v>374</v>
      </c>
      <c r="E2472" s="90" t="s">
        <v>68</v>
      </c>
      <c r="F2472" s="90" t="s">
        <v>375</v>
      </c>
      <c r="G2472" s="90" t="s">
        <v>376</v>
      </c>
      <c r="H2472" s="90">
        <v>0.59</v>
      </c>
      <c r="I2472" s="90">
        <v>0.64</v>
      </c>
      <c r="J2472" s="90" t="s">
        <v>244</v>
      </c>
      <c r="K2472" s="90">
        <v>0.14158304503746999</v>
      </c>
      <c r="L2472" s="90">
        <v>3725.5952324096302</v>
      </c>
      <c r="M2472" s="90">
        <v>9.7860309318247207</v>
      </c>
      <c r="N2472" s="90">
        <v>1.61032367741667</v>
      </c>
      <c r="O2472" s="90">
        <v>1.38553605815868</v>
      </c>
      <c r="P2472" s="90">
        <v>0.22799452974459999</v>
      </c>
      <c r="Q2472" s="90">
        <v>527.48111758166306</v>
      </c>
      <c r="R2472" s="90">
        <v>1300</v>
      </c>
      <c r="S2472" s="90" t="s">
        <v>387</v>
      </c>
      <c r="T2472" s="90">
        <v>1300</v>
      </c>
      <c r="U2472" s="90" t="s">
        <v>378</v>
      </c>
      <c r="V2472" s="90" t="s">
        <v>244</v>
      </c>
      <c r="Z2472" s="90">
        <v>0</v>
      </c>
      <c r="AA2472" s="90">
        <v>1</v>
      </c>
      <c r="AB2472" s="90">
        <v>1.38553605815868</v>
      </c>
      <c r="AC2472" s="90">
        <v>0.22799452974459999</v>
      </c>
      <c r="AD2472" s="90">
        <v>527.48111758166306</v>
      </c>
      <c r="AF2472" s="90">
        <v>-1</v>
      </c>
      <c r="AG2472" s="90">
        <v>-1</v>
      </c>
      <c r="AH2472" s="90">
        <v>-1</v>
      </c>
      <c r="AI2472" s="90">
        <v>-1</v>
      </c>
      <c r="AJ2472" s="90">
        <v>0</v>
      </c>
      <c r="AM2472" s="90" t="s">
        <v>379</v>
      </c>
      <c r="AN2472" s="90">
        <v>-1</v>
      </c>
      <c r="AQ2472" s="90">
        <v>358</v>
      </c>
      <c r="AR2472" s="90" t="s">
        <v>422</v>
      </c>
      <c r="AS2472" s="90" t="s">
        <v>250</v>
      </c>
      <c r="AT2472" s="90" t="s">
        <v>244</v>
      </c>
      <c r="AU2472" s="90">
        <v>86.412649999999999</v>
      </c>
      <c r="AV2472" s="90">
        <v>114.821151353977</v>
      </c>
      <c r="AW2472" s="90">
        <v>572.96625511286095</v>
      </c>
      <c r="AX2472" s="90">
        <v>0.42780301510000002</v>
      </c>
    </row>
    <row r="2473" spans="1:50" x14ac:dyDescent="0.25">
      <c r="A2473" s="102">
        <v>830000</v>
      </c>
      <c r="B2473" s="102">
        <v>2400000</v>
      </c>
      <c r="C2473" s="102">
        <v>2400000</v>
      </c>
      <c r="D2473" s="90" t="s">
        <v>374</v>
      </c>
      <c r="E2473" s="90" t="s">
        <v>68</v>
      </c>
      <c r="F2473" s="90" t="s">
        <v>375</v>
      </c>
      <c r="G2473" s="90" t="s">
        <v>376</v>
      </c>
      <c r="H2473" s="90">
        <v>0.59</v>
      </c>
      <c r="I2473" s="90">
        <v>0.64</v>
      </c>
      <c r="J2473" s="90" t="s">
        <v>244</v>
      </c>
      <c r="K2473" s="90">
        <v>0.13697914869719999</v>
      </c>
      <c r="L2473" s="90">
        <v>3725.5952324096302</v>
      </c>
      <c r="M2473" s="90">
        <v>9.7860309318247207</v>
      </c>
      <c r="N2473" s="90">
        <v>1.61032367741667</v>
      </c>
      <c r="O2473" s="90">
        <v>1.34048218616585</v>
      </c>
      <c r="P2473" s="90">
        <v>0.22058076645947999</v>
      </c>
      <c r="Q2473" s="90">
        <v>510.32886332583399</v>
      </c>
      <c r="R2473" s="90">
        <v>1210</v>
      </c>
      <c r="S2473" s="90" t="s">
        <v>385</v>
      </c>
      <c r="T2473" s="90">
        <v>1210</v>
      </c>
      <c r="U2473" s="90" t="s">
        <v>378</v>
      </c>
      <c r="V2473" s="90" t="s">
        <v>244</v>
      </c>
      <c r="Z2473" s="90">
        <v>0</v>
      </c>
      <c r="AA2473" s="90">
        <v>1</v>
      </c>
      <c r="AB2473" s="90">
        <v>1.34048218616585</v>
      </c>
      <c r="AC2473" s="90">
        <v>0.22058076645947999</v>
      </c>
      <c r="AD2473" s="90">
        <v>510.32886332583399</v>
      </c>
      <c r="AF2473" s="90">
        <v>-1</v>
      </c>
      <c r="AG2473" s="90">
        <v>-1</v>
      </c>
      <c r="AH2473" s="90">
        <v>-1</v>
      </c>
      <c r="AI2473" s="90">
        <v>-1</v>
      </c>
      <c r="AJ2473" s="90">
        <v>0</v>
      </c>
      <c r="AM2473" s="90" t="s">
        <v>379</v>
      </c>
      <c r="AN2473" s="90">
        <v>-1</v>
      </c>
      <c r="AQ2473" s="90">
        <v>358</v>
      </c>
      <c r="AR2473" s="90" t="s">
        <v>422</v>
      </c>
      <c r="AS2473" s="90" t="s">
        <v>250</v>
      </c>
      <c r="AT2473" s="90" t="s">
        <v>244</v>
      </c>
      <c r="AU2473" s="90">
        <v>86.412649999999999</v>
      </c>
      <c r="AV2473" s="90">
        <v>112.69254791893501</v>
      </c>
      <c r="AW2473" s="90">
        <v>554.33494764016598</v>
      </c>
      <c r="AX2473" s="90">
        <v>0.41389202219999999</v>
      </c>
    </row>
    <row r="2474" spans="1:50" x14ac:dyDescent="0.25">
      <c r="A2474" s="102">
        <v>830000</v>
      </c>
      <c r="B2474" s="102">
        <v>2400000</v>
      </c>
      <c r="C2474" s="102">
        <v>2400000</v>
      </c>
      <c r="D2474" s="90" t="s">
        <v>374</v>
      </c>
      <c r="E2474" s="90" t="s">
        <v>68</v>
      </c>
      <c r="F2474" s="90" t="s">
        <v>375</v>
      </c>
      <c r="G2474" s="90" t="s">
        <v>376</v>
      </c>
      <c r="H2474" s="90">
        <v>0.59</v>
      </c>
      <c r="I2474" s="90">
        <v>0.64</v>
      </c>
      <c r="J2474" s="90" t="s">
        <v>244</v>
      </c>
      <c r="K2474" s="90">
        <v>9.4958227438300003E-3</v>
      </c>
      <c r="L2474" s="90">
        <v>3725.5952324096302</v>
      </c>
      <c r="M2474" s="90">
        <v>9.7860309318247207</v>
      </c>
      <c r="N2474" s="90">
        <v>1.61032367741667</v>
      </c>
      <c r="O2474" s="90">
        <v>9.2926415094279999E-2</v>
      </c>
      <c r="P2474" s="90">
        <v>1.529134820094E-2</v>
      </c>
      <c r="Q2474" s="90">
        <v>35.377591942234901</v>
      </c>
      <c r="R2474" s="90">
        <v>1300</v>
      </c>
      <c r="S2474" s="90" t="s">
        <v>387</v>
      </c>
      <c r="T2474" s="90">
        <v>1300</v>
      </c>
      <c r="U2474" s="90" t="s">
        <v>378</v>
      </c>
      <c r="V2474" s="90" t="s">
        <v>244</v>
      </c>
      <c r="Z2474" s="90">
        <v>0</v>
      </c>
      <c r="AA2474" s="90">
        <v>1</v>
      </c>
      <c r="AB2474" s="90">
        <v>9.2926415094279999E-2</v>
      </c>
      <c r="AC2474" s="90">
        <v>1.529134820094E-2</v>
      </c>
      <c r="AD2474" s="90">
        <v>35.377591942236101</v>
      </c>
      <c r="AF2474" s="90">
        <v>-1</v>
      </c>
      <c r="AG2474" s="90">
        <v>-1</v>
      </c>
      <c r="AH2474" s="90">
        <v>-1</v>
      </c>
      <c r="AI2474" s="90">
        <v>-1</v>
      </c>
      <c r="AJ2474" s="90">
        <v>0</v>
      </c>
      <c r="AM2474" s="90" t="s">
        <v>379</v>
      </c>
      <c r="AN2474" s="90">
        <v>-1</v>
      </c>
      <c r="AQ2474" s="90">
        <v>358</v>
      </c>
      <c r="AR2474" s="90" t="s">
        <v>422</v>
      </c>
      <c r="AS2474" s="90" t="s">
        <v>250</v>
      </c>
      <c r="AT2474" s="90" t="s">
        <v>244</v>
      </c>
      <c r="AU2474" s="90">
        <v>86.412649999999999</v>
      </c>
      <c r="AV2474" s="90">
        <v>24.8158387412164</v>
      </c>
      <c r="AW2474" s="90">
        <v>38.428231256857799</v>
      </c>
      <c r="AX2474" s="90">
        <v>2.8692288699999999E-2</v>
      </c>
    </row>
    <row r="2475" spans="1:50" x14ac:dyDescent="0.25">
      <c r="A2475" s="102">
        <v>830000</v>
      </c>
      <c r="B2475" s="102">
        <v>2400000</v>
      </c>
      <c r="C2475" s="102">
        <v>2400000</v>
      </c>
      <c r="D2475" s="90" t="s">
        <v>374</v>
      </c>
      <c r="E2475" s="90" t="s">
        <v>68</v>
      </c>
      <c r="F2475" s="90" t="s">
        <v>375</v>
      </c>
      <c r="G2475" s="90" t="s">
        <v>376</v>
      </c>
      <c r="H2475" s="90">
        <v>0.59</v>
      </c>
      <c r="I2475" s="90">
        <v>0.64</v>
      </c>
      <c r="J2475" s="90" t="s">
        <v>244</v>
      </c>
      <c r="K2475" s="90">
        <v>0.26625073732512</v>
      </c>
      <c r="L2475" s="90">
        <v>3725.5952324096302</v>
      </c>
      <c r="M2475" s="90">
        <v>9.7860309318247207</v>
      </c>
      <c r="N2475" s="90">
        <v>1.61032367741667</v>
      </c>
      <c r="O2475" s="90">
        <v>2.60553795108485</v>
      </c>
      <c r="P2475" s="90">
        <v>0.42874986644430002</v>
      </c>
      <c r="Q2475" s="90">
        <v>991.94247760405096</v>
      </c>
      <c r="R2475" s="90">
        <v>1210</v>
      </c>
      <c r="S2475" s="90" t="s">
        <v>385</v>
      </c>
      <c r="T2475" s="90">
        <v>1210</v>
      </c>
      <c r="U2475" s="90" t="s">
        <v>378</v>
      </c>
      <c r="V2475" s="90" t="s">
        <v>244</v>
      </c>
      <c r="Z2475" s="90">
        <v>0</v>
      </c>
      <c r="AA2475" s="90">
        <v>1</v>
      </c>
      <c r="AB2475" s="90">
        <v>2.60553795108485</v>
      </c>
      <c r="AC2475" s="90">
        <v>0.42874986644430002</v>
      </c>
      <c r="AD2475" s="90">
        <v>991.94247760405096</v>
      </c>
      <c r="AF2475" s="90">
        <v>-1</v>
      </c>
      <c r="AG2475" s="90">
        <v>-1</v>
      </c>
      <c r="AH2475" s="90">
        <v>-1</v>
      </c>
      <c r="AI2475" s="90">
        <v>-1</v>
      </c>
      <c r="AJ2475" s="90">
        <v>0</v>
      </c>
      <c r="AM2475" s="90" t="s">
        <v>379</v>
      </c>
      <c r="AN2475" s="90">
        <v>-1</v>
      </c>
      <c r="AQ2475" s="90">
        <v>358</v>
      </c>
      <c r="AR2475" s="90" t="s">
        <v>422</v>
      </c>
      <c r="AS2475" s="90" t="s">
        <v>250</v>
      </c>
      <c r="AT2475" s="90" t="s">
        <v>244</v>
      </c>
      <c r="AU2475" s="90">
        <v>86.412649999999999</v>
      </c>
      <c r="AV2475" s="90">
        <v>137.066752105078</v>
      </c>
      <c r="AW2475" s="90">
        <v>1077.47850631293</v>
      </c>
      <c r="AX2475" s="90">
        <v>0.80449511569999999</v>
      </c>
    </row>
    <row r="2476" spans="1:50" x14ac:dyDescent="0.25">
      <c r="A2476" s="102">
        <v>830000</v>
      </c>
      <c r="B2476" s="102">
        <v>2400000</v>
      </c>
      <c r="C2476" s="102">
        <v>2400000</v>
      </c>
      <c r="D2476" s="90" t="s">
        <v>374</v>
      </c>
      <c r="E2476" s="90" t="s">
        <v>68</v>
      </c>
      <c r="F2476" s="90" t="s">
        <v>375</v>
      </c>
      <c r="G2476" s="90" t="s">
        <v>376</v>
      </c>
      <c r="H2476" s="90">
        <v>0.59</v>
      </c>
      <c r="I2476" s="90">
        <v>0.64</v>
      </c>
      <c r="J2476" s="90" t="s">
        <v>244</v>
      </c>
      <c r="K2476" s="90">
        <v>3.6590447752730001E-2</v>
      </c>
      <c r="L2476" s="90">
        <v>3725.5952324096302</v>
      </c>
      <c r="M2476" s="90">
        <v>9.7860309318247207</v>
      </c>
      <c r="N2476" s="90">
        <v>1.61032367741667</v>
      </c>
      <c r="O2476" s="90">
        <v>0.35807525351755998</v>
      </c>
      <c r="P2476" s="90">
        <v>5.8922464383500003E-2</v>
      </c>
      <c r="Q2476" s="90">
        <v>136.321197699316</v>
      </c>
      <c r="R2476" s="90">
        <v>1330</v>
      </c>
      <c r="S2476" s="90" t="s">
        <v>397</v>
      </c>
      <c r="T2476" s="90">
        <v>1330</v>
      </c>
      <c r="U2476" s="90" t="s">
        <v>378</v>
      </c>
      <c r="V2476" s="90" t="s">
        <v>244</v>
      </c>
      <c r="Z2476" s="90">
        <v>0</v>
      </c>
      <c r="AA2476" s="90">
        <v>1</v>
      </c>
      <c r="AB2476" s="90">
        <v>0.35807525351755998</v>
      </c>
      <c r="AC2476" s="90">
        <v>5.8922464383500003E-2</v>
      </c>
      <c r="AD2476" s="90">
        <v>136.321197699316</v>
      </c>
      <c r="AF2476" s="90">
        <v>-1</v>
      </c>
      <c r="AG2476" s="90">
        <v>-1</v>
      </c>
      <c r="AH2476" s="90">
        <v>-1</v>
      </c>
      <c r="AI2476" s="90">
        <v>-1</v>
      </c>
      <c r="AJ2476" s="90">
        <v>0</v>
      </c>
      <c r="AM2476" s="90" t="s">
        <v>379</v>
      </c>
      <c r="AN2476" s="90">
        <v>-1</v>
      </c>
      <c r="AQ2476" s="90">
        <v>358</v>
      </c>
      <c r="AR2476" s="90" t="s">
        <v>422</v>
      </c>
      <c r="AS2476" s="90" t="s">
        <v>250</v>
      </c>
      <c r="AT2476" s="90" t="s">
        <v>244</v>
      </c>
      <c r="AU2476" s="90">
        <v>86.412649999999999</v>
      </c>
      <c r="AV2476" s="90">
        <v>60.934394188461198</v>
      </c>
      <c r="AW2476" s="90">
        <v>148.07628848663899</v>
      </c>
      <c r="AX2476" s="90">
        <v>0.1105605821</v>
      </c>
    </row>
    <row r="2477" spans="1:50" x14ac:dyDescent="0.25">
      <c r="A2477" s="102">
        <v>830000</v>
      </c>
      <c r="B2477" s="102">
        <v>2400000</v>
      </c>
      <c r="C2477" s="102">
        <v>2400000</v>
      </c>
      <c r="D2477" s="90" t="s">
        <v>374</v>
      </c>
      <c r="E2477" s="90" t="s">
        <v>68</v>
      </c>
      <c r="F2477" s="90" t="s">
        <v>375</v>
      </c>
      <c r="G2477" s="90" t="s">
        <v>376</v>
      </c>
      <c r="H2477" s="90">
        <v>0.59</v>
      </c>
      <c r="I2477" s="90">
        <v>0.64</v>
      </c>
      <c r="J2477" s="90" t="s">
        <v>244</v>
      </c>
      <c r="K2477" s="90">
        <v>2.6864251927420001E-2</v>
      </c>
      <c r="L2477" s="90">
        <v>3725.5952324096302</v>
      </c>
      <c r="M2477" s="90">
        <v>9.7860309318247207</v>
      </c>
      <c r="N2477" s="90">
        <v>1.61032367741667</v>
      </c>
      <c r="O2477" s="90">
        <v>0.26289440032214001</v>
      </c>
      <c r="P2477" s="90">
        <v>4.3260140954820003E-2</v>
      </c>
      <c r="Q2477" s="90">
        <v>100.085328903077</v>
      </c>
      <c r="R2477" s="90">
        <v>1330</v>
      </c>
      <c r="S2477" s="90" t="s">
        <v>397</v>
      </c>
      <c r="T2477" s="90">
        <v>1330</v>
      </c>
      <c r="U2477" s="90" t="s">
        <v>378</v>
      </c>
      <c r="V2477" s="90" t="s">
        <v>244</v>
      </c>
      <c r="Z2477" s="90">
        <v>0</v>
      </c>
      <c r="AA2477" s="90">
        <v>1</v>
      </c>
      <c r="AB2477" s="90">
        <v>0.26289440032214001</v>
      </c>
      <c r="AC2477" s="90">
        <v>4.3260140954820003E-2</v>
      </c>
      <c r="AD2477" s="90">
        <v>100.08532890307799</v>
      </c>
      <c r="AF2477" s="90">
        <v>-1</v>
      </c>
      <c r="AG2477" s="90">
        <v>-1</v>
      </c>
      <c r="AH2477" s="90">
        <v>-1</v>
      </c>
      <c r="AI2477" s="90">
        <v>-1</v>
      </c>
      <c r="AJ2477" s="90">
        <v>0</v>
      </c>
      <c r="AM2477" s="90" t="s">
        <v>379</v>
      </c>
      <c r="AN2477" s="90">
        <v>-1</v>
      </c>
      <c r="AQ2477" s="90">
        <v>358</v>
      </c>
      <c r="AR2477" s="90" t="s">
        <v>422</v>
      </c>
      <c r="AS2477" s="90" t="s">
        <v>250</v>
      </c>
      <c r="AT2477" s="90" t="s">
        <v>244</v>
      </c>
      <c r="AU2477" s="90">
        <v>86.412649999999999</v>
      </c>
      <c r="AV2477" s="90">
        <v>50.354782064089598</v>
      </c>
      <c r="AW2477" s="90">
        <v>108.715770445484</v>
      </c>
      <c r="AX2477" s="90">
        <v>8.1172205100000006E-2</v>
      </c>
    </row>
    <row r="2478" spans="1:50" x14ac:dyDescent="0.25">
      <c r="A2478" s="102">
        <v>830000</v>
      </c>
      <c r="B2478" s="102">
        <v>2400000</v>
      </c>
      <c r="C2478" s="102">
        <v>2400000</v>
      </c>
      <c r="D2478" s="90" t="s">
        <v>374</v>
      </c>
      <c r="E2478" s="90" t="s">
        <v>68</v>
      </c>
      <c r="F2478" s="90" t="s">
        <v>375</v>
      </c>
      <c r="G2478" s="90" t="s">
        <v>376</v>
      </c>
      <c r="H2478" s="90">
        <v>0.59</v>
      </c>
      <c r="I2478" s="90">
        <v>0.64</v>
      </c>
      <c r="J2478" s="90" t="s">
        <v>244</v>
      </c>
      <c r="K2478" s="90">
        <v>6.8229855205440004E-2</v>
      </c>
      <c r="L2478" s="90">
        <v>3858.8736485366398</v>
      </c>
      <c r="M2478" s="90">
        <v>9.1021548714421794</v>
      </c>
      <c r="N2478" s="90">
        <v>1.2467484179247801</v>
      </c>
      <c r="O2478" s="90">
        <v>0.62103870893599</v>
      </c>
      <c r="P2478" s="90">
        <v>8.5065464032619997E-2</v>
      </c>
      <c r="Q2478" s="90">
        <v>263.29039029574301</v>
      </c>
      <c r="R2478" s="90">
        <v>1400</v>
      </c>
      <c r="S2478" s="90" t="s">
        <v>324</v>
      </c>
      <c r="T2478" s="90">
        <v>1400</v>
      </c>
      <c r="U2478" s="90" t="s">
        <v>378</v>
      </c>
      <c r="V2478" s="90" t="s">
        <v>244</v>
      </c>
      <c r="Z2478" s="90">
        <v>0</v>
      </c>
      <c r="AA2478" s="90">
        <v>1</v>
      </c>
      <c r="AB2478" s="90">
        <v>0.62103870893599</v>
      </c>
      <c r="AC2478" s="90">
        <v>8.5065464032619997E-2</v>
      </c>
      <c r="AD2478" s="90">
        <v>272.21775302563498</v>
      </c>
      <c r="AF2478" s="90">
        <v>-1</v>
      </c>
      <c r="AG2478" s="90">
        <v>-1</v>
      </c>
      <c r="AH2478" s="90">
        <v>-1</v>
      </c>
      <c r="AI2478" s="90">
        <v>-1</v>
      </c>
      <c r="AJ2478" s="90">
        <v>0</v>
      </c>
      <c r="AM2478" s="90" t="s">
        <v>379</v>
      </c>
      <c r="AN2478" s="90">
        <v>-1</v>
      </c>
      <c r="AQ2478" s="90">
        <v>358</v>
      </c>
      <c r="AR2478" s="90" t="s">
        <v>422</v>
      </c>
      <c r="AS2478" s="90" t="s">
        <v>250</v>
      </c>
      <c r="AT2478" s="90" t="s">
        <v>244</v>
      </c>
      <c r="AU2478" s="90">
        <v>86.412649999999999</v>
      </c>
      <c r="AV2478" s="90">
        <v>110.767826404102</v>
      </c>
      <c r="AW2478" s="90">
        <v>276.11642773755602</v>
      </c>
      <c r="AX2478" s="90">
        <v>0.22077676639999999</v>
      </c>
    </row>
    <row r="2479" spans="1:50" x14ac:dyDescent="0.25">
      <c r="A2479" s="102">
        <v>830000</v>
      </c>
      <c r="B2479" s="102">
        <v>2400000</v>
      </c>
      <c r="C2479" s="102">
        <v>2400000</v>
      </c>
      <c r="D2479" s="90" t="s">
        <v>374</v>
      </c>
      <c r="E2479" s="90" t="s">
        <v>68</v>
      </c>
      <c r="F2479" s="90" t="s">
        <v>375</v>
      </c>
      <c r="G2479" s="90" t="s">
        <v>376</v>
      </c>
      <c r="H2479" s="90">
        <v>0.59</v>
      </c>
      <c r="I2479" s="90">
        <v>0.64</v>
      </c>
      <c r="J2479" s="90" t="s">
        <v>244</v>
      </c>
      <c r="K2479" s="90">
        <v>9.3195268395310005E-2</v>
      </c>
      <c r="L2479" s="90">
        <v>3858.8736485366398</v>
      </c>
      <c r="M2479" s="90">
        <v>9.1021548714421794</v>
      </c>
      <c r="N2479" s="90">
        <v>1.2467484179247801</v>
      </c>
      <c r="O2479" s="90">
        <v>0.84827776621980999</v>
      </c>
      <c r="P2479" s="90">
        <v>0.11619105342994</v>
      </c>
      <c r="Q2479" s="90">
        <v>359.62876537899598</v>
      </c>
      <c r="R2479" s="90">
        <v>1210</v>
      </c>
      <c r="S2479" s="90" t="s">
        <v>385</v>
      </c>
      <c r="T2479" s="90">
        <v>1210</v>
      </c>
      <c r="U2479" s="90" t="s">
        <v>378</v>
      </c>
      <c r="V2479" s="90" t="s">
        <v>244</v>
      </c>
      <c r="Z2479" s="90">
        <v>0</v>
      </c>
      <c r="AA2479" s="90">
        <v>1</v>
      </c>
      <c r="AB2479" s="90">
        <v>0.84827776621980999</v>
      </c>
      <c r="AC2479" s="90">
        <v>0.11619105342994</v>
      </c>
      <c r="AD2479" s="90">
        <v>359.62876537899501</v>
      </c>
      <c r="AF2479" s="90">
        <v>-1</v>
      </c>
      <c r="AG2479" s="90">
        <v>-1</v>
      </c>
      <c r="AH2479" s="90">
        <v>-1</v>
      </c>
      <c r="AI2479" s="90">
        <v>-1</v>
      </c>
      <c r="AJ2479" s="90">
        <v>0</v>
      </c>
      <c r="AM2479" s="90" t="s">
        <v>379</v>
      </c>
      <c r="AN2479" s="90">
        <v>-1</v>
      </c>
      <c r="AQ2479" s="90">
        <v>358</v>
      </c>
      <c r="AR2479" s="90" t="s">
        <v>422</v>
      </c>
      <c r="AS2479" s="90" t="s">
        <v>250</v>
      </c>
      <c r="AT2479" s="90" t="s">
        <v>244</v>
      </c>
      <c r="AU2479" s="90">
        <v>86.412649999999999</v>
      </c>
      <c r="AV2479" s="90">
        <v>104.801939637693</v>
      </c>
      <c r="AW2479" s="90">
        <v>377.14787044288602</v>
      </c>
      <c r="AX2479" s="90">
        <v>0.29166972050000001</v>
      </c>
    </row>
    <row r="2480" spans="1:50" x14ac:dyDescent="0.25">
      <c r="A2480" s="102">
        <v>830000</v>
      </c>
      <c r="B2480" s="102">
        <v>2400000</v>
      </c>
      <c r="C2480" s="102">
        <v>2400000</v>
      </c>
      <c r="D2480" s="90" t="s">
        <v>374</v>
      </c>
      <c r="E2480" s="90" t="s">
        <v>68</v>
      </c>
      <c r="F2480" s="90" t="s">
        <v>375</v>
      </c>
      <c r="G2480" s="90" t="s">
        <v>376</v>
      </c>
      <c r="H2480" s="90">
        <v>0.59</v>
      </c>
      <c r="I2480" s="90">
        <v>0.64</v>
      </c>
      <c r="J2480" s="90" t="s">
        <v>244</v>
      </c>
      <c r="K2480" s="90">
        <v>0.45402486672448</v>
      </c>
      <c r="L2480" s="90">
        <v>3858.8736485366398</v>
      </c>
      <c r="M2480" s="90">
        <v>9.1021548714421794</v>
      </c>
      <c r="N2480" s="90">
        <v>1.2467484179247801</v>
      </c>
      <c r="O2480" s="90">
        <v>4.13260465241214</v>
      </c>
      <c r="P2480" s="90">
        <v>0.56605478428725997</v>
      </c>
      <c r="Q2480" s="90">
        <v>1752.0245939834699</v>
      </c>
      <c r="R2480" s="90">
        <v>1420</v>
      </c>
      <c r="S2480" s="90" t="s">
        <v>327</v>
      </c>
      <c r="T2480" s="90">
        <v>1420</v>
      </c>
      <c r="U2480" s="90" t="s">
        <v>378</v>
      </c>
      <c r="V2480" s="90" t="s">
        <v>244</v>
      </c>
      <c r="Z2480" s="90">
        <v>0</v>
      </c>
      <c r="AA2480" s="90">
        <v>1</v>
      </c>
      <c r="AB2480" s="90">
        <v>4.13260465241214</v>
      </c>
      <c r="AC2480" s="90">
        <v>0.56605478428725997</v>
      </c>
      <c r="AD2480" s="90">
        <v>1752.0245939834699</v>
      </c>
      <c r="AF2480" s="90">
        <v>-1</v>
      </c>
      <c r="AG2480" s="90">
        <v>-1</v>
      </c>
      <c r="AH2480" s="90">
        <v>-1</v>
      </c>
      <c r="AI2480" s="90">
        <v>-1</v>
      </c>
      <c r="AJ2480" s="90">
        <v>0</v>
      </c>
      <c r="AM2480" s="90" t="s">
        <v>379</v>
      </c>
      <c r="AN2480" s="90">
        <v>-1</v>
      </c>
      <c r="AQ2480" s="90">
        <v>358</v>
      </c>
      <c r="AR2480" s="90" t="s">
        <v>422</v>
      </c>
      <c r="AS2480" s="90" t="s">
        <v>250</v>
      </c>
      <c r="AT2480" s="90" t="s">
        <v>244</v>
      </c>
      <c r="AU2480" s="90">
        <v>86.412649999999999</v>
      </c>
      <c r="AV2480" s="90">
        <v>171.57353916028401</v>
      </c>
      <c r="AW2480" s="90">
        <v>1837.3734478332699</v>
      </c>
      <c r="AX2480" s="90">
        <v>1.4209445207</v>
      </c>
    </row>
    <row r="2481" spans="1:50" x14ac:dyDescent="0.25">
      <c r="A2481" s="102">
        <v>830000</v>
      </c>
      <c r="B2481" s="102">
        <v>2400000</v>
      </c>
      <c r="C2481" s="102">
        <v>2400000</v>
      </c>
      <c r="D2481" s="90" t="s">
        <v>374</v>
      </c>
      <c r="E2481" s="90" t="s">
        <v>68</v>
      </c>
      <c r="F2481" s="90" t="s">
        <v>375</v>
      </c>
      <c r="G2481" s="90" t="s">
        <v>376</v>
      </c>
      <c r="H2481" s="90">
        <v>0.59</v>
      </c>
      <c r="I2481" s="90">
        <v>0.64</v>
      </c>
      <c r="J2481" s="90" t="s">
        <v>244</v>
      </c>
      <c r="K2481" s="90">
        <v>2.9633940797330002E-2</v>
      </c>
      <c r="L2481" s="90">
        <v>3750.3634981117698</v>
      </c>
      <c r="M2481" s="90">
        <v>9.5334197773727603</v>
      </c>
      <c r="N2481" s="90">
        <v>1.6562238647047201</v>
      </c>
      <c r="O2481" s="90">
        <v>0.28251279727883</v>
      </c>
      <c r="P2481" s="90">
        <v>4.9080439953790002E-2</v>
      </c>
      <c r="Q2481" s="90">
        <v>111.138049871541</v>
      </c>
      <c r="R2481" s="90">
        <v>1390</v>
      </c>
      <c r="S2481" s="90" t="s">
        <v>402</v>
      </c>
      <c r="T2481" s="90">
        <v>1390</v>
      </c>
      <c r="U2481" s="90" t="s">
        <v>378</v>
      </c>
      <c r="V2481" s="90" t="s">
        <v>244</v>
      </c>
      <c r="Z2481" s="90">
        <v>0</v>
      </c>
      <c r="AA2481" s="90">
        <v>1</v>
      </c>
      <c r="AB2481" s="90">
        <v>0.28251279727883</v>
      </c>
      <c r="AC2481" s="90">
        <v>4.9080439953790002E-2</v>
      </c>
      <c r="AD2481" s="90">
        <v>111.138049871541</v>
      </c>
      <c r="AF2481" s="90">
        <v>-1</v>
      </c>
      <c r="AG2481" s="90">
        <v>-1</v>
      </c>
      <c r="AH2481" s="90">
        <v>-1</v>
      </c>
      <c r="AI2481" s="90">
        <v>-1</v>
      </c>
      <c r="AJ2481" s="90">
        <v>0</v>
      </c>
      <c r="AM2481" s="90" t="s">
        <v>379</v>
      </c>
      <c r="AN2481" s="90">
        <v>-1</v>
      </c>
      <c r="AQ2481" s="90">
        <v>358</v>
      </c>
      <c r="AR2481" s="90" t="s">
        <v>422</v>
      </c>
      <c r="AS2481" s="90" t="s">
        <v>250</v>
      </c>
      <c r="AT2481" s="90" t="s">
        <v>244</v>
      </c>
      <c r="AU2481" s="90">
        <v>86.412649999999999</v>
      </c>
      <c r="AV2481" s="90">
        <v>144.76446229165199</v>
      </c>
      <c r="AW2481" s="90">
        <v>119.924303636728</v>
      </c>
      <c r="AX2481" s="90">
        <v>9.0136293500000006E-2</v>
      </c>
    </row>
    <row r="2482" spans="1:50" x14ac:dyDescent="0.25">
      <c r="A2482" s="102">
        <v>830000</v>
      </c>
      <c r="B2482" s="102">
        <v>2400000</v>
      </c>
      <c r="C2482" s="102">
        <v>2400000</v>
      </c>
      <c r="D2482" s="90" t="s">
        <v>374</v>
      </c>
      <c r="E2482" s="90" t="s">
        <v>68</v>
      </c>
      <c r="F2482" s="90" t="s">
        <v>375</v>
      </c>
      <c r="G2482" s="90" t="s">
        <v>376</v>
      </c>
      <c r="H2482" s="90">
        <v>0.59</v>
      </c>
      <c r="I2482" s="90">
        <v>0.64</v>
      </c>
      <c r="J2482" s="90" t="s">
        <v>381</v>
      </c>
      <c r="K2482" s="90">
        <v>4.8435777195260002E-2</v>
      </c>
      <c r="L2482" s="90">
        <v>3750.3634981117698</v>
      </c>
      <c r="M2482" s="90">
        <v>9.5334197773727603</v>
      </c>
      <c r="N2482" s="90">
        <v>1.6562238647047201</v>
      </c>
      <c r="O2482" s="90">
        <v>0.46175859624579002</v>
      </c>
      <c r="P2482" s="90">
        <v>8.0220490096319999E-2</v>
      </c>
      <c r="Q2482" s="90">
        <v>181.65177079581099</v>
      </c>
      <c r="R2482" s="90">
        <v>1390</v>
      </c>
      <c r="S2482" s="90" t="s">
        <v>402</v>
      </c>
      <c r="T2482" s="90">
        <v>1390</v>
      </c>
      <c r="U2482" s="90" t="s">
        <v>382</v>
      </c>
      <c r="V2482" s="90" t="s">
        <v>381</v>
      </c>
      <c r="Z2482" s="90">
        <v>0</v>
      </c>
      <c r="AA2482" s="90">
        <v>1</v>
      </c>
      <c r="AB2482" s="90">
        <v>0.46175859624579002</v>
      </c>
      <c r="AC2482" s="90">
        <v>8.0220490096319999E-2</v>
      </c>
      <c r="AD2482" s="90">
        <v>181.65177079580999</v>
      </c>
      <c r="AF2482" s="90">
        <v>-1</v>
      </c>
      <c r="AG2482" s="90">
        <v>-1</v>
      </c>
      <c r="AH2482" s="90">
        <v>-1</v>
      </c>
      <c r="AI2482" s="90">
        <v>-1</v>
      </c>
      <c r="AJ2482" s="90">
        <v>0</v>
      </c>
      <c r="AM2482" s="90" t="s">
        <v>379</v>
      </c>
      <c r="AN2482" s="90">
        <v>-1</v>
      </c>
      <c r="AQ2482" s="90">
        <v>358</v>
      </c>
      <c r="AR2482" s="90" t="s">
        <v>422</v>
      </c>
      <c r="AS2482" s="90" t="s">
        <v>250</v>
      </c>
      <c r="AT2482" s="90" t="s">
        <v>244</v>
      </c>
      <c r="AU2482" s="90">
        <v>86.412649999999999</v>
      </c>
      <c r="AV2482" s="90">
        <v>107.87431628071801</v>
      </c>
      <c r="AW2482" s="90">
        <v>196.01263601660801</v>
      </c>
      <c r="AX2482" s="90">
        <v>0.1473250371</v>
      </c>
    </row>
    <row r="2483" spans="1:50" x14ac:dyDescent="0.25">
      <c r="A2483" s="102">
        <v>830000</v>
      </c>
      <c r="B2483" s="102">
        <v>2400000</v>
      </c>
      <c r="C2483" s="102">
        <v>2400000</v>
      </c>
      <c r="D2483" s="90" t="s">
        <v>374</v>
      </c>
      <c r="E2483" s="90" t="s">
        <v>68</v>
      </c>
      <c r="F2483" s="90" t="s">
        <v>375</v>
      </c>
      <c r="G2483" s="90" t="s">
        <v>376</v>
      </c>
      <c r="H2483" s="90">
        <v>0.59</v>
      </c>
      <c r="I2483" s="90">
        <v>0.64</v>
      </c>
      <c r="J2483" s="90" t="s">
        <v>244</v>
      </c>
      <c r="K2483" s="90">
        <v>1.9573548208700001E-3</v>
      </c>
      <c r="L2483" s="90">
        <v>3750.3634981117698</v>
      </c>
      <c r="M2483" s="90">
        <v>9.5334197773727603</v>
      </c>
      <c r="N2483" s="90">
        <v>1.6562238647047201</v>
      </c>
      <c r="O2483" s="90">
        <v>1.8660285160700001E-2</v>
      </c>
      <c r="P2483" s="90">
        <v>3.24181776603E-3</v>
      </c>
      <c r="Q2483" s="90">
        <v>7.3407920730777096</v>
      </c>
      <c r="R2483" s="90">
        <v>1300</v>
      </c>
      <c r="S2483" s="90" t="s">
        <v>387</v>
      </c>
      <c r="T2483" s="90">
        <v>1300</v>
      </c>
      <c r="U2483" s="90" t="s">
        <v>378</v>
      </c>
      <c r="V2483" s="90" t="s">
        <v>244</v>
      </c>
      <c r="Z2483" s="90">
        <v>0</v>
      </c>
      <c r="AA2483" s="90">
        <v>1</v>
      </c>
      <c r="AB2483" s="90">
        <v>1.8660285160700001E-2</v>
      </c>
      <c r="AC2483" s="90">
        <v>3.24181776603E-3</v>
      </c>
      <c r="AD2483" s="90">
        <v>7.34079207307588</v>
      </c>
      <c r="AF2483" s="90">
        <v>-1</v>
      </c>
      <c r="AG2483" s="90">
        <v>-1</v>
      </c>
      <c r="AH2483" s="90">
        <v>-1</v>
      </c>
      <c r="AI2483" s="90">
        <v>-1</v>
      </c>
      <c r="AJ2483" s="90">
        <v>0</v>
      </c>
      <c r="AM2483" s="90" t="s">
        <v>379</v>
      </c>
      <c r="AN2483" s="90">
        <v>-1</v>
      </c>
      <c r="AQ2483" s="90">
        <v>358</v>
      </c>
      <c r="AR2483" s="90" t="s">
        <v>422</v>
      </c>
      <c r="AS2483" s="90" t="s">
        <v>250</v>
      </c>
      <c r="AT2483" s="90" t="s">
        <v>244</v>
      </c>
      <c r="AU2483" s="90">
        <v>86.412649999999999</v>
      </c>
      <c r="AV2483" s="90">
        <v>100.346357625902</v>
      </c>
      <c r="AW2483" s="90">
        <v>7.9211339277877801</v>
      </c>
      <c r="AX2483" s="90">
        <v>5.9536027000000004E-3</v>
      </c>
    </row>
    <row r="2484" spans="1:50" x14ac:dyDescent="0.25">
      <c r="A2484" s="102">
        <v>830000</v>
      </c>
      <c r="B2484" s="102">
        <v>2400000</v>
      </c>
      <c r="C2484" s="102">
        <v>2400000</v>
      </c>
      <c r="D2484" s="90" t="s">
        <v>374</v>
      </c>
      <c r="E2484" s="90" t="s">
        <v>68</v>
      </c>
      <c r="F2484" s="90" t="s">
        <v>375</v>
      </c>
      <c r="G2484" s="90" t="s">
        <v>376</v>
      </c>
      <c r="H2484" s="90">
        <v>0.59</v>
      </c>
      <c r="I2484" s="90">
        <v>0.64</v>
      </c>
      <c r="J2484" s="90" t="s">
        <v>381</v>
      </c>
      <c r="K2484" s="90">
        <v>0.18356435271954999</v>
      </c>
      <c r="L2484" s="90">
        <v>3750.3634981117698</v>
      </c>
      <c r="M2484" s="90">
        <v>9.5334197773727603</v>
      </c>
      <c r="N2484" s="90">
        <v>1.6562238647047201</v>
      </c>
      <c r="O2484" s="90">
        <v>1.74999603063723</v>
      </c>
      <c r="P2484" s="90">
        <v>0.3040236616832</v>
      </c>
      <c r="Q2484" s="90">
        <v>688.433047993934</v>
      </c>
      <c r="R2484" s="90">
        <v>1300</v>
      </c>
      <c r="S2484" s="90" t="s">
        <v>387</v>
      </c>
      <c r="T2484" s="90">
        <v>1300</v>
      </c>
      <c r="U2484" s="90" t="s">
        <v>382</v>
      </c>
      <c r="V2484" s="90" t="s">
        <v>381</v>
      </c>
      <c r="Z2484" s="90">
        <v>0</v>
      </c>
      <c r="AA2484" s="90">
        <v>1</v>
      </c>
      <c r="AB2484" s="90">
        <v>1.74999603063723</v>
      </c>
      <c r="AC2484" s="90">
        <v>0.3040236616832</v>
      </c>
      <c r="AD2484" s="90">
        <v>688.433047993934</v>
      </c>
      <c r="AF2484" s="90">
        <v>-1</v>
      </c>
      <c r="AG2484" s="90">
        <v>-1</v>
      </c>
      <c r="AH2484" s="90">
        <v>-1</v>
      </c>
      <c r="AI2484" s="90">
        <v>-1</v>
      </c>
      <c r="AJ2484" s="90">
        <v>0</v>
      </c>
      <c r="AM2484" s="90" t="s">
        <v>379</v>
      </c>
      <c r="AN2484" s="90">
        <v>-1</v>
      </c>
      <c r="AQ2484" s="90">
        <v>358</v>
      </c>
      <c r="AR2484" s="90" t="s">
        <v>422</v>
      </c>
      <c r="AS2484" s="90" t="s">
        <v>250</v>
      </c>
      <c r="AT2484" s="90" t="s">
        <v>244</v>
      </c>
      <c r="AU2484" s="90">
        <v>86.412649999999999</v>
      </c>
      <c r="AV2484" s="90">
        <v>129.74379360631801</v>
      </c>
      <c r="AW2484" s="90">
        <v>742.85857972683198</v>
      </c>
      <c r="AX2484" s="90">
        <v>0.55833986049999995</v>
      </c>
    </row>
    <row r="2485" spans="1:50" x14ac:dyDescent="0.25">
      <c r="A2485" s="102">
        <v>830000</v>
      </c>
      <c r="B2485" s="102">
        <v>2400000</v>
      </c>
      <c r="C2485" s="102">
        <v>2400000</v>
      </c>
      <c r="D2485" s="90" t="s">
        <v>374</v>
      </c>
      <c r="E2485" s="90" t="s">
        <v>68</v>
      </c>
      <c r="F2485" s="90" t="s">
        <v>375</v>
      </c>
      <c r="G2485" s="90" t="s">
        <v>376</v>
      </c>
      <c r="H2485" s="90">
        <v>0.59</v>
      </c>
      <c r="I2485" s="90">
        <v>0.64</v>
      </c>
      <c r="J2485" s="90" t="s">
        <v>244</v>
      </c>
      <c r="K2485" s="90">
        <v>2.0251403324219999E-2</v>
      </c>
      <c r="L2485" s="90">
        <v>3750.3634981117698</v>
      </c>
      <c r="M2485" s="90">
        <v>9.5334197773727603</v>
      </c>
      <c r="N2485" s="90">
        <v>1.6562238647047201</v>
      </c>
      <c r="O2485" s="90">
        <v>0.1930651289707</v>
      </c>
      <c r="P2485" s="90">
        <v>3.354085747933E-2</v>
      </c>
      <c r="Q2485" s="90">
        <v>75.950123812705399</v>
      </c>
      <c r="R2485" s="90">
        <v>1210</v>
      </c>
      <c r="S2485" s="90" t="s">
        <v>385</v>
      </c>
      <c r="T2485" s="90">
        <v>1210</v>
      </c>
      <c r="U2485" s="90" t="s">
        <v>378</v>
      </c>
      <c r="V2485" s="90" t="s">
        <v>244</v>
      </c>
      <c r="Z2485" s="90">
        <v>0</v>
      </c>
      <c r="AA2485" s="90">
        <v>1</v>
      </c>
      <c r="AB2485" s="90">
        <v>0.1930651289707</v>
      </c>
      <c r="AC2485" s="90">
        <v>3.354085747933E-2</v>
      </c>
      <c r="AD2485" s="90">
        <v>75.950123812704703</v>
      </c>
      <c r="AF2485" s="90">
        <v>-1</v>
      </c>
      <c r="AG2485" s="90">
        <v>-1</v>
      </c>
      <c r="AH2485" s="90">
        <v>-1</v>
      </c>
      <c r="AI2485" s="90">
        <v>-1</v>
      </c>
      <c r="AJ2485" s="90">
        <v>0</v>
      </c>
      <c r="AM2485" s="90" t="s">
        <v>379</v>
      </c>
      <c r="AN2485" s="90">
        <v>-1</v>
      </c>
      <c r="AQ2485" s="90">
        <v>358</v>
      </c>
      <c r="AR2485" s="90" t="s">
        <v>422</v>
      </c>
      <c r="AS2485" s="90" t="s">
        <v>250</v>
      </c>
      <c r="AT2485" s="90" t="s">
        <v>244</v>
      </c>
      <c r="AU2485" s="90">
        <v>86.412649999999999</v>
      </c>
      <c r="AV2485" s="90">
        <v>36.656085537416402</v>
      </c>
      <c r="AW2485" s="90">
        <v>81.954521605243798</v>
      </c>
      <c r="AX2485" s="90">
        <v>6.15978295E-2</v>
      </c>
    </row>
    <row r="2486" spans="1:50" x14ac:dyDescent="0.25">
      <c r="A2486" s="102">
        <v>830000</v>
      </c>
      <c r="B2486" s="102">
        <v>2400000</v>
      </c>
      <c r="C2486" s="102">
        <v>2400000</v>
      </c>
      <c r="D2486" s="90" t="s">
        <v>374</v>
      </c>
      <c r="E2486" s="90" t="s">
        <v>68</v>
      </c>
      <c r="F2486" s="90" t="s">
        <v>375</v>
      </c>
      <c r="G2486" s="90" t="s">
        <v>376</v>
      </c>
      <c r="H2486" s="90">
        <v>0.59</v>
      </c>
      <c r="I2486" s="90">
        <v>0.64</v>
      </c>
      <c r="J2486" s="90" t="s">
        <v>244</v>
      </c>
      <c r="K2486" s="90">
        <v>8.1346533755990005E-2</v>
      </c>
      <c r="L2486" s="90">
        <v>3750.3634981117698</v>
      </c>
      <c r="M2486" s="90">
        <v>9.5334197773727603</v>
      </c>
      <c r="N2486" s="90">
        <v>1.6562238647047201</v>
      </c>
      <c r="O2486" s="90">
        <v>0.77551065373014005</v>
      </c>
      <c r="P2486" s="90">
        <v>0.13472807051769001</v>
      </c>
      <c r="Q2486" s="90">
        <v>305.07907089640798</v>
      </c>
      <c r="R2486" s="90">
        <v>1340</v>
      </c>
      <c r="S2486" s="90" t="s">
        <v>407</v>
      </c>
      <c r="T2486" s="90">
        <v>1340</v>
      </c>
      <c r="U2486" s="90" t="s">
        <v>378</v>
      </c>
      <c r="V2486" s="90" t="s">
        <v>244</v>
      </c>
      <c r="Z2486" s="90">
        <v>0</v>
      </c>
      <c r="AA2486" s="90">
        <v>1</v>
      </c>
      <c r="AB2486" s="90">
        <v>0.77551065373014005</v>
      </c>
      <c r="AC2486" s="90">
        <v>0.13472807051769001</v>
      </c>
      <c r="AD2486" s="90">
        <v>305.07907089640798</v>
      </c>
      <c r="AF2486" s="90">
        <v>-1</v>
      </c>
      <c r="AG2486" s="90">
        <v>-1</v>
      </c>
      <c r="AH2486" s="90">
        <v>-1</v>
      </c>
      <c r="AI2486" s="90">
        <v>-1</v>
      </c>
      <c r="AJ2486" s="90">
        <v>0</v>
      </c>
      <c r="AM2486" s="90" t="s">
        <v>379</v>
      </c>
      <c r="AN2486" s="90">
        <v>-1</v>
      </c>
      <c r="AQ2486" s="90">
        <v>358</v>
      </c>
      <c r="AR2486" s="90" t="s">
        <v>422</v>
      </c>
      <c r="AS2486" s="90" t="s">
        <v>250</v>
      </c>
      <c r="AT2486" s="90" t="s">
        <v>244</v>
      </c>
      <c r="AU2486" s="90">
        <v>86.412649999999999</v>
      </c>
      <c r="AV2486" s="90">
        <v>95.549578130580301</v>
      </c>
      <c r="AW2486" s="90">
        <v>329.197742570434</v>
      </c>
      <c r="AX2486" s="90">
        <v>0.2474282813</v>
      </c>
    </row>
    <row r="2487" spans="1:50" x14ac:dyDescent="0.25">
      <c r="A2487" s="102">
        <v>830000</v>
      </c>
      <c r="B2487" s="102">
        <v>2400000</v>
      </c>
      <c r="C2487" s="102">
        <v>2400000</v>
      </c>
      <c r="D2487" s="90" t="s">
        <v>374</v>
      </c>
      <c r="E2487" s="90" t="s">
        <v>68</v>
      </c>
      <c r="F2487" s="90" t="s">
        <v>375</v>
      </c>
      <c r="G2487" s="90" t="s">
        <v>376</v>
      </c>
      <c r="H2487" s="90">
        <v>0.59</v>
      </c>
      <c r="I2487" s="90">
        <v>0.64</v>
      </c>
      <c r="J2487" s="90" t="s">
        <v>244</v>
      </c>
      <c r="K2487" s="90">
        <v>6.5921527756420004E-2</v>
      </c>
      <c r="L2487" s="90">
        <v>3750.3634981117698</v>
      </c>
      <c r="M2487" s="90">
        <v>9.5334197773727603</v>
      </c>
      <c r="N2487" s="90">
        <v>1.6562238647047201</v>
      </c>
      <c r="O2487" s="90">
        <v>0.62845759646773003</v>
      </c>
      <c r="P2487" s="90">
        <v>0.10918080746798001</v>
      </c>
      <c r="Q2487" s="90">
        <v>247.229691437458</v>
      </c>
      <c r="R2487" s="90">
        <v>1210</v>
      </c>
      <c r="S2487" s="90" t="s">
        <v>385</v>
      </c>
      <c r="T2487" s="90">
        <v>1210</v>
      </c>
      <c r="U2487" s="90" t="s">
        <v>378</v>
      </c>
      <c r="V2487" s="90" t="s">
        <v>244</v>
      </c>
      <c r="Z2487" s="90">
        <v>0</v>
      </c>
      <c r="AA2487" s="90">
        <v>1</v>
      </c>
      <c r="AB2487" s="90">
        <v>0.62845759646773003</v>
      </c>
      <c r="AC2487" s="90">
        <v>0.10918080746798001</v>
      </c>
      <c r="AD2487" s="90">
        <v>247.229691437458</v>
      </c>
      <c r="AF2487" s="90">
        <v>-1</v>
      </c>
      <c r="AG2487" s="90">
        <v>-1</v>
      </c>
      <c r="AH2487" s="90">
        <v>-1</v>
      </c>
      <c r="AI2487" s="90">
        <v>-1</v>
      </c>
      <c r="AJ2487" s="90">
        <v>0</v>
      </c>
      <c r="AM2487" s="90" t="s">
        <v>379</v>
      </c>
      <c r="AN2487" s="90">
        <v>-1</v>
      </c>
      <c r="AQ2487" s="90">
        <v>358</v>
      </c>
      <c r="AR2487" s="90" t="s">
        <v>422</v>
      </c>
      <c r="AS2487" s="90" t="s">
        <v>250</v>
      </c>
      <c r="AT2487" s="90" t="s">
        <v>244</v>
      </c>
      <c r="AU2487" s="90">
        <v>86.412649999999999</v>
      </c>
      <c r="AV2487" s="90">
        <v>68.329749278599195</v>
      </c>
      <c r="AW2487" s="90">
        <v>266.77495797550802</v>
      </c>
      <c r="AX2487" s="90">
        <v>0.20051069869999999</v>
      </c>
    </row>
    <row r="2488" spans="1:50" x14ac:dyDescent="0.25">
      <c r="A2488" s="102">
        <v>830000</v>
      </c>
      <c r="B2488" s="102">
        <v>2400000</v>
      </c>
      <c r="C2488" s="102">
        <v>2400000</v>
      </c>
      <c r="D2488" s="90" t="s">
        <v>374</v>
      </c>
      <c r="E2488" s="90" t="s">
        <v>68</v>
      </c>
      <c r="F2488" s="90" t="s">
        <v>375</v>
      </c>
      <c r="G2488" s="90" t="s">
        <v>376</v>
      </c>
      <c r="H2488" s="90">
        <v>0.59</v>
      </c>
      <c r="I2488" s="90">
        <v>0.64</v>
      </c>
      <c r="J2488" s="90" t="s">
        <v>244</v>
      </c>
      <c r="K2488" s="90">
        <v>7.3812969151089994E-2</v>
      </c>
      <c r="L2488" s="90">
        <v>3750.3634981117698</v>
      </c>
      <c r="M2488" s="90">
        <v>9.5334197773727603</v>
      </c>
      <c r="N2488" s="90">
        <v>1.6562238647047201</v>
      </c>
      <c r="O2488" s="90">
        <v>0.70369001993168001</v>
      </c>
      <c r="P2488" s="90">
        <v>0.12225080103276</v>
      </c>
      <c r="Q2488" s="90">
        <v>276.825465191528</v>
      </c>
      <c r="R2488" s="90">
        <v>1210</v>
      </c>
      <c r="S2488" s="90" t="s">
        <v>385</v>
      </c>
      <c r="T2488" s="90">
        <v>1210</v>
      </c>
      <c r="U2488" s="90" t="s">
        <v>378</v>
      </c>
      <c r="V2488" s="90" t="s">
        <v>244</v>
      </c>
      <c r="Z2488" s="90">
        <v>0</v>
      </c>
      <c r="AA2488" s="90">
        <v>1</v>
      </c>
      <c r="AB2488" s="90">
        <v>0.70369001993168001</v>
      </c>
      <c r="AC2488" s="90">
        <v>0.12225080103276</v>
      </c>
      <c r="AD2488" s="90">
        <v>276.82546519152902</v>
      </c>
      <c r="AF2488" s="90">
        <v>-1</v>
      </c>
      <c r="AG2488" s="90">
        <v>-1</v>
      </c>
      <c r="AH2488" s="90">
        <v>-1</v>
      </c>
      <c r="AI2488" s="90">
        <v>-1</v>
      </c>
      <c r="AJ2488" s="90">
        <v>0</v>
      </c>
      <c r="AM2488" s="90" t="s">
        <v>379</v>
      </c>
      <c r="AN2488" s="90">
        <v>-1</v>
      </c>
      <c r="AQ2488" s="90">
        <v>358</v>
      </c>
      <c r="AR2488" s="90" t="s">
        <v>422</v>
      </c>
      <c r="AS2488" s="90" t="s">
        <v>250</v>
      </c>
      <c r="AT2488" s="90" t="s">
        <v>244</v>
      </c>
      <c r="AU2488" s="90">
        <v>86.412649999999999</v>
      </c>
      <c r="AV2488" s="90">
        <v>76.843644962328895</v>
      </c>
      <c r="AW2488" s="90">
        <v>298.71048826553499</v>
      </c>
      <c r="AX2488" s="90">
        <v>0.2245137593</v>
      </c>
    </row>
    <row r="2489" spans="1:50" x14ac:dyDescent="0.25">
      <c r="A2489" s="102">
        <v>830000</v>
      </c>
      <c r="B2489" s="102">
        <v>2400000</v>
      </c>
      <c r="C2489" s="102">
        <v>2400000</v>
      </c>
      <c r="D2489" s="90" t="s">
        <v>374</v>
      </c>
      <c r="E2489" s="90" t="s">
        <v>68</v>
      </c>
      <c r="F2489" s="90" t="s">
        <v>375</v>
      </c>
      <c r="G2489" s="90" t="s">
        <v>376</v>
      </c>
      <c r="H2489" s="90">
        <v>0.59</v>
      </c>
      <c r="I2489" s="90">
        <v>0.64</v>
      </c>
      <c r="J2489" s="90" t="s">
        <v>244</v>
      </c>
      <c r="K2489" s="90">
        <v>0.11283959426218999</v>
      </c>
      <c r="L2489" s="90">
        <v>3750.3634981117698</v>
      </c>
      <c r="M2489" s="90">
        <v>9.5334197773727603</v>
      </c>
      <c r="N2489" s="90">
        <v>1.6562238647047201</v>
      </c>
      <c r="O2489" s="90">
        <v>1.07574721960994</v>
      </c>
      <c r="P2489" s="90">
        <v>0.18688762890064001</v>
      </c>
      <c r="Q2489" s="90">
        <v>423.18949546268601</v>
      </c>
      <c r="R2489" s="90">
        <v>1210</v>
      </c>
      <c r="S2489" s="90" t="s">
        <v>385</v>
      </c>
      <c r="T2489" s="90">
        <v>1210</v>
      </c>
      <c r="U2489" s="90" t="s">
        <v>378</v>
      </c>
      <c r="V2489" s="90" t="s">
        <v>244</v>
      </c>
      <c r="Z2489" s="90">
        <v>0</v>
      </c>
      <c r="AA2489" s="90">
        <v>1</v>
      </c>
      <c r="AB2489" s="90">
        <v>1.07574721960994</v>
      </c>
      <c r="AC2489" s="90">
        <v>0.18688762890064001</v>
      </c>
      <c r="AD2489" s="90">
        <v>423.18949546268601</v>
      </c>
      <c r="AF2489" s="90">
        <v>-1</v>
      </c>
      <c r="AG2489" s="90">
        <v>-1</v>
      </c>
      <c r="AH2489" s="90">
        <v>-1</v>
      </c>
      <c r="AI2489" s="90">
        <v>-1</v>
      </c>
      <c r="AJ2489" s="90">
        <v>0</v>
      </c>
      <c r="AM2489" s="90" t="s">
        <v>379</v>
      </c>
      <c r="AN2489" s="90">
        <v>-1</v>
      </c>
      <c r="AQ2489" s="90">
        <v>358</v>
      </c>
      <c r="AR2489" s="90" t="s">
        <v>422</v>
      </c>
      <c r="AS2489" s="90" t="s">
        <v>250</v>
      </c>
      <c r="AT2489" s="90" t="s">
        <v>244</v>
      </c>
      <c r="AU2489" s="90">
        <v>86.412649999999999</v>
      </c>
      <c r="AV2489" s="90">
        <v>91.693272168930605</v>
      </c>
      <c r="AW2489" s="90">
        <v>456.64563674098201</v>
      </c>
      <c r="AX2489" s="90">
        <v>0.34321937990000001</v>
      </c>
    </row>
    <row r="2490" spans="1:50" x14ac:dyDescent="0.25">
      <c r="A2490" s="102">
        <v>830000</v>
      </c>
      <c r="B2490" s="102">
        <v>2400000</v>
      </c>
      <c r="C2490" s="102">
        <v>2400000</v>
      </c>
      <c r="D2490" s="90" t="s">
        <v>374</v>
      </c>
      <c r="E2490" s="90" t="s">
        <v>68</v>
      </c>
      <c r="F2490" s="90" t="s">
        <v>375</v>
      </c>
      <c r="G2490" s="90" t="s">
        <v>376</v>
      </c>
      <c r="H2490" s="90">
        <v>0.59</v>
      </c>
      <c r="I2490" s="90">
        <v>0.64</v>
      </c>
      <c r="J2490" s="90" t="s">
        <v>244</v>
      </c>
      <c r="K2490" s="90">
        <v>2.8981958205799999E-3</v>
      </c>
      <c r="L2490" s="90">
        <v>3758.9054002995099</v>
      </c>
      <c r="M2490" s="90">
        <v>10.804703725123501</v>
      </c>
      <c r="N2490" s="90">
        <v>2.0794840720780798</v>
      </c>
      <c r="O2490" s="90">
        <v>3.1314147178810002E-2</v>
      </c>
      <c r="P2490" s="90">
        <v>6.0267520466700001E-3</v>
      </c>
      <c r="Q2490" s="90">
        <v>10.8940439211224</v>
      </c>
      <c r="R2490" s="90">
        <v>1200</v>
      </c>
      <c r="S2490" s="90" t="s">
        <v>384</v>
      </c>
      <c r="T2490" s="90">
        <v>1200</v>
      </c>
      <c r="U2490" s="90" t="s">
        <v>378</v>
      </c>
      <c r="V2490" s="90" t="s">
        <v>244</v>
      </c>
      <c r="Z2490" s="90">
        <v>0</v>
      </c>
      <c r="AA2490" s="90">
        <v>1</v>
      </c>
      <c r="AB2490" s="90">
        <v>3.1314147178810002E-2</v>
      </c>
      <c r="AC2490" s="90">
        <v>6.0267520466700001E-3</v>
      </c>
      <c r="AD2490" s="90">
        <v>10.8940439211227</v>
      </c>
      <c r="AF2490" s="90">
        <v>-1</v>
      </c>
      <c r="AG2490" s="90">
        <v>-1</v>
      </c>
      <c r="AH2490" s="90">
        <v>-1</v>
      </c>
      <c r="AI2490" s="90">
        <v>-1</v>
      </c>
      <c r="AJ2490" s="90">
        <v>0</v>
      </c>
      <c r="AM2490" s="90" t="s">
        <v>379</v>
      </c>
      <c r="AN2490" s="90">
        <v>-1</v>
      </c>
      <c r="AQ2490" s="90">
        <v>358</v>
      </c>
      <c r="AR2490" s="90" t="s">
        <v>422</v>
      </c>
      <c r="AS2490" s="90" t="s">
        <v>250</v>
      </c>
      <c r="AT2490" s="90" t="s">
        <v>244</v>
      </c>
      <c r="AU2490" s="90">
        <v>86.412649999999999</v>
      </c>
      <c r="AV2490" s="90">
        <v>41.925863052793801</v>
      </c>
      <c r="AW2490" s="90">
        <v>11.7285823699075</v>
      </c>
      <c r="AX2490" s="90">
        <v>8.8353965000000003E-3</v>
      </c>
    </row>
    <row r="2491" spans="1:50" x14ac:dyDescent="0.25">
      <c r="A2491" s="102">
        <v>830000</v>
      </c>
      <c r="B2491" s="102">
        <v>2400000</v>
      </c>
      <c r="C2491" s="102">
        <v>2400000</v>
      </c>
      <c r="D2491" s="90" t="s">
        <v>374</v>
      </c>
      <c r="E2491" s="90" t="s">
        <v>68</v>
      </c>
      <c r="F2491" s="90" t="s">
        <v>375</v>
      </c>
      <c r="G2491" s="90" t="s">
        <v>376</v>
      </c>
      <c r="H2491" s="90">
        <v>0.59</v>
      </c>
      <c r="I2491" s="90">
        <v>0.64</v>
      </c>
      <c r="J2491" s="90" t="s">
        <v>244</v>
      </c>
      <c r="K2491" s="90">
        <v>0.43899672882400997</v>
      </c>
      <c r="L2491" s="90">
        <v>3758.9054002995099</v>
      </c>
      <c r="M2491" s="90">
        <v>10.804703725123501</v>
      </c>
      <c r="N2491" s="90">
        <v>2.0794840720780798</v>
      </c>
      <c r="O2491" s="90">
        <v>4.7432295912418301</v>
      </c>
      <c r="P2491" s="90">
        <v>0.91288670528391003</v>
      </c>
      <c r="Q2491" s="90">
        <v>1650.1471746904001</v>
      </c>
      <c r="R2491" s="90">
        <v>1300</v>
      </c>
      <c r="S2491" s="90" t="s">
        <v>387</v>
      </c>
      <c r="T2491" s="90">
        <v>1300</v>
      </c>
      <c r="U2491" s="90" t="s">
        <v>378</v>
      </c>
      <c r="V2491" s="90" t="s">
        <v>244</v>
      </c>
      <c r="Z2491" s="90">
        <v>0</v>
      </c>
      <c r="AA2491" s="90">
        <v>1</v>
      </c>
      <c r="AB2491" s="90">
        <v>4.7432295912418301</v>
      </c>
      <c r="AC2491" s="90">
        <v>0.91288670528391003</v>
      </c>
      <c r="AD2491" s="90">
        <v>1650.1471746904001</v>
      </c>
      <c r="AF2491" s="90">
        <v>-1</v>
      </c>
      <c r="AG2491" s="90">
        <v>-1</v>
      </c>
      <c r="AH2491" s="90">
        <v>-1</v>
      </c>
      <c r="AI2491" s="90">
        <v>-1</v>
      </c>
      <c r="AJ2491" s="90">
        <v>0</v>
      </c>
      <c r="AM2491" s="90" t="s">
        <v>379</v>
      </c>
      <c r="AN2491" s="90">
        <v>-1</v>
      </c>
      <c r="AQ2491" s="90">
        <v>358</v>
      </c>
      <c r="AR2491" s="90" t="s">
        <v>422</v>
      </c>
      <c r="AS2491" s="90" t="s">
        <v>250</v>
      </c>
      <c r="AT2491" s="90" t="s">
        <v>244</v>
      </c>
      <c r="AU2491" s="90">
        <v>86.412649999999999</v>
      </c>
      <c r="AV2491" s="90">
        <v>264.00964273123202</v>
      </c>
      <c r="AW2491" s="90">
        <v>1776.5567314540399</v>
      </c>
      <c r="AX2491" s="90">
        <v>1.3383188765</v>
      </c>
    </row>
    <row r="2492" spans="1:50" x14ac:dyDescent="0.25">
      <c r="A2492" s="102">
        <v>830000</v>
      </c>
      <c r="B2492" s="102">
        <v>2400000</v>
      </c>
      <c r="C2492" s="102">
        <v>2400000</v>
      </c>
      <c r="D2492" s="90" t="s">
        <v>374</v>
      </c>
      <c r="E2492" s="90" t="s">
        <v>68</v>
      </c>
      <c r="F2492" s="90" t="s">
        <v>375</v>
      </c>
      <c r="G2492" s="90" t="s">
        <v>376</v>
      </c>
      <c r="H2492" s="90">
        <v>0.59</v>
      </c>
      <c r="I2492" s="90">
        <v>0.64</v>
      </c>
      <c r="J2492" s="90" t="s">
        <v>381</v>
      </c>
      <c r="K2492" s="90">
        <v>7.3789581531710002E-2</v>
      </c>
      <c r="L2492" s="90">
        <v>3758.9054002995099</v>
      </c>
      <c r="M2492" s="90">
        <v>10.804703725123501</v>
      </c>
      <c r="N2492" s="90">
        <v>2.0794840720780798</v>
      </c>
      <c r="O2492" s="90">
        <v>0.79727456645105999</v>
      </c>
      <c r="P2492" s="90">
        <v>0.15344425948050999</v>
      </c>
      <c r="Q2492" s="90">
        <v>277.36805650541999</v>
      </c>
      <c r="R2492" s="90">
        <v>1300</v>
      </c>
      <c r="S2492" s="90" t="s">
        <v>387</v>
      </c>
      <c r="T2492" s="90">
        <v>1300</v>
      </c>
      <c r="U2492" s="90" t="s">
        <v>382</v>
      </c>
      <c r="V2492" s="90" t="s">
        <v>381</v>
      </c>
      <c r="Z2492" s="90">
        <v>0</v>
      </c>
      <c r="AA2492" s="90">
        <v>1</v>
      </c>
      <c r="AB2492" s="90">
        <v>0.79727456645105999</v>
      </c>
      <c r="AC2492" s="90">
        <v>0.15344425948050999</v>
      </c>
      <c r="AD2492" s="90">
        <v>277.36805650542101</v>
      </c>
      <c r="AF2492" s="90">
        <v>-1</v>
      </c>
      <c r="AG2492" s="90">
        <v>-1</v>
      </c>
      <c r="AH2492" s="90">
        <v>-1</v>
      </c>
      <c r="AI2492" s="90">
        <v>-1</v>
      </c>
      <c r="AJ2492" s="90">
        <v>0</v>
      </c>
      <c r="AM2492" s="90" t="s">
        <v>379</v>
      </c>
      <c r="AN2492" s="90">
        <v>-1</v>
      </c>
      <c r="AQ2492" s="90">
        <v>358</v>
      </c>
      <c r="AR2492" s="90" t="s">
        <v>422</v>
      </c>
      <c r="AS2492" s="90" t="s">
        <v>250</v>
      </c>
      <c r="AT2492" s="90" t="s">
        <v>244</v>
      </c>
      <c r="AU2492" s="90">
        <v>86.412649999999999</v>
      </c>
      <c r="AV2492" s="90">
        <v>111.198855792982</v>
      </c>
      <c r="AW2492" s="90">
        <v>298.61584192784602</v>
      </c>
      <c r="AX2492" s="90">
        <v>0.22495381710000001</v>
      </c>
    </row>
    <row r="2493" spans="1:50" x14ac:dyDescent="0.25">
      <c r="A2493" s="102">
        <v>830000</v>
      </c>
      <c r="B2493" s="102">
        <v>2400000</v>
      </c>
      <c r="C2493" s="102">
        <v>2400000</v>
      </c>
      <c r="D2493" s="90" t="s">
        <v>374</v>
      </c>
      <c r="E2493" s="90" t="s">
        <v>68</v>
      </c>
      <c r="F2493" s="90" t="s">
        <v>375</v>
      </c>
      <c r="G2493" s="90" t="s">
        <v>376</v>
      </c>
      <c r="H2493" s="90">
        <v>0.59</v>
      </c>
      <c r="I2493" s="90">
        <v>0.64</v>
      </c>
      <c r="J2493" s="90" t="s">
        <v>244</v>
      </c>
      <c r="K2493" s="90">
        <v>0.1020789479826</v>
      </c>
      <c r="L2493" s="90">
        <v>3758.9054002995099</v>
      </c>
      <c r="M2493" s="90">
        <v>10.804703725123501</v>
      </c>
      <c r="N2493" s="90">
        <v>2.0794840720780798</v>
      </c>
      <c r="O2493" s="90">
        <v>1.1029327895243799</v>
      </c>
      <c r="P2493" s="90">
        <v>0.21227154642432</v>
      </c>
      <c r="Q2493" s="90">
        <v>383.70510882872202</v>
      </c>
      <c r="R2493" s="90">
        <v>1340</v>
      </c>
      <c r="S2493" s="90" t="s">
        <v>407</v>
      </c>
      <c r="T2493" s="90">
        <v>1340</v>
      </c>
      <c r="U2493" s="90" t="s">
        <v>378</v>
      </c>
      <c r="V2493" s="90" t="s">
        <v>244</v>
      </c>
      <c r="Z2493" s="90">
        <v>0</v>
      </c>
      <c r="AA2493" s="90">
        <v>1</v>
      </c>
      <c r="AB2493" s="90">
        <v>1.1029327895243799</v>
      </c>
      <c r="AC2493" s="90">
        <v>0.21227154642432</v>
      </c>
      <c r="AD2493" s="90">
        <v>383.70510882872202</v>
      </c>
      <c r="AF2493" s="90">
        <v>-1</v>
      </c>
      <c r="AG2493" s="90">
        <v>-1</v>
      </c>
      <c r="AH2493" s="90">
        <v>-1</v>
      </c>
      <c r="AI2493" s="90">
        <v>-1</v>
      </c>
      <c r="AJ2493" s="90">
        <v>0</v>
      </c>
      <c r="AM2493" s="90" t="s">
        <v>379</v>
      </c>
      <c r="AN2493" s="90">
        <v>-1</v>
      </c>
      <c r="AQ2493" s="90">
        <v>358</v>
      </c>
      <c r="AR2493" s="90" t="s">
        <v>422</v>
      </c>
      <c r="AS2493" s="90" t="s">
        <v>250</v>
      </c>
      <c r="AT2493" s="90" t="s">
        <v>244</v>
      </c>
      <c r="AU2493" s="90">
        <v>86.412649999999999</v>
      </c>
      <c r="AV2493" s="90">
        <v>94.357842381834502</v>
      </c>
      <c r="AW2493" s="90">
        <v>413.09884623525602</v>
      </c>
      <c r="AX2493" s="90">
        <v>0.31119635750000002</v>
      </c>
    </row>
    <row r="2494" spans="1:50" x14ac:dyDescent="0.25">
      <c r="A2494" s="102">
        <v>830000</v>
      </c>
      <c r="B2494" s="102">
        <v>2400000</v>
      </c>
      <c r="C2494" s="102">
        <v>2400000</v>
      </c>
      <c r="D2494" s="90" t="s">
        <v>374</v>
      </c>
      <c r="E2494" s="90" t="s">
        <v>68</v>
      </c>
      <c r="F2494" s="90" t="s">
        <v>375</v>
      </c>
      <c r="G2494" s="90" t="s">
        <v>376</v>
      </c>
      <c r="H2494" s="90">
        <v>0.59</v>
      </c>
      <c r="I2494" s="90">
        <v>0.64</v>
      </c>
      <c r="J2494" s="90" t="s">
        <v>244</v>
      </c>
      <c r="K2494" s="90">
        <v>6.1889520516039999E-2</v>
      </c>
      <c r="L2494" s="90">
        <v>3742.4042608154</v>
      </c>
      <c r="M2494" s="90">
        <v>9.1530275365459008</v>
      </c>
      <c r="N2494" s="90">
        <v>1.54002286797537</v>
      </c>
      <c r="O2494" s="90">
        <v>0.56647648550694996</v>
      </c>
      <c r="P2494" s="90">
        <v>9.5311276882730001E-2</v>
      </c>
      <c r="Q2494" s="90">
        <v>231.615605279058</v>
      </c>
      <c r="R2494" s="90">
        <v>1100</v>
      </c>
      <c r="S2494" s="90" t="s">
        <v>424</v>
      </c>
      <c r="T2494" s="90">
        <v>1100</v>
      </c>
      <c r="U2494" s="90" t="s">
        <v>378</v>
      </c>
      <c r="V2494" s="90" t="s">
        <v>244</v>
      </c>
      <c r="Z2494" s="90">
        <v>0</v>
      </c>
      <c r="AA2494" s="90">
        <v>1</v>
      </c>
      <c r="AB2494" s="90">
        <v>0.56647648550694996</v>
      </c>
      <c r="AC2494" s="90">
        <v>9.5311276882730001E-2</v>
      </c>
      <c r="AD2494" s="90">
        <v>231.615605279058</v>
      </c>
      <c r="AF2494" s="90">
        <v>-1</v>
      </c>
      <c r="AG2494" s="90">
        <v>-1</v>
      </c>
      <c r="AH2494" s="90">
        <v>-1</v>
      </c>
      <c r="AI2494" s="90">
        <v>-1</v>
      </c>
      <c r="AJ2494" s="90">
        <v>0</v>
      </c>
      <c r="AM2494" s="90" t="s">
        <v>379</v>
      </c>
      <c r="AN2494" s="90">
        <v>-1</v>
      </c>
      <c r="AQ2494" s="90">
        <v>358</v>
      </c>
      <c r="AR2494" s="90" t="s">
        <v>422</v>
      </c>
      <c r="AS2494" s="90" t="s">
        <v>250</v>
      </c>
      <c r="AT2494" s="90" t="s">
        <v>244</v>
      </c>
      <c r="AU2494" s="90">
        <v>86.412649999999999</v>
      </c>
      <c r="AV2494" s="90">
        <v>117.155252925124</v>
      </c>
      <c r="AW2494" s="90">
        <v>250.45800357960101</v>
      </c>
      <c r="AX2494" s="90">
        <v>0.18784720620000001</v>
      </c>
    </row>
    <row r="2495" spans="1:50" x14ac:dyDescent="0.25">
      <c r="A2495" s="102">
        <v>830000</v>
      </c>
      <c r="B2495" s="102">
        <v>2400000</v>
      </c>
      <c r="C2495" s="102">
        <v>2400000</v>
      </c>
      <c r="D2495" s="90" t="s">
        <v>374</v>
      </c>
      <c r="E2495" s="90" t="s">
        <v>68</v>
      </c>
      <c r="F2495" s="90" t="s">
        <v>375</v>
      </c>
      <c r="G2495" s="90" t="s">
        <v>376</v>
      </c>
      <c r="H2495" s="90">
        <v>0.59</v>
      </c>
      <c r="I2495" s="90">
        <v>0.64</v>
      </c>
      <c r="J2495" s="90" t="s">
        <v>244</v>
      </c>
      <c r="K2495" s="90">
        <v>0.21640731917365999</v>
      </c>
      <c r="L2495" s="90">
        <v>3742.4042608154</v>
      </c>
      <c r="M2495" s="90">
        <v>9.1530275365459008</v>
      </c>
      <c r="N2495" s="90">
        <v>1.54002286797537</v>
      </c>
      <c r="O2495" s="90">
        <v>1.98078215150663</v>
      </c>
      <c r="P2495" s="90">
        <v>0.33327222032469001</v>
      </c>
      <c r="Q2495" s="90">
        <v>809.88367334716304</v>
      </c>
      <c r="R2495" s="90">
        <v>1300</v>
      </c>
      <c r="S2495" s="90" t="s">
        <v>387</v>
      </c>
      <c r="T2495" s="90">
        <v>1300</v>
      </c>
      <c r="U2495" s="90" t="s">
        <v>378</v>
      </c>
      <c r="V2495" s="90" t="s">
        <v>244</v>
      </c>
      <c r="Z2495" s="90">
        <v>0</v>
      </c>
      <c r="AA2495" s="90">
        <v>1</v>
      </c>
      <c r="AB2495" s="90">
        <v>1.98078215150663</v>
      </c>
      <c r="AC2495" s="90">
        <v>0.33327222032469001</v>
      </c>
      <c r="AD2495" s="90">
        <v>809.88367334716304</v>
      </c>
      <c r="AF2495" s="90">
        <v>-1</v>
      </c>
      <c r="AG2495" s="90">
        <v>-1</v>
      </c>
      <c r="AH2495" s="90">
        <v>-1</v>
      </c>
      <c r="AI2495" s="90">
        <v>-1</v>
      </c>
      <c r="AJ2495" s="90">
        <v>0</v>
      </c>
      <c r="AM2495" s="90" t="s">
        <v>379</v>
      </c>
      <c r="AN2495" s="90">
        <v>-1</v>
      </c>
      <c r="AQ2495" s="90">
        <v>358</v>
      </c>
      <c r="AR2495" s="90" t="s">
        <v>422</v>
      </c>
      <c r="AS2495" s="90" t="s">
        <v>250</v>
      </c>
      <c r="AT2495" s="90" t="s">
        <v>244</v>
      </c>
      <c r="AU2495" s="90">
        <v>86.412649999999999</v>
      </c>
      <c r="AV2495" s="90">
        <v>180.173943534964</v>
      </c>
      <c r="AW2495" s="90">
        <v>875.76934945231199</v>
      </c>
      <c r="AX2495" s="90">
        <v>0.65683996219999996</v>
      </c>
    </row>
    <row r="2496" spans="1:50" x14ac:dyDescent="0.25">
      <c r="A2496" s="102">
        <v>830000</v>
      </c>
      <c r="B2496" s="102">
        <v>2400000</v>
      </c>
      <c r="C2496" s="102">
        <v>2400000</v>
      </c>
      <c r="D2496" s="90" t="s">
        <v>374</v>
      </c>
      <c r="E2496" s="90" t="s">
        <v>68</v>
      </c>
      <c r="F2496" s="90" t="s">
        <v>375</v>
      </c>
      <c r="G2496" s="90" t="s">
        <v>376</v>
      </c>
      <c r="H2496" s="90">
        <v>0.59</v>
      </c>
      <c r="I2496" s="90">
        <v>0.64</v>
      </c>
      <c r="J2496" s="90" t="s">
        <v>381</v>
      </c>
      <c r="K2496" s="90">
        <v>7.8966438190999997E-3</v>
      </c>
      <c r="L2496" s="90">
        <v>3742.4042608154</v>
      </c>
      <c r="M2496" s="90">
        <v>9.1530275365459008</v>
      </c>
      <c r="N2496" s="90">
        <v>1.54002286797537</v>
      </c>
      <c r="O2496" s="90">
        <v>7.2278198322519999E-2</v>
      </c>
      <c r="P2496" s="90">
        <v>1.216101206167E-2</v>
      </c>
      <c r="Q2496" s="90">
        <v>29.5524334747452</v>
      </c>
      <c r="R2496" s="90">
        <v>1300</v>
      </c>
      <c r="S2496" s="90" t="s">
        <v>387</v>
      </c>
      <c r="T2496" s="90">
        <v>1300</v>
      </c>
      <c r="U2496" s="90" t="s">
        <v>382</v>
      </c>
      <c r="V2496" s="90" t="s">
        <v>381</v>
      </c>
      <c r="Z2496" s="90">
        <v>0</v>
      </c>
      <c r="AA2496" s="90">
        <v>1</v>
      </c>
      <c r="AB2496" s="90">
        <v>7.2278198322519999E-2</v>
      </c>
      <c r="AC2496" s="90">
        <v>1.216101206167E-2</v>
      </c>
      <c r="AD2496" s="90">
        <v>29.552433474744099</v>
      </c>
      <c r="AF2496" s="90">
        <v>-1</v>
      </c>
      <c r="AG2496" s="90">
        <v>-1</v>
      </c>
      <c r="AH2496" s="90">
        <v>-1</v>
      </c>
      <c r="AI2496" s="90">
        <v>-1</v>
      </c>
      <c r="AJ2496" s="90">
        <v>0</v>
      </c>
      <c r="AM2496" s="90" t="s">
        <v>379</v>
      </c>
      <c r="AN2496" s="90">
        <v>-1</v>
      </c>
      <c r="AQ2496" s="90">
        <v>358</v>
      </c>
      <c r="AR2496" s="90" t="s">
        <v>422</v>
      </c>
      <c r="AS2496" s="90" t="s">
        <v>250</v>
      </c>
      <c r="AT2496" s="90" t="s">
        <v>244</v>
      </c>
      <c r="AU2496" s="90">
        <v>86.412649999999999</v>
      </c>
      <c r="AV2496" s="90">
        <v>73.639009639790501</v>
      </c>
      <c r="AW2496" s="90">
        <v>31.9565837547329</v>
      </c>
      <c r="AX2496" s="90">
        <v>2.39679104E-2</v>
      </c>
    </row>
    <row r="2497" spans="1:50" x14ac:dyDescent="0.25">
      <c r="A2497" s="102">
        <v>830000</v>
      </c>
      <c r="B2497" s="102">
        <v>2400000</v>
      </c>
      <c r="C2497" s="102">
        <v>2400000</v>
      </c>
      <c r="D2497" s="90" t="s">
        <v>374</v>
      </c>
      <c r="E2497" s="90" t="s">
        <v>68</v>
      </c>
      <c r="F2497" s="90" t="s">
        <v>375</v>
      </c>
      <c r="G2497" s="90" t="s">
        <v>376</v>
      </c>
      <c r="H2497" s="90">
        <v>0.59</v>
      </c>
      <c r="I2497" s="90">
        <v>0.64</v>
      </c>
      <c r="J2497" s="90" t="s">
        <v>244</v>
      </c>
      <c r="K2497" s="90">
        <v>2.6449251188189998E-2</v>
      </c>
      <c r="L2497" s="90">
        <v>3742.4042608154</v>
      </c>
      <c r="M2497" s="90">
        <v>9.1530275365459008</v>
      </c>
      <c r="N2497" s="90">
        <v>1.54002286797537</v>
      </c>
      <c r="O2497" s="90">
        <v>0.24209072444658999</v>
      </c>
      <c r="P2497" s="90">
        <v>4.0732451670649997E-2</v>
      </c>
      <c r="Q2497" s="90">
        <v>98.983790342089094</v>
      </c>
      <c r="R2497" s="90">
        <v>1330</v>
      </c>
      <c r="S2497" s="90" t="s">
        <v>397</v>
      </c>
      <c r="T2497" s="90">
        <v>1330</v>
      </c>
      <c r="U2497" s="90" t="s">
        <v>378</v>
      </c>
      <c r="V2497" s="90" t="s">
        <v>244</v>
      </c>
      <c r="Z2497" s="90">
        <v>0</v>
      </c>
      <c r="AA2497" s="90">
        <v>1</v>
      </c>
      <c r="AB2497" s="90">
        <v>0.24209072444658999</v>
      </c>
      <c r="AC2497" s="90">
        <v>4.0732451670649997E-2</v>
      </c>
      <c r="AD2497" s="90">
        <v>98.983790342089904</v>
      </c>
      <c r="AF2497" s="90">
        <v>-1</v>
      </c>
      <c r="AG2497" s="90">
        <v>-1</v>
      </c>
      <c r="AH2497" s="90">
        <v>-1</v>
      </c>
      <c r="AI2497" s="90">
        <v>-1</v>
      </c>
      <c r="AJ2497" s="90">
        <v>0</v>
      </c>
      <c r="AM2497" s="90" t="s">
        <v>379</v>
      </c>
      <c r="AN2497" s="90">
        <v>-1</v>
      </c>
      <c r="AQ2497" s="90">
        <v>358</v>
      </c>
      <c r="AR2497" s="90" t="s">
        <v>422</v>
      </c>
      <c r="AS2497" s="90" t="s">
        <v>250</v>
      </c>
      <c r="AT2497" s="90" t="s">
        <v>244</v>
      </c>
      <c r="AU2497" s="90">
        <v>86.412649999999999</v>
      </c>
      <c r="AV2497" s="90">
        <v>67.518407509419802</v>
      </c>
      <c r="AW2497" s="90">
        <v>107.03632203863</v>
      </c>
      <c r="AX2497" s="90">
        <v>8.0278824299999996E-2</v>
      </c>
    </row>
    <row r="2498" spans="1:50" x14ac:dyDescent="0.25">
      <c r="A2498" s="102">
        <v>830000</v>
      </c>
      <c r="B2498" s="102">
        <v>2400000</v>
      </c>
      <c r="C2498" s="102">
        <v>2400000</v>
      </c>
      <c r="D2498" s="90" t="s">
        <v>374</v>
      </c>
      <c r="E2498" s="90" t="s">
        <v>68</v>
      </c>
      <c r="F2498" s="90" t="s">
        <v>375</v>
      </c>
      <c r="G2498" s="90" t="s">
        <v>376</v>
      </c>
      <c r="H2498" s="90">
        <v>0.59</v>
      </c>
      <c r="I2498" s="90">
        <v>0.64</v>
      </c>
      <c r="J2498" s="90" t="s">
        <v>244</v>
      </c>
      <c r="K2498" s="90">
        <v>1.0626921104949999E-2</v>
      </c>
      <c r="L2498" s="90">
        <v>3742.4042608154</v>
      </c>
      <c r="M2498" s="90">
        <v>9.1530275365459008</v>
      </c>
      <c r="N2498" s="90">
        <v>1.54002286797537</v>
      </c>
      <c r="O2498" s="90">
        <v>9.726850150237E-2</v>
      </c>
      <c r="P2498" s="90">
        <v>1.6365701517800001E-2</v>
      </c>
      <c r="Q2498" s="90">
        <v>39.770234822540203</v>
      </c>
      <c r="R2498" s="90">
        <v>1210</v>
      </c>
      <c r="S2498" s="90" t="s">
        <v>385</v>
      </c>
      <c r="T2498" s="90">
        <v>1210</v>
      </c>
      <c r="U2498" s="90" t="s">
        <v>378</v>
      </c>
      <c r="V2498" s="90" t="s">
        <v>244</v>
      </c>
      <c r="Z2498" s="90">
        <v>0</v>
      </c>
      <c r="AA2498" s="90">
        <v>1</v>
      </c>
      <c r="AB2498" s="90">
        <v>9.726850150237E-2</v>
      </c>
      <c r="AC2498" s="90">
        <v>1.6365701517800001E-2</v>
      </c>
      <c r="AD2498" s="90">
        <v>39.770234822539102</v>
      </c>
      <c r="AF2498" s="90">
        <v>-1</v>
      </c>
      <c r="AG2498" s="90">
        <v>-1</v>
      </c>
      <c r="AH2498" s="90">
        <v>-1</v>
      </c>
      <c r="AI2498" s="90">
        <v>-1</v>
      </c>
      <c r="AJ2498" s="90">
        <v>0</v>
      </c>
      <c r="AM2498" s="90" t="s">
        <v>379</v>
      </c>
      <c r="AN2498" s="90">
        <v>-1</v>
      </c>
      <c r="AQ2498" s="90">
        <v>358</v>
      </c>
      <c r="AR2498" s="90" t="s">
        <v>422</v>
      </c>
      <c r="AS2498" s="90" t="s">
        <v>250</v>
      </c>
      <c r="AT2498" s="90" t="s">
        <v>244</v>
      </c>
      <c r="AU2498" s="90">
        <v>86.412649999999999</v>
      </c>
      <c r="AV2498" s="90">
        <v>33.578471694700099</v>
      </c>
      <c r="AW2498" s="90">
        <v>43.005623923932198</v>
      </c>
      <c r="AX2498" s="90">
        <v>3.2254853899999998E-2</v>
      </c>
    </row>
    <row r="2499" spans="1:50" x14ac:dyDescent="0.25">
      <c r="A2499" s="102">
        <v>830000</v>
      </c>
      <c r="B2499" s="102">
        <v>2400000</v>
      </c>
      <c r="C2499" s="102">
        <v>2400000</v>
      </c>
      <c r="D2499" s="90" t="s">
        <v>374</v>
      </c>
      <c r="E2499" s="90" t="s">
        <v>68</v>
      </c>
      <c r="F2499" s="90" t="s">
        <v>375</v>
      </c>
      <c r="G2499" s="90" t="s">
        <v>376</v>
      </c>
      <c r="H2499" s="90">
        <v>0.59</v>
      </c>
      <c r="I2499" s="90">
        <v>0.64</v>
      </c>
      <c r="J2499" s="90" t="s">
        <v>244</v>
      </c>
      <c r="K2499" s="90">
        <v>4.653971653531E-2</v>
      </c>
      <c r="L2499" s="90">
        <v>3742.4042608154</v>
      </c>
      <c r="M2499" s="90">
        <v>9.1530275365459008</v>
      </c>
      <c r="N2499" s="90">
        <v>1.54002286797537</v>
      </c>
      <c r="O2499" s="90">
        <v>0.42597930699080999</v>
      </c>
      <c r="P2499" s="90">
        <v>7.1672227733480004E-2</v>
      </c>
      <c r="Q2499" s="90">
        <v>174.17043345891901</v>
      </c>
      <c r="R2499" s="90">
        <v>1210</v>
      </c>
      <c r="S2499" s="90" t="s">
        <v>385</v>
      </c>
      <c r="T2499" s="90">
        <v>1210</v>
      </c>
      <c r="U2499" s="90" t="s">
        <v>378</v>
      </c>
      <c r="V2499" s="90" t="s">
        <v>244</v>
      </c>
      <c r="Z2499" s="90">
        <v>0</v>
      </c>
      <c r="AA2499" s="90">
        <v>1</v>
      </c>
      <c r="AB2499" s="90">
        <v>0.42597930699080999</v>
      </c>
      <c r="AC2499" s="90">
        <v>7.1672227733480004E-2</v>
      </c>
      <c r="AD2499" s="90">
        <v>174.17043345891699</v>
      </c>
      <c r="AF2499" s="90">
        <v>-1</v>
      </c>
      <c r="AG2499" s="90">
        <v>-1</v>
      </c>
      <c r="AH2499" s="90">
        <v>-1</v>
      </c>
      <c r="AI2499" s="90">
        <v>-1</v>
      </c>
      <c r="AJ2499" s="90">
        <v>0</v>
      </c>
      <c r="AM2499" s="90" t="s">
        <v>379</v>
      </c>
      <c r="AN2499" s="90">
        <v>-1</v>
      </c>
      <c r="AQ2499" s="90">
        <v>358</v>
      </c>
      <c r="AR2499" s="90" t="s">
        <v>422</v>
      </c>
      <c r="AS2499" s="90" t="s">
        <v>250</v>
      </c>
      <c r="AT2499" s="90" t="s">
        <v>244</v>
      </c>
      <c r="AU2499" s="90">
        <v>86.412649999999999</v>
      </c>
      <c r="AV2499" s="90">
        <v>77.026315978833594</v>
      </c>
      <c r="AW2499" s="90">
        <v>188.33955075762901</v>
      </c>
      <c r="AX2499" s="90">
        <v>0.14125744809999999</v>
      </c>
    </row>
    <row r="2500" spans="1:50" x14ac:dyDescent="0.25">
      <c r="A2500" s="102">
        <v>830000</v>
      </c>
      <c r="B2500" s="102">
        <v>2400000</v>
      </c>
      <c r="C2500" s="102">
        <v>2400000</v>
      </c>
      <c r="D2500" s="90" t="s">
        <v>374</v>
      </c>
      <c r="E2500" s="90" t="s">
        <v>68</v>
      </c>
      <c r="F2500" s="90" t="s">
        <v>375</v>
      </c>
      <c r="G2500" s="90" t="s">
        <v>376</v>
      </c>
      <c r="H2500" s="90">
        <v>0.59</v>
      </c>
      <c r="I2500" s="90">
        <v>0.64</v>
      </c>
      <c r="J2500" s="90" t="s">
        <v>381</v>
      </c>
      <c r="K2500" s="90">
        <v>8.8782281026999999E-4</v>
      </c>
      <c r="L2500" s="90">
        <v>3742.4042608154</v>
      </c>
      <c r="M2500" s="90">
        <v>9.1530275365459008</v>
      </c>
      <c r="N2500" s="90">
        <v>1.54002286797537</v>
      </c>
      <c r="O2500" s="90">
        <v>8.1262666299800005E-3</v>
      </c>
      <c r="P2500" s="90">
        <v>1.36726743052E-3</v>
      </c>
      <c r="Q2500" s="90">
        <v>3.3225918680072901</v>
      </c>
      <c r="R2500" s="90">
        <v>1210</v>
      </c>
      <c r="S2500" s="90" t="s">
        <v>385</v>
      </c>
      <c r="T2500" s="90">
        <v>1210</v>
      </c>
      <c r="U2500" s="90" t="s">
        <v>382</v>
      </c>
      <c r="V2500" s="90" t="s">
        <v>381</v>
      </c>
      <c r="Z2500" s="90">
        <v>0</v>
      </c>
      <c r="AA2500" s="90">
        <v>1</v>
      </c>
      <c r="AB2500" s="90">
        <v>8.1262666299800005E-3</v>
      </c>
      <c r="AC2500" s="90">
        <v>1.36726743052E-3</v>
      </c>
      <c r="AD2500" s="90">
        <v>3.32259186800797</v>
      </c>
      <c r="AF2500" s="90">
        <v>-1</v>
      </c>
      <c r="AG2500" s="90">
        <v>-1</v>
      </c>
      <c r="AH2500" s="90">
        <v>-1</v>
      </c>
      <c r="AI2500" s="90">
        <v>-1</v>
      </c>
      <c r="AJ2500" s="90">
        <v>0</v>
      </c>
      <c r="AM2500" s="90" t="s">
        <v>379</v>
      </c>
      <c r="AN2500" s="90">
        <v>-1</v>
      </c>
      <c r="AQ2500" s="90">
        <v>358</v>
      </c>
      <c r="AR2500" s="90" t="s">
        <v>422</v>
      </c>
      <c r="AS2500" s="90" t="s">
        <v>250</v>
      </c>
      <c r="AT2500" s="90" t="s">
        <v>244</v>
      </c>
      <c r="AU2500" s="90">
        <v>86.412649999999999</v>
      </c>
      <c r="AV2500" s="90">
        <v>19.838443858038101</v>
      </c>
      <c r="AW2500" s="90">
        <v>3.5928914416991402</v>
      </c>
      <c r="AX2500" s="90">
        <v>2.6947217E-3</v>
      </c>
    </row>
    <row r="2501" spans="1:50" x14ac:dyDescent="0.25">
      <c r="A2501" s="102">
        <v>830000</v>
      </c>
      <c r="B2501" s="102">
        <v>2400000</v>
      </c>
      <c r="C2501" s="102">
        <v>2400000</v>
      </c>
      <c r="D2501" s="90" t="s">
        <v>374</v>
      </c>
      <c r="E2501" s="90" t="s">
        <v>68</v>
      </c>
      <c r="F2501" s="90" t="s">
        <v>375</v>
      </c>
      <c r="G2501" s="90" t="s">
        <v>376</v>
      </c>
      <c r="H2501" s="90">
        <v>0.59</v>
      </c>
      <c r="I2501" s="90">
        <v>0.64</v>
      </c>
      <c r="J2501" s="90" t="s">
        <v>244</v>
      </c>
      <c r="K2501" s="90">
        <v>0.10691680859701</v>
      </c>
      <c r="L2501" s="90">
        <v>3742.4042608154</v>
      </c>
      <c r="M2501" s="90">
        <v>9.1530275365459008</v>
      </c>
      <c r="N2501" s="90">
        <v>1.54002286797537</v>
      </c>
      <c r="O2501" s="90">
        <v>0.97861249320806998</v>
      </c>
      <c r="P2501" s="90">
        <v>0.16465433021034001</v>
      </c>
      <c r="Q2501" s="90">
        <v>400.12592004624997</v>
      </c>
      <c r="R2501" s="90">
        <v>1210</v>
      </c>
      <c r="S2501" s="90" t="s">
        <v>385</v>
      </c>
      <c r="T2501" s="90">
        <v>1210</v>
      </c>
      <c r="U2501" s="90" t="s">
        <v>378</v>
      </c>
      <c r="V2501" s="90" t="s">
        <v>244</v>
      </c>
      <c r="Z2501" s="90">
        <v>0</v>
      </c>
      <c r="AA2501" s="90">
        <v>1</v>
      </c>
      <c r="AB2501" s="90">
        <v>0.97861249320806998</v>
      </c>
      <c r="AC2501" s="90">
        <v>0.16465433021034001</v>
      </c>
      <c r="AD2501" s="90">
        <v>400.12592004624997</v>
      </c>
      <c r="AF2501" s="90">
        <v>-1</v>
      </c>
      <c r="AG2501" s="90">
        <v>-1</v>
      </c>
      <c r="AH2501" s="90">
        <v>-1</v>
      </c>
      <c r="AI2501" s="90">
        <v>-1</v>
      </c>
      <c r="AJ2501" s="90">
        <v>0</v>
      </c>
      <c r="AM2501" s="90" t="s">
        <v>379</v>
      </c>
      <c r="AN2501" s="90">
        <v>-1</v>
      </c>
      <c r="AQ2501" s="90">
        <v>358</v>
      </c>
      <c r="AR2501" s="90" t="s">
        <v>422</v>
      </c>
      <c r="AS2501" s="90" t="s">
        <v>250</v>
      </c>
      <c r="AT2501" s="90" t="s">
        <v>244</v>
      </c>
      <c r="AU2501" s="90">
        <v>86.412649999999999</v>
      </c>
      <c r="AV2501" s="90">
        <v>83.578954255011894</v>
      </c>
      <c r="AW2501" s="90">
        <v>432.67697353333699</v>
      </c>
      <c r="AX2501" s="90">
        <v>0.32451412819999997</v>
      </c>
    </row>
    <row r="2502" spans="1:50" x14ac:dyDescent="0.25">
      <c r="A2502" s="102">
        <v>830000</v>
      </c>
      <c r="B2502" s="102">
        <v>2400000</v>
      </c>
      <c r="C2502" s="102">
        <v>2400000</v>
      </c>
      <c r="D2502" s="90" t="s">
        <v>374</v>
      </c>
      <c r="E2502" s="90" t="s">
        <v>68</v>
      </c>
      <c r="F2502" s="90" t="s">
        <v>375</v>
      </c>
      <c r="G2502" s="90" t="s">
        <v>376</v>
      </c>
      <c r="H2502" s="90">
        <v>0.59</v>
      </c>
      <c r="I2502" s="90">
        <v>0.64</v>
      </c>
      <c r="J2502" s="90" t="s">
        <v>381</v>
      </c>
      <c r="K2502" s="90">
        <v>5.6235546036099999E-3</v>
      </c>
      <c r="L2502" s="90">
        <v>3742.4042608154</v>
      </c>
      <c r="M2502" s="90">
        <v>9.1530275365459008</v>
      </c>
      <c r="N2502" s="90">
        <v>1.54002286797537</v>
      </c>
      <c r="O2502" s="90">
        <v>5.1472550140119998E-2</v>
      </c>
      <c r="P2502" s="90">
        <v>8.6604026888599996E-3</v>
      </c>
      <c r="Q2502" s="90">
        <v>21.0456147094818</v>
      </c>
      <c r="R2502" s="90">
        <v>1210</v>
      </c>
      <c r="S2502" s="90" t="s">
        <v>385</v>
      </c>
      <c r="T2502" s="90">
        <v>1210</v>
      </c>
      <c r="U2502" s="90" t="s">
        <v>382</v>
      </c>
      <c r="V2502" s="90" t="s">
        <v>381</v>
      </c>
      <c r="Z2502" s="90">
        <v>0</v>
      </c>
      <c r="AA2502" s="90">
        <v>1</v>
      </c>
      <c r="AB2502" s="90">
        <v>5.1472550140119998E-2</v>
      </c>
      <c r="AC2502" s="90">
        <v>8.6604026888599996E-3</v>
      </c>
      <c r="AD2502" s="90">
        <v>21.045614709481701</v>
      </c>
      <c r="AF2502" s="90">
        <v>-1</v>
      </c>
      <c r="AG2502" s="90">
        <v>-1</v>
      </c>
      <c r="AH2502" s="90">
        <v>-1</v>
      </c>
      <c r="AI2502" s="90">
        <v>-1</v>
      </c>
      <c r="AJ2502" s="90">
        <v>0</v>
      </c>
      <c r="AM2502" s="90" t="s">
        <v>379</v>
      </c>
      <c r="AN2502" s="90">
        <v>-1</v>
      </c>
      <c r="AQ2502" s="90">
        <v>358</v>
      </c>
      <c r="AR2502" s="90" t="s">
        <v>422</v>
      </c>
      <c r="AS2502" s="90" t="s">
        <v>250</v>
      </c>
      <c r="AT2502" s="90" t="s">
        <v>244</v>
      </c>
      <c r="AU2502" s="90">
        <v>86.412649999999999</v>
      </c>
      <c r="AV2502" s="90">
        <v>46.2813345708105</v>
      </c>
      <c r="AW2502" s="90">
        <v>22.757718064340001</v>
      </c>
      <c r="AX2502" s="90">
        <v>1.7068625099999998E-2</v>
      </c>
    </row>
    <row r="2503" spans="1:50" x14ac:dyDescent="0.25">
      <c r="A2503" s="102">
        <v>830000</v>
      </c>
      <c r="B2503" s="102">
        <v>2400000</v>
      </c>
      <c r="C2503" s="102">
        <v>2400000</v>
      </c>
      <c r="D2503" s="90" t="s">
        <v>374</v>
      </c>
      <c r="E2503" s="90" t="s">
        <v>68</v>
      </c>
      <c r="F2503" s="90" t="s">
        <v>375</v>
      </c>
      <c r="G2503" s="90" t="s">
        <v>376</v>
      </c>
      <c r="H2503" s="90">
        <v>0.59</v>
      </c>
      <c r="I2503" s="90">
        <v>0.64</v>
      </c>
      <c r="J2503" s="90" t="s">
        <v>244</v>
      </c>
      <c r="K2503" s="90">
        <v>6.5615971791370006E-2</v>
      </c>
      <c r="L2503" s="90">
        <v>3742.4042608154</v>
      </c>
      <c r="M2503" s="90">
        <v>9.1530275365459008</v>
      </c>
      <c r="N2503" s="90">
        <v>1.54002286797537</v>
      </c>
      <c r="O2503" s="90">
        <v>0.60058479664368003</v>
      </c>
      <c r="P2503" s="90">
        <v>0.10105009706314</v>
      </c>
      <c r="Q2503" s="90">
        <v>245.56149240958899</v>
      </c>
      <c r="R2503" s="90">
        <v>1210</v>
      </c>
      <c r="S2503" s="90" t="s">
        <v>385</v>
      </c>
      <c r="T2503" s="90">
        <v>1210</v>
      </c>
      <c r="U2503" s="90" t="s">
        <v>378</v>
      </c>
      <c r="V2503" s="90" t="s">
        <v>244</v>
      </c>
      <c r="Z2503" s="90">
        <v>0</v>
      </c>
      <c r="AA2503" s="90">
        <v>1</v>
      </c>
      <c r="AB2503" s="90">
        <v>0.60058479664368003</v>
      </c>
      <c r="AC2503" s="90">
        <v>0.10105009706314</v>
      </c>
      <c r="AD2503" s="90">
        <v>245.56149240958899</v>
      </c>
      <c r="AF2503" s="90">
        <v>-1</v>
      </c>
      <c r="AG2503" s="90">
        <v>-1</v>
      </c>
      <c r="AH2503" s="90">
        <v>-1</v>
      </c>
      <c r="AI2503" s="90">
        <v>-1</v>
      </c>
      <c r="AJ2503" s="90">
        <v>0</v>
      </c>
      <c r="AM2503" s="90" t="s">
        <v>379</v>
      </c>
      <c r="AN2503" s="90">
        <v>-1</v>
      </c>
      <c r="AQ2503" s="90">
        <v>358</v>
      </c>
      <c r="AR2503" s="90" t="s">
        <v>422</v>
      </c>
      <c r="AS2503" s="90" t="s">
        <v>250</v>
      </c>
      <c r="AT2503" s="90" t="s">
        <v>244</v>
      </c>
      <c r="AU2503" s="90">
        <v>86.412649999999999</v>
      </c>
      <c r="AV2503" s="90">
        <v>76.594134292149405</v>
      </c>
      <c r="AW2503" s="90">
        <v>265.53841685594699</v>
      </c>
      <c r="AX2503" s="90">
        <v>0.19915773919999999</v>
      </c>
    </row>
    <row r="2504" spans="1:50" x14ac:dyDescent="0.25">
      <c r="A2504" s="102">
        <v>830000</v>
      </c>
      <c r="B2504" s="102">
        <v>2400000</v>
      </c>
      <c r="C2504" s="102">
        <v>2400000</v>
      </c>
      <c r="D2504" s="90" t="s">
        <v>374</v>
      </c>
      <c r="E2504" s="90" t="s">
        <v>68</v>
      </c>
      <c r="F2504" s="90" t="s">
        <v>375</v>
      </c>
      <c r="G2504" s="90" t="s">
        <v>376</v>
      </c>
      <c r="H2504" s="90">
        <v>0.59</v>
      </c>
      <c r="I2504" s="90">
        <v>0.64</v>
      </c>
      <c r="J2504" s="90" t="s">
        <v>381</v>
      </c>
      <c r="K2504" s="90">
        <v>3.0054341548400002E-3</v>
      </c>
      <c r="L2504" s="90">
        <v>3742.4042608154</v>
      </c>
      <c r="M2504" s="90">
        <v>9.1530275365459008</v>
      </c>
      <c r="N2504" s="90">
        <v>1.54002286797537</v>
      </c>
      <c r="O2504" s="90">
        <v>2.750882157857E-2</v>
      </c>
      <c r="P2504" s="90">
        <v>4.6284373266499996E-3</v>
      </c>
      <c r="Q2504" s="90">
        <v>11.247549586691999</v>
      </c>
      <c r="R2504" s="90">
        <v>1210</v>
      </c>
      <c r="S2504" s="90" t="s">
        <v>385</v>
      </c>
      <c r="T2504" s="90">
        <v>1210</v>
      </c>
      <c r="U2504" s="90" t="s">
        <v>382</v>
      </c>
      <c r="V2504" s="90" t="s">
        <v>381</v>
      </c>
      <c r="Z2504" s="90">
        <v>0</v>
      </c>
      <c r="AA2504" s="90">
        <v>1</v>
      </c>
      <c r="AB2504" s="90">
        <v>2.750882157857E-2</v>
      </c>
      <c r="AC2504" s="90">
        <v>4.6284373266499996E-3</v>
      </c>
      <c r="AD2504" s="90">
        <v>11.247549586692401</v>
      </c>
      <c r="AF2504" s="90">
        <v>-1</v>
      </c>
      <c r="AG2504" s="90">
        <v>-1</v>
      </c>
      <c r="AH2504" s="90">
        <v>-1</v>
      </c>
      <c r="AI2504" s="90">
        <v>-1</v>
      </c>
      <c r="AJ2504" s="90">
        <v>0</v>
      </c>
      <c r="AM2504" s="90" t="s">
        <v>379</v>
      </c>
      <c r="AN2504" s="90">
        <v>-1</v>
      </c>
      <c r="AQ2504" s="90">
        <v>358</v>
      </c>
      <c r="AR2504" s="90" t="s">
        <v>422</v>
      </c>
      <c r="AS2504" s="90" t="s">
        <v>250</v>
      </c>
      <c r="AT2504" s="90" t="s">
        <v>244</v>
      </c>
      <c r="AU2504" s="90">
        <v>86.412649999999999</v>
      </c>
      <c r="AV2504" s="90">
        <v>29.495185699826301</v>
      </c>
      <c r="AW2504" s="90">
        <v>12.1625605116351</v>
      </c>
      <c r="AX2504" s="90">
        <v>9.1221002000000002E-3</v>
      </c>
    </row>
    <row r="2505" spans="1:50" x14ac:dyDescent="0.25">
      <c r="A2505" s="102">
        <v>830000</v>
      </c>
      <c r="B2505" s="102">
        <v>2400000</v>
      </c>
      <c r="C2505" s="102">
        <v>2400000</v>
      </c>
      <c r="D2505" s="90" t="s">
        <v>374</v>
      </c>
      <c r="E2505" s="90" t="s">
        <v>68</v>
      </c>
      <c r="F2505" s="90" t="s">
        <v>375</v>
      </c>
      <c r="G2505" s="90" t="s">
        <v>376</v>
      </c>
      <c r="H2505" s="90">
        <v>0.59</v>
      </c>
      <c r="I2505" s="90">
        <v>0.64</v>
      </c>
      <c r="J2505" s="90" t="s">
        <v>244</v>
      </c>
      <c r="K2505" s="90">
        <v>0.19577580423136001</v>
      </c>
      <c r="L2505" s="90">
        <v>3762.57766179901</v>
      </c>
      <c r="M2505" s="90">
        <v>10.820883609819401</v>
      </c>
      <c r="N2505" s="90">
        <v>2.0844528377257401</v>
      </c>
      <c r="O2505" s="90">
        <v>2.1184671912063999</v>
      </c>
      <c r="P2505" s="90">
        <v>0.40808543068810998</v>
      </c>
      <c r="Q2505" s="90">
        <v>736.62166772167495</v>
      </c>
      <c r="R2505" s="90">
        <v>1300</v>
      </c>
      <c r="S2505" s="90" t="s">
        <v>387</v>
      </c>
      <c r="T2505" s="90">
        <v>1300</v>
      </c>
      <c r="U2505" s="90" t="s">
        <v>378</v>
      </c>
      <c r="V2505" s="90" t="s">
        <v>244</v>
      </c>
      <c r="Z2505" s="90">
        <v>0</v>
      </c>
      <c r="AA2505" s="90">
        <v>1</v>
      </c>
      <c r="AB2505" s="90">
        <v>2.1184671912063999</v>
      </c>
      <c r="AC2505" s="90">
        <v>0.40808543068810998</v>
      </c>
      <c r="AD2505" s="90">
        <v>1021.93714936632</v>
      </c>
      <c r="AF2505" s="90">
        <v>-1</v>
      </c>
      <c r="AG2505" s="90">
        <v>-1</v>
      </c>
      <c r="AH2505" s="90">
        <v>-1</v>
      </c>
      <c r="AI2505" s="90">
        <v>-1</v>
      </c>
      <c r="AJ2505" s="90">
        <v>0</v>
      </c>
      <c r="AM2505" s="90" t="s">
        <v>379</v>
      </c>
      <c r="AN2505" s="90">
        <v>-1</v>
      </c>
      <c r="AQ2505" s="90">
        <v>358</v>
      </c>
      <c r="AR2505" s="90" t="s">
        <v>422</v>
      </c>
      <c r="AS2505" s="90" t="s">
        <v>250</v>
      </c>
      <c r="AT2505" s="90" t="s">
        <v>244</v>
      </c>
      <c r="AU2505" s="90">
        <v>86.412649999999999</v>
      </c>
      <c r="AV2505" s="90">
        <v>189.14662841116001</v>
      </c>
      <c r="AW2505" s="90">
        <v>792.27657070422799</v>
      </c>
      <c r="AX2505" s="90">
        <v>0.82882169449999998</v>
      </c>
    </row>
    <row r="2506" spans="1:50" x14ac:dyDescent="0.25">
      <c r="A2506" s="102">
        <v>830000</v>
      </c>
      <c r="B2506" s="102">
        <v>2400000</v>
      </c>
      <c r="C2506" s="102">
        <v>2400000</v>
      </c>
      <c r="D2506" s="90" t="s">
        <v>374</v>
      </c>
      <c r="E2506" s="90" t="s">
        <v>68</v>
      </c>
      <c r="F2506" s="90" t="s">
        <v>375</v>
      </c>
      <c r="G2506" s="90" t="s">
        <v>376</v>
      </c>
      <c r="H2506" s="90">
        <v>0.59</v>
      </c>
      <c r="I2506" s="90">
        <v>0.64</v>
      </c>
      <c r="J2506" s="90" t="s">
        <v>244</v>
      </c>
      <c r="K2506" s="90">
        <v>0.15308314634267001</v>
      </c>
      <c r="L2506" s="90">
        <v>3762.57766179901</v>
      </c>
      <c r="M2506" s="90">
        <v>10.820883609819401</v>
      </c>
      <c r="N2506" s="90">
        <v>2.0844528377257401</v>
      </c>
      <c r="O2506" s="90">
        <v>1.6564949091990699</v>
      </c>
      <c r="P2506" s="90">
        <v>0.31909459880197999</v>
      </c>
      <c r="Q2506" s="90">
        <v>575.98722682687003</v>
      </c>
      <c r="R2506" s="90">
        <v>1330</v>
      </c>
      <c r="S2506" s="90" t="s">
        <v>397</v>
      </c>
      <c r="T2506" s="90">
        <v>1330</v>
      </c>
      <c r="U2506" s="90" t="s">
        <v>378</v>
      </c>
      <c r="V2506" s="90" t="s">
        <v>244</v>
      </c>
      <c r="Z2506" s="90">
        <v>0</v>
      </c>
      <c r="AA2506" s="90">
        <v>1</v>
      </c>
      <c r="AB2506" s="90">
        <v>1.6564949091990699</v>
      </c>
      <c r="AC2506" s="90">
        <v>0.31909459880197999</v>
      </c>
      <c r="AD2506" s="90">
        <v>575.98722682687003</v>
      </c>
      <c r="AF2506" s="90">
        <v>-1</v>
      </c>
      <c r="AG2506" s="90">
        <v>-1</v>
      </c>
      <c r="AH2506" s="90">
        <v>-1</v>
      </c>
      <c r="AI2506" s="90">
        <v>-1</v>
      </c>
      <c r="AJ2506" s="90">
        <v>0</v>
      </c>
      <c r="AM2506" s="90" t="s">
        <v>379</v>
      </c>
      <c r="AN2506" s="90">
        <v>-1</v>
      </c>
      <c r="AQ2506" s="90">
        <v>358</v>
      </c>
      <c r="AR2506" s="90" t="s">
        <v>422</v>
      </c>
      <c r="AS2506" s="90" t="s">
        <v>250</v>
      </c>
      <c r="AT2506" s="90" t="s">
        <v>244</v>
      </c>
      <c r="AU2506" s="90">
        <v>86.412649999999999</v>
      </c>
      <c r="AV2506" s="90">
        <v>107.720559694914</v>
      </c>
      <c r="AW2506" s="90">
        <v>619.50551393806597</v>
      </c>
      <c r="AX2506" s="90">
        <v>0.4671429252</v>
      </c>
    </row>
    <row r="2507" spans="1:50" x14ac:dyDescent="0.25">
      <c r="A2507" s="102">
        <v>830000</v>
      </c>
      <c r="B2507" s="102">
        <v>2400000</v>
      </c>
      <c r="C2507" s="102">
        <v>2400000</v>
      </c>
      <c r="D2507" s="90" t="s">
        <v>374</v>
      </c>
      <c r="E2507" s="90" t="s">
        <v>68</v>
      </c>
      <c r="F2507" s="90" t="s">
        <v>375</v>
      </c>
      <c r="G2507" s="90" t="s">
        <v>376</v>
      </c>
      <c r="H2507" s="90">
        <v>0.59</v>
      </c>
      <c r="I2507" s="90">
        <v>0.64</v>
      </c>
      <c r="J2507" s="90" t="s">
        <v>244</v>
      </c>
      <c r="K2507" s="90">
        <v>0.14016869978536001</v>
      </c>
      <c r="L2507" s="90">
        <v>3762.57766179901</v>
      </c>
      <c r="M2507" s="90">
        <v>10.820883609819401</v>
      </c>
      <c r="N2507" s="90">
        <v>2.0844528377257401</v>
      </c>
      <c r="O2507" s="90">
        <v>1.5167491861171001</v>
      </c>
      <c r="P2507" s="90">
        <v>0.29217504402791999</v>
      </c>
      <c r="Q2507" s="90">
        <v>527.39561869580803</v>
      </c>
      <c r="R2507" s="90">
        <v>1330</v>
      </c>
      <c r="S2507" s="90" t="s">
        <v>397</v>
      </c>
      <c r="T2507" s="90">
        <v>1330</v>
      </c>
      <c r="U2507" s="90" t="s">
        <v>378</v>
      </c>
      <c r="V2507" s="90" t="s">
        <v>244</v>
      </c>
      <c r="Z2507" s="90">
        <v>0</v>
      </c>
      <c r="AA2507" s="90">
        <v>1</v>
      </c>
      <c r="AB2507" s="90">
        <v>1.5167491861171001</v>
      </c>
      <c r="AC2507" s="90">
        <v>0.29217504402791999</v>
      </c>
      <c r="AD2507" s="90">
        <v>527.39561869580803</v>
      </c>
      <c r="AF2507" s="90">
        <v>-1</v>
      </c>
      <c r="AG2507" s="90">
        <v>-1</v>
      </c>
      <c r="AH2507" s="90">
        <v>-1</v>
      </c>
      <c r="AI2507" s="90">
        <v>-1</v>
      </c>
      <c r="AJ2507" s="90">
        <v>0</v>
      </c>
      <c r="AM2507" s="90" t="s">
        <v>379</v>
      </c>
      <c r="AN2507" s="90">
        <v>-1</v>
      </c>
      <c r="AQ2507" s="90">
        <v>358</v>
      </c>
      <c r="AR2507" s="90" t="s">
        <v>422</v>
      </c>
      <c r="AS2507" s="90" t="s">
        <v>250</v>
      </c>
      <c r="AT2507" s="90" t="s">
        <v>244</v>
      </c>
      <c r="AU2507" s="90">
        <v>86.412649999999999</v>
      </c>
      <c r="AV2507" s="90">
        <v>105.367289284503</v>
      </c>
      <c r="AW2507" s="90">
        <v>567.24260294584201</v>
      </c>
      <c r="AX2507" s="90">
        <v>0.42773367289999997</v>
      </c>
    </row>
    <row r="2508" spans="1:50" x14ac:dyDescent="0.25">
      <c r="A2508" s="102">
        <v>830000</v>
      </c>
      <c r="B2508" s="102">
        <v>2400000</v>
      </c>
      <c r="C2508" s="102">
        <v>2400000</v>
      </c>
      <c r="D2508" s="90" t="s">
        <v>374</v>
      </c>
      <c r="E2508" s="90" t="s">
        <v>68</v>
      </c>
      <c r="F2508" s="90" t="s">
        <v>375</v>
      </c>
      <c r="G2508" s="90" t="s">
        <v>376</v>
      </c>
      <c r="H2508" s="90">
        <v>0.59</v>
      </c>
      <c r="I2508" s="90">
        <v>0.64</v>
      </c>
      <c r="J2508" s="90" t="s">
        <v>244</v>
      </c>
      <c r="K2508" s="90">
        <v>3.7077791022230001E-2</v>
      </c>
      <c r="L2508" s="90">
        <v>3762.57766179901</v>
      </c>
      <c r="M2508" s="90">
        <v>10.820883609819401</v>
      </c>
      <c r="N2508" s="90">
        <v>2.0844528377257401</v>
      </c>
      <c r="O2508" s="90">
        <v>0.40121446116080001</v>
      </c>
      <c r="P2508" s="90">
        <v>7.7286906712889999E-2</v>
      </c>
      <c r="Q2508" s="90">
        <v>139.50806824910899</v>
      </c>
      <c r="R2508" s="90">
        <v>1330</v>
      </c>
      <c r="S2508" s="90" t="s">
        <v>397</v>
      </c>
      <c r="T2508" s="90">
        <v>1330</v>
      </c>
      <c r="U2508" s="90" t="s">
        <v>378</v>
      </c>
      <c r="V2508" s="90" t="s">
        <v>244</v>
      </c>
      <c r="Z2508" s="90">
        <v>0</v>
      </c>
      <c r="AA2508" s="90">
        <v>1</v>
      </c>
      <c r="AB2508" s="90">
        <v>0.40121446116080001</v>
      </c>
      <c r="AC2508" s="90">
        <v>7.7286906712889999E-2</v>
      </c>
      <c r="AD2508" s="90">
        <v>139.50806824910899</v>
      </c>
      <c r="AF2508" s="90">
        <v>-1</v>
      </c>
      <c r="AG2508" s="90">
        <v>-1</v>
      </c>
      <c r="AH2508" s="90">
        <v>-1</v>
      </c>
      <c r="AI2508" s="90">
        <v>-1</v>
      </c>
      <c r="AJ2508" s="90">
        <v>0</v>
      </c>
      <c r="AM2508" s="90" t="s">
        <v>379</v>
      </c>
      <c r="AN2508" s="90">
        <v>-1</v>
      </c>
      <c r="AQ2508" s="90">
        <v>358</v>
      </c>
      <c r="AR2508" s="90" t="s">
        <v>422</v>
      </c>
      <c r="AS2508" s="90" t="s">
        <v>250</v>
      </c>
      <c r="AT2508" s="90" t="s">
        <v>244</v>
      </c>
      <c r="AU2508" s="90">
        <v>86.412649999999999</v>
      </c>
      <c r="AV2508" s="90">
        <v>63.324548177134503</v>
      </c>
      <c r="AW2508" s="90">
        <v>150.048496726732</v>
      </c>
      <c r="AX2508" s="90">
        <v>0.1131452297</v>
      </c>
    </row>
    <row r="2509" spans="1:50" x14ac:dyDescent="0.25">
      <c r="A2509" s="102">
        <v>830000</v>
      </c>
      <c r="B2509" s="102">
        <v>2400000</v>
      </c>
      <c r="C2509" s="102">
        <v>2400000</v>
      </c>
      <c r="D2509" s="90" t="s">
        <v>374</v>
      </c>
      <c r="E2509" s="90" t="s">
        <v>68</v>
      </c>
      <c r="F2509" s="90" t="s">
        <v>375</v>
      </c>
      <c r="G2509" s="90" t="s">
        <v>376</v>
      </c>
      <c r="H2509" s="90">
        <v>0.59</v>
      </c>
      <c r="I2509" s="90">
        <v>0.64</v>
      </c>
      <c r="J2509" s="90" t="s">
        <v>244</v>
      </c>
      <c r="K2509" s="90">
        <v>1.5828220195970001E-2</v>
      </c>
      <c r="L2509" s="90">
        <v>3762.57766179901</v>
      </c>
      <c r="M2509" s="90">
        <v>10.820883609819401</v>
      </c>
      <c r="N2509" s="90">
        <v>2.0844528377257401</v>
      </c>
      <c r="O2509" s="90">
        <v>0.17127532849122001</v>
      </c>
      <c r="P2509" s="90">
        <v>3.2993178503640003E-2</v>
      </c>
      <c r="Q2509" s="90">
        <v>59.554907735407802</v>
      </c>
      <c r="R2509" s="90">
        <v>1330</v>
      </c>
      <c r="S2509" s="90" t="s">
        <v>397</v>
      </c>
      <c r="T2509" s="90">
        <v>1330</v>
      </c>
      <c r="U2509" s="90" t="s">
        <v>378</v>
      </c>
      <c r="V2509" s="90" t="s">
        <v>244</v>
      </c>
      <c r="Z2509" s="90">
        <v>0</v>
      </c>
      <c r="AA2509" s="90">
        <v>1</v>
      </c>
      <c r="AB2509" s="90">
        <v>0.17127532849122001</v>
      </c>
      <c r="AC2509" s="90">
        <v>3.2993178503640003E-2</v>
      </c>
      <c r="AD2509" s="90">
        <v>59.5549077354082</v>
      </c>
      <c r="AF2509" s="90">
        <v>-1</v>
      </c>
      <c r="AG2509" s="90">
        <v>-1</v>
      </c>
      <c r="AH2509" s="90">
        <v>-1</v>
      </c>
      <c r="AI2509" s="90">
        <v>-1</v>
      </c>
      <c r="AJ2509" s="90">
        <v>0</v>
      </c>
      <c r="AM2509" s="90" t="s">
        <v>379</v>
      </c>
      <c r="AN2509" s="90">
        <v>-1</v>
      </c>
      <c r="AQ2509" s="90">
        <v>358</v>
      </c>
      <c r="AR2509" s="90" t="s">
        <v>422</v>
      </c>
      <c r="AS2509" s="90" t="s">
        <v>250</v>
      </c>
      <c r="AT2509" s="90" t="s">
        <v>244</v>
      </c>
      <c r="AU2509" s="90">
        <v>86.412649999999999</v>
      </c>
      <c r="AV2509" s="90">
        <v>34.6627364685665</v>
      </c>
      <c r="AW2509" s="90">
        <v>64.054534555239101</v>
      </c>
      <c r="AX2509" s="90">
        <v>4.83008173E-2</v>
      </c>
    </row>
    <row r="2510" spans="1:50" x14ac:dyDescent="0.25">
      <c r="A2510" s="102">
        <v>830000</v>
      </c>
      <c r="B2510" s="102">
        <v>2400000</v>
      </c>
      <c r="C2510" s="102">
        <v>2400000</v>
      </c>
      <c r="D2510" s="90" t="s">
        <v>374</v>
      </c>
      <c r="E2510" s="90" t="s">
        <v>68</v>
      </c>
      <c r="F2510" s="90" t="s">
        <v>375</v>
      </c>
      <c r="G2510" s="90" t="s">
        <v>376</v>
      </c>
      <c r="H2510" s="90">
        <v>0.59</v>
      </c>
      <c r="I2510" s="90">
        <v>0.64</v>
      </c>
      <c r="J2510" s="90" t="s">
        <v>244</v>
      </c>
      <c r="K2510" s="90">
        <v>8.2231655558110003E-2</v>
      </c>
      <c r="L2510" s="90">
        <v>3769.01908054044</v>
      </c>
      <c r="M2510" s="90">
        <v>8.9315846147739304</v>
      </c>
      <c r="N2510" s="90">
        <v>1.4813569171929</v>
      </c>
      <c r="O2510" s="90">
        <v>0.73445898963027001</v>
      </c>
      <c r="P2510" s="90">
        <v>0.12181443177324</v>
      </c>
      <c r="Q2510" s="90">
        <v>309.93267882297602</v>
      </c>
      <c r="R2510" s="90">
        <v>1100</v>
      </c>
      <c r="S2510" s="90" t="s">
        <v>424</v>
      </c>
      <c r="T2510" s="90">
        <v>1100</v>
      </c>
      <c r="U2510" s="90" t="s">
        <v>378</v>
      </c>
      <c r="V2510" s="90" t="s">
        <v>244</v>
      </c>
      <c r="Z2510" s="90">
        <v>0</v>
      </c>
      <c r="AA2510" s="90">
        <v>1</v>
      </c>
      <c r="AB2510" s="90">
        <v>0.73445898963027001</v>
      </c>
      <c r="AC2510" s="90">
        <v>0.12181443177324</v>
      </c>
      <c r="AD2510" s="90">
        <v>309.93267882297499</v>
      </c>
      <c r="AF2510" s="90">
        <v>-1</v>
      </c>
      <c r="AG2510" s="90">
        <v>-1</v>
      </c>
      <c r="AH2510" s="90">
        <v>-1</v>
      </c>
      <c r="AI2510" s="90">
        <v>-1</v>
      </c>
      <c r="AJ2510" s="90">
        <v>0</v>
      </c>
      <c r="AM2510" s="90" t="s">
        <v>379</v>
      </c>
      <c r="AN2510" s="90">
        <v>-1</v>
      </c>
      <c r="AQ2510" s="90">
        <v>358</v>
      </c>
      <c r="AR2510" s="90" t="s">
        <v>422</v>
      </c>
      <c r="AS2510" s="90" t="s">
        <v>250</v>
      </c>
      <c r="AT2510" s="90" t="s">
        <v>244</v>
      </c>
      <c r="AU2510" s="90">
        <v>86.412649999999999</v>
      </c>
      <c r="AV2510" s="90">
        <v>113.33570594028301</v>
      </c>
      <c r="AW2510" s="90">
        <v>332.77970341995302</v>
      </c>
      <c r="AX2510" s="90">
        <v>0.25136470300000002</v>
      </c>
    </row>
    <row r="2511" spans="1:50" x14ac:dyDescent="0.25">
      <c r="A2511" s="102">
        <v>830000</v>
      </c>
      <c r="B2511" s="102">
        <v>2400000</v>
      </c>
      <c r="C2511" s="102">
        <v>2400000</v>
      </c>
      <c r="D2511" s="90" t="s">
        <v>374</v>
      </c>
      <c r="E2511" s="90" t="s">
        <v>68</v>
      </c>
      <c r="F2511" s="90" t="s">
        <v>375</v>
      </c>
      <c r="G2511" s="90" t="s">
        <v>376</v>
      </c>
      <c r="H2511" s="90">
        <v>0.59</v>
      </c>
      <c r="I2511" s="90">
        <v>0.64</v>
      </c>
      <c r="J2511" s="90" t="s">
        <v>244</v>
      </c>
      <c r="K2511" s="90">
        <v>1.3321577142999999E-4</v>
      </c>
      <c r="L2511" s="90">
        <v>3769.01908054044</v>
      </c>
      <c r="M2511" s="90">
        <v>8.9315846147739304</v>
      </c>
      <c r="N2511" s="90">
        <v>1.4813569171929</v>
      </c>
      <c r="O2511" s="90">
        <v>1.18982793463E-3</v>
      </c>
      <c r="P2511" s="90">
        <v>1.9734010449999999E-4</v>
      </c>
      <c r="Q2511" s="90">
        <v>0.50209278438250005</v>
      </c>
      <c r="R2511" s="90">
        <v>1200</v>
      </c>
      <c r="S2511" s="90" t="s">
        <v>384</v>
      </c>
      <c r="T2511" s="90">
        <v>1200</v>
      </c>
      <c r="U2511" s="90" t="s">
        <v>378</v>
      </c>
      <c r="V2511" s="90" t="s">
        <v>244</v>
      </c>
      <c r="Z2511" s="90">
        <v>0</v>
      </c>
      <c r="AA2511" s="90">
        <v>1</v>
      </c>
      <c r="AB2511" s="90">
        <v>1.18982793463E-3</v>
      </c>
      <c r="AC2511" s="90">
        <v>1.9734010449999999E-4</v>
      </c>
      <c r="AD2511" s="90">
        <v>0.50209278438259997</v>
      </c>
      <c r="AF2511" s="90">
        <v>-1</v>
      </c>
      <c r="AG2511" s="90">
        <v>-1</v>
      </c>
      <c r="AH2511" s="90">
        <v>-1</v>
      </c>
      <c r="AI2511" s="90">
        <v>-1</v>
      </c>
      <c r="AJ2511" s="90">
        <v>0</v>
      </c>
      <c r="AM2511" s="90" t="s">
        <v>379</v>
      </c>
      <c r="AN2511" s="90">
        <v>-1</v>
      </c>
      <c r="AQ2511" s="90">
        <v>358</v>
      </c>
      <c r="AR2511" s="90" t="s">
        <v>422</v>
      </c>
      <c r="AS2511" s="90" t="s">
        <v>250</v>
      </c>
      <c r="AT2511" s="90" t="s">
        <v>244</v>
      </c>
      <c r="AU2511" s="90">
        <v>86.412649999999999</v>
      </c>
      <c r="AV2511" s="90">
        <v>12.0251712473338</v>
      </c>
      <c r="AW2511" s="90">
        <v>0.53910510021298996</v>
      </c>
      <c r="AX2511" s="90">
        <v>4.072123E-4</v>
      </c>
    </row>
    <row r="2512" spans="1:50" x14ac:dyDescent="0.25">
      <c r="A2512" s="102">
        <v>830000</v>
      </c>
      <c r="B2512" s="102">
        <v>2400000</v>
      </c>
      <c r="C2512" s="102">
        <v>2400000</v>
      </c>
      <c r="D2512" s="90" t="s">
        <v>374</v>
      </c>
      <c r="E2512" s="90" t="s">
        <v>68</v>
      </c>
      <c r="F2512" s="90" t="s">
        <v>375</v>
      </c>
      <c r="G2512" s="90" t="s">
        <v>376</v>
      </c>
      <c r="H2512" s="90">
        <v>0.59</v>
      </c>
      <c r="I2512" s="90">
        <v>0.64</v>
      </c>
      <c r="J2512" s="90" t="s">
        <v>244</v>
      </c>
      <c r="K2512" s="90">
        <v>0.15263085673450999</v>
      </c>
      <c r="L2512" s="90">
        <v>3769.01908054044</v>
      </c>
      <c r="M2512" s="90">
        <v>8.9315846147739304</v>
      </c>
      <c r="N2512" s="90">
        <v>1.4813569171929</v>
      </c>
      <c r="O2512" s="90">
        <v>1.3632354117497201</v>
      </c>
      <c r="P2512" s="90">
        <v>0.22610077540074</v>
      </c>
      <c r="Q2512" s="90">
        <v>575.26861131160695</v>
      </c>
      <c r="R2512" s="90">
        <v>1300</v>
      </c>
      <c r="S2512" s="90" t="s">
        <v>387</v>
      </c>
      <c r="T2512" s="90">
        <v>1300</v>
      </c>
      <c r="U2512" s="90" t="s">
        <v>378</v>
      </c>
      <c r="V2512" s="90" t="s">
        <v>244</v>
      </c>
      <c r="Z2512" s="90">
        <v>0</v>
      </c>
      <c r="AA2512" s="90">
        <v>1</v>
      </c>
      <c r="AB2512" s="90">
        <v>1.3632354117497201</v>
      </c>
      <c r="AC2512" s="90">
        <v>0.22610077540074</v>
      </c>
      <c r="AD2512" s="90">
        <v>575.26861131160695</v>
      </c>
      <c r="AF2512" s="90">
        <v>-1</v>
      </c>
      <c r="AG2512" s="90">
        <v>-1</v>
      </c>
      <c r="AH2512" s="90">
        <v>-1</v>
      </c>
      <c r="AI2512" s="90">
        <v>-1</v>
      </c>
      <c r="AJ2512" s="90">
        <v>0</v>
      </c>
      <c r="AM2512" s="90" t="s">
        <v>379</v>
      </c>
      <c r="AN2512" s="90">
        <v>-1</v>
      </c>
      <c r="AQ2512" s="90">
        <v>358</v>
      </c>
      <c r="AR2512" s="90" t="s">
        <v>422</v>
      </c>
      <c r="AS2512" s="90" t="s">
        <v>250</v>
      </c>
      <c r="AT2512" s="90" t="s">
        <v>244</v>
      </c>
      <c r="AU2512" s="90">
        <v>86.412649999999999</v>
      </c>
      <c r="AV2512" s="90">
        <v>125.773175114563</v>
      </c>
      <c r="AW2512" s="90">
        <v>617.675162832468</v>
      </c>
      <c r="AX2512" s="90">
        <v>0.46656010650000002</v>
      </c>
    </row>
    <row r="2513" spans="1:50" x14ac:dyDescent="0.25">
      <c r="A2513" s="102">
        <v>830000</v>
      </c>
      <c r="B2513" s="102">
        <v>2400000</v>
      </c>
      <c r="C2513" s="102">
        <v>2400000</v>
      </c>
      <c r="D2513" s="90" t="s">
        <v>374</v>
      </c>
      <c r="E2513" s="90" t="s">
        <v>68</v>
      </c>
      <c r="F2513" s="90" t="s">
        <v>375</v>
      </c>
      <c r="G2513" s="90" t="s">
        <v>376</v>
      </c>
      <c r="H2513" s="90">
        <v>0.59</v>
      </c>
      <c r="I2513" s="90">
        <v>0.64</v>
      </c>
      <c r="J2513" s="90" t="s">
        <v>381</v>
      </c>
      <c r="K2513" s="90">
        <v>2.2567602336820002E-2</v>
      </c>
      <c r="L2513" s="90">
        <v>3769.01908054044</v>
      </c>
      <c r="M2513" s="90">
        <v>8.9315846147739304</v>
      </c>
      <c r="N2513" s="90">
        <v>1.4813569171929</v>
      </c>
      <c r="O2513" s="90">
        <v>0.20156444982395</v>
      </c>
      <c r="P2513" s="90">
        <v>3.343067382612E-2</v>
      </c>
      <c r="Q2513" s="90">
        <v>85.057723809557601</v>
      </c>
      <c r="R2513" s="90">
        <v>1300</v>
      </c>
      <c r="S2513" s="90" t="s">
        <v>387</v>
      </c>
      <c r="T2513" s="90">
        <v>1300</v>
      </c>
      <c r="U2513" s="90" t="s">
        <v>382</v>
      </c>
      <c r="V2513" s="90" t="s">
        <v>381</v>
      </c>
      <c r="Z2513" s="90">
        <v>0</v>
      </c>
      <c r="AA2513" s="90">
        <v>1</v>
      </c>
      <c r="AB2513" s="90">
        <v>0.20156444982395</v>
      </c>
      <c r="AC2513" s="90">
        <v>3.343067382612E-2</v>
      </c>
      <c r="AD2513" s="90">
        <v>85.057723809557999</v>
      </c>
      <c r="AF2513" s="90">
        <v>-1</v>
      </c>
      <c r="AG2513" s="90">
        <v>-1</v>
      </c>
      <c r="AH2513" s="90">
        <v>-1</v>
      </c>
      <c r="AI2513" s="90">
        <v>-1</v>
      </c>
      <c r="AJ2513" s="90">
        <v>0</v>
      </c>
      <c r="AM2513" s="90" t="s">
        <v>379</v>
      </c>
      <c r="AN2513" s="90">
        <v>-1</v>
      </c>
      <c r="AQ2513" s="90">
        <v>358</v>
      </c>
      <c r="AR2513" s="90" t="s">
        <v>422</v>
      </c>
      <c r="AS2513" s="90" t="s">
        <v>250</v>
      </c>
      <c r="AT2513" s="90" t="s">
        <v>244</v>
      </c>
      <c r="AU2513" s="90">
        <v>86.412649999999999</v>
      </c>
      <c r="AV2513" s="90">
        <v>104.825618022051</v>
      </c>
      <c r="AW2513" s="90">
        <v>91.327846454966206</v>
      </c>
      <c r="AX2513" s="90">
        <v>6.8984366399999997E-2</v>
      </c>
    </row>
    <row r="2514" spans="1:50" x14ac:dyDescent="0.25">
      <c r="A2514" s="102">
        <v>830000</v>
      </c>
      <c r="B2514" s="102">
        <v>2400000</v>
      </c>
      <c r="C2514" s="102">
        <v>2400000</v>
      </c>
      <c r="D2514" s="90" t="s">
        <v>374</v>
      </c>
      <c r="E2514" s="90" t="s">
        <v>68</v>
      </c>
      <c r="F2514" s="90" t="s">
        <v>375</v>
      </c>
      <c r="G2514" s="90" t="s">
        <v>376</v>
      </c>
      <c r="H2514" s="90">
        <v>0.59</v>
      </c>
      <c r="I2514" s="90">
        <v>0.64</v>
      </c>
      <c r="J2514" s="90" t="s">
        <v>244</v>
      </c>
      <c r="K2514" s="90">
        <v>2.5736027873999998E-4</v>
      </c>
      <c r="L2514" s="90">
        <v>3769.01908054044</v>
      </c>
      <c r="M2514" s="90">
        <v>8.9315846147739304</v>
      </c>
      <c r="N2514" s="90">
        <v>1.4813569171929</v>
      </c>
      <c r="O2514" s="90">
        <v>2.29863510606E-3</v>
      </c>
      <c r="P2514" s="90">
        <v>3.8124242912000001E-4</v>
      </c>
      <c r="Q2514" s="90">
        <v>0.96999580115179995</v>
      </c>
      <c r="R2514" s="90">
        <v>1210</v>
      </c>
      <c r="S2514" s="90" t="s">
        <v>385</v>
      </c>
      <c r="T2514" s="90">
        <v>1210</v>
      </c>
      <c r="U2514" s="90" t="s">
        <v>378</v>
      </c>
      <c r="V2514" s="90" t="s">
        <v>244</v>
      </c>
      <c r="Z2514" s="90">
        <v>0</v>
      </c>
      <c r="AA2514" s="90">
        <v>1</v>
      </c>
      <c r="AB2514" s="90">
        <v>2.29863510606E-3</v>
      </c>
      <c r="AC2514" s="90">
        <v>3.8124242912000001E-4</v>
      </c>
      <c r="AD2514" s="90">
        <v>0.96999580115260997</v>
      </c>
      <c r="AF2514" s="90">
        <v>-1</v>
      </c>
      <c r="AG2514" s="90">
        <v>-1</v>
      </c>
      <c r="AH2514" s="90">
        <v>-1</v>
      </c>
      <c r="AI2514" s="90">
        <v>-1</v>
      </c>
      <c r="AJ2514" s="90">
        <v>0</v>
      </c>
      <c r="AM2514" s="90" t="s">
        <v>379</v>
      </c>
      <c r="AN2514" s="90">
        <v>-1</v>
      </c>
      <c r="AQ2514" s="90">
        <v>358</v>
      </c>
      <c r="AR2514" s="90" t="s">
        <v>422</v>
      </c>
      <c r="AS2514" s="90" t="s">
        <v>250</v>
      </c>
      <c r="AT2514" s="90" t="s">
        <v>244</v>
      </c>
      <c r="AU2514" s="90">
        <v>86.412649999999999</v>
      </c>
      <c r="AV2514" s="90">
        <v>4.1114383725045398</v>
      </c>
      <c r="AW2514" s="90">
        <v>1.0415000968985799</v>
      </c>
      <c r="AX2514" s="90">
        <v>7.8669570000000004E-4</v>
      </c>
    </row>
    <row r="2515" spans="1:50" x14ac:dyDescent="0.25">
      <c r="A2515" s="102">
        <v>830000</v>
      </c>
      <c r="B2515" s="102">
        <v>2400000</v>
      </c>
      <c r="C2515" s="102">
        <v>2400000</v>
      </c>
      <c r="D2515" s="90" t="s">
        <v>374</v>
      </c>
      <c r="E2515" s="90" t="s">
        <v>68</v>
      </c>
      <c r="F2515" s="90" t="s">
        <v>375</v>
      </c>
      <c r="G2515" s="90" t="s">
        <v>376</v>
      </c>
      <c r="H2515" s="90">
        <v>0.59</v>
      </c>
      <c r="I2515" s="90">
        <v>0.64</v>
      </c>
      <c r="J2515" s="90" t="s">
        <v>244</v>
      </c>
      <c r="K2515" s="90">
        <v>1.415058176709E-2</v>
      </c>
      <c r="L2515" s="90">
        <v>3769.01908054044</v>
      </c>
      <c r="M2515" s="90">
        <v>8.9315846147739304</v>
      </c>
      <c r="N2515" s="90">
        <v>1.4813569171929</v>
      </c>
      <c r="O2515" s="90">
        <v>0.12638711840111</v>
      </c>
      <c r="P2515" s="90">
        <v>2.0962062182990002E-2</v>
      </c>
      <c r="Q2515" s="90">
        <v>53.333812680940099</v>
      </c>
      <c r="R2515" s="90">
        <v>1210</v>
      </c>
      <c r="S2515" s="90" t="s">
        <v>385</v>
      </c>
      <c r="T2515" s="90">
        <v>1210</v>
      </c>
      <c r="U2515" s="90" t="s">
        <v>378</v>
      </c>
      <c r="V2515" s="90" t="s">
        <v>244</v>
      </c>
      <c r="Z2515" s="90">
        <v>0</v>
      </c>
      <c r="AA2515" s="90">
        <v>1</v>
      </c>
      <c r="AB2515" s="90">
        <v>0.12638711840111</v>
      </c>
      <c r="AC2515" s="90">
        <v>2.0962062182990002E-2</v>
      </c>
      <c r="AD2515" s="90">
        <v>53.333812680939303</v>
      </c>
      <c r="AF2515" s="90">
        <v>-1</v>
      </c>
      <c r="AG2515" s="90">
        <v>-1</v>
      </c>
      <c r="AH2515" s="90">
        <v>-1</v>
      </c>
      <c r="AI2515" s="90">
        <v>-1</v>
      </c>
      <c r="AJ2515" s="90">
        <v>0</v>
      </c>
      <c r="AM2515" s="90" t="s">
        <v>379</v>
      </c>
      <c r="AN2515" s="90">
        <v>-1</v>
      </c>
      <c r="AQ2515" s="90">
        <v>358</v>
      </c>
      <c r="AR2515" s="90" t="s">
        <v>422</v>
      </c>
      <c r="AS2515" s="90" t="s">
        <v>250</v>
      </c>
      <c r="AT2515" s="90" t="s">
        <v>244</v>
      </c>
      <c r="AU2515" s="90">
        <v>86.412649999999999</v>
      </c>
      <c r="AV2515" s="90">
        <v>63.203273540092802</v>
      </c>
      <c r="AW2515" s="90">
        <v>57.265372704876</v>
      </c>
      <c r="AX2515" s="90">
        <v>4.3255322499999999E-2</v>
      </c>
    </row>
    <row r="2516" spans="1:50" x14ac:dyDescent="0.25">
      <c r="A2516" s="102">
        <v>830000</v>
      </c>
      <c r="B2516" s="102">
        <v>2400000</v>
      </c>
      <c r="C2516" s="102">
        <v>2400000</v>
      </c>
      <c r="D2516" s="90" t="s">
        <v>374</v>
      </c>
      <c r="E2516" s="90" t="s">
        <v>68</v>
      </c>
      <c r="F2516" s="90" t="s">
        <v>375</v>
      </c>
      <c r="G2516" s="90" t="s">
        <v>376</v>
      </c>
      <c r="H2516" s="90">
        <v>0.59</v>
      </c>
      <c r="I2516" s="90">
        <v>0.64</v>
      </c>
      <c r="J2516" s="90" t="s">
        <v>244</v>
      </c>
      <c r="K2516" s="90">
        <v>1.409059328503E-2</v>
      </c>
      <c r="L2516" s="90">
        <v>3769.01908054044</v>
      </c>
      <c r="M2516" s="90">
        <v>8.9315846147739304</v>
      </c>
      <c r="N2516" s="90">
        <v>1.4813569171929</v>
      </c>
      <c r="O2516" s="90">
        <v>0.12585132619761</v>
      </c>
      <c r="P2516" s="90">
        <v>2.0873197830129999E-2</v>
      </c>
      <c r="Q2516" s="90">
        <v>53.107714947413101</v>
      </c>
      <c r="R2516" s="90">
        <v>1210</v>
      </c>
      <c r="S2516" s="90" t="s">
        <v>385</v>
      </c>
      <c r="T2516" s="90">
        <v>1210</v>
      </c>
      <c r="U2516" s="90" t="s">
        <v>378</v>
      </c>
      <c r="V2516" s="90" t="s">
        <v>244</v>
      </c>
      <c r="Z2516" s="90">
        <v>0</v>
      </c>
      <c r="AA2516" s="90">
        <v>1</v>
      </c>
      <c r="AB2516" s="90">
        <v>0.12585132619761</v>
      </c>
      <c r="AC2516" s="90">
        <v>2.0873197830129999E-2</v>
      </c>
      <c r="AD2516" s="90">
        <v>53.107714947414202</v>
      </c>
      <c r="AF2516" s="90">
        <v>-1</v>
      </c>
      <c r="AG2516" s="90">
        <v>-1</v>
      </c>
      <c r="AH2516" s="90">
        <v>-1</v>
      </c>
      <c r="AI2516" s="90">
        <v>-1</v>
      </c>
      <c r="AJ2516" s="90">
        <v>0</v>
      </c>
      <c r="AM2516" s="90" t="s">
        <v>379</v>
      </c>
      <c r="AN2516" s="90">
        <v>-1</v>
      </c>
      <c r="AQ2516" s="90">
        <v>358</v>
      </c>
      <c r="AR2516" s="90" t="s">
        <v>422</v>
      </c>
      <c r="AS2516" s="90" t="s">
        <v>250</v>
      </c>
      <c r="AT2516" s="90" t="s">
        <v>244</v>
      </c>
      <c r="AU2516" s="90">
        <v>86.412649999999999</v>
      </c>
      <c r="AV2516" s="90">
        <v>44.293308767078699</v>
      </c>
      <c r="AW2516" s="90">
        <v>57.022607930951096</v>
      </c>
      <c r="AX2516" s="90">
        <v>4.3071950499999997E-2</v>
      </c>
    </row>
    <row r="2517" spans="1:50" x14ac:dyDescent="0.25">
      <c r="A2517" s="102">
        <v>830000</v>
      </c>
      <c r="B2517" s="102">
        <v>2400000</v>
      </c>
      <c r="C2517" s="102">
        <v>2400000</v>
      </c>
      <c r="D2517" s="90" t="s">
        <v>374</v>
      </c>
      <c r="E2517" s="90" t="s">
        <v>68</v>
      </c>
      <c r="F2517" s="90" t="s">
        <v>375</v>
      </c>
      <c r="G2517" s="90" t="s">
        <v>376</v>
      </c>
      <c r="H2517" s="90">
        <v>0.59</v>
      </c>
      <c r="I2517" s="90">
        <v>0.64</v>
      </c>
      <c r="J2517" s="90" t="s">
        <v>244</v>
      </c>
      <c r="K2517" s="90">
        <v>0.1900911713075</v>
      </c>
      <c r="L2517" s="90">
        <v>3769.01908054044</v>
      </c>
      <c r="M2517" s="90">
        <v>8.9315846147739304</v>
      </c>
      <c r="N2517" s="90">
        <v>1.4813569171929</v>
      </c>
      <c r="O2517" s="90">
        <v>1.6978153810544201</v>
      </c>
      <c r="P2517" s="90">
        <v>0.28159287151366003</v>
      </c>
      <c r="Q2517" s="90">
        <v>716.45725170025003</v>
      </c>
      <c r="R2517" s="90">
        <v>1300</v>
      </c>
      <c r="S2517" s="90" t="s">
        <v>387</v>
      </c>
      <c r="T2517" s="90">
        <v>1300</v>
      </c>
      <c r="U2517" s="90" t="s">
        <v>378</v>
      </c>
      <c r="V2517" s="90" t="s">
        <v>244</v>
      </c>
      <c r="Z2517" s="90">
        <v>0</v>
      </c>
      <c r="AA2517" s="90">
        <v>1</v>
      </c>
      <c r="AB2517" s="90">
        <v>1.6978153810544201</v>
      </c>
      <c r="AC2517" s="90">
        <v>0.28159287151366003</v>
      </c>
      <c r="AD2517" s="90">
        <v>716.45725170025003</v>
      </c>
      <c r="AF2517" s="90">
        <v>-1</v>
      </c>
      <c r="AG2517" s="90">
        <v>-1</v>
      </c>
      <c r="AH2517" s="90">
        <v>-1</v>
      </c>
      <c r="AI2517" s="90">
        <v>-1</v>
      </c>
      <c r="AJ2517" s="90">
        <v>0</v>
      </c>
      <c r="AM2517" s="90" t="s">
        <v>379</v>
      </c>
      <c r="AN2517" s="90">
        <v>-1</v>
      </c>
      <c r="AQ2517" s="90">
        <v>358</v>
      </c>
      <c r="AR2517" s="90" t="s">
        <v>422</v>
      </c>
      <c r="AS2517" s="90" t="s">
        <v>250</v>
      </c>
      <c r="AT2517" s="90" t="s">
        <v>244</v>
      </c>
      <c r="AU2517" s="90">
        <v>86.412649999999999</v>
      </c>
      <c r="AV2517" s="90">
        <v>111.002352442356</v>
      </c>
      <c r="AW2517" s="90">
        <v>769.27167744729604</v>
      </c>
      <c r="AX2517" s="90">
        <v>0.58106833069999997</v>
      </c>
    </row>
    <row r="2518" spans="1:50" x14ac:dyDescent="0.25">
      <c r="A2518" s="102">
        <v>830000</v>
      </c>
      <c r="B2518" s="102">
        <v>2400000</v>
      </c>
      <c r="C2518" s="102">
        <v>2400000</v>
      </c>
      <c r="D2518" s="90" t="s">
        <v>374</v>
      </c>
      <c r="E2518" s="90" t="s">
        <v>68</v>
      </c>
      <c r="F2518" s="90" t="s">
        <v>375</v>
      </c>
      <c r="G2518" s="90" t="s">
        <v>376</v>
      </c>
      <c r="H2518" s="90">
        <v>0.59</v>
      </c>
      <c r="I2518" s="90">
        <v>0.64</v>
      </c>
      <c r="J2518" s="90" t="s">
        <v>244</v>
      </c>
      <c r="K2518" s="90">
        <v>0.13915105638583999</v>
      </c>
      <c r="L2518" s="90">
        <v>3769.01908054044</v>
      </c>
      <c r="M2518" s="90">
        <v>8.9315846147739304</v>
      </c>
      <c r="N2518" s="90">
        <v>1.4813569171929</v>
      </c>
      <c r="O2518" s="90">
        <v>1.2428394343453799</v>
      </c>
      <c r="P2518" s="90">
        <v>0.20613237991187</v>
      </c>
      <c r="Q2518" s="90">
        <v>524.46298659562399</v>
      </c>
      <c r="R2518" s="90">
        <v>1300</v>
      </c>
      <c r="S2518" s="90" t="s">
        <v>387</v>
      </c>
      <c r="T2518" s="90">
        <v>1300</v>
      </c>
      <c r="U2518" s="90" t="s">
        <v>378</v>
      </c>
      <c r="V2518" s="90" t="s">
        <v>244</v>
      </c>
      <c r="Z2518" s="90">
        <v>0</v>
      </c>
      <c r="AA2518" s="90">
        <v>1</v>
      </c>
      <c r="AB2518" s="90">
        <v>1.2428394343453799</v>
      </c>
      <c r="AC2518" s="90">
        <v>0.20613237991187</v>
      </c>
      <c r="AD2518" s="90">
        <v>524.46298659562399</v>
      </c>
      <c r="AF2518" s="90">
        <v>-1</v>
      </c>
      <c r="AG2518" s="90">
        <v>-1</v>
      </c>
      <c r="AH2518" s="90">
        <v>-1</v>
      </c>
      <c r="AI2518" s="90">
        <v>-1</v>
      </c>
      <c r="AJ2518" s="90">
        <v>0</v>
      </c>
      <c r="AM2518" s="90" t="s">
        <v>379</v>
      </c>
      <c r="AN2518" s="90">
        <v>-1</v>
      </c>
      <c r="AQ2518" s="90">
        <v>358</v>
      </c>
      <c r="AR2518" s="90" t="s">
        <v>422</v>
      </c>
      <c r="AS2518" s="90" t="s">
        <v>250</v>
      </c>
      <c r="AT2518" s="90" t="s">
        <v>244</v>
      </c>
      <c r="AU2518" s="90">
        <v>86.412649999999999</v>
      </c>
      <c r="AV2518" s="90">
        <v>95.256744256465495</v>
      </c>
      <c r="AW2518" s="90">
        <v>563.124346218818</v>
      </c>
      <c r="AX2518" s="90">
        <v>0.4253552203</v>
      </c>
    </row>
    <row r="2519" spans="1:50" x14ac:dyDescent="0.25">
      <c r="A2519" s="102">
        <v>830000</v>
      </c>
      <c r="B2519" s="102">
        <v>2400000</v>
      </c>
      <c r="C2519" s="102">
        <v>2400000</v>
      </c>
      <c r="D2519" s="90" t="s">
        <v>374</v>
      </c>
      <c r="E2519" s="90" t="s">
        <v>68</v>
      </c>
      <c r="F2519" s="90" t="s">
        <v>375</v>
      </c>
      <c r="G2519" s="90" t="s">
        <v>376</v>
      </c>
      <c r="H2519" s="90">
        <v>0.59</v>
      </c>
      <c r="I2519" s="90">
        <v>0.64</v>
      </c>
      <c r="J2519" s="90" t="s">
        <v>381</v>
      </c>
      <c r="K2519" s="90">
        <v>1.087555628089E-2</v>
      </c>
      <c r="L2519" s="90">
        <v>3714.1594658059598</v>
      </c>
      <c r="M2519" s="90">
        <v>9.4121385820760093</v>
      </c>
      <c r="N2519" s="90">
        <v>1.4375863058256499</v>
      </c>
      <c r="O2519" s="90">
        <v>0.10236224287293</v>
      </c>
      <c r="P2519" s="90">
        <v>1.5634550777640002E-2</v>
      </c>
      <c r="Q2519" s="90">
        <v>40.393550306584203</v>
      </c>
      <c r="R2519" s="90">
        <v>1200</v>
      </c>
      <c r="S2519" s="90" t="s">
        <v>384</v>
      </c>
      <c r="T2519" s="90">
        <v>1200</v>
      </c>
      <c r="U2519" s="90" t="s">
        <v>382</v>
      </c>
      <c r="V2519" s="90" t="s">
        <v>381</v>
      </c>
      <c r="Z2519" s="90">
        <v>0</v>
      </c>
      <c r="AA2519" s="90">
        <v>1</v>
      </c>
      <c r="AB2519" s="90">
        <v>0.10236224287293</v>
      </c>
      <c r="AC2519" s="90">
        <v>1.5634550777640002E-2</v>
      </c>
      <c r="AD2519" s="90">
        <v>40.393550306585297</v>
      </c>
      <c r="AF2519" s="90">
        <v>-1</v>
      </c>
      <c r="AG2519" s="90">
        <v>-1</v>
      </c>
      <c r="AH2519" s="90">
        <v>-1</v>
      </c>
      <c r="AI2519" s="90">
        <v>-1</v>
      </c>
      <c r="AJ2519" s="90">
        <v>0</v>
      </c>
      <c r="AM2519" s="90" t="s">
        <v>379</v>
      </c>
      <c r="AN2519" s="90">
        <v>-1</v>
      </c>
      <c r="AQ2519" s="90">
        <v>358</v>
      </c>
      <c r="AR2519" s="90" t="s">
        <v>422</v>
      </c>
      <c r="AS2519" s="90" t="s">
        <v>250</v>
      </c>
      <c r="AT2519" s="90" t="s">
        <v>244</v>
      </c>
      <c r="AU2519" s="90">
        <v>86.412649999999999</v>
      </c>
      <c r="AV2519" s="90">
        <v>74.452674076381001</v>
      </c>
      <c r="AW2519" s="90">
        <v>44.011814782505702</v>
      </c>
      <c r="AX2519" s="90">
        <v>3.2760381399999997E-2</v>
      </c>
    </row>
    <row r="2520" spans="1:50" x14ac:dyDescent="0.25">
      <c r="A2520" s="102">
        <v>830000</v>
      </c>
      <c r="B2520" s="102">
        <v>2400000</v>
      </c>
      <c r="C2520" s="102">
        <v>2400000</v>
      </c>
      <c r="D2520" s="90" t="s">
        <v>374</v>
      </c>
      <c r="E2520" s="90" t="s">
        <v>68</v>
      </c>
      <c r="F2520" s="90" t="s">
        <v>375</v>
      </c>
      <c r="G2520" s="90" t="s">
        <v>376</v>
      </c>
      <c r="H2520" s="90">
        <v>0.59</v>
      </c>
      <c r="I2520" s="90">
        <v>0.64</v>
      </c>
      <c r="J2520" s="90" t="s">
        <v>244</v>
      </c>
      <c r="K2520" s="90">
        <v>1.774622563258E-2</v>
      </c>
      <c r="L2520" s="90">
        <v>3714.1594658059598</v>
      </c>
      <c r="M2520" s="90">
        <v>9.4121385820760093</v>
      </c>
      <c r="N2520" s="90">
        <v>1.4375863058256499</v>
      </c>
      <c r="O2520" s="90">
        <v>0.16702993496271001</v>
      </c>
      <c r="P2520" s="90">
        <v>2.5511730949499999E-2</v>
      </c>
      <c r="Q2520" s="90">
        <v>65.912311915608797</v>
      </c>
      <c r="R2520" s="90">
        <v>1210</v>
      </c>
      <c r="S2520" s="90" t="s">
        <v>385</v>
      </c>
      <c r="T2520" s="90">
        <v>1210</v>
      </c>
      <c r="U2520" s="90" t="s">
        <v>378</v>
      </c>
      <c r="V2520" s="90" t="s">
        <v>244</v>
      </c>
      <c r="Z2520" s="90">
        <v>0</v>
      </c>
      <c r="AA2520" s="90">
        <v>1</v>
      </c>
      <c r="AB2520" s="90">
        <v>0.16702993496271001</v>
      </c>
      <c r="AC2520" s="90">
        <v>2.5511730949499999E-2</v>
      </c>
      <c r="AD2520" s="90">
        <v>65.912311915609905</v>
      </c>
      <c r="AF2520" s="90">
        <v>-1</v>
      </c>
      <c r="AG2520" s="90">
        <v>-1</v>
      </c>
      <c r="AH2520" s="90">
        <v>-1</v>
      </c>
      <c r="AI2520" s="90">
        <v>-1</v>
      </c>
      <c r="AJ2520" s="90">
        <v>0</v>
      </c>
      <c r="AM2520" s="90" t="s">
        <v>379</v>
      </c>
      <c r="AN2520" s="90">
        <v>-1</v>
      </c>
      <c r="AQ2520" s="90">
        <v>358</v>
      </c>
      <c r="AR2520" s="90" t="s">
        <v>422</v>
      </c>
      <c r="AS2520" s="90" t="s">
        <v>250</v>
      </c>
      <c r="AT2520" s="90" t="s">
        <v>244</v>
      </c>
      <c r="AU2520" s="90">
        <v>86.412649999999999</v>
      </c>
      <c r="AV2520" s="90">
        <v>89.632330543484201</v>
      </c>
      <c r="AW2520" s="90">
        <v>71.816427174603504</v>
      </c>
      <c r="AX2520" s="90">
        <v>5.3456862899999999E-2</v>
      </c>
    </row>
    <row r="2521" spans="1:50" x14ac:dyDescent="0.25">
      <c r="A2521" s="102">
        <v>830000</v>
      </c>
      <c r="B2521" s="102">
        <v>2400000</v>
      </c>
      <c r="C2521" s="102">
        <v>2400000</v>
      </c>
      <c r="D2521" s="90" t="s">
        <v>374</v>
      </c>
      <c r="E2521" s="90" t="s">
        <v>68</v>
      </c>
      <c r="F2521" s="90" t="s">
        <v>375</v>
      </c>
      <c r="G2521" s="90" t="s">
        <v>376</v>
      </c>
      <c r="H2521" s="90">
        <v>0.59</v>
      </c>
      <c r="I2521" s="90">
        <v>0.64</v>
      </c>
      <c r="J2521" s="90" t="s">
        <v>381</v>
      </c>
      <c r="K2521" s="102">
        <v>2.4231699589999999E-6</v>
      </c>
      <c r="L2521" s="90">
        <v>3714.1594658059598</v>
      </c>
      <c r="M2521" s="90">
        <v>9.4121385820760093</v>
      </c>
      <c r="N2521" s="90">
        <v>1.4375863058256499</v>
      </c>
      <c r="O2521" s="90">
        <v>2.280721146E-5</v>
      </c>
      <c r="P2521" s="102">
        <v>3.483515949747E-6</v>
      </c>
      <c r="Q2521" s="90">
        <v>9.0000396404699996E-3</v>
      </c>
      <c r="R2521" s="90">
        <v>1210</v>
      </c>
      <c r="S2521" s="90" t="s">
        <v>385</v>
      </c>
      <c r="T2521" s="90">
        <v>1210</v>
      </c>
      <c r="U2521" s="90" t="s">
        <v>382</v>
      </c>
      <c r="V2521" s="90" t="s">
        <v>381</v>
      </c>
      <c r="Z2521" s="90">
        <v>0</v>
      </c>
      <c r="AA2521" s="90">
        <v>1</v>
      </c>
      <c r="AB2521" s="90">
        <v>2.280721146E-5</v>
      </c>
      <c r="AC2521" s="102">
        <v>3.483515949747E-6</v>
      </c>
      <c r="AD2521" s="90">
        <v>9.0000396388399996E-3</v>
      </c>
      <c r="AF2521" s="90">
        <v>-1</v>
      </c>
      <c r="AG2521" s="90">
        <v>-1</v>
      </c>
      <c r="AH2521" s="90">
        <v>-1</v>
      </c>
      <c r="AI2521" s="90">
        <v>-1</v>
      </c>
      <c r="AJ2521" s="90">
        <v>0</v>
      </c>
      <c r="AM2521" s="90" t="s">
        <v>379</v>
      </c>
      <c r="AN2521" s="90">
        <v>-1</v>
      </c>
      <c r="AQ2521" s="90">
        <v>358</v>
      </c>
      <c r="AR2521" s="90" t="s">
        <v>422</v>
      </c>
      <c r="AS2521" s="90" t="s">
        <v>250</v>
      </c>
      <c r="AT2521" s="90" t="s">
        <v>244</v>
      </c>
      <c r="AU2521" s="90">
        <v>86.412649999999999</v>
      </c>
      <c r="AV2521" s="90">
        <v>0.41950862883537998</v>
      </c>
      <c r="AW2521" s="90">
        <v>9.8062209093599997E-3</v>
      </c>
      <c r="AX2521" s="102">
        <v>7.2993022000000001E-6</v>
      </c>
    </row>
    <row r="2522" spans="1:50" x14ac:dyDescent="0.25">
      <c r="A2522" s="102">
        <v>830000</v>
      </c>
      <c r="B2522" s="102">
        <v>2400000</v>
      </c>
      <c r="C2522" s="102">
        <v>2400000</v>
      </c>
      <c r="D2522" s="90" t="s">
        <v>374</v>
      </c>
      <c r="E2522" s="90" t="s">
        <v>68</v>
      </c>
      <c r="F2522" s="90" t="s">
        <v>375</v>
      </c>
      <c r="G2522" s="90" t="s">
        <v>376</v>
      </c>
      <c r="H2522" s="90">
        <v>0.59</v>
      </c>
      <c r="I2522" s="90">
        <v>0.64</v>
      </c>
      <c r="J2522" s="90" t="s">
        <v>244</v>
      </c>
      <c r="K2522" s="90">
        <v>0.16395369819044001</v>
      </c>
      <c r="L2522" s="90">
        <v>3714.1594658059598</v>
      </c>
      <c r="M2522" s="90">
        <v>9.4121385820760093</v>
      </c>
      <c r="N2522" s="90">
        <v>1.4375863058256499</v>
      </c>
      <c r="O2522" s="90">
        <v>1.5431549284122801</v>
      </c>
      <c r="P2522" s="90">
        <v>0.23569759130803999</v>
      </c>
      <c r="Q2522" s="90">
        <v>608.95018008791601</v>
      </c>
      <c r="R2522" s="90">
        <v>1210</v>
      </c>
      <c r="S2522" s="90" t="s">
        <v>385</v>
      </c>
      <c r="T2522" s="90">
        <v>1210</v>
      </c>
      <c r="U2522" s="90" t="s">
        <v>378</v>
      </c>
      <c r="V2522" s="90" t="s">
        <v>244</v>
      </c>
      <c r="Z2522" s="90">
        <v>0</v>
      </c>
      <c r="AA2522" s="90">
        <v>1</v>
      </c>
      <c r="AB2522" s="90">
        <v>1.5431549284122801</v>
      </c>
      <c r="AC2522" s="90">
        <v>0.23569759130803999</v>
      </c>
      <c r="AD2522" s="90">
        <v>608.95018008791601</v>
      </c>
      <c r="AF2522" s="90">
        <v>-1</v>
      </c>
      <c r="AG2522" s="90">
        <v>-1</v>
      </c>
      <c r="AH2522" s="90">
        <v>-1</v>
      </c>
      <c r="AI2522" s="90">
        <v>-1</v>
      </c>
      <c r="AJ2522" s="90">
        <v>0</v>
      </c>
      <c r="AM2522" s="90" t="s">
        <v>379</v>
      </c>
      <c r="AN2522" s="90">
        <v>-1</v>
      </c>
      <c r="AQ2522" s="90">
        <v>358</v>
      </c>
      <c r="AR2522" s="90" t="s">
        <v>422</v>
      </c>
      <c r="AS2522" s="90" t="s">
        <v>250</v>
      </c>
      <c r="AT2522" s="90" t="s">
        <v>244</v>
      </c>
      <c r="AU2522" s="90">
        <v>86.412649999999999</v>
      </c>
      <c r="AV2522" s="90">
        <v>117.391670429911</v>
      </c>
      <c r="AW2522" s="90">
        <v>663.49707649821403</v>
      </c>
      <c r="AX2522" s="90">
        <v>0.49387686949999998</v>
      </c>
    </row>
    <row r="2523" spans="1:50" x14ac:dyDescent="0.25">
      <c r="A2523" s="102">
        <v>830000</v>
      </c>
      <c r="B2523" s="102">
        <v>2400000</v>
      </c>
      <c r="C2523" s="102">
        <v>2400000</v>
      </c>
      <c r="D2523" s="90" t="s">
        <v>374</v>
      </c>
      <c r="E2523" s="90" t="s">
        <v>68</v>
      </c>
      <c r="F2523" s="90" t="s">
        <v>375</v>
      </c>
      <c r="G2523" s="90" t="s">
        <v>376</v>
      </c>
      <c r="H2523" s="90">
        <v>0.59</v>
      </c>
      <c r="I2523" s="90">
        <v>0.64</v>
      </c>
      <c r="J2523" s="90" t="s">
        <v>381</v>
      </c>
      <c r="K2523" s="90">
        <v>5.2352916855999995E-4</v>
      </c>
      <c r="L2523" s="90">
        <v>3714.1594658059598</v>
      </c>
      <c r="M2523" s="90">
        <v>9.4121385820760093</v>
      </c>
      <c r="N2523" s="90">
        <v>1.4375863058256499</v>
      </c>
      <c r="O2523" s="90">
        <v>4.9275290862799996E-3</v>
      </c>
      <c r="P2523" s="90">
        <v>7.5261836341999997E-4</v>
      </c>
      <c r="Q2523" s="90">
        <v>1.9444708170475</v>
      </c>
      <c r="R2523" s="90">
        <v>1210</v>
      </c>
      <c r="S2523" s="90" t="s">
        <v>385</v>
      </c>
      <c r="T2523" s="90">
        <v>1210</v>
      </c>
      <c r="U2523" s="90" t="s">
        <v>382</v>
      </c>
      <c r="V2523" s="90" t="s">
        <v>381</v>
      </c>
      <c r="Z2523" s="90">
        <v>0</v>
      </c>
      <c r="AA2523" s="90">
        <v>1</v>
      </c>
      <c r="AB2523" s="90">
        <v>4.9275290862799996E-3</v>
      </c>
      <c r="AC2523" s="90">
        <v>7.5261836341999997E-4</v>
      </c>
      <c r="AD2523" s="90">
        <v>1.94447081704841</v>
      </c>
      <c r="AF2523" s="90">
        <v>-1</v>
      </c>
      <c r="AG2523" s="90">
        <v>-1</v>
      </c>
      <c r="AH2523" s="90">
        <v>-1</v>
      </c>
      <c r="AI2523" s="90">
        <v>-1</v>
      </c>
      <c r="AJ2523" s="90">
        <v>0</v>
      </c>
      <c r="AM2523" s="90" t="s">
        <v>379</v>
      </c>
      <c r="AN2523" s="90">
        <v>-1</v>
      </c>
      <c r="AQ2523" s="90">
        <v>358</v>
      </c>
      <c r="AR2523" s="90" t="s">
        <v>422</v>
      </c>
      <c r="AS2523" s="90" t="s">
        <v>250</v>
      </c>
      <c r="AT2523" s="90" t="s">
        <v>244</v>
      </c>
      <c r="AU2523" s="90">
        <v>86.412649999999999</v>
      </c>
      <c r="AV2523" s="90">
        <v>30.882666633364899</v>
      </c>
      <c r="AW2523" s="90">
        <v>2.1186473781179398</v>
      </c>
      <c r="AX2523" s="90">
        <v>1.5770242000000001E-3</v>
      </c>
    </row>
    <row r="2524" spans="1:50" x14ac:dyDescent="0.25">
      <c r="A2524" s="102">
        <v>830000</v>
      </c>
      <c r="B2524" s="102">
        <v>2400000</v>
      </c>
      <c r="C2524" s="102">
        <v>2400000</v>
      </c>
      <c r="D2524" s="90" t="s">
        <v>374</v>
      </c>
      <c r="E2524" s="90" t="s">
        <v>68</v>
      </c>
      <c r="F2524" s="90" t="s">
        <v>375</v>
      </c>
      <c r="G2524" s="90" t="s">
        <v>376</v>
      </c>
      <c r="H2524" s="90">
        <v>0.59</v>
      </c>
      <c r="I2524" s="90">
        <v>0.64</v>
      </c>
      <c r="J2524" s="90" t="s">
        <v>244</v>
      </c>
      <c r="K2524" s="90">
        <v>0.15848827082943001</v>
      </c>
      <c r="L2524" s="90">
        <v>3714.1594658059598</v>
      </c>
      <c r="M2524" s="90">
        <v>9.4121385820760093</v>
      </c>
      <c r="N2524" s="90">
        <v>1.4375863058256499</v>
      </c>
      <c r="O2524" s="90">
        <v>1.4917135686802101</v>
      </c>
      <c r="P2524" s="90">
        <v>0.22784056777837999</v>
      </c>
      <c r="Q2524" s="90">
        <v>588.650711320357</v>
      </c>
      <c r="R2524" s="90">
        <v>1210</v>
      </c>
      <c r="S2524" s="90" t="s">
        <v>385</v>
      </c>
      <c r="T2524" s="90">
        <v>1210</v>
      </c>
      <c r="U2524" s="90" t="s">
        <v>378</v>
      </c>
      <c r="V2524" s="90" t="s">
        <v>244</v>
      </c>
      <c r="Z2524" s="90">
        <v>0</v>
      </c>
      <c r="AA2524" s="90">
        <v>1</v>
      </c>
      <c r="AB2524" s="90">
        <v>1.4917135686802101</v>
      </c>
      <c r="AC2524" s="90">
        <v>0.22784056777837999</v>
      </c>
      <c r="AD2524" s="90">
        <v>588.650711320357</v>
      </c>
      <c r="AF2524" s="90">
        <v>-1</v>
      </c>
      <c r="AG2524" s="90">
        <v>-1</v>
      </c>
      <c r="AH2524" s="90">
        <v>-1</v>
      </c>
      <c r="AI2524" s="90">
        <v>-1</v>
      </c>
      <c r="AJ2524" s="90">
        <v>0</v>
      </c>
      <c r="AM2524" s="90" t="s">
        <v>379</v>
      </c>
      <c r="AN2524" s="90">
        <v>-1</v>
      </c>
      <c r="AQ2524" s="90">
        <v>358</v>
      </c>
      <c r="AR2524" s="90" t="s">
        <v>422</v>
      </c>
      <c r="AS2524" s="90" t="s">
        <v>250</v>
      </c>
      <c r="AT2524" s="90" t="s">
        <v>244</v>
      </c>
      <c r="AU2524" s="90">
        <v>86.412649999999999</v>
      </c>
      <c r="AV2524" s="90">
        <v>116.76543737612</v>
      </c>
      <c r="AW2524" s="90">
        <v>641.37927668116095</v>
      </c>
      <c r="AX2524" s="90">
        <v>0.47741339119999998</v>
      </c>
    </row>
    <row r="2525" spans="1:50" x14ac:dyDescent="0.25">
      <c r="A2525" s="102">
        <v>830000</v>
      </c>
      <c r="B2525" s="102">
        <v>2400000</v>
      </c>
      <c r="C2525" s="102">
        <v>2400000</v>
      </c>
      <c r="D2525" s="90" t="s">
        <v>374</v>
      </c>
      <c r="E2525" s="90" t="s">
        <v>68</v>
      </c>
      <c r="F2525" s="90" t="s">
        <v>375</v>
      </c>
      <c r="G2525" s="90" t="s">
        <v>376</v>
      </c>
      <c r="H2525" s="90">
        <v>0.59</v>
      </c>
      <c r="I2525" s="90">
        <v>0.64</v>
      </c>
      <c r="J2525" s="90" t="s">
        <v>381</v>
      </c>
      <c r="K2525" s="90">
        <v>5.2409162873E-4</v>
      </c>
      <c r="L2525" s="90">
        <v>3714.1594658059598</v>
      </c>
      <c r="M2525" s="90">
        <v>9.4121385820760093</v>
      </c>
      <c r="N2525" s="90">
        <v>1.4375863058256499</v>
      </c>
      <c r="O2525" s="90">
        <v>4.9328230393199998E-3</v>
      </c>
      <c r="P2525" s="90">
        <v>7.5342694845999996E-4</v>
      </c>
      <c r="Q2525" s="90">
        <v>1.9465598838008999</v>
      </c>
      <c r="R2525" s="90">
        <v>1210</v>
      </c>
      <c r="S2525" s="90" t="s">
        <v>385</v>
      </c>
      <c r="T2525" s="90">
        <v>1210</v>
      </c>
      <c r="U2525" s="90" t="s">
        <v>382</v>
      </c>
      <c r="V2525" s="90" t="s">
        <v>381</v>
      </c>
      <c r="Z2525" s="90">
        <v>0</v>
      </c>
      <c r="AA2525" s="90">
        <v>1</v>
      </c>
      <c r="AB2525" s="90">
        <v>4.9328230393199998E-3</v>
      </c>
      <c r="AC2525" s="90">
        <v>7.5342694845999996E-4</v>
      </c>
      <c r="AD2525" s="90">
        <v>1.9465598838008</v>
      </c>
      <c r="AF2525" s="90">
        <v>-1</v>
      </c>
      <c r="AG2525" s="90">
        <v>-1</v>
      </c>
      <c r="AH2525" s="90">
        <v>-1</v>
      </c>
      <c r="AI2525" s="90">
        <v>-1</v>
      </c>
      <c r="AJ2525" s="90">
        <v>0</v>
      </c>
      <c r="AM2525" s="90" t="s">
        <v>379</v>
      </c>
      <c r="AN2525" s="90">
        <v>-1</v>
      </c>
      <c r="AQ2525" s="90">
        <v>358</v>
      </c>
      <c r="AR2525" s="90" t="s">
        <v>422</v>
      </c>
      <c r="AS2525" s="90" t="s">
        <v>250</v>
      </c>
      <c r="AT2525" s="90" t="s">
        <v>244</v>
      </c>
      <c r="AU2525" s="90">
        <v>86.412649999999999</v>
      </c>
      <c r="AV2525" s="90">
        <v>29.638468666600101</v>
      </c>
      <c r="AW2525" s="90">
        <v>2.1209235736560101</v>
      </c>
      <c r="AX2525" s="90">
        <v>1.5787185E-3</v>
      </c>
    </row>
    <row r="2526" spans="1:50" x14ac:dyDescent="0.25">
      <c r="A2526" s="102">
        <v>830000</v>
      </c>
      <c r="B2526" s="102">
        <v>2400000</v>
      </c>
      <c r="C2526" s="102">
        <v>2400000</v>
      </c>
      <c r="D2526" s="90" t="s">
        <v>374</v>
      </c>
      <c r="E2526" s="90" t="s">
        <v>68</v>
      </c>
      <c r="F2526" s="90" t="s">
        <v>375</v>
      </c>
      <c r="G2526" s="90" t="s">
        <v>376</v>
      </c>
      <c r="H2526" s="90">
        <v>0.59</v>
      </c>
      <c r="I2526" s="90">
        <v>0.64</v>
      </c>
      <c r="J2526" s="90" t="s">
        <v>244</v>
      </c>
      <c r="K2526" s="90">
        <v>0.16794444803947001</v>
      </c>
      <c r="L2526" s="90">
        <v>3714.1594658059598</v>
      </c>
      <c r="M2526" s="90">
        <v>9.4121385820760093</v>
      </c>
      <c r="N2526" s="90">
        <v>1.4375863058256499</v>
      </c>
      <c r="O2526" s="90">
        <v>1.58071641903783</v>
      </c>
      <c r="P2526" s="90">
        <v>0.24143463864100001</v>
      </c>
      <c r="Q2526" s="90">
        <v>623.77246141538501</v>
      </c>
      <c r="R2526" s="90">
        <v>1210</v>
      </c>
      <c r="S2526" s="90" t="s">
        <v>385</v>
      </c>
      <c r="T2526" s="90">
        <v>1210</v>
      </c>
      <c r="U2526" s="90" t="s">
        <v>378</v>
      </c>
      <c r="V2526" s="90" t="s">
        <v>244</v>
      </c>
      <c r="Z2526" s="90">
        <v>0</v>
      </c>
      <c r="AA2526" s="90">
        <v>1</v>
      </c>
      <c r="AB2526" s="90">
        <v>1.58071641903783</v>
      </c>
      <c r="AC2526" s="90">
        <v>0.24143463864100001</v>
      </c>
      <c r="AD2526" s="90">
        <v>623.77246141538501</v>
      </c>
      <c r="AF2526" s="90">
        <v>-1</v>
      </c>
      <c r="AG2526" s="90">
        <v>-1</v>
      </c>
      <c r="AH2526" s="90">
        <v>-1</v>
      </c>
      <c r="AI2526" s="90">
        <v>-1</v>
      </c>
      <c r="AJ2526" s="90">
        <v>0</v>
      </c>
      <c r="AM2526" s="90" t="s">
        <v>379</v>
      </c>
      <c r="AN2526" s="90">
        <v>-1</v>
      </c>
      <c r="AQ2526" s="90">
        <v>358</v>
      </c>
      <c r="AR2526" s="90" t="s">
        <v>422</v>
      </c>
      <c r="AS2526" s="90" t="s">
        <v>250</v>
      </c>
      <c r="AT2526" s="90" t="s">
        <v>244</v>
      </c>
      <c r="AU2526" s="90">
        <v>86.412649999999999</v>
      </c>
      <c r="AV2526" s="90">
        <v>118.14729177877599</v>
      </c>
      <c r="AW2526" s="90">
        <v>679.647068154983</v>
      </c>
      <c r="AX2526" s="90">
        <v>0.50589818440000001</v>
      </c>
    </row>
    <row r="2527" spans="1:50" x14ac:dyDescent="0.25">
      <c r="A2527" s="102">
        <v>830000</v>
      </c>
      <c r="B2527" s="102">
        <v>2400000</v>
      </c>
      <c r="C2527" s="102">
        <v>2400000</v>
      </c>
      <c r="D2527" s="90" t="s">
        <v>374</v>
      </c>
      <c r="E2527" s="90" t="s">
        <v>68</v>
      </c>
      <c r="F2527" s="90" t="s">
        <v>375</v>
      </c>
      <c r="G2527" s="90" t="s">
        <v>376</v>
      </c>
      <c r="H2527" s="90">
        <v>0.59</v>
      </c>
      <c r="I2527" s="90">
        <v>0.64</v>
      </c>
      <c r="J2527" s="90" t="s">
        <v>381</v>
      </c>
      <c r="K2527" s="90">
        <v>2.5365484470000002E-4</v>
      </c>
      <c r="L2527" s="90">
        <v>3714.1594658059598</v>
      </c>
      <c r="M2527" s="90">
        <v>9.4121385820760093</v>
      </c>
      <c r="N2527" s="90">
        <v>1.4375863058256499</v>
      </c>
      <c r="O2527" s="90">
        <v>2.3874345503600001E-3</v>
      </c>
      <c r="P2527" s="90">
        <v>3.6465073114999997E-4</v>
      </c>
      <c r="Q2527" s="90">
        <v>0.94211454250490001</v>
      </c>
      <c r="R2527" s="90">
        <v>1210</v>
      </c>
      <c r="S2527" s="90" t="s">
        <v>385</v>
      </c>
      <c r="T2527" s="90">
        <v>1210</v>
      </c>
      <c r="U2527" s="90" t="s">
        <v>382</v>
      </c>
      <c r="V2527" s="90" t="s">
        <v>381</v>
      </c>
      <c r="Z2527" s="90">
        <v>0</v>
      </c>
      <c r="AA2527" s="90">
        <v>1</v>
      </c>
      <c r="AB2527" s="90">
        <v>2.3874345503600001E-3</v>
      </c>
      <c r="AC2527" s="90">
        <v>3.6465073114999997E-4</v>
      </c>
      <c r="AD2527" s="90">
        <v>0.94211454250370996</v>
      </c>
      <c r="AF2527" s="90">
        <v>-1</v>
      </c>
      <c r="AG2527" s="90">
        <v>-1</v>
      </c>
      <c r="AH2527" s="90">
        <v>-1</v>
      </c>
      <c r="AI2527" s="90">
        <v>-1</v>
      </c>
      <c r="AJ2527" s="90">
        <v>0</v>
      </c>
      <c r="AM2527" s="90" t="s">
        <v>379</v>
      </c>
      <c r="AN2527" s="90">
        <v>-1</v>
      </c>
      <c r="AQ2527" s="90">
        <v>358</v>
      </c>
      <c r="AR2527" s="90" t="s">
        <v>422</v>
      </c>
      <c r="AS2527" s="90" t="s">
        <v>250</v>
      </c>
      <c r="AT2527" s="90" t="s">
        <v>244</v>
      </c>
      <c r="AU2527" s="90">
        <v>86.412649999999999</v>
      </c>
      <c r="AV2527" s="90">
        <v>16.575606849682998</v>
      </c>
      <c r="AW2527" s="90">
        <v>1.02650473736196</v>
      </c>
      <c r="AX2527" s="90">
        <v>7.640832E-4</v>
      </c>
    </row>
    <row r="2528" spans="1:50" x14ac:dyDescent="0.25">
      <c r="A2528" s="102">
        <v>830000</v>
      </c>
      <c r="B2528" s="102">
        <v>2400000</v>
      </c>
      <c r="C2528" s="102">
        <v>2400000</v>
      </c>
      <c r="D2528" s="90" t="s">
        <v>374</v>
      </c>
      <c r="E2528" s="90" t="s">
        <v>68</v>
      </c>
      <c r="F2528" s="90" t="s">
        <v>375</v>
      </c>
      <c r="G2528" s="90" t="s">
        <v>376</v>
      </c>
      <c r="H2528" s="90">
        <v>0.59</v>
      </c>
      <c r="I2528" s="90">
        <v>0.64</v>
      </c>
      <c r="J2528" s="90" t="s">
        <v>244</v>
      </c>
      <c r="K2528" s="90">
        <v>4.4244010695000002E-2</v>
      </c>
      <c r="L2528" s="90">
        <v>3714.1594658059598</v>
      </c>
      <c r="M2528" s="90">
        <v>9.4121385820760093</v>
      </c>
      <c r="N2528" s="90">
        <v>1.4375863058256499</v>
      </c>
      <c r="O2528" s="90">
        <v>0.41643076008823998</v>
      </c>
      <c r="P2528" s="90">
        <v>6.3604583889940003E-2</v>
      </c>
      <c r="Q2528" s="90">
        <v>164.32931112807299</v>
      </c>
      <c r="R2528" s="90">
        <v>1300</v>
      </c>
      <c r="S2528" s="90" t="s">
        <v>387</v>
      </c>
      <c r="T2528" s="90">
        <v>1300</v>
      </c>
      <c r="U2528" s="90" t="s">
        <v>378</v>
      </c>
      <c r="V2528" s="90" t="s">
        <v>244</v>
      </c>
      <c r="Z2528" s="90">
        <v>0</v>
      </c>
      <c r="AA2528" s="90">
        <v>1</v>
      </c>
      <c r="AB2528" s="90">
        <v>0.41643076008823998</v>
      </c>
      <c r="AC2528" s="90">
        <v>6.3604583889940003E-2</v>
      </c>
      <c r="AD2528" s="90">
        <v>164.32931112807401</v>
      </c>
      <c r="AF2528" s="90">
        <v>-1</v>
      </c>
      <c r="AG2528" s="90">
        <v>-1</v>
      </c>
      <c r="AH2528" s="90">
        <v>-1</v>
      </c>
      <c r="AI2528" s="90">
        <v>-1</v>
      </c>
      <c r="AJ2528" s="90">
        <v>0</v>
      </c>
      <c r="AM2528" s="90" t="s">
        <v>379</v>
      </c>
      <c r="AN2528" s="90">
        <v>-1</v>
      </c>
      <c r="AQ2528" s="90">
        <v>358</v>
      </c>
      <c r="AR2528" s="90" t="s">
        <v>422</v>
      </c>
      <c r="AS2528" s="90" t="s">
        <v>250</v>
      </c>
      <c r="AT2528" s="90" t="s">
        <v>244</v>
      </c>
      <c r="AU2528" s="90">
        <v>86.412649999999999</v>
      </c>
      <c r="AV2528" s="90">
        <v>72.3667830168542</v>
      </c>
      <c r="AW2528" s="90">
        <v>179.04915883381599</v>
      </c>
      <c r="AX2528" s="90">
        <v>0.13327600249999999</v>
      </c>
    </row>
    <row r="2529" spans="1:50" x14ac:dyDescent="0.25">
      <c r="A2529" s="102">
        <v>830000</v>
      </c>
      <c r="B2529" s="102">
        <v>2400000</v>
      </c>
      <c r="C2529" s="102">
        <v>2400000</v>
      </c>
      <c r="D2529" s="90" t="s">
        <v>374</v>
      </c>
      <c r="E2529" s="90" t="s">
        <v>68</v>
      </c>
      <c r="F2529" s="90" t="s">
        <v>375</v>
      </c>
      <c r="G2529" s="90" t="s">
        <v>376</v>
      </c>
      <c r="H2529" s="90">
        <v>0.59</v>
      </c>
      <c r="I2529" s="90">
        <v>0.64</v>
      </c>
      <c r="J2529" s="90" t="s">
        <v>244</v>
      </c>
      <c r="K2529" s="90">
        <v>3.0521940777539999E-2</v>
      </c>
      <c r="L2529" s="90">
        <v>3714.1594658059598</v>
      </c>
      <c r="M2529" s="90">
        <v>9.4121385820760093</v>
      </c>
      <c r="N2529" s="90">
        <v>1.4375863058256499</v>
      </c>
      <c r="O2529" s="90">
        <v>0.28727673639213003</v>
      </c>
      <c r="P2529" s="90">
        <v>4.3877924089009999E-2</v>
      </c>
      <c r="Q2529" s="90">
        <v>113.363355253672</v>
      </c>
      <c r="R2529" s="90">
        <v>1210</v>
      </c>
      <c r="S2529" s="90" t="s">
        <v>385</v>
      </c>
      <c r="T2529" s="90">
        <v>1210</v>
      </c>
      <c r="U2529" s="90" t="s">
        <v>378</v>
      </c>
      <c r="V2529" s="90" t="s">
        <v>244</v>
      </c>
      <c r="Z2529" s="90">
        <v>0</v>
      </c>
      <c r="AA2529" s="90">
        <v>1</v>
      </c>
      <c r="AB2529" s="90">
        <v>0.28727673639213003</v>
      </c>
      <c r="AC2529" s="90">
        <v>4.3877924089009999E-2</v>
      </c>
      <c r="AD2529" s="90">
        <v>113.36335525367301</v>
      </c>
      <c r="AF2529" s="90">
        <v>-1</v>
      </c>
      <c r="AG2529" s="90">
        <v>-1</v>
      </c>
      <c r="AH2529" s="90">
        <v>-1</v>
      </c>
      <c r="AI2529" s="90">
        <v>-1</v>
      </c>
      <c r="AJ2529" s="90">
        <v>0</v>
      </c>
      <c r="AM2529" s="90" t="s">
        <v>379</v>
      </c>
      <c r="AN2529" s="90">
        <v>-1</v>
      </c>
      <c r="AQ2529" s="90">
        <v>358</v>
      </c>
      <c r="AR2529" s="90" t="s">
        <v>422</v>
      </c>
      <c r="AS2529" s="90" t="s">
        <v>250</v>
      </c>
      <c r="AT2529" s="90" t="s">
        <v>244</v>
      </c>
      <c r="AU2529" s="90">
        <v>86.412649999999999</v>
      </c>
      <c r="AV2529" s="90">
        <v>92.015726509066297</v>
      </c>
      <c r="AW2529" s="90">
        <v>123.517912059704</v>
      </c>
      <c r="AX2529" s="90">
        <v>9.1941082899999999E-2</v>
      </c>
    </row>
    <row r="2530" spans="1:50" x14ac:dyDescent="0.25">
      <c r="A2530" s="102">
        <v>830000</v>
      </c>
      <c r="B2530" s="102">
        <v>2400000</v>
      </c>
      <c r="C2530" s="102">
        <v>2400000</v>
      </c>
      <c r="D2530" s="90" t="s">
        <v>374</v>
      </c>
      <c r="E2530" s="90" t="s">
        <v>68</v>
      </c>
      <c r="F2530" s="90" t="s">
        <v>375</v>
      </c>
      <c r="G2530" s="90" t="s">
        <v>376</v>
      </c>
      <c r="H2530" s="90">
        <v>0.59</v>
      </c>
      <c r="I2530" s="90">
        <v>0.64</v>
      </c>
      <c r="J2530" s="90" t="s">
        <v>244</v>
      </c>
      <c r="K2530" s="90">
        <v>1.8642069494900001E-3</v>
      </c>
      <c r="L2530" s="90">
        <v>3714.1594658059598</v>
      </c>
      <c r="M2530" s="90">
        <v>9.4121385820760093</v>
      </c>
      <c r="N2530" s="90">
        <v>1.4375863058256499</v>
      </c>
      <c r="O2530" s="90">
        <v>1.754617415434E-2</v>
      </c>
      <c r="P2530" s="90">
        <v>2.6799583818200002E-3</v>
      </c>
      <c r="Q2530" s="90">
        <v>6.9239618876992504</v>
      </c>
      <c r="R2530" s="90">
        <v>1330</v>
      </c>
      <c r="S2530" s="90" t="s">
        <v>397</v>
      </c>
      <c r="T2530" s="90">
        <v>1330</v>
      </c>
      <c r="U2530" s="90" t="s">
        <v>378</v>
      </c>
      <c r="V2530" s="90" t="s">
        <v>244</v>
      </c>
      <c r="Z2530" s="90">
        <v>0</v>
      </c>
      <c r="AA2530" s="90">
        <v>1</v>
      </c>
      <c r="AB2530" s="90">
        <v>1.754617415434E-2</v>
      </c>
      <c r="AC2530" s="90">
        <v>2.6799583818200002E-3</v>
      </c>
      <c r="AD2530" s="90">
        <v>6.9239618876984403</v>
      </c>
      <c r="AF2530" s="90">
        <v>-1</v>
      </c>
      <c r="AG2530" s="90">
        <v>-1</v>
      </c>
      <c r="AH2530" s="90">
        <v>-1</v>
      </c>
      <c r="AI2530" s="90">
        <v>-1</v>
      </c>
      <c r="AJ2530" s="90">
        <v>0</v>
      </c>
      <c r="AM2530" s="90" t="s">
        <v>379</v>
      </c>
      <c r="AN2530" s="90">
        <v>-1</v>
      </c>
      <c r="AQ2530" s="90">
        <v>358</v>
      </c>
      <c r="AR2530" s="90" t="s">
        <v>422</v>
      </c>
      <c r="AS2530" s="90" t="s">
        <v>250</v>
      </c>
      <c r="AT2530" s="90" t="s">
        <v>244</v>
      </c>
      <c r="AU2530" s="90">
        <v>86.412649999999999</v>
      </c>
      <c r="AV2530" s="90">
        <v>16.026245051374801</v>
      </c>
      <c r="AW2530" s="90">
        <v>7.5441778662577903</v>
      </c>
      <c r="AX2530" s="90">
        <v>5.6155409000000003E-3</v>
      </c>
    </row>
    <row r="2531" spans="1:50" x14ac:dyDescent="0.25">
      <c r="A2531" s="102">
        <v>830000</v>
      </c>
      <c r="B2531" s="102">
        <v>2400000</v>
      </c>
      <c r="C2531" s="102">
        <v>2400000</v>
      </c>
      <c r="D2531" s="90" t="s">
        <v>374</v>
      </c>
      <c r="E2531" s="90" t="s">
        <v>68</v>
      </c>
      <c r="F2531" s="90" t="s">
        <v>375</v>
      </c>
      <c r="G2531" s="90" t="s">
        <v>376</v>
      </c>
      <c r="H2531" s="90">
        <v>0.59</v>
      </c>
      <c r="I2531" s="90">
        <v>0.64</v>
      </c>
      <c r="J2531" s="90" t="s">
        <v>244</v>
      </c>
      <c r="K2531" s="90">
        <v>2.0821397530109999E-2</v>
      </c>
      <c r="L2531" s="90">
        <v>3714.1594658059598</v>
      </c>
      <c r="M2531" s="90">
        <v>9.4121385820760093</v>
      </c>
      <c r="N2531" s="90">
        <v>1.4375863058256499</v>
      </c>
      <c r="O2531" s="90">
        <v>0.19597387902596999</v>
      </c>
      <c r="P2531" s="90">
        <v>2.9932555957450001E-2</v>
      </c>
      <c r="Q2531" s="90">
        <v>77.333990727800298</v>
      </c>
      <c r="R2531" s="90">
        <v>1300</v>
      </c>
      <c r="S2531" s="90" t="s">
        <v>387</v>
      </c>
      <c r="T2531" s="90">
        <v>1300</v>
      </c>
      <c r="U2531" s="90" t="s">
        <v>378</v>
      </c>
      <c r="V2531" s="90" t="s">
        <v>244</v>
      </c>
      <c r="Z2531" s="90">
        <v>0</v>
      </c>
      <c r="AA2531" s="90">
        <v>1</v>
      </c>
      <c r="AB2531" s="90">
        <v>0.19597387902596999</v>
      </c>
      <c r="AC2531" s="90">
        <v>2.9932555957450001E-2</v>
      </c>
      <c r="AD2531" s="90">
        <v>77.333990727798906</v>
      </c>
      <c r="AF2531" s="90">
        <v>-1</v>
      </c>
      <c r="AG2531" s="90">
        <v>-1</v>
      </c>
      <c r="AH2531" s="90">
        <v>-1</v>
      </c>
      <c r="AI2531" s="90">
        <v>-1</v>
      </c>
      <c r="AJ2531" s="90">
        <v>0</v>
      </c>
      <c r="AM2531" s="90" t="s">
        <v>379</v>
      </c>
      <c r="AN2531" s="90">
        <v>-1</v>
      </c>
      <c r="AQ2531" s="90">
        <v>358</v>
      </c>
      <c r="AR2531" s="90" t="s">
        <v>422</v>
      </c>
      <c r="AS2531" s="90" t="s">
        <v>250</v>
      </c>
      <c r="AT2531" s="90" t="s">
        <v>244</v>
      </c>
      <c r="AU2531" s="90">
        <v>86.412649999999999</v>
      </c>
      <c r="AV2531" s="90">
        <v>46.336630153751301</v>
      </c>
      <c r="AW2531" s="90">
        <v>84.261206318104101</v>
      </c>
      <c r="AX2531" s="90">
        <v>6.2720187100000005E-2</v>
      </c>
    </row>
    <row r="2532" spans="1:50" x14ac:dyDescent="0.25">
      <c r="A2532" s="102">
        <v>830000</v>
      </c>
      <c r="B2532" s="102">
        <v>2400000</v>
      </c>
      <c r="C2532" s="102">
        <v>2400000</v>
      </c>
      <c r="D2532" s="90" t="s">
        <v>374</v>
      </c>
      <c r="E2532" s="90" t="s">
        <v>68</v>
      </c>
      <c r="F2532" s="90" t="s">
        <v>375</v>
      </c>
      <c r="G2532" s="90" t="s">
        <v>376</v>
      </c>
      <c r="H2532" s="90">
        <v>0.59</v>
      </c>
      <c r="I2532" s="90">
        <v>0.64</v>
      </c>
      <c r="J2532" s="90" t="s">
        <v>244</v>
      </c>
      <c r="K2532" s="90">
        <v>0.37580476032468002</v>
      </c>
      <c r="L2532" s="90">
        <v>3779.8564071375999</v>
      </c>
      <c r="M2532" s="90">
        <v>11.612850411479</v>
      </c>
      <c r="N2532" s="90">
        <v>1.5331968048401501</v>
      </c>
      <c r="O2532" s="90">
        <v>4.3641644655723297</v>
      </c>
      <c r="P2532" s="90">
        <v>0.57618265777352995</v>
      </c>
      <c r="Q2532" s="90">
        <v>1420.4880311460699</v>
      </c>
      <c r="R2532" s="90">
        <v>1400</v>
      </c>
      <c r="S2532" s="90" t="s">
        <v>324</v>
      </c>
      <c r="T2532" s="90">
        <v>1400</v>
      </c>
      <c r="U2532" s="90" t="s">
        <v>378</v>
      </c>
      <c r="V2532" s="90" t="s">
        <v>244</v>
      </c>
      <c r="Z2532" s="90">
        <v>0</v>
      </c>
      <c r="AA2532" s="90">
        <v>1</v>
      </c>
      <c r="AB2532" s="90">
        <v>4.3641644655723297</v>
      </c>
      <c r="AC2532" s="90">
        <v>0.57618265777352995</v>
      </c>
      <c r="AD2532" s="90">
        <v>1479.8502185596799</v>
      </c>
      <c r="AF2532" s="90">
        <v>-1</v>
      </c>
      <c r="AG2532" s="90">
        <v>-1</v>
      </c>
      <c r="AH2532" s="90">
        <v>-1</v>
      </c>
      <c r="AI2532" s="90">
        <v>-1</v>
      </c>
      <c r="AJ2532" s="90">
        <v>0</v>
      </c>
      <c r="AM2532" s="90" t="s">
        <v>379</v>
      </c>
      <c r="AN2532" s="90">
        <v>-1</v>
      </c>
      <c r="AQ2532" s="90">
        <v>358</v>
      </c>
      <c r="AR2532" s="90" t="s">
        <v>422</v>
      </c>
      <c r="AS2532" s="90" t="s">
        <v>250</v>
      </c>
      <c r="AT2532" s="90" t="s">
        <v>244</v>
      </c>
      <c r="AU2532" s="90">
        <v>86.412649999999999</v>
      </c>
      <c r="AV2532" s="90">
        <v>187.120698648087</v>
      </c>
      <c r="AW2532" s="90">
        <v>1520.82790788844</v>
      </c>
      <c r="AX2532" s="90">
        <v>1.2002029348000001</v>
      </c>
    </row>
    <row r="2533" spans="1:50" x14ac:dyDescent="0.25">
      <c r="A2533" s="102">
        <v>830000</v>
      </c>
      <c r="B2533" s="102">
        <v>2400000</v>
      </c>
      <c r="C2533" s="102">
        <v>2400000</v>
      </c>
      <c r="D2533" s="90" t="s">
        <v>374</v>
      </c>
      <c r="E2533" s="90" t="s">
        <v>68</v>
      </c>
      <c r="F2533" s="90" t="s">
        <v>375</v>
      </c>
      <c r="G2533" s="90" t="s">
        <v>376</v>
      </c>
      <c r="H2533" s="90">
        <v>0.59</v>
      </c>
      <c r="I2533" s="90">
        <v>0.64</v>
      </c>
      <c r="J2533" s="90" t="s">
        <v>244</v>
      </c>
      <c r="K2533" s="90">
        <v>0.15588940902555001</v>
      </c>
      <c r="L2533" s="90">
        <v>3779.8564071375999</v>
      </c>
      <c r="M2533" s="90">
        <v>11.612850411479</v>
      </c>
      <c r="N2533" s="90">
        <v>1.5331968048401501</v>
      </c>
      <c r="O2533" s="90">
        <v>1.8103203877476599</v>
      </c>
      <c r="P2533" s="90">
        <v>0.23900914382640001</v>
      </c>
      <c r="Q2533" s="90">
        <v>589.23958151014199</v>
      </c>
      <c r="R2533" s="90">
        <v>1410</v>
      </c>
      <c r="S2533" s="90" t="s">
        <v>325</v>
      </c>
      <c r="T2533" s="90">
        <v>1410</v>
      </c>
      <c r="U2533" s="90" t="s">
        <v>378</v>
      </c>
      <c r="V2533" s="90" t="s">
        <v>244</v>
      </c>
      <c r="Z2533" s="90">
        <v>0</v>
      </c>
      <c r="AA2533" s="90">
        <v>1</v>
      </c>
      <c r="AB2533" s="90">
        <v>1.8103203877476599</v>
      </c>
      <c r="AC2533" s="90">
        <v>0.23900914382640001</v>
      </c>
      <c r="AD2533" s="90">
        <v>604.27281471690196</v>
      </c>
      <c r="AF2533" s="90">
        <v>-1</v>
      </c>
      <c r="AG2533" s="90">
        <v>-1</v>
      </c>
      <c r="AH2533" s="90">
        <v>-1</v>
      </c>
      <c r="AI2533" s="90">
        <v>-1</v>
      </c>
      <c r="AJ2533" s="90">
        <v>0</v>
      </c>
      <c r="AM2533" s="90" t="s">
        <v>379</v>
      </c>
      <c r="AN2533" s="90">
        <v>-1</v>
      </c>
      <c r="AQ2533" s="90">
        <v>358</v>
      </c>
      <c r="AR2533" s="90" t="s">
        <v>422</v>
      </c>
      <c r="AS2533" s="90" t="s">
        <v>250</v>
      </c>
      <c r="AT2533" s="90" t="s">
        <v>244</v>
      </c>
      <c r="AU2533" s="90">
        <v>86.412649999999999</v>
      </c>
      <c r="AV2533" s="90">
        <v>112.586070347174</v>
      </c>
      <c r="AW2533" s="90">
        <v>630.86205609921296</v>
      </c>
      <c r="AX2533" s="90">
        <v>0.49008338579999999</v>
      </c>
    </row>
    <row r="2534" spans="1:50" x14ac:dyDescent="0.25">
      <c r="A2534" s="102">
        <v>830000</v>
      </c>
      <c r="B2534" s="102">
        <v>2400000</v>
      </c>
      <c r="C2534" s="102">
        <v>2400000</v>
      </c>
      <c r="D2534" s="90" t="s">
        <v>374</v>
      </c>
      <c r="E2534" s="90" t="s">
        <v>68</v>
      </c>
      <c r="F2534" s="90" t="s">
        <v>375</v>
      </c>
      <c r="G2534" s="90" t="s">
        <v>376</v>
      </c>
      <c r="H2534" s="90">
        <v>0.59</v>
      </c>
      <c r="I2534" s="90">
        <v>0.64</v>
      </c>
      <c r="J2534" s="90" t="s">
        <v>244</v>
      </c>
      <c r="K2534" s="90">
        <v>1.4591195517499999E-3</v>
      </c>
      <c r="L2534" s="90">
        <v>3779.8564071375999</v>
      </c>
      <c r="M2534" s="90">
        <v>11.612850411479</v>
      </c>
      <c r="N2534" s="90">
        <v>1.5331968048401501</v>
      </c>
      <c r="O2534" s="90">
        <v>1.6944537086979999E-2</v>
      </c>
      <c r="P2534" s="90">
        <v>2.23711743462E-3</v>
      </c>
      <c r="Q2534" s="90">
        <v>5.5152623864771</v>
      </c>
      <c r="R2534" s="90">
        <v>1410</v>
      </c>
      <c r="S2534" s="90" t="s">
        <v>325</v>
      </c>
      <c r="T2534" s="90">
        <v>1410</v>
      </c>
      <c r="U2534" s="90" t="s">
        <v>378</v>
      </c>
      <c r="V2534" s="90" t="s">
        <v>244</v>
      </c>
      <c r="Z2534" s="90">
        <v>0</v>
      </c>
      <c r="AA2534" s="90">
        <v>1</v>
      </c>
      <c r="AB2534" s="90">
        <v>1.6944537086979999E-2</v>
      </c>
      <c r="AC2534" s="90">
        <v>2.23711743462E-3</v>
      </c>
      <c r="AD2534" s="90">
        <v>250.934114730593</v>
      </c>
      <c r="AF2534" s="90">
        <v>-1</v>
      </c>
      <c r="AG2534" s="90">
        <v>-1</v>
      </c>
      <c r="AH2534" s="90">
        <v>-1</v>
      </c>
      <c r="AI2534" s="90">
        <v>-1</v>
      </c>
      <c r="AJ2534" s="90">
        <v>0</v>
      </c>
      <c r="AM2534" s="90" t="s">
        <v>379</v>
      </c>
      <c r="AN2534" s="90">
        <v>-1</v>
      </c>
      <c r="AQ2534" s="90">
        <v>358</v>
      </c>
      <c r="AR2534" s="90" t="s">
        <v>422</v>
      </c>
      <c r="AS2534" s="90" t="s">
        <v>250</v>
      </c>
      <c r="AT2534" s="90" t="s">
        <v>244</v>
      </c>
      <c r="AU2534" s="90">
        <v>86.412649999999999</v>
      </c>
      <c r="AV2534" s="90">
        <v>31.992941467237099</v>
      </c>
      <c r="AW2534" s="90">
        <v>5.9048473290646797</v>
      </c>
      <c r="AX2534" s="90">
        <v>0.20351509709999999</v>
      </c>
    </row>
    <row r="2535" spans="1:50" x14ac:dyDescent="0.25">
      <c r="A2535" s="102">
        <v>830000</v>
      </c>
      <c r="B2535" s="102">
        <v>2400000</v>
      </c>
      <c r="C2535" s="102">
        <v>2400000</v>
      </c>
      <c r="D2535" s="90" t="s">
        <v>374</v>
      </c>
      <c r="E2535" s="90" t="s">
        <v>68</v>
      </c>
      <c r="F2535" s="90" t="s">
        <v>375</v>
      </c>
      <c r="G2535" s="90" t="s">
        <v>376</v>
      </c>
      <c r="H2535" s="90">
        <v>0.59</v>
      </c>
      <c r="I2535" s="90">
        <v>0.64</v>
      </c>
      <c r="J2535" s="90" t="s">
        <v>244</v>
      </c>
      <c r="K2535" s="90">
        <v>0.15565095874686999</v>
      </c>
      <c r="L2535" s="90">
        <v>3736.94816103828</v>
      </c>
      <c r="M2535" s="90">
        <v>10.098542592112301</v>
      </c>
      <c r="N2535" s="90">
        <v>1.7091048500630299</v>
      </c>
      <c r="O2535" s="90">
        <v>1.5718478364084201</v>
      </c>
      <c r="P2535" s="90">
        <v>0.26602380851124002</v>
      </c>
      <c r="Q2535" s="90">
        <v>581.65956405297698</v>
      </c>
      <c r="R2535" s="90">
        <v>1200</v>
      </c>
      <c r="S2535" s="90" t="s">
        <v>384</v>
      </c>
      <c r="T2535" s="90">
        <v>1200</v>
      </c>
      <c r="U2535" s="90" t="s">
        <v>378</v>
      </c>
      <c r="V2535" s="90" t="s">
        <v>244</v>
      </c>
      <c r="Z2535" s="90">
        <v>0</v>
      </c>
      <c r="AA2535" s="90">
        <v>1</v>
      </c>
      <c r="AB2535" s="90">
        <v>1.5718478364084201</v>
      </c>
      <c r="AC2535" s="90">
        <v>0.26602380851124002</v>
      </c>
      <c r="AD2535" s="90">
        <v>581.65956405297698</v>
      </c>
      <c r="AF2535" s="90">
        <v>-1</v>
      </c>
      <c r="AG2535" s="90">
        <v>-1</v>
      </c>
      <c r="AH2535" s="90">
        <v>-1</v>
      </c>
      <c r="AI2535" s="90">
        <v>-1</v>
      </c>
      <c r="AJ2535" s="90">
        <v>0</v>
      </c>
      <c r="AM2535" s="90" t="s">
        <v>379</v>
      </c>
      <c r="AN2535" s="90">
        <v>-1</v>
      </c>
      <c r="AQ2535" s="90">
        <v>358</v>
      </c>
      <c r="AR2535" s="90" t="s">
        <v>422</v>
      </c>
      <c r="AS2535" s="90" t="s">
        <v>250</v>
      </c>
      <c r="AT2535" s="90" t="s">
        <v>244</v>
      </c>
      <c r="AU2535" s="90">
        <v>86.412649999999999</v>
      </c>
      <c r="AV2535" s="90">
        <v>125.184580112969</v>
      </c>
      <c r="AW2535" s="90">
        <v>629.89708205750605</v>
      </c>
      <c r="AX2535" s="90">
        <v>0.47174336100000003</v>
      </c>
    </row>
    <row r="2536" spans="1:50" x14ac:dyDescent="0.25">
      <c r="A2536" s="102">
        <v>830000</v>
      </c>
      <c r="B2536" s="102">
        <v>2400000</v>
      </c>
      <c r="C2536" s="102">
        <v>2400000</v>
      </c>
      <c r="D2536" s="90" t="s">
        <v>374</v>
      </c>
      <c r="E2536" s="90" t="s">
        <v>68</v>
      </c>
      <c r="F2536" s="90" t="s">
        <v>375</v>
      </c>
      <c r="G2536" s="90" t="s">
        <v>376</v>
      </c>
      <c r="H2536" s="90">
        <v>0.59</v>
      </c>
      <c r="I2536" s="90">
        <v>0.64</v>
      </c>
      <c r="J2536" s="90" t="s">
        <v>244</v>
      </c>
      <c r="K2536" s="90">
        <v>1.819835459655E-2</v>
      </c>
      <c r="L2536" s="90">
        <v>3736.94816103828</v>
      </c>
      <c r="M2536" s="90">
        <v>10.098542592112301</v>
      </c>
      <c r="N2536" s="90">
        <v>1.7091048500630299</v>
      </c>
      <c r="O2536" s="90">
        <v>0.18377685899969001</v>
      </c>
      <c r="P2536" s="90">
        <v>3.110289610414E-2</v>
      </c>
      <c r="Q2536" s="90">
        <v>68.006307743526307</v>
      </c>
      <c r="R2536" s="90">
        <v>1400</v>
      </c>
      <c r="S2536" s="90" t="s">
        <v>324</v>
      </c>
      <c r="T2536" s="90">
        <v>1400</v>
      </c>
      <c r="U2536" s="90" t="s">
        <v>378</v>
      </c>
      <c r="V2536" s="90" t="s">
        <v>244</v>
      </c>
      <c r="Z2536" s="90">
        <v>0</v>
      </c>
      <c r="AA2536" s="90">
        <v>1</v>
      </c>
      <c r="AB2536" s="90">
        <v>0.18377685899969001</v>
      </c>
      <c r="AC2536" s="90">
        <v>3.110289610414E-2</v>
      </c>
      <c r="AD2536" s="90">
        <v>68.006307743528197</v>
      </c>
      <c r="AF2536" s="90">
        <v>-1</v>
      </c>
      <c r="AG2536" s="90">
        <v>-1</v>
      </c>
      <c r="AH2536" s="90">
        <v>-1</v>
      </c>
      <c r="AI2536" s="90">
        <v>-1</v>
      </c>
      <c r="AJ2536" s="90">
        <v>0</v>
      </c>
      <c r="AM2536" s="90" t="s">
        <v>379</v>
      </c>
      <c r="AN2536" s="90">
        <v>-1</v>
      </c>
      <c r="AQ2536" s="90">
        <v>358</v>
      </c>
      <c r="AR2536" s="90" t="s">
        <v>422</v>
      </c>
      <c r="AS2536" s="90" t="s">
        <v>250</v>
      </c>
      <c r="AT2536" s="90" t="s">
        <v>244</v>
      </c>
      <c r="AU2536" s="90">
        <v>86.412649999999999</v>
      </c>
      <c r="AV2536" s="90">
        <v>54.855063420948099</v>
      </c>
      <c r="AW2536" s="90">
        <v>73.646128176191098</v>
      </c>
      <c r="AX2536" s="90">
        <v>5.5155156300000001E-2</v>
      </c>
    </row>
    <row r="2537" spans="1:50" x14ac:dyDescent="0.25">
      <c r="A2537" s="102">
        <v>830000</v>
      </c>
      <c r="B2537" s="102">
        <v>2400000</v>
      </c>
      <c r="C2537" s="102">
        <v>2400000</v>
      </c>
      <c r="D2537" s="90" t="s">
        <v>374</v>
      </c>
      <c r="E2537" s="90" t="s">
        <v>68</v>
      </c>
      <c r="F2537" s="90" t="s">
        <v>375</v>
      </c>
      <c r="G2537" s="90" t="s">
        <v>376</v>
      </c>
      <c r="H2537" s="90">
        <v>0.59</v>
      </c>
      <c r="I2537" s="90">
        <v>0.64</v>
      </c>
      <c r="J2537" s="90" t="s">
        <v>381</v>
      </c>
      <c r="K2537" s="90">
        <v>4.3699530522000002E-4</v>
      </c>
      <c r="L2537" s="90">
        <v>3736.94816103828</v>
      </c>
      <c r="M2537" s="90">
        <v>10.098542592112301</v>
      </c>
      <c r="N2537" s="90">
        <v>1.7091048500630299</v>
      </c>
      <c r="O2537" s="90">
        <v>4.41301570237E-3</v>
      </c>
      <c r="P2537" s="90">
        <v>7.4687079561000004E-4</v>
      </c>
      <c r="Q2537" s="90">
        <v>1.6330288022466599</v>
      </c>
      <c r="R2537" s="90">
        <v>1400</v>
      </c>
      <c r="S2537" s="90" t="s">
        <v>324</v>
      </c>
      <c r="T2537" s="90">
        <v>1400</v>
      </c>
      <c r="U2537" s="90" t="s">
        <v>382</v>
      </c>
      <c r="V2537" s="90" t="s">
        <v>381</v>
      </c>
      <c r="Z2537" s="90">
        <v>0</v>
      </c>
      <c r="AA2537" s="90">
        <v>1</v>
      </c>
      <c r="AB2537" s="90">
        <v>4.41301570237E-3</v>
      </c>
      <c r="AC2537" s="90">
        <v>7.4687079561000004E-4</v>
      </c>
      <c r="AD2537" s="90">
        <v>1.63302880224766</v>
      </c>
      <c r="AF2537" s="90">
        <v>-1</v>
      </c>
      <c r="AG2537" s="90">
        <v>-1</v>
      </c>
      <c r="AH2537" s="90">
        <v>-1</v>
      </c>
      <c r="AI2537" s="90">
        <v>-1</v>
      </c>
      <c r="AJ2537" s="90">
        <v>0</v>
      </c>
      <c r="AM2537" s="90" t="s">
        <v>379</v>
      </c>
      <c r="AN2537" s="90">
        <v>-1</v>
      </c>
      <c r="AQ2537" s="90">
        <v>358</v>
      </c>
      <c r="AR2537" s="90" t="s">
        <v>422</v>
      </c>
      <c r="AS2537" s="90" t="s">
        <v>250</v>
      </c>
      <c r="AT2537" s="90" t="s">
        <v>244</v>
      </c>
      <c r="AU2537" s="90">
        <v>86.412649999999999</v>
      </c>
      <c r="AV2537" s="90">
        <v>10.477276532696701</v>
      </c>
      <c r="AW2537" s="90">
        <v>1.76845725751356</v>
      </c>
      <c r="AX2537" s="90">
        <v>1.3244354E-3</v>
      </c>
    </row>
    <row r="2538" spans="1:50" x14ac:dyDescent="0.25">
      <c r="A2538" s="102">
        <v>830000</v>
      </c>
      <c r="B2538" s="102">
        <v>2400000</v>
      </c>
      <c r="C2538" s="102">
        <v>2400000</v>
      </c>
      <c r="D2538" s="90" t="s">
        <v>374</v>
      </c>
      <c r="E2538" s="90" t="s">
        <v>68</v>
      </c>
      <c r="F2538" s="90" t="s">
        <v>375</v>
      </c>
      <c r="G2538" s="90" t="s">
        <v>376</v>
      </c>
      <c r="H2538" s="90">
        <v>0.59</v>
      </c>
      <c r="I2538" s="90">
        <v>0.64</v>
      </c>
      <c r="J2538" s="90" t="s">
        <v>244</v>
      </c>
      <c r="K2538" s="90">
        <v>0.11664775082683999</v>
      </c>
      <c r="L2538" s="90">
        <v>3736.94816103828</v>
      </c>
      <c r="M2538" s="90">
        <v>10.098542592112301</v>
      </c>
      <c r="N2538" s="90">
        <v>1.7091048500630299</v>
      </c>
      <c r="O2538" s="90">
        <v>1.17797227999899</v>
      </c>
      <c r="P2538" s="90">
        <v>0.19936323668709999</v>
      </c>
      <c r="Q2538" s="90">
        <v>435.90659794162701</v>
      </c>
      <c r="R2538" s="90">
        <v>1300</v>
      </c>
      <c r="S2538" s="90" t="s">
        <v>387</v>
      </c>
      <c r="T2538" s="90">
        <v>1300</v>
      </c>
      <c r="U2538" s="90" t="s">
        <v>378</v>
      </c>
      <c r="V2538" s="90" t="s">
        <v>244</v>
      </c>
      <c r="Z2538" s="90">
        <v>0</v>
      </c>
      <c r="AA2538" s="90">
        <v>1</v>
      </c>
      <c r="AB2538" s="90">
        <v>1.17797227999899</v>
      </c>
      <c r="AC2538" s="90">
        <v>0.19936323668709999</v>
      </c>
      <c r="AD2538" s="90">
        <v>435.90659794162701</v>
      </c>
      <c r="AF2538" s="90">
        <v>-1</v>
      </c>
      <c r="AG2538" s="90">
        <v>-1</v>
      </c>
      <c r="AH2538" s="90">
        <v>-1</v>
      </c>
      <c r="AI2538" s="90">
        <v>-1</v>
      </c>
      <c r="AJ2538" s="90">
        <v>0</v>
      </c>
      <c r="AM2538" s="90" t="s">
        <v>379</v>
      </c>
      <c r="AN2538" s="90">
        <v>-1</v>
      </c>
      <c r="AQ2538" s="90">
        <v>358</v>
      </c>
      <c r="AR2538" s="90" t="s">
        <v>422</v>
      </c>
      <c r="AS2538" s="90" t="s">
        <v>250</v>
      </c>
      <c r="AT2538" s="90" t="s">
        <v>244</v>
      </c>
      <c r="AU2538" s="90">
        <v>86.412649999999999</v>
      </c>
      <c r="AV2538" s="90">
        <v>218.78314705582201</v>
      </c>
      <c r="AW2538" s="90">
        <v>472.05669959212997</v>
      </c>
      <c r="AX2538" s="90">
        <v>0.35353333170000001</v>
      </c>
    </row>
    <row r="2539" spans="1:50" x14ac:dyDescent="0.25">
      <c r="A2539" s="102">
        <v>830000</v>
      </c>
      <c r="B2539" s="102">
        <v>2400000</v>
      </c>
      <c r="C2539" s="102">
        <v>2400000</v>
      </c>
      <c r="D2539" s="90" t="s">
        <v>374</v>
      </c>
      <c r="E2539" s="90" t="s">
        <v>68</v>
      </c>
      <c r="F2539" s="90" t="s">
        <v>375</v>
      </c>
      <c r="G2539" s="90" t="s">
        <v>376</v>
      </c>
      <c r="H2539" s="90">
        <v>0.59</v>
      </c>
      <c r="I2539" s="90">
        <v>0.64</v>
      </c>
      <c r="J2539" s="90" t="s">
        <v>381</v>
      </c>
      <c r="K2539" s="90">
        <v>3.7897756828399998E-3</v>
      </c>
      <c r="L2539" s="90">
        <v>3736.94816103828</v>
      </c>
      <c r="M2539" s="90">
        <v>10.098542592112301</v>
      </c>
      <c r="N2539" s="90">
        <v>1.7091048500630299</v>
      </c>
      <c r="O2539" s="90">
        <v>3.8271211147800001E-2</v>
      </c>
      <c r="P2539" s="90">
        <v>6.4771240001999996E-3</v>
      </c>
      <c r="Q2539" s="90">
        <v>14.1621952687701</v>
      </c>
      <c r="R2539" s="90">
        <v>1300</v>
      </c>
      <c r="S2539" s="90" t="s">
        <v>387</v>
      </c>
      <c r="T2539" s="90">
        <v>1300</v>
      </c>
      <c r="U2539" s="90" t="s">
        <v>382</v>
      </c>
      <c r="V2539" s="90" t="s">
        <v>381</v>
      </c>
      <c r="Z2539" s="90">
        <v>0</v>
      </c>
      <c r="AA2539" s="90">
        <v>1</v>
      </c>
      <c r="AB2539" s="90">
        <v>3.8271211147800001E-2</v>
      </c>
      <c r="AC2539" s="90">
        <v>6.4771240001999996E-3</v>
      </c>
      <c r="AD2539" s="90">
        <v>14.1621952687714</v>
      </c>
      <c r="AF2539" s="90">
        <v>-1</v>
      </c>
      <c r="AG2539" s="90">
        <v>-1</v>
      </c>
      <c r="AH2539" s="90">
        <v>-1</v>
      </c>
      <c r="AI2539" s="90">
        <v>-1</v>
      </c>
      <c r="AJ2539" s="90">
        <v>0</v>
      </c>
      <c r="AM2539" s="90" t="s">
        <v>379</v>
      </c>
      <c r="AN2539" s="90">
        <v>-1</v>
      </c>
      <c r="AQ2539" s="90">
        <v>358</v>
      </c>
      <c r="AR2539" s="90" t="s">
        <v>422</v>
      </c>
      <c r="AS2539" s="90" t="s">
        <v>250</v>
      </c>
      <c r="AT2539" s="90" t="s">
        <v>244</v>
      </c>
      <c r="AU2539" s="90">
        <v>86.412649999999999</v>
      </c>
      <c r="AV2539" s="90">
        <v>90.960980362591897</v>
      </c>
      <c r="AW2539" s="90">
        <v>15.3366780615941</v>
      </c>
      <c r="AX2539" s="90">
        <v>1.14859653E-2</v>
      </c>
    </row>
    <row r="2540" spans="1:50" x14ac:dyDescent="0.25">
      <c r="A2540" s="102">
        <v>830000</v>
      </c>
      <c r="B2540" s="102">
        <v>2400000</v>
      </c>
      <c r="C2540" s="102">
        <v>2400000</v>
      </c>
      <c r="D2540" s="90" t="s">
        <v>374</v>
      </c>
      <c r="E2540" s="90" t="s">
        <v>68</v>
      </c>
      <c r="F2540" s="90" t="s">
        <v>375</v>
      </c>
      <c r="G2540" s="90" t="s">
        <v>376</v>
      </c>
      <c r="H2540" s="90">
        <v>0.59</v>
      </c>
      <c r="I2540" s="90">
        <v>0.64</v>
      </c>
      <c r="J2540" s="90" t="s">
        <v>244</v>
      </c>
      <c r="K2540" s="90">
        <v>6.2584696586709995E-2</v>
      </c>
      <c r="L2540" s="90">
        <v>3736.94816103828</v>
      </c>
      <c r="M2540" s="90">
        <v>10.098542592112301</v>
      </c>
      <c r="N2540" s="90">
        <v>1.7091048500630299</v>
      </c>
      <c r="O2540" s="90">
        <v>0.63201422409537</v>
      </c>
      <c r="P2540" s="90">
        <v>0.10696380847608</v>
      </c>
      <c r="Q2540" s="90">
        <v>233.87576681886699</v>
      </c>
      <c r="R2540" s="90">
        <v>1300</v>
      </c>
      <c r="S2540" s="90" t="s">
        <v>387</v>
      </c>
      <c r="T2540" s="90">
        <v>1300</v>
      </c>
      <c r="U2540" s="90" t="s">
        <v>378</v>
      </c>
      <c r="V2540" s="90" t="s">
        <v>244</v>
      </c>
      <c r="Z2540" s="90">
        <v>0</v>
      </c>
      <c r="AA2540" s="90">
        <v>1</v>
      </c>
      <c r="AB2540" s="90">
        <v>0.63201422409537</v>
      </c>
      <c r="AC2540" s="90">
        <v>0.10696380847608</v>
      </c>
      <c r="AD2540" s="90">
        <v>233.87576681886799</v>
      </c>
      <c r="AF2540" s="90">
        <v>-1</v>
      </c>
      <c r="AG2540" s="90">
        <v>-1</v>
      </c>
      <c r="AH2540" s="90">
        <v>-1</v>
      </c>
      <c r="AI2540" s="90">
        <v>-1</v>
      </c>
      <c r="AJ2540" s="90">
        <v>0</v>
      </c>
      <c r="AM2540" s="90" t="s">
        <v>379</v>
      </c>
      <c r="AN2540" s="90">
        <v>-1</v>
      </c>
      <c r="AQ2540" s="90">
        <v>358</v>
      </c>
      <c r="AR2540" s="90" t="s">
        <v>422</v>
      </c>
      <c r="AS2540" s="90" t="s">
        <v>250</v>
      </c>
      <c r="AT2540" s="90" t="s">
        <v>244</v>
      </c>
      <c r="AU2540" s="90">
        <v>86.412649999999999</v>
      </c>
      <c r="AV2540" s="90">
        <v>75.586124036120907</v>
      </c>
      <c r="AW2540" s="90">
        <v>253.27128132590701</v>
      </c>
      <c r="AX2540" s="90">
        <v>0.1896802651</v>
      </c>
    </row>
    <row r="2541" spans="1:50" x14ac:dyDescent="0.25">
      <c r="A2541" s="102">
        <v>830000</v>
      </c>
      <c r="B2541" s="102">
        <v>2400000</v>
      </c>
      <c r="C2541" s="102">
        <v>2400000</v>
      </c>
      <c r="D2541" s="90" t="s">
        <v>374</v>
      </c>
      <c r="E2541" s="90" t="s">
        <v>68</v>
      </c>
      <c r="F2541" s="90" t="s">
        <v>375</v>
      </c>
      <c r="G2541" s="90" t="s">
        <v>376</v>
      </c>
      <c r="H2541" s="90">
        <v>0.59</v>
      </c>
      <c r="I2541" s="90">
        <v>0.64</v>
      </c>
      <c r="J2541" s="90" t="s">
        <v>244</v>
      </c>
      <c r="K2541" s="90">
        <v>3.0825076423989999E-2</v>
      </c>
      <c r="L2541" s="90">
        <v>3736.94816103828</v>
      </c>
      <c r="M2541" s="90">
        <v>10.098542592112301</v>
      </c>
      <c r="N2541" s="90">
        <v>1.7091048500630299</v>
      </c>
      <c r="O2541" s="90">
        <v>0.31128834717281001</v>
      </c>
      <c r="P2541" s="90">
        <v>5.2683287619809997E-2</v>
      </c>
      <c r="Q2541" s="90">
        <v>115.191712656505</v>
      </c>
      <c r="R2541" s="90">
        <v>1210</v>
      </c>
      <c r="S2541" s="90" t="s">
        <v>385</v>
      </c>
      <c r="T2541" s="90">
        <v>1210</v>
      </c>
      <c r="U2541" s="90" t="s">
        <v>378</v>
      </c>
      <c r="V2541" s="90" t="s">
        <v>244</v>
      </c>
      <c r="Z2541" s="90">
        <v>0</v>
      </c>
      <c r="AA2541" s="90">
        <v>1</v>
      </c>
      <c r="AB2541" s="90">
        <v>0.31128834717281001</v>
      </c>
      <c r="AC2541" s="90">
        <v>5.2683287619809997E-2</v>
      </c>
      <c r="AD2541" s="90">
        <v>115.191712656504</v>
      </c>
      <c r="AF2541" s="90">
        <v>-1</v>
      </c>
      <c r="AG2541" s="90">
        <v>-1</v>
      </c>
      <c r="AH2541" s="90">
        <v>-1</v>
      </c>
      <c r="AI2541" s="90">
        <v>-1</v>
      </c>
      <c r="AJ2541" s="90">
        <v>0</v>
      </c>
      <c r="AM2541" s="90" t="s">
        <v>379</v>
      </c>
      <c r="AN2541" s="90">
        <v>-1</v>
      </c>
      <c r="AQ2541" s="90">
        <v>358</v>
      </c>
      <c r="AR2541" s="90" t="s">
        <v>422</v>
      </c>
      <c r="AS2541" s="90" t="s">
        <v>250</v>
      </c>
      <c r="AT2541" s="90" t="s">
        <v>244</v>
      </c>
      <c r="AU2541" s="90">
        <v>86.412649999999999</v>
      </c>
      <c r="AV2541" s="90">
        <v>47.175098307221702</v>
      </c>
      <c r="AW2541" s="90">
        <v>124.74465849740599</v>
      </c>
      <c r="AX2541" s="90">
        <v>9.3423935700000002E-2</v>
      </c>
    </row>
    <row r="2542" spans="1:50" x14ac:dyDescent="0.25">
      <c r="A2542" s="102">
        <v>830000</v>
      </c>
      <c r="B2542" s="102">
        <v>2400000</v>
      </c>
      <c r="C2542" s="102">
        <v>2400000</v>
      </c>
      <c r="D2542" s="90" t="s">
        <v>374</v>
      </c>
      <c r="E2542" s="90" t="s">
        <v>68</v>
      </c>
      <c r="F2542" s="90" t="s">
        <v>375</v>
      </c>
      <c r="G2542" s="90" t="s">
        <v>376</v>
      </c>
      <c r="H2542" s="90">
        <v>0.59</v>
      </c>
      <c r="I2542" s="90">
        <v>0.64</v>
      </c>
      <c r="J2542" s="90" t="s">
        <v>244</v>
      </c>
      <c r="K2542" s="90">
        <v>0.18943322201214</v>
      </c>
      <c r="L2542" s="90">
        <v>3770.1246163443702</v>
      </c>
      <c r="M2542" s="90">
        <v>8.8541135239533801</v>
      </c>
      <c r="N2542" s="90">
        <v>1.58538922768126</v>
      </c>
      <c r="O2542" s="90">
        <v>1.6772632529037701</v>
      </c>
      <c r="P2542" s="90">
        <v>0.30032538954299998</v>
      </c>
      <c r="Q2542" s="90">
        <v>714.18685346140501</v>
      </c>
      <c r="R2542" s="90">
        <v>1300</v>
      </c>
      <c r="S2542" s="90" t="s">
        <v>387</v>
      </c>
      <c r="T2542" s="90">
        <v>1300</v>
      </c>
      <c r="U2542" s="90" t="s">
        <v>378</v>
      </c>
      <c r="V2542" s="90" t="s">
        <v>244</v>
      </c>
      <c r="Z2542" s="90">
        <v>0</v>
      </c>
      <c r="AA2542" s="90">
        <v>1</v>
      </c>
      <c r="AB2542" s="90">
        <v>1.6772632529037701</v>
      </c>
      <c r="AC2542" s="90">
        <v>0.30032538954299998</v>
      </c>
      <c r="AD2542" s="90">
        <v>714.18685346140501</v>
      </c>
      <c r="AF2542" s="90">
        <v>-1</v>
      </c>
      <c r="AG2542" s="90">
        <v>-1</v>
      </c>
      <c r="AH2542" s="90">
        <v>-1</v>
      </c>
      <c r="AI2542" s="90">
        <v>-1</v>
      </c>
      <c r="AJ2542" s="90">
        <v>0</v>
      </c>
      <c r="AM2542" s="90" t="s">
        <v>379</v>
      </c>
      <c r="AN2542" s="90">
        <v>-1</v>
      </c>
      <c r="AQ2542" s="90">
        <v>358</v>
      </c>
      <c r="AR2542" s="90" t="s">
        <v>422</v>
      </c>
      <c r="AS2542" s="90" t="s">
        <v>250</v>
      </c>
      <c r="AT2542" s="90" t="s">
        <v>244</v>
      </c>
      <c r="AU2542" s="90">
        <v>86.412649999999999</v>
      </c>
      <c r="AV2542" s="90">
        <v>130.92688406715999</v>
      </c>
      <c r="AW2542" s="90">
        <v>766.60905111576005</v>
      </c>
      <c r="AX2542" s="90">
        <v>0.57922696959999997</v>
      </c>
    </row>
    <row r="2543" spans="1:50" x14ac:dyDescent="0.25">
      <c r="A2543" s="102">
        <v>830000</v>
      </c>
      <c r="B2543" s="102">
        <v>2400000</v>
      </c>
      <c r="C2543" s="102">
        <v>2400000</v>
      </c>
      <c r="D2543" s="90" t="s">
        <v>374</v>
      </c>
      <c r="E2543" s="90" t="s">
        <v>68</v>
      </c>
      <c r="F2543" s="90" t="s">
        <v>375</v>
      </c>
      <c r="G2543" s="90" t="s">
        <v>376</v>
      </c>
      <c r="H2543" s="90">
        <v>0.59</v>
      </c>
      <c r="I2543" s="90">
        <v>0.64</v>
      </c>
      <c r="J2543" s="90" t="s">
        <v>244</v>
      </c>
      <c r="K2543" s="90">
        <v>0.13522469653519001</v>
      </c>
      <c r="L2543" s="90">
        <v>3770.1246163443702</v>
      </c>
      <c r="M2543" s="90">
        <v>8.8541135239533801</v>
      </c>
      <c r="N2543" s="90">
        <v>1.58538922768126</v>
      </c>
      <c r="O2543" s="90">
        <v>1.19729481436473</v>
      </c>
      <c r="P2543" s="90">
        <v>0.21438377720335999</v>
      </c>
      <c r="Q2543" s="90">
        <v>509.81395714502497</v>
      </c>
      <c r="R2543" s="90">
        <v>1300</v>
      </c>
      <c r="S2543" s="90" t="s">
        <v>387</v>
      </c>
      <c r="T2543" s="90">
        <v>1300</v>
      </c>
      <c r="U2543" s="90" t="s">
        <v>378</v>
      </c>
      <c r="V2543" s="90" t="s">
        <v>244</v>
      </c>
      <c r="Z2543" s="90">
        <v>0</v>
      </c>
      <c r="AA2543" s="90">
        <v>1</v>
      </c>
      <c r="AB2543" s="90">
        <v>1.19729481436473</v>
      </c>
      <c r="AC2543" s="90">
        <v>0.21438377720335999</v>
      </c>
      <c r="AD2543" s="90">
        <v>967.71607100935796</v>
      </c>
      <c r="AF2543" s="90">
        <v>-1</v>
      </c>
      <c r="AG2543" s="90">
        <v>-1</v>
      </c>
      <c r="AH2543" s="90">
        <v>-1</v>
      </c>
      <c r="AI2543" s="90">
        <v>-1</v>
      </c>
      <c r="AJ2543" s="90">
        <v>0</v>
      </c>
      <c r="AM2543" s="90" t="s">
        <v>379</v>
      </c>
      <c r="AN2543" s="90">
        <v>-1</v>
      </c>
      <c r="AQ2543" s="90">
        <v>358</v>
      </c>
      <c r="AR2543" s="90" t="s">
        <v>422</v>
      </c>
      <c r="AS2543" s="90" t="s">
        <v>250</v>
      </c>
      <c r="AT2543" s="90" t="s">
        <v>244</v>
      </c>
      <c r="AU2543" s="90">
        <v>86.412649999999999</v>
      </c>
      <c r="AV2543" s="90">
        <v>122.052300840885</v>
      </c>
      <c r="AW2543" s="90">
        <v>547.23493164053298</v>
      </c>
      <c r="AX2543" s="90">
        <v>0.78484677290000004</v>
      </c>
    </row>
    <row r="2544" spans="1:50" x14ac:dyDescent="0.25">
      <c r="A2544" s="102">
        <v>830000</v>
      </c>
      <c r="B2544" s="102">
        <v>2400000</v>
      </c>
      <c r="C2544" s="102">
        <v>2400000</v>
      </c>
      <c r="D2544" s="90" t="s">
        <v>374</v>
      </c>
      <c r="E2544" s="90" t="s">
        <v>68</v>
      </c>
      <c r="F2544" s="90" t="s">
        <v>375</v>
      </c>
      <c r="G2544" s="90" t="s">
        <v>376</v>
      </c>
      <c r="H2544" s="90">
        <v>0.59</v>
      </c>
      <c r="I2544" s="90">
        <v>0.64</v>
      </c>
      <c r="J2544" s="90" t="s">
        <v>244</v>
      </c>
      <c r="K2544" s="90">
        <v>4.692683428984E-2</v>
      </c>
      <c r="L2544" s="90">
        <v>3770.1246163443702</v>
      </c>
      <c r="M2544" s="90">
        <v>8.8541135239533801</v>
      </c>
      <c r="N2544" s="90">
        <v>1.58538922768126</v>
      </c>
      <c r="O2544" s="90">
        <v>0.41549551812203001</v>
      </c>
      <c r="P2544" s="90">
        <v>7.43972975723E-2</v>
      </c>
      <c r="Q2544" s="90">
        <v>176.92001312325701</v>
      </c>
      <c r="R2544" s="90">
        <v>1300</v>
      </c>
      <c r="S2544" s="90" t="s">
        <v>387</v>
      </c>
      <c r="T2544" s="90">
        <v>1300</v>
      </c>
      <c r="U2544" s="90" t="s">
        <v>378</v>
      </c>
      <c r="V2544" s="90" t="s">
        <v>244</v>
      </c>
      <c r="Z2544" s="90">
        <v>0</v>
      </c>
      <c r="AA2544" s="90">
        <v>1</v>
      </c>
      <c r="AB2544" s="90">
        <v>0.41549551812203001</v>
      </c>
      <c r="AC2544" s="90">
        <v>7.43972975723E-2</v>
      </c>
      <c r="AD2544" s="90">
        <v>176.92001312325701</v>
      </c>
      <c r="AF2544" s="90">
        <v>-1</v>
      </c>
      <c r="AG2544" s="90">
        <v>-1</v>
      </c>
      <c r="AH2544" s="90">
        <v>-1</v>
      </c>
      <c r="AI2544" s="90">
        <v>-1</v>
      </c>
      <c r="AJ2544" s="90">
        <v>0</v>
      </c>
      <c r="AM2544" s="90" t="s">
        <v>379</v>
      </c>
      <c r="AN2544" s="90">
        <v>-1</v>
      </c>
      <c r="AQ2544" s="90">
        <v>358</v>
      </c>
      <c r="AR2544" s="90" t="s">
        <v>422</v>
      </c>
      <c r="AS2544" s="90" t="s">
        <v>250</v>
      </c>
      <c r="AT2544" s="90" t="s">
        <v>244</v>
      </c>
      <c r="AU2544" s="90">
        <v>86.412649999999999</v>
      </c>
      <c r="AV2544" s="90">
        <v>100.84091442507</v>
      </c>
      <c r="AW2544" s="90">
        <v>189.906160728759</v>
      </c>
      <c r="AX2544" s="90">
        <v>0.1434874397</v>
      </c>
    </row>
    <row r="2545" spans="1:50" x14ac:dyDescent="0.25">
      <c r="A2545" s="102">
        <v>830000</v>
      </c>
      <c r="B2545" s="102">
        <v>2400000</v>
      </c>
      <c r="C2545" s="102">
        <v>2400000</v>
      </c>
      <c r="D2545" s="90" t="s">
        <v>374</v>
      </c>
      <c r="E2545" s="90" t="s">
        <v>68</v>
      </c>
      <c r="F2545" s="90" t="s">
        <v>375</v>
      </c>
      <c r="G2545" s="90" t="s">
        <v>376</v>
      </c>
      <c r="H2545" s="90">
        <v>0.59</v>
      </c>
      <c r="I2545" s="90">
        <v>0.64</v>
      </c>
      <c r="J2545" s="90" t="s">
        <v>244</v>
      </c>
      <c r="K2545" s="90">
        <v>5.3514606521299999E-3</v>
      </c>
      <c r="L2545" s="90">
        <v>3770.1246163443702</v>
      </c>
      <c r="M2545" s="90">
        <v>8.8541135239533801</v>
      </c>
      <c r="N2545" s="90">
        <v>1.58538922768126</v>
      </c>
      <c r="O2545" s="90">
        <v>4.7382440132960002E-2</v>
      </c>
      <c r="P2545" s="90">
        <v>8.4841480702500006E-3</v>
      </c>
      <c r="Q2545" s="90">
        <v>20.175673538008699</v>
      </c>
      <c r="R2545" s="90">
        <v>1300</v>
      </c>
      <c r="S2545" s="90" t="s">
        <v>387</v>
      </c>
      <c r="T2545" s="90">
        <v>1300</v>
      </c>
      <c r="U2545" s="90" t="s">
        <v>378</v>
      </c>
      <c r="V2545" s="90" t="s">
        <v>244</v>
      </c>
      <c r="Z2545" s="90">
        <v>0</v>
      </c>
      <c r="AA2545" s="90">
        <v>1</v>
      </c>
      <c r="AB2545" s="90">
        <v>4.7382440132960002E-2</v>
      </c>
      <c r="AC2545" s="90">
        <v>8.4841480702500006E-3</v>
      </c>
      <c r="AD2545" s="90">
        <v>20.1756735380071</v>
      </c>
      <c r="AF2545" s="90">
        <v>-1</v>
      </c>
      <c r="AG2545" s="90">
        <v>-1</v>
      </c>
      <c r="AH2545" s="90">
        <v>-1</v>
      </c>
      <c r="AI2545" s="90">
        <v>-1</v>
      </c>
      <c r="AJ2545" s="90">
        <v>0</v>
      </c>
      <c r="AM2545" s="90" t="s">
        <v>379</v>
      </c>
      <c r="AN2545" s="90">
        <v>-1</v>
      </c>
      <c r="AQ2545" s="90">
        <v>358</v>
      </c>
      <c r="AR2545" s="90" t="s">
        <v>422</v>
      </c>
      <c r="AS2545" s="90" t="s">
        <v>250</v>
      </c>
      <c r="AT2545" s="90" t="s">
        <v>244</v>
      </c>
      <c r="AU2545" s="90">
        <v>86.412649999999999</v>
      </c>
      <c r="AV2545" s="90">
        <v>19.071638771076898</v>
      </c>
      <c r="AW2545" s="90">
        <v>21.656592909307701</v>
      </c>
      <c r="AX2545" s="90">
        <v>1.63630767E-2</v>
      </c>
    </row>
    <row r="2546" spans="1:50" x14ac:dyDescent="0.25">
      <c r="A2546" s="102">
        <v>830000</v>
      </c>
      <c r="B2546" s="102">
        <v>2400000</v>
      </c>
      <c r="C2546" s="102">
        <v>2400000</v>
      </c>
      <c r="D2546" s="90" t="s">
        <v>374</v>
      </c>
      <c r="E2546" s="90" t="s">
        <v>68</v>
      </c>
      <c r="F2546" s="90" t="s">
        <v>375</v>
      </c>
      <c r="G2546" s="90" t="s">
        <v>376</v>
      </c>
      <c r="H2546" s="90">
        <v>0.59</v>
      </c>
      <c r="I2546" s="90">
        <v>0.64</v>
      </c>
      <c r="J2546" s="90" t="s">
        <v>244</v>
      </c>
      <c r="K2546" s="90">
        <v>0.55942283974936002</v>
      </c>
      <c r="L2546" s="90">
        <v>3759.6704590500699</v>
      </c>
      <c r="M2546" s="90">
        <v>10.8131671504369</v>
      </c>
      <c r="N2546" s="90">
        <v>2.0830413867817299</v>
      </c>
      <c r="O2546" s="90">
        <v>6.0491326739819602</v>
      </c>
      <c r="P2546" s="90">
        <v>1.16530092790888</v>
      </c>
      <c r="Q2546" s="90">
        <v>2103.2455247235798</v>
      </c>
      <c r="R2546" s="90">
        <v>1300</v>
      </c>
      <c r="S2546" s="90" t="s">
        <v>387</v>
      </c>
      <c r="T2546" s="90">
        <v>1300</v>
      </c>
      <c r="U2546" s="90" t="s">
        <v>378</v>
      </c>
      <c r="V2546" s="90" t="s">
        <v>244</v>
      </c>
      <c r="Z2546" s="90">
        <v>0</v>
      </c>
      <c r="AA2546" s="90">
        <v>1</v>
      </c>
      <c r="AB2546" s="90">
        <v>6.0491326739819602</v>
      </c>
      <c r="AC2546" s="90">
        <v>1.16530092790888</v>
      </c>
      <c r="AD2546" s="90">
        <v>2103.2455247235798</v>
      </c>
      <c r="AF2546" s="90">
        <v>-1</v>
      </c>
      <c r="AG2546" s="90">
        <v>-1</v>
      </c>
      <c r="AH2546" s="90">
        <v>-1</v>
      </c>
      <c r="AI2546" s="90">
        <v>-1</v>
      </c>
      <c r="AJ2546" s="90">
        <v>0</v>
      </c>
      <c r="AM2546" s="90" t="s">
        <v>379</v>
      </c>
      <c r="AN2546" s="90">
        <v>-1</v>
      </c>
      <c r="AQ2546" s="90">
        <v>358</v>
      </c>
      <c r="AR2546" s="90" t="s">
        <v>422</v>
      </c>
      <c r="AS2546" s="90" t="s">
        <v>250</v>
      </c>
      <c r="AT2546" s="90" t="s">
        <v>244</v>
      </c>
      <c r="AU2546" s="90">
        <v>86.412649999999999</v>
      </c>
      <c r="AV2546" s="90">
        <v>190.36056378293699</v>
      </c>
      <c r="AW2546" s="90">
        <v>2263.9039118769501</v>
      </c>
      <c r="AX2546" s="90">
        <v>1.7057952350000001</v>
      </c>
    </row>
    <row r="2547" spans="1:50" x14ac:dyDescent="0.25">
      <c r="A2547" s="102">
        <v>830000</v>
      </c>
      <c r="B2547" s="102">
        <v>2400000</v>
      </c>
      <c r="C2547" s="102">
        <v>2400000</v>
      </c>
      <c r="D2547" s="90" t="s">
        <v>374</v>
      </c>
      <c r="E2547" s="90" t="s">
        <v>68</v>
      </c>
      <c r="F2547" s="90" t="s">
        <v>375</v>
      </c>
      <c r="G2547" s="90" t="s">
        <v>376</v>
      </c>
      <c r="H2547" s="90">
        <v>0.59</v>
      </c>
      <c r="I2547" s="90">
        <v>0.64</v>
      </c>
      <c r="J2547" s="90" t="s">
        <v>244</v>
      </c>
      <c r="K2547" s="90">
        <v>3.1847487284E-4</v>
      </c>
      <c r="L2547" s="90">
        <v>3759.6704590500699</v>
      </c>
      <c r="M2547" s="90">
        <v>10.8131671504369</v>
      </c>
      <c r="N2547" s="90">
        <v>2.0830413867817299</v>
      </c>
      <c r="O2547" s="90">
        <v>3.4437220333200002E-3</v>
      </c>
      <c r="P2547" s="90">
        <v>6.6339634078999997E-4</v>
      </c>
      <c r="Q2547" s="90">
        <v>1.19736057139635</v>
      </c>
      <c r="R2547" s="90">
        <v>1300</v>
      </c>
      <c r="S2547" s="90" t="s">
        <v>387</v>
      </c>
      <c r="T2547" s="90">
        <v>1300</v>
      </c>
      <c r="U2547" s="90" t="s">
        <v>378</v>
      </c>
      <c r="V2547" s="90" t="s">
        <v>244</v>
      </c>
      <c r="Z2547" s="90">
        <v>0</v>
      </c>
      <c r="AA2547" s="90">
        <v>1</v>
      </c>
      <c r="AB2547" s="90">
        <v>3.4437220333200002E-3</v>
      </c>
      <c r="AC2547" s="90">
        <v>6.6339634078999997E-4</v>
      </c>
      <c r="AD2547" s="90">
        <v>1.1973605713950499</v>
      </c>
      <c r="AF2547" s="90">
        <v>-1</v>
      </c>
      <c r="AG2547" s="90">
        <v>-1</v>
      </c>
      <c r="AH2547" s="90">
        <v>-1</v>
      </c>
      <c r="AI2547" s="90">
        <v>-1</v>
      </c>
      <c r="AJ2547" s="90">
        <v>0</v>
      </c>
      <c r="AM2547" s="90" t="s">
        <v>379</v>
      </c>
      <c r="AN2547" s="90">
        <v>-1</v>
      </c>
      <c r="AQ2547" s="90">
        <v>358</v>
      </c>
      <c r="AR2547" s="90" t="s">
        <v>422</v>
      </c>
      <c r="AS2547" s="90" t="s">
        <v>250</v>
      </c>
      <c r="AT2547" s="90" t="s">
        <v>244</v>
      </c>
      <c r="AU2547" s="90">
        <v>86.412649999999999</v>
      </c>
      <c r="AV2547" s="90">
        <v>22.965757962867499</v>
      </c>
      <c r="AW2547" s="90">
        <v>1.2888220845565499</v>
      </c>
      <c r="AX2547" s="90">
        <v>9.7109539999999997E-4</v>
      </c>
    </row>
    <row r="2548" spans="1:50" x14ac:dyDescent="0.25">
      <c r="A2548" s="102">
        <v>830000</v>
      </c>
      <c r="B2548" s="102">
        <v>2400000</v>
      </c>
      <c r="C2548" s="102">
        <v>2400000</v>
      </c>
      <c r="D2548" s="90" t="s">
        <v>374</v>
      </c>
      <c r="E2548" s="90" t="s">
        <v>68</v>
      </c>
      <c r="F2548" s="90" t="s">
        <v>375</v>
      </c>
      <c r="G2548" s="90" t="s">
        <v>376</v>
      </c>
      <c r="H2548" s="90">
        <v>0.59</v>
      </c>
      <c r="I2548" s="90">
        <v>0.64</v>
      </c>
      <c r="J2548" s="90" t="s">
        <v>381</v>
      </c>
      <c r="K2548" s="90">
        <v>7.142948522E-5</v>
      </c>
      <c r="L2548" s="90">
        <v>3759.6704590500699</v>
      </c>
      <c r="M2548" s="90">
        <v>10.8131671504369</v>
      </c>
      <c r="N2548" s="90">
        <v>2.0830413867817299</v>
      </c>
      <c r="O2548" s="90">
        <v>7.7237896316E-4</v>
      </c>
      <c r="P2548" s="90">
        <v>1.4879057395000001E-4</v>
      </c>
      <c r="Q2548" s="90">
        <v>0.26855132549054</v>
      </c>
      <c r="R2548" s="90">
        <v>1300</v>
      </c>
      <c r="S2548" s="90" t="s">
        <v>387</v>
      </c>
      <c r="T2548" s="90">
        <v>1300</v>
      </c>
      <c r="U2548" s="90" t="s">
        <v>382</v>
      </c>
      <c r="V2548" s="90" t="s">
        <v>381</v>
      </c>
      <c r="Z2548" s="90">
        <v>0</v>
      </c>
      <c r="AA2548" s="90">
        <v>1</v>
      </c>
      <c r="AB2548" s="90">
        <v>7.7237896316E-4</v>
      </c>
      <c r="AC2548" s="90">
        <v>1.4879057395000001E-4</v>
      </c>
      <c r="AD2548" s="90">
        <v>0.26855132549213001</v>
      </c>
      <c r="AF2548" s="90">
        <v>-1</v>
      </c>
      <c r="AG2548" s="90">
        <v>-1</v>
      </c>
      <c r="AH2548" s="90">
        <v>-1</v>
      </c>
      <c r="AI2548" s="90">
        <v>-1</v>
      </c>
      <c r="AJ2548" s="90">
        <v>0</v>
      </c>
      <c r="AM2548" s="90" t="s">
        <v>379</v>
      </c>
      <c r="AN2548" s="90">
        <v>-1</v>
      </c>
      <c r="AQ2548" s="90">
        <v>358</v>
      </c>
      <c r="AR2548" s="90" t="s">
        <v>422</v>
      </c>
      <c r="AS2548" s="90" t="s">
        <v>250</v>
      </c>
      <c r="AT2548" s="90" t="s">
        <v>244</v>
      </c>
      <c r="AU2548" s="90">
        <v>86.412649999999999</v>
      </c>
      <c r="AV2548" s="90">
        <v>9.8794581935981807</v>
      </c>
      <c r="AW2548" s="90">
        <v>0.28906487101702999</v>
      </c>
      <c r="AX2548" s="90">
        <v>2.1780319999999999E-4</v>
      </c>
    </row>
    <row r="2549" spans="1:50" x14ac:dyDescent="0.25">
      <c r="A2549" s="102">
        <v>830000</v>
      </c>
      <c r="B2549" s="102">
        <v>2400000</v>
      </c>
      <c r="C2549" s="102">
        <v>2400000</v>
      </c>
      <c r="D2549" s="90" t="s">
        <v>374</v>
      </c>
      <c r="E2549" s="90" t="s">
        <v>68</v>
      </c>
      <c r="F2549" s="90" t="s">
        <v>375</v>
      </c>
      <c r="G2549" s="90" t="s">
        <v>376</v>
      </c>
      <c r="H2549" s="90">
        <v>0.59</v>
      </c>
      <c r="I2549" s="90">
        <v>0.64</v>
      </c>
      <c r="J2549" s="90" t="s">
        <v>244</v>
      </c>
      <c r="K2549" s="90">
        <v>1.6327980519649999E-2</v>
      </c>
      <c r="L2549" s="90">
        <v>3759.6704590500699</v>
      </c>
      <c r="M2549" s="90">
        <v>10.8131671504369</v>
      </c>
      <c r="N2549" s="90">
        <v>2.0830413867817299</v>
      </c>
      <c r="O2549" s="90">
        <v>0.17655718258813999</v>
      </c>
      <c r="P2549" s="90">
        <v>3.4011859185009999E-2</v>
      </c>
      <c r="Q2549" s="90">
        <v>61.387826015703297</v>
      </c>
      <c r="R2549" s="90">
        <v>1330</v>
      </c>
      <c r="S2549" s="90" t="s">
        <v>397</v>
      </c>
      <c r="T2549" s="90">
        <v>1330</v>
      </c>
      <c r="U2549" s="90" t="s">
        <v>378</v>
      </c>
      <c r="V2549" s="90" t="s">
        <v>244</v>
      </c>
      <c r="Z2549" s="90">
        <v>0</v>
      </c>
      <c r="AA2549" s="90">
        <v>1</v>
      </c>
      <c r="AB2549" s="90">
        <v>0.17655718258813999</v>
      </c>
      <c r="AC2549" s="90">
        <v>3.4011859185009999E-2</v>
      </c>
      <c r="AD2549" s="90">
        <v>61.387826015702899</v>
      </c>
      <c r="AF2549" s="90">
        <v>-1</v>
      </c>
      <c r="AG2549" s="90">
        <v>-1</v>
      </c>
      <c r="AH2549" s="90">
        <v>-1</v>
      </c>
      <c r="AI2549" s="90">
        <v>-1</v>
      </c>
      <c r="AJ2549" s="90">
        <v>0</v>
      </c>
      <c r="AM2549" s="90" t="s">
        <v>379</v>
      </c>
      <c r="AN2549" s="90">
        <v>-1</v>
      </c>
      <c r="AQ2549" s="90">
        <v>358</v>
      </c>
      <c r="AR2549" s="90" t="s">
        <v>422</v>
      </c>
      <c r="AS2549" s="90" t="s">
        <v>250</v>
      </c>
      <c r="AT2549" s="90" t="s">
        <v>244</v>
      </c>
      <c r="AU2549" s="90">
        <v>86.412649999999999</v>
      </c>
      <c r="AV2549" s="90">
        <v>39.202712324968601</v>
      </c>
      <c r="AW2549" s="90">
        <v>66.076992830799597</v>
      </c>
      <c r="AX2549" s="90">
        <v>4.9787368999999998E-2</v>
      </c>
    </row>
    <row r="2550" spans="1:50" x14ac:dyDescent="0.25">
      <c r="A2550" s="102">
        <v>830000</v>
      </c>
      <c r="B2550" s="102">
        <v>2400000</v>
      </c>
      <c r="C2550" s="102">
        <v>2400000</v>
      </c>
      <c r="D2550" s="90" t="s">
        <v>374</v>
      </c>
      <c r="E2550" s="90" t="s">
        <v>68</v>
      </c>
      <c r="F2550" s="90" t="s">
        <v>375</v>
      </c>
      <c r="G2550" s="90" t="s">
        <v>376</v>
      </c>
      <c r="H2550" s="90">
        <v>0.59</v>
      </c>
      <c r="I2550" s="90">
        <v>0.64</v>
      </c>
      <c r="J2550" s="90" t="s">
        <v>244</v>
      </c>
      <c r="K2550" s="90">
        <v>2.41644323622E-3</v>
      </c>
      <c r="L2550" s="90">
        <v>3759.6704590500699</v>
      </c>
      <c r="M2550" s="90">
        <v>10.8131671504369</v>
      </c>
      <c r="N2550" s="90">
        <v>2.0830413867817299</v>
      </c>
      <c r="O2550" s="90">
        <v>2.6129404622860002E-2</v>
      </c>
      <c r="P2550" s="90">
        <v>5.0335512698700003E-3</v>
      </c>
      <c r="Q2550" s="90">
        <v>9.08503025121402</v>
      </c>
      <c r="R2550" s="90">
        <v>1330</v>
      </c>
      <c r="S2550" s="90" t="s">
        <v>397</v>
      </c>
      <c r="T2550" s="90">
        <v>1330</v>
      </c>
      <c r="U2550" s="90" t="s">
        <v>378</v>
      </c>
      <c r="V2550" s="90" t="s">
        <v>244</v>
      </c>
      <c r="Z2550" s="90">
        <v>0</v>
      </c>
      <c r="AA2550" s="90">
        <v>1</v>
      </c>
      <c r="AB2550" s="90">
        <v>2.6129404622860002E-2</v>
      </c>
      <c r="AC2550" s="90">
        <v>5.0335512698700003E-3</v>
      </c>
      <c r="AD2550" s="90">
        <v>9.0850302512149899</v>
      </c>
      <c r="AF2550" s="90">
        <v>-1</v>
      </c>
      <c r="AG2550" s="90">
        <v>-1</v>
      </c>
      <c r="AH2550" s="90">
        <v>-1</v>
      </c>
      <c r="AI2550" s="90">
        <v>-1</v>
      </c>
      <c r="AJ2550" s="90">
        <v>0</v>
      </c>
      <c r="AM2550" s="90" t="s">
        <v>379</v>
      </c>
      <c r="AN2550" s="90">
        <v>-1</v>
      </c>
      <c r="AQ2550" s="90">
        <v>358</v>
      </c>
      <c r="AR2550" s="90" t="s">
        <v>422</v>
      </c>
      <c r="AS2550" s="90" t="s">
        <v>250</v>
      </c>
      <c r="AT2550" s="90" t="s">
        <v>244</v>
      </c>
      <c r="AU2550" s="90">
        <v>86.412649999999999</v>
      </c>
      <c r="AV2550" s="90">
        <v>12.981194155262299</v>
      </c>
      <c r="AW2550" s="90">
        <v>9.7789988298913393</v>
      </c>
      <c r="AX2550" s="90">
        <v>7.3682321999999998E-3</v>
      </c>
    </row>
    <row r="2551" spans="1:50" x14ac:dyDescent="0.25">
      <c r="A2551" s="102">
        <v>830000</v>
      </c>
      <c r="B2551" s="102">
        <v>2400000</v>
      </c>
      <c r="C2551" s="102">
        <v>2400000</v>
      </c>
      <c r="D2551" s="90" t="s">
        <v>374</v>
      </c>
      <c r="E2551" s="90" t="s">
        <v>68</v>
      </c>
      <c r="F2551" s="90" t="s">
        <v>375</v>
      </c>
      <c r="G2551" s="90" t="s">
        <v>376</v>
      </c>
      <c r="H2551" s="90">
        <v>0.59</v>
      </c>
      <c r="I2551" s="90">
        <v>0.64</v>
      </c>
      <c r="J2551" s="90" t="s">
        <v>244</v>
      </c>
      <c r="K2551" s="90">
        <v>2.3519106829999999E-3</v>
      </c>
      <c r="L2551" s="90">
        <v>3759.6704590500699</v>
      </c>
      <c r="M2551" s="90">
        <v>10.8131671504369</v>
      </c>
      <c r="N2551" s="90">
        <v>2.0830413867817299</v>
      </c>
      <c r="O2551" s="90">
        <v>2.5431603338190001E-2</v>
      </c>
      <c r="P2551" s="90">
        <v>4.8991272907000002E-3</v>
      </c>
      <c r="Q2551" s="90">
        <v>8.8424091172069108</v>
      </c>
      <c r="R2551" s="90">
        <v>1330</v>
      </c>
      <c r="S2551" s="90" t="s">
        <v>397</v>
      </c>
      <c r="T2551" s="90">
        <v>1330</v>
      </c>
      <c r="U2551" s="90" t="s">
        <v>378</v>
      </c>
      <c r="V2551" s="90" t="s">
        <v>244</v>
      </c>
      <c r="Z2551" s="90">
        <v>0</v>
      </c>
      <c r="AA2551" s="90">
        <v>1</v>
      </c>
      <c r="AB2551" s="90">
        <v>2.5431603338190001E-2</v>
      </c>
      <c r="AC2551" s="90">
        <v>4.8991272907000002E-3</v>
      </c>
      <c r="AD2551" s="90">
        <v>8.84240911720706</v>
      </c>
      <c r="AF2551" s="90">
        <v>-1</v>
      </c>
      <c r="AG2551" s="90">
        <v>-1</v>
      </c>
      <c r="AH2551" s="90">
        <v>-1</v>
      </c>
      <c r="AI2551" s="90">
        <v>-1</v>
      </c>
      <c r="AJ2551" s="90">
        <v>0</v>
      </c>
      <c r="AM2551" s="90" t="s">
        <v>379</v>
      </c>
      <c r="AN2551" s="90">
        <v>-1</v>
      </c>
      <c r="AQ2551" s="90">
        <v>358</v>
      </c>
      <c r="AR2551" s="90" t="s">
        <v>422</v>
      </c>
      <c r="AS2551" s="90" t="s">
        <v>250</v>
      </c>
      <c r="AT2551" s="90" t="s">
        <v>244</v>
      </c>
      <c r="AU2551" s="90">
        <v>86.412649999999999</v>
      </c>
      <c r="AV2551" s="90">
        <v>14.159823637320301</v>
      </c>
      <c r="AW2551" s="90">
        <v>9.5178448524179604</v>
      </c>
      <c r="AX2551" s="90">
        <v>7.1714591000000003E-3</v>
      </c>
    </row>
    <row r="2552" spans="1:50" x14ac:dyDescent="0.25">
      <c r="A2552" s="102">
        <v>830000</v>
      </c>
      <c r="B2552" s="102">
        <v>2400000</v>
      </c>
      <c r="C2552" s="102">
        <v>2400000</v>
      </c>
      <c r="D2552" s="90" t="s">
        <v>374</v>
      </c>
      <c r="E2552" s="90" t="s">
        <v>68</v>
      </c>
      <c r="F2552" s="90" t="s">
        <v>375</v>
      </c>
      <c r="G2552" s="90" t="s">
        <v>376</v>
      </c>
      <c r="H2552" s="90">
        <v>0.59</v>
      </c>
      <c r="I2552" s="90">
        <v>0.64</v>
      </c>
      <c r="J2552" s="90" t="s">
        <v>244</v>
      </c>
      <c r="K2552" s="90">
        <v>3.6854375052550001E-2</v>
      </c>
      <c r="L2552" s="90">
        <v>3759.6704590500699</v>
      </c>
      <c r="M2552" s="90">
        <v>10.8131671504369</v>
      </c>
      <c r="N2552" s="90">
        <v>2.0830413867817299</v>
      </c>
      <c r="O2552" s="90">
        <v>0.39851251766815998</v>
      </c>
      <c r="P2552" s="90">
        <v>7.6769188518440001E-2</v>
      </c>
      <c r="Q2552" s="90">
        <v>138.56030517183899</v>
      </c>
      <c r="R2552" s="90">
        <v>1330</v>
      </c>
      <c r="S2552" s="90" t="s">
        <v>397</v>
      </c>
      <c r="T2552" s="90">
        <v>1330</v>
      </c>
      <c r="U2552" s="90" t="s">
        <v>378</v>
      </c>
      <c r="V2552" s="90" t="s">
        <v>244</v>
      </c>
      <c r="Z2552" s="90">
        <v>0</v>
      </c>
      <c r="AA2552" s="90">
        <v>1</v>
      </c>
      <c r="AB2552" s="90">
        <v>0.39851251766815998</v>
      </c>
      <c r="AC2552" s="90">
        <v>7.6769188518440001E-2</v>
      </c>
      <c r="AD2552" s="90">
        <v>138.56030517184001</v>
      </c>
      <c r="AF2552" s="90">
        <v>-1</v>
      </c>
      <c r="AG2552" s="90">
        <v>-1</v>
      </c>
      <c r="AH2552" s="90">
        <v>-1</v>
      </c>
      <c r="AI2552" s="90">
        <v>-1</v>
      </c>
      <c r="AJ2552" s="90">
        <v>0</v>
      </c>
      <c r="AM2552" s="90" t="s">
        <v>379</v>
      </c>
      <c r="AN2552" s="90">
        <v>-1</v>
      </c>
      <c r="AQ2552" s="90">
        <v>358</v>
      </c>
      <c r="AR2552" s="90" t="s">
        <v>422</v>
      </c>
      <c r="AS2552" s="90" t="s">
        <v>250</v>
      </c>
      <c r="AT2552" s="90" t="s">
        <v>244</v>
      </c>
      <c r="AU2552" s="90">
        <v>86.412649999999999</v>
      </c>
      <c r="AV2552" s="90">
        <v>70.864916822060806</v>
      </c>
      <c r="AW2552" s="90">
        <v>149.14436437496801</v>
      </c>
      <c r="AX2552" s="90">
        <v>0.1123765654</v>
      </c>
    </row>
    <row r="2553" spans="1:50" x14ac:dyDescent="0.25">
      <c r="A2553" s="102">
        <v>830000</v>
      </c>
      <c r="B2553" s="102">
        <v>2400000</v>
      </c>
      <c r="C2553" s="102">
        <v>2400000</v>
      </c>
      <c r="D2553" s="90" t="s">
        <v>374</v>
      </c>
      <c r="E2553" s="90" t="s">
        <v>68</v>
      </c>
      <c r="F2553" s="90" t="s">
        <v>375</v>
      </c>
      <c r="G2553" s="90" t="s">
        <v>376</v>
      </c>
      <c r="H2553" s="90">
        <v>0.59</v>
      </c>
      <c r="I2553" s="90">
        <v>0.64</v>
      </c>
      <c r="J2553" s="90" t="s">
        <v>244</v>
      </c>
      <c r="K2553" s="90">
        <v>0.17621911175498001</v>
      </c>
      <c r="L2553" s="90">
        <v>3790.2426666481501</v>
      </c>
      <c r="M2553" s="90">
        <v>9.0142621243892496</v>
      </c>
      <c r="N2553" s="90">
        <v>1.51695356900783</v>
      </c>
      <c r="O2553" s="90">
        <v>1.58848526468645</v>
      </c>
      <c r="P2553" s="90">
        <v>0.26731621050410997</v>
      </c>
      <c r="Q2553" s="90">
        <v>667.91319605257104</v>
      </c>
      <c r="R2553" s="90">
        <v>1300</v>
      </c>
      <c r="S2553" s="90" t="s">
        <v>387</v>
      </c>
      <c r="T2553" s="90">
        <v>1300</v>
      </c>
      <c r="U2553" s="90" t="s">
        <v>378</v>
      </c>
      <c r="V2553" s="90" t="s">
        <v>244</v>
      </c>
      <c r="Z2553" s="90">
        <v>0</v>
      </c>
      <c r="AA2553" s="90">
        <v>1</v>
      </c>
      <c r="AB2553" s="90">
        <v>1.58848526468645</v>
      </c>
      <c r="AC2553" s="90">
        <v>0.26731621050410997</v>
      </c>
      <c r="AD2553" s="90">
        <v>667.91489759443505</v>
      </c>
      <c r="AF2553" s="90">
        <v>-1</v>
      </c>
      <c r="AG2553" s="90">
        <v>-1</v>
      </c>
      <c r="AH2553" s="90">
        <v>-1</v>
      </c>
      <c r="AI2553" s="90">
        <v>-1</v>
      </c>
      <c r="AJ2553" s="90">
        <v>0</v>
      </c>
      <c r="AM2553" s="90" t="s">
        <v>379</v>
      </c>
      <c r="AN2553" s="90">
        <v>-1</v>
      </c>
      <c r="AQ2553" s="90">
        <v>358</v>
      </c>
      <c r="AR2553" s="90" t="s">
        <v>422</v>
      </c>
      <c r="AS2553" s="90" t="s">
        <v>250</v>
      </c>
      <c r="AT2553" s="90" t="s">
        <v>244</v>
      </c>
      <c r="AU2553" s="90">
        <v>86.412649999999999</v>
      </c>
      <c r="AV2553" s="90">
        <v>129.656301916046</v>
      </c>
      <c r="AW2553" s="90">
        <v>713.13344415527297</v>
      </c>
      <c r="AX2553" s="90">
        <v>0.54169902479999998</v>
      </c>
    </row>
    <row r="2554" spans="1:50" x14ac:dyDescent="0.25">
      <c r="A2554" s="102">
        <v>830000</v>
      </c>
      <c r="B2554" s="102">
        <v>2400000</v>
      </c>
      <c r="C2554" s="102">
        <v>2400000</v>
      </c>
      <c r="D2554" s="90" t="s">
        <v>374</v>
      </c>
      <c r="E2554" s="90" t="s">
        <v>68</v>
      </c>
      <c r="F2554" s="90" t="s">
        <v>375</v>
      </c>
      <c r="G2554" s="90" t="s">
        <v>376</v>
      </c>
      <c r="H2554" s="90">
        <v>0.59</v>
      </c>
      <c r="I2554" s="90">
        <v>0.64</v>
      </c>
      <c r="J2554" s="90" t="s">
        <v>244</v>
      </c>
      <c r="K2554" s="90">
        <v>0.43356966658896001</v>
      </c>
      <c r="L2554" s="90">
        <v>3790.2426666481501</v>
      </c>
      <c r="M2554" s="90">
        <v>9.0142621243892496</v>
      </c>
      <c r="N2554" s="90">
        <v>1.51695356900783</v>
      </c>
      <c r="O2554" s="90">
        <v>3.9083106238169401</v>
      </c>
      <c r="P2554" s="90">
        <v>0.65770505314564998</v>
      </c>
      <c r="Q2554" s="90">
        <v>1643.3342492698901</v>
      </c>
      <c r="R2554" s="90">
        <v>1300</v>
      </c>
      <c r="S2554" s="90" t="s">
        <v>387</v>
      </c>
      <c r="T2554" s="90">
        <v>1300</v>
      </c>
      <c r="U2554" s="90" t="s">
        <v>378</v>
      </c>
      <c r="V2554" s="90" t="s">
        <v>244</v>
      </c>
      <c r="Z2554" s="90">
        <v>0</v>
      </c>
      <c r="AA2554" s="90">
        <v>1</v>
      </c>
      <c r="AB2554" s="90">
        <v>3.9083106238169401</v>
      </c>
      <c r="AC2554" s="90">
        <v>0.65770505314564998</v>
      </c>
      <c r="AD2554" s="90">
        <v>1673.41527348715</v>
      </c>
      <c r="AF2554" s="90">
        <v>-1</v>
      </c>
      <c r="AG2554" s="90">
        <v>-1</v>
      </c>
      <c r="AH2554" s="90">
        <v>-1</v>
      </c>
      <c r="AI2554" s="90">
        <v>-1</v>
      </c>
      <c r="AJ2554" s="90">
        <v>0</v>
      </c>
      <c r="AM2554" s="90" t="s">
        <v>379</v>
      </c>
      <c r="AN2554" s="90">
        <v>-1</v>
      </c>
      <c r="AQ2554" s="90">
        <v>358</v>
      </c>
      <c r="AR2554" s="90" t="s">
        <v>422</v>
      </c>
      <c r="AS2554" s="90" t="s">
        <v>250</v>
      </c>
      <c r="AT2554" s="90" t="s">
        <v>244</v>
      </c>
      <c r="AU2554" s="90">
        <v>86.412649999999999</v>
      </c>
      <c r="AV2554" s="90">
        <v>170.17582747715801</v>
      </c>
      <c r="AW2554" s="90">
        <v>1754.5941897933501</v>
      </c>
      <c r="AX2554" s="90">
        <v>1.3571900027999999</v>
      </c>
    </row>
    <row r="2555" spans="1:50" x14ac:dyDescent="0.25">
      <c r="A2555" s="102">
        <v>830000</v>
      </c>
      <c r="B2555" s="102">
        <v>2400000</v>
      </c>
      <c r="C2555" s="102">
        <v>2400000</v>
      </c>
      <c r="D2555" s="90" t="s">
        <v>374</v>
      </c>
      <c r="E2555" s="90" t="s">
        <v>68</v>
      </c>
      <c r="F2555" s="90" t="s">
        <v>375</v>
      </c>
      <c r="G2555" s="90" t="s">
        <v>376</v>
      </c>
      <c r="H2555" s="90">
        <v>0.59</v>
      </c>
      <c r="I2555" s="90">
        <v>0.64</v>
      </c>
      <c r="J2555" s="90" t="s">
        <v>244</v>
      </c>
      <c r="K2555" s="90">
        <v>3.7788710559999997E-5</v>
      </c>
      <c r="L2555" s="90">
        <v>3790.2426666481501</v>
      </c>
      <c r="M2555" s="90">
        <v>9.0142621243892496</v>
      </c>
      <c r="N2555" s="90">
        <v>1.51695356900783</v>
      </c>
      <c r="O2555" s="90">
        <v>3.4063734234000001E-4</v>
      </c>
      <c r="P2555" s="90">
        <v>5.7323719349999997E-5</v>
      </c>
      <c r="Q2555" s="90">
        <v>0.14322838308971</v>
      </c>
      <c r="R2555" s="90">
        <v>1300</v>
      </c>
      <c r="S2555" s="90" t="s">
        <v>387</v>
      </c>
      <c r="T2555" s="90">
        <v>1300</v>
      </c>
      <c r="U2555" s="90" t="s">
        <v>378</v>
      </c>
      <c r="V2555" s="90" t="s">
        <v>244</v>
      </c>
      <c r="Z2555" s="90">
        <v>0</v>
      </c>
      <c r="AA2555" s="90">
        <v>1</v>
      </c>
      <c r="AB2555" s="90">
        <v>3.4063734234000001E-4</v>
      </c>
      <c r="AC2555" s="90">
        <v>5.7323719349999997E-5</v>
      </c>
      <c r="AD2555" s="90">
        <v>0.14322838309075001</v>
      </c>
      <c r="AF2555" s="90">
        <v>-1</v>
      </c>
      <c r="AG2555" s="90">
        <v>-1</v>
      </c>
      <c r="AH2555" s="90">
        <v>-1</v>
      </c>
      <c r="AI2555" s="90">
        <v>-1</v>
      </c>
      <c r="AJ2555" s="90">
        <v>0</v>
      </c>
      <c r="AM2555" s="90" t="s">
        <v>379</v>
      </c>
      <c r="AN2555" s="90">
        <v>-1</v>
      </c>
      <c r="AQ2555" s="90">
        <v>358</v>
      </c>
      <c r="AR2555" s="90" t="s">
        <v>422</v>
      </c>
      <c r="AS2555" s="90" t="s">
        <v>250</v>
      </c>
      <c r="AT2555" s="90" t="s">
        <v>244</v>
      </c>
      <c r="AU2555" s="90">
        <v>86.412649999999999</v>
      </c>
      <c r="AV2555" s="90">
        <v>7.1402914299788502</v>
      </c>
      <c r="AW2555" s="90">
        <v>0.15292548603315001</v>
      </c>
      <c r="AX2555" s="90">
        <v>1.161625E-4</v>
      </c>
    </row>
    <row r="2556" spans="1:50" x14ac:dyDescent="0.25">
      <c r="A2556" s="102">
        <v>830000</v>
      </c>
      <c r="B2556" s="102">
        <v>2400000</v>
      </c>
      <c r="C2556" s="102">
        <v>2400000</v>
      </c>
      <c r="D2556" s="90" t="s">
        <v>374</v>
      </c>
      <c r="E2556" s="90" t="s">
        <v>68</v>
      </c>
      <c r="F2556" s="90" t="s">
        <v>375</v>
      </c>
      <c r="G2556" s="90" t="s">
        <v>376</v>
      </c>
      <c r="H2556" s="90">
        <v>0.59</v>
      </c>
      <c r="I2556" s="90">
        <v>0.64</v>
      </c>
      <c r="J2556" s="90" t="s">
        <v>381</v>
      </c>
      <c r="K2556" s="90">
        <v>0.1209808748596</v>
      </c>
      <c r="L2556" s="90">
        <v>3761.9601460731701</v>
      </c>
      <c r="M2556" s="90">
        <v>10.8045965222751</v>
      </c>
      <c r="N2556" s="90">
        <v>1.8963314097747199</v>
      </c>
      <c r="O2556" s="90">
        <v>1.3071495397698301</v>
      </c>
      <c r="P2556" s="90">
        <v>0.22941983297828</v>
      </c>
      <c r="Q2556" s="90">
        <v>455.12522965888098</v>
      </c>
      <c r="R2556" s="90">
        <v>1400</v>
      </c>
      <c r="S2556" s="90" t="s">
        <v>324</v>
      </c>
      <c r="T2556" s="90">
        <v>1400</v>
      </c>
      <c r="U2556" s="90" t="s">
        <v>382</v>
      </c>
      <c r="V2556" s="90" t="s">
        <v>381</v>
      </c>
      <c r="Z2556" s="90">
        <v>0</v>
      </c>
      <c r="AA2556" s="90">
        <v>1</v>
      </c>
      <c r="AB2556" s="90">
        <v>1.3071495397698301</v>
      </c>
      <c r="AC2556" s="90">
        <v>0.22941983297828</v>
      </c>
      <c r="AD2556" s="90">
        <v>455.12522965888098</v>
      </c>
      <c r="AF2556" s="90">
        <v>-1</v>
      </c>
      <c r="AG2556" s="90">
        <v>-1</v>
      </c>
      <c r="AH2556" s="90">
        <v>-1</v>
      </c>
      <c r="AI2556" s="90">
        <v>-1</v>
      </c>
      <c r="AJ2556" s="90">
        <v>0</v>
      </c>
      <c r="AM2556" s="90" t="s">
        <v>379</v>
      </c>
      <c r="AN2556" s="90">
        <v>-1</v>
      </c>
      <c r="AQ2556" s="90">
        <v>358</v>
      </c>
      <c r="AR2556" s="90" t="s">
        <v>422</v>
      </c>
      <c r="AS2556" s="90" t="s">
        <v>250</v>
      </c>
      <c r="AT2556" s="90" t="s">
        <v>244</v>
      </c>
      <c r="AU2556" s="90">
        <v>86.412649999999999</v>
      </c>
      <c r="AV2556" s="90">
        <v>133.877994633957</v>
      </c>
      <c r="AW2556" s="90">
        <v>489.592230413143</v>
      </c>
      <c r="AX2556" s="90">
        <v>0.3691202187</v>
      </c>
    </row>
    <row r="2557" spans="1:50" x14ac:dyDescent="0.25">
      <c r="A2557" s="102">
        <v>830000</v>
      </c>
      <c r="B2557" s="102">
        <v>2400000</v>
      </c>
      <c r="C2557" s="102">
        <v>2400000</v>
      </c>
      <c r="D2557" s="90" t="s">
        <v>374</v>
      </c>
      <c r="E2557" s="90" t="s">
        <v>68</v>
      </c>
      <c r="F2557" s="90" t="s">
        <v>375</v>
      </c>
      <c r="G2557" s="90" t="s">
        <v>376</v>
      </c>
      <c r="H2557" s="90">
        <v>0.59</v>
      </c>
      <c r="I2557" s="90">
        <v>0.64</v>
      </c>
      <c r="J2557" s="90" t="s">
        <v>381</v>
      </c>
      <c r="K2557" s="90">
        <v>8.9935744485139996E-2</v>
      </c>
      <c r="L2557" s="90">
        <v>3761.9601460731701</v>
      </c>
      <c r="M2557" s="90">
        <v>10.8045965222751</v>
      </c>
      <c r="N2557" s="90">
        <v>1.8963314097747199</v>
      </c>
      <c r="O2557" s="90">
        <v>0.97171943209244005</v>
      </c>
      <c r="P2557" s="90">
        <v>0.17054797712865</v>
      </c>
      <c r="Q2557" s="90">
        <v>338.33468646054303</v>
      </c>
      <c r="R2557" s="90">
        <v>1300</v>
      </c>
      <c r="S2557" s="90" t="s">
        <v>387</v>
      </c>
      <c r="T2557" s="90">
        <v>1300</v>
      </c>
      <c r="U2557" s="90" t="s">
        <v>382</v>
      </c>
      <c r="V2557" s="90" t="s">
        <v>381</v>
      </c>
      <c r="Z2557" s="90">
        <v>0</v>
      </c>
      <c r="AA2557" s="90">
        <v>1</v>
      </c>
      <c r="AB2557" s="90">
        <v>0.97171943209244005</v>
      </c>
      <c r="AC2557" s="90">
        <v>0.17054797712865</v>
      </c>
      <c r="AD2557" s="90">
        <v>338.334686460542</v>
      </c>
      <c r="AF2557" s="90">
        <v>-1</v>
      </c>
      <c r="AG2557" s="90">
        <v>-1</v>
      </c>
      <c r="AH2557" s="90">
        <v>-1</v>
      </c>
      <c r="AI2557" s="90">
        <v>-1</v>
      </c>
      <c r="AJ2557" s="90">
        <v>0</v>
      </c>
      <c r="AM2557" s="90" t="s">
        <v>379</v>
      </c>
      <c r="AN2557" s="90">
        <v>-1</v>
      </c>
      <c r="AQ2557" s="90">
        <v>358</v>
      </c>
      <c r="AR2557" s="90" t="s">
        <v>422</v>
      </c>
      <c r="AS2557" s="90" t="s">
        <v>250</v>
      </c>
      <c r="AT2557" s="90" t="s">
        <v>244</v>
      </c>
      <c r="AU2557" s="90">
        <v>86.412649999999999</v>
      </c>
      <c r="AV2557" s="90">
        <v>101.466545164734</v>
      </c>
      <c r="AW2557" s="90">
        <v>363.95704517304</v>
      </c>
      <c r="AX2557" s="90">
        <v>0.27439958349999999</v>
      </c>
    </row>
    <row r="2558" spans="1:50" x14ac:dyDescent="0.25">
      <c r="A2558" s="102">
        <v>830000</v>
      </c>
      <c r="B2558" s="102">
        <v>2400000</v>
      </c>
      <c r="C2558" s="102">
        <v>2400000</v>
      </c>
      <c r="D2558" s="90" t="s">
        <v>374</v>
      </c>
      <c r="E2558" s="90" t="s">
        <v>68</v>
      </c>
      <c r="F2558" s="90" t="s">
        <v>375</v>
      </c>
      <c r="G2558" s="90" t="s">
        <v>376</v>
      </c>
      <c r="H2558" s="90">
        <v>0.59</v>
      </c>
      <c r="I2558" s="90">
        <v>0.64</v>
      </c>
      <c r="J2558" s="90" t="s">
        <v>244</v>
      </c>
      <c r="K2558" s="90">
        <v>8.9023914274050001E-2</v>
      </c>
      <c r="L2558" s="90">
        <v>3761.9601460731701</v>
      </c>
      <c r="M2558" s="90">
        <v>10.8045965222751</v>
      </c>
      <c r="N2558" s="90">
        <v>1.8963314097747199</v>
      </c>
      <c r="O2558" s="90">
        <v>0.96186747456471</v>
      </c>
      <c r="P2558" s="90">
        <v>0.16881884485897</v>
      </c>
      <c r="Q2558" s="90">
        <v>334.90441754641103</v>
      </c>
      <c r="R2558" s="90">
        <v>1300</v>
      </c>
      <c r="S2558" s="90" t="s">
        <v>387</v>
      </c>
      <c r="T2558" s="90">
        <v>1300</v>
      </c>
      <c r="U2558" s="90" t="s">
        <v>378</v>
      </c>
      <c r="V2558" s="90" t="s">
        <v>244</v>
      </c>
      <c r="Z2558" s="90">
        <v>0</v>
      </c>
      <c r="AA2558" s="90">
        <v>1</v>
      </c>
      <c r="AB2558" s="90">
        <v>0.96186747456471</v>
      </c>
      <c r="AC2558" s="90">
        <v>0.16881884485897</v>
      </c>
      <c r="AD2558" s="90">
        <v>334.90441754641103</v>
      </c>
      <c r="AF2558" s="90">
        <v>-1</v>
      </c>
      <c r="AG2558" s="90">
        <v>-1</v>
      </c>
      <c r="AH2558" s="90">
        <v>-1</v>
      </c>
      <c r="AI2558" s="90">
        <v>-1</v>
      </c>
      <c r="AJ2558" s="90">
        <v>0</v>
      </c>
      <c r="AM2558" s="90" t="s">
        <v>379</v>
      </c>
      <c r="AN2558" s="90">
        <v>-1</v>
      </c>
      <c r="AQ2558" s="90">
        <v>358</v>
      </c>
      <c r="AR2558" s="90" t="s">
        <v>422</v>
      </c>
      <c r="AS2558" s="90" t="s">
        <v>250</v>
      </c>
      <c r="AT2558" s="90" t="s">
        <v>244</v>
      </c>
      <c r="AU2558" s="90">
        <v>86.412649999999999</v>
      </c>
      <c r="AV2558" s="90">
        <v>86.961890538381098</v>
      </c>
      <c r="AW2558" s="90">
        <v>360.26699922712601</v>
      </c>
      <c r="AX2558" s="90">
        <v>0.27161753249999998</v>
      </c>
    </row>
    <row r="2559" spans="1:50" x14ac:dyDescent="0.25">
      <c r="A2559" s="102">
        <v>830000</v>
      </c>
      <c r="B2559" s="102">
        <v>2400000</v>
      </c>
      <c r="C2559" s="102">
        <v>2400000</v>
      </c>
      <c r="D2559" s="90" t="s">
        <v>374</v>
      </c>
      <c r="E2559" s="90" t="s">
        <v>68</v>
      </c>
      <c r="F2559" s="90" t="s">
        <v>375</v>
      </c>
      <c r="G2559" s="90" t="s">
        <v>376</v>
      </c>
      <c r="H2559" s="90">
        <v>0.59</v>
      </c>
      <c r="I2559" s="90">
        <v>0.64</v>
      </c>
      <c r="J2559" s="90" t="s">
        <v>381</v>
      </c>
      <c r="K2559" s="90">
        <v>3.9204681992000001E-4</v>
      </c>
      <c r="L2559" s="90">
        <v>3761.9601460731701</v>
      </c>
      <c r="M2559" s="90">
        <v>10.8045965222751</v>
      </c>
      <c r="N2559" s="90">
        <v>1.8963314097747199</v>
      </c>
      <c r="O2559" s="90">
        <v>4.2359077071600004E-3</v>
      </c>
      <c r="P2559" s="90">
        <v>7.4345069872999996E-4</v>
      </c>
      <c r="Q2559" s="90">
        <v>1.4748645119638599</v>
      </c>
      <c r="R2559" s="90">
        <v>1300</v>
      </c>
      <c r="S2559" s="90" t="s">
        <v>387</v>
      </c>
      <c r="T2559" s="90">
        <v>1300</v>
      </c>
      <c r="U2559" s="90" t="s">
        <v>382</v>
      </c>
      <c r="V2559" s="90" t="s">
        <v>381</v>
      </c>
      <c r="Z2559" s="90">
        <v>0</v>
      </c>
      <c r="AA2559" s="90">
        <v>1</v>
      </c>
      <c r="AB2559" s="90">
        <v>4.2359077071600004E-3</v>
      </c>
      <c r="AC2559" s="90">
        <v>7.4345069872999996E-4</v>
      </c>
      <c r="AD2559" s="90">
        <v>1.47486451196271</v>
      </c>
      <c r="AF2559" s="90">
        <v>-1</v>
      </c>
      <c r="AG2559" s="90">
        <v>-1</v>
      </c>
      <c r="AH2559" s="90">
        <v>-1</v>
      </c>
      <c r="AI2559" s="90">
        <v>-1</v>
      </c>
      <c r="AJ2559" s="90">
        <v>0</v>
      </c>
      <c r="AM2559" s="90" t="s">
        <v>379</v>
      </c>
      <c r="AN2559" s="90">
        <v>-1</v>
      </c>
      <c r="AQ2559" s="90">
        <v>358</v>
      </c>
      <c r="AR2559" s="90" t="s">
        <v>422</v>
      </c>
      <c r="AS2559" s="90" t="s">
        <v>250</v>
      </c>
      <c r="AT2559" s="90" t="s">
        <v>244</v>
      </c>
      <c r="AU2559" s="90">
        <v>86.412649999999999</v>
      </c>
      <c r="AV2559" s="90">
        <v>20.353413147409899</v>
      </c>
      <c r="AW2559" s="90">
        <v>1.58655719110588</v>
      </c>
      <c r="AX2559" s="90">
        <v>1.1961593999999999E-3</v>
      </c>
    </row>
    <row r="2560" spans="1:50" x14ac:dyDescent="0.25">
      <c r="A2560" s="102">
        <v>830000</v>
      </c>
      <c r="B2560" s="102">
        <v>2400000</v>
      </c>
      <c r="C2560" s="102">
        <v>2400000</v>
      </c>
      <c r="D2560" s="90" t="s">
        <v>374</v>
      </c>
      <c r="E2560" s="90" t="s">
        <v>68</v>
      </c>
      <c r="F2560" s="90" t="s">
        <v>375</v>
      </c>
      <c r="G2560" s="90" t="s">
        <v>376</v>
      </c>
      <c r="H2560" s="90">
        <v>0.59</v>
      </c>
      <c r="I2560" s="90">
        <v>0.64</v>
      </c>
      <c r="J2560" s="90" t="s">
        <v>244</v>
      </c>
      <c r="K2560" s="90">
        <v>0.12637618581616</v>
      </c>
      <c r="L2560" s="90">
        <v>3761.9601460731701</v>
      </c>
      <c r="M2560" s="90">
        <v>10.8045965222751</v>
      </c>
      <c r="N2560" s="90">
        <v>1.8963314097747199</v>
      </c>
      <c r="O2560" s="90">
        <v>1.36544369776768</v>
      </c>
      <c r="P2560" s="90">
        <v>0.23965113061071</v>
      </c>
      <c r="Q2560" s="90">
        <v>475.42217445313599</v>
      </c>
      <c r="R2560" s="90">
        <v>1300</v>
      </c>
      <c r="S2560" s="90" t="s">
        <v>387</v>
      </c>
      <c r="T2560" s="90">
        <v>1300</v>
      </c>
      <c r="U2560" s="90" t="s">
        <v>378</v>
      </c>
      <c r="V2560" s="90" t="s">
        <v>244</v>
      </c>
      <c r="Z2560" s="90">
        <v>0</v>
      </c>
      <c r="AA2560" s="90">
        <v>1</v>
      </c>
      <c r="AB2560" s="90">
        <v>1.36544369776768</v>
      </c>
      <c r="AC2560" s="90">
        <v>0.23965113061071</v>
      </c>
      <c r="AD2560" s="90">
        <v>475.42217445313599</v>
      </c>
      <c r="AF2560" s="90">
        <v>-1</v>
      </c>
      <c r="AG2560" s="90">
        <v>-1</v>
      </c>
      <c r="AH2560" s="90">
        <v>-1</v>
      </c>
      <c r="AI2560" s="90">
        <v>-1</v>
      </c>
      <c r="AJ2560" s="90">
        <v>0</v>
      </c>
      <c r="AM2560" s="90" t="s">
        <v>379</v>
      </c>
      <c r="AN2560" s="90">
        <v>-1</v>
      </c>
      <c r="AQ2560" s="90">
        <v>358</v>
      </c>
      <c r="AR2560" s="90" t="s">
        <v>422</v>
      </c>
      <c r="AS2560" s="90" t="s">
        <v>250</v>
      </c>
      <c r="AT2560" s="90" t="s">
        <v>244</v>
      </c>
      <c r="AU2560" s="90">
        <v>86.412649999999999</v>
      </c>
      <c r="AV2560" s="90">
        <v>96.688009374639293</v>
      </c>
      <c r="AW2560" s="90">
        <v>511.426279208545</v>
      </c>
      <c r="AX2560" s="90">
        <v>0.38558165</v>
      </c>
    </row>
    <row r="2561" spans="1:50" x14ac:dyDescent="0.25">
      <c r="A2561" s="102">
        <v>830000</v>
      </c>
      <c r="B2561" s="102">
        <v>2400000</v>
      </c>
      <c r="C2561" s="102">
        <v>2400000</v>
      </c>
      <c r="D2561" s="90" t="s">
        <v>374</v>
      </c>
      <c r="E2561" s="90" t="s">
        <v>68</v>
      </c>
      <c r="F2561" s="90" t="s">
        <v>375</v>
      </c>
      <c r="G2561" s="90" t="s">
        <v>376</v>
      </c>
      <c r="H2561" s="90">
        <v>0.59</v>
      </c>
      <c r="I2561" s="90">
        <v>0.64</v>
      </c>
      <c r="J2561" s="90" t="s">
        <v>381</v>
      </c>
      <c r="K2561" s="90">
        <v>6.2146757180999996E-4</v>
      </c>
      <c r="L2561" s="90">
        <v>3761.9601460731701</v>
      </c>
      <c r="M2561" s="90">
        <v>10.8045965222751</v>
      </c>
      <c r="N2561" s="90">
        <v>1.8963314097747199</v>
      </c>
      <c r="O2561" s="90">
        <v>6.7147063651700001E-3</v>
      </c>
      <c r="P2561" s="90">
        <v>1.1785084765900001E-3</v>
      </c>
      <c r="Q2561" s="90">
        <v>2.33793623725618</v>
      </c>
      <c r="R2561" s="90">
        <v>1300</v>
      </c>
      <c r="S2561" s="90" t="s">
        <v>387</v>
      </c>
      <c r="T2561" s="90">
        <v>1300</v>
      </c>
      <c r="U2561" s="90" t="s">
        <v>382</v>
      </c>
      <c r="V2561" s="90" t="s">
        <v>381</v>
      </c>
      <c r="Z2561" s="90">
        <v>0</v>
      </c>
      <c r="AA2561" s="90">
        <v>1</v>
      </c>
      <c r="AB2561" s="90">
        <v>6.7147063651700001E-3</v>
      </c>
      <c r="AC2561" s="90">
        <v>1.1785084765900001E-3</v>
      </c>
      <c r="AD2561" s="90">
        <v>2.3379362372547199</v>
      </c>
      <c r="AF2561" s="90">
        <v>-1</v>
      </c>
      <c r="AG2561" s="90">
        <v>-1</v>
      </c>
      <c r="AH2561" s="90">
        <v>-1</v>
      </c>
      <c r="AI2561" s="90">
        <v>-1</v>
      </c>
      <c r="AJ2561" s="90">
        <v>0</v>
      </c>
      <c r="AM2561" s="90" t="s">
        <v>379</v>
      </c>
      <c r="AN2561" s="90">
        <v>-1</v>
      </c>
      <c r="AQ2561" s="90">
        <v>358</v>
      </c>
      <c r="AR2561" s="90" t="s">
        <v>422</v>
      </c>
      <c r="AS2561" s="90" t="s">
        <v>250</v>
      </c>
      <c r="AT2561" s="90" t="s">
        <v>244</v>
      </c>
      <c r="AU2561" s="90">
        <v>86.412649999999999</v>
      </c>
      <c r="AV2561" s="90">
        <v>32.081838909390498</v>
      </c>
      <c r="AW2561" s="90">
        <v>2.5149900343234299</v>
      </c>
      <c r="AX2561" s="90">
        <v>1.8961364E-3</v>
      </c>
    </row>
    <row r="2562" spans="1:50" x14ac:dyDescent="0.25">
      <c r="A2562" s="102">
        <v>830000</v>
      </c>
      <c r="B2562" s="102">
        <v>2400000</v>
      </c>
      <c r="C2562" s="102">
        <v>2400000</v>
      </c>
      <c r="D2562" s="90" t="s">
        <v>374</v>
      </c>
      <c r="E2562" s="90" t="s">
        <v>68</v>
      </c>
      <c r="F2562" s="90" t="s">
        <v>375</v>
      </c>
      <c r="G2562" s="90" t="s">
        <v>376</v>
      </c>
      <c r="H2562" s="90">
        <v>0.59</v>
      </c>
      <c r="I2562" s="90">
        <v>0.64</v>
      </c>
      <c r="J2562" s="90" t="s">
        <v>244</v>
      </c>
      <c r="K2562" s="90">
        <v>0.12137217317083</v>
      </c>
      <c r="L2562" s="90">
        <v>3761.9601460731701</v>
      </c>
      <c r="M2562" s="90">
        <v>10.8045965222751</v>
      </c>
      <c r="N2562" s="90">
        <v>1.8963314097747199</v>
      </c>
      <c r="O2562" s="90">
        <v>1.31137736014259</v>
      </c>
      <c r="P2562" s="90">
        <v>0.23016186425647001</v>
      </c>
      <c r="Q2562" s="90">
        <v>456.59727831098098</v>
      </c>
      <c r="R2562" s="90">
        <v>1300</v>
      </c>
      <c r="S2562" s="90" t="s">
        <v>387</v>
      </c>
      <c r="T2562" s="90">
        <v>1300</v>
      </c>
      <c r="U2562" s="90" t="s">
        <v>378</v>
      </c>
      <c r="V2562" s="90" t="s">
        <v>244</v>
      </c>
      <c r="Z2562" s="90">
        <v>0</v>
      </c>
      <c r="AA2562" s="90">
        <v>1</v>
      </c>
      <c r="AB2562" s="90">
        <v>1.31137736014259</v>
      </c>
      <c r="AC2562" s="90">
        <v>0.23016186425647001</v>
      </c>
      <c r="AD2562" s="90">
        <v>456.59727831098098</v>
      </c>
      <c r="AF2562" s="90">
        <v>-1</v>
      </c>
      <c r="AG2562" s="90">
        <v>-1</v>
      </c>
      <c r="AH2562" s="90">
        <v>-1</v>
      </c>
      <c r="AI2562" s="90">
        <v>-1</v>
      </c>
      <c r="AJ2562" s="90">
        <v>0</v>
      </c>
      <c r="AM2562" s="90" t="s">
        <v>379</v>
      </c>
      <c r="AN2562" s="90">
        <v>-1</v>
      </c>
      <c r="AQ2562" s="90">
        <v>358</v>
      </c>
      <c r="AR2562" s="90" t="s">
        <v>422</v>
      </c>
      <c r="AS2562" s="90" t="s">
        <v>250</v>
      </c>
      <c r="AT2562" s="90" t="s">
        <v>244</v>
      </c>
      <c r="AU2562" s="90">
        <v>86.412649999999999</v>
      </c>
      <c r="AV2562" s="90">
        <v>95.851584136301497</v>
      </c>
      <c r="AW2562" s="90">
        <v>491.17575849704599</v>
      </c>
      <c r="AX2562" s="90">
        <v>0.37031409430000001</v>
      </c>
    </row>
    <row r="2563" spans="1:50" x14ac:dyDescent="0.25">
      <c r="A2563" s="102">
        <v>830000</v>
      </c>
      <c r="B2563" s="102">
        <v>2400000</v>
      </c>
      <c r="C2563" s="102">
        <v>2400000</v>
      </c>
      <c r="D2563" s="90" t="s">
        <v>374</v>
      </c>
      <c r="E2563" s="90" t="s">
        <v>68</v>
      </c>
      <c r="F2563" s="90" t="s">
        <v>375</v>
      </c>
      <c r="G2563" s="90" t="s">
        <v>376</v>
      </c>
      <c r="H2563" s="90">
        <v>0.59</v>
      </c>
      <c r="I2563" s="90">
        <v>0.64</v>
      </c>
      <c r="J2563" s="90" t="s">
        <v>381</v>
      </c>
      <c r="K2563" s="90">
        <v>5.7356459835000001E-4</v>
      </c>
      <c r="L2563" s="90">
        <v>3761.9601460731701</v>
      </c>
      <c r="M2563" s="90">
        <v>10.8045965222751</v>
      </c>
      <c r="N2563" s="90">
        <v>1.8963314097747199</v>
      </c>
      <c r="O2563" s="90">
        <v>6.1971340646499997E-3</v>
      </c>
      <c r="P2563" s="90">
        <v>1.08766856339E-3</v>
      </c>
      <c r="Q2563" s="90">
        <v>2.1577271601986898</v>
      </c>
      <c r="R2563" s="90">
        <v>1300</v>
      </c>
      <c r="S2563" s="90" t="s">
        <v>387</v>
      </c>
      <c r="T2563" s="90">
        <v>1300</v>
      </c>
      <c r="U2563" s="90" t="s">
        <v>382</v>
      </c>
      <c r="V2563" s="90" t="s">
        <v>381</v>
      </c>
      <c r="Z2563" s="90">
        <v>0</v>
      </c>
      <c r="AA2563" s="90">
        <v>1</v>
      </c>
      <c r="AB2563" s="90">
        <v>6.1971340646499997E-3</v>
      </c>
      <c r="AC2563" s="90">
        <v>1.08766856339E-3</v>
      </c>
      <c r="AD2563" s="90">
        <v>2.1577271601972998</v>
      </c>
      <c r="AF2563" s="90">
        <v>-1</v>
      </c>
      <c r="AG2563" s="90">
        <v>-1</v>
      </c>
      <c r="AH2563" s="90">
        <v>-1</v>
      </c>
      <c r="AI2563" s="90">
        <v>-1</v>
      </c>
      <c r="AJ2563" s="90">
        <v>0</v>
      </c>
      <c r="AM2563" s="90" t="s">
        <v>379</v>
      </c>
      <c r="AN2563" s="90">
        <v>-1</v>
      </c>
      <c r="AQ2563" s="90">
        <v>358</v>
      </c>
      <c r="AR2563" s="90" t="s">
        <v>422</v>
      </c>
      <c r="AS2563" s="90" t="s">
        <v>250</v>
      </c>
      <c r="AT2563" s="90" t="s">
        <v>244</v>
      </c>
      <c r="AU2563" s="90">
        <v>86.412649999999999</v>
      </c>
      <c r="AV2563" s="90">
        <v>29.642157439129701</v>
      </c>
      <c r="AW2563" s="90">
        <v>2.3211335785005698</v>
      </c>
      <c r="AX2563" s="90">
        <v>1.7499815E-3</v>
      </c>
    </row>
    <row r="2564" spans="1:50" x14ac:dyDescent="0.25">
      <c r="A2564" s="102">
        <v>830000</v>
      </c>
      <c r="B2564" s="102">
        <v>2400000</v>
      </c>
      <c r="C2564" s="102">
        <v>2400000</v>
      </c>
      <c r="D2564" s="90" t="s">
        <v>374</v>
      </c>
      <c r="E2564" s="90" t="s">
        <v>68</v>
      </c>
      <c r="F2564" s="90" t="s">
        <v>375</v>
      </c>
      <c r="G2564" s="90" t="s">
        <v>376</v>
      </c>
      <c r="H2564" s="90">
        <v>0.59</v>
      </c>
      <c r="I2564" s="90">
        <v>0.64</v>
      </c>
      <c r="J2564" s="90" t="s">
        <v>244</v>
      </c>
      <c r="K2564" s="90">
        <v>6.8117755246450001E-2</v>
      </c>
      <c r="L2564" s="90">
        <v>3761.9601460731701</v>
      </c>
      <c r="M2564" s="90">
        <v>10.8045965222751</v>
      </c>
      <c r="N2564" s="90">
        <v>1.8963314097747199</v>
      </c>
      <c r="O2564" s="90">
        <v>0.73598486144098996</v>
      </c>
      <c r="P2564" s="90">
        <v>0.12917383883719</v>
      </c>
      <c r="Q2564" s="90">
        <v>256.25628047711501</v>
      </c>
      <c r="R2564" s="90">
        <v>1210</v>
      </c>
      <c r="S2564" s="90" t="s">
        <v>385</v>
      </c>
      <c r="T2564" s="90">
        <v>1210</v>
      </c>
      <c r="U2564" s="90" t="s">
        <v>378</v>
      </c>
      <c r="V2564" s="90" t="s">
        <v>244</v>
      </c>
      <c r="Z2564" s="90">
        <v>0</v>
      </c>
      <c r="AA2564" s="90">
        <v>1</v>
      </c>
      <c r="AB2564" s="90">
        <v>0.73598486144098996</v>
      </c>
      <c r="AC2564" s="90">
        <v>0.12917383883719</v>
      </c>
      <c r="AD2564" s="90">
        <v>256.25628047711598</v>
      </c>
      <c r="AF2564" s="90">
        <v>-1</v>
      </c>
      <c r="AG2564" s="90">
        <v>-1</v>
      </c>
      <c r="AH2564" s="90">
        <v>-1</v>
      </c>
      <c r="AI2564" s="90">
        <v>-1</v>
      </c>
      <c r="AJ2564" s="90">
        <v>0</v>
      </c>
      <c r="AM2564" s="90" t="s">
        <v>379</v>
      </c>
      <c r="AN2564" s="90">
        <v>-1</v>
      </c>
      <c r="AQ2564" s="90">
        <v>358</v>
      </c>
      <c r="AR2564" s="90" t="s">
        <v>422</v>
      </c>
      <c r="AS2564" s="90" t="s">
        <v>250</v>
      </c>
      <c r="AT2564" s="90" t="s">
        <v>244</v>
      </c>
      <c r="AU2564" s="90">
        <v>86.412649999999999</v>
      </c>
      <c r="AV2564" s="90">
        <v>83.176645974557005</v>
      </c>
      <c r="AW2564" s="90">
        <v>275.662775298572</v>
      </c>
      <c r="AX2564" s="90">
        <v>0.2078315332</v>
      </c>
    </row>
    <row r="2565" spans="1:50" x14ac:dyDescent="0.25">
      <c r="A2565" s="102">
        <v>830000</v>
      </c>
      <c r="B2565" s="102">
        <v>2400000</v>
      </c>
      <c r="C2565" s="102">
        <v>2400000</v>
      </c>
      <c r="D2565" s="90" t="s">
        <v>374</v>
      </c>
      <c r="E2565" s="90" t="s">
        <v>68</v>
      </c>
      <c r="F2565" s="90" t="s">
        <v>375</v>
      </c>
      <c r="G2565" s="90" t="s">
        <v>376</v>
      </c>
      <c r="H2565" s="90">
        <v>0.59</v>
      </c>
      <c r="I2565" s="90">
        <v>0.64</v>
      </c>
      <c r="J2565" s="90" t="s">
        <v>381</v>
      </c>
      <c r="K2565" s="90">
        <v>3.6972687159000001E-4</v>
      </c>
      <c r="L2565" s="90">
        <v>3761.9601460731701</v>
      </c>
      <c r="M2565" s="90">
        <v>10.8045965222751</v>
      </c>
      <c r="N2565" s="90">
        <v>1.8963314097747199</v>
      </c>
      <c r="O2565" s="90">
        <v>3.99474967105E-3</v>
      </c>
      <c r="P2565" s="90">
        <v>7.0112467964E-4</v>
      </c>
      <c r="Q2565" s="90">
        <v>1.3908977558839899</v>
      </c>
      <c r="R2565" s="90">
        <v>1210</v>
      </c>
      <c r="S2565" s="90" t="s">
        <v>385</v>
      </c>
      <c r="T2565" s="90">
        <v>1210</v>
      </c>
      <c r="U2565" s="90" t="s">
        <v>382</v>
      </c>
      <c r="V2565" s="90" t="s">
        <v>381</v>
      </c>
      <c r="Z2565" s="90">
        <v>0</v>
      </c>
      <c r="AA2565" s="90">
        <v>1</v>
      </c>
      <c r="AB2565" s="90">
        <v>3.99474967105E-3</v>
      </c>
      <c r="AC2565" s="90">
        <v>7.0112467964E-4</v>
      </c>
      <c r="AD2565" s="90">
        <v>1.3908977558831599</v>
      </c>
      <c r="AF2565" s="90">
        <v>-1</v>
      </c>
      <c r="AG2565" s="90">
        <v>-1</v>
      </c>
      <c r="AH2565" s="90">
        <v>-1</v>
      </c>
      <c r="AI2565" s="90">
        <v>-1</v>
      </c>
      <c r="AJ2565" s="90">
        <v>0</v>
      </c>
      <c r="AM2565" s="90" t="s">
        <v>379</v>
      </c>
      <c r="AN2565" s="90">
        <v>-1</v>
      </c>
      <c r="AQ2565" s="90">
        <v>358</v>
      </c>
      <c r="AR2565" s="90" t="s">
        <v>422</v>
      </c>
      <c r="AS2565" s="90" t="s">
        <v>250</v>
      </c>
      <c r="AT2565" s="90" t="s">
        <v>244</v>
      </c>
      <c r="AU2565" s="90">
        <v>86.412649999999999</v>
      </c>
      <c r="AV2565" s="90">
        <v>19.2196308669558</v>
      </c>
      <c r="AW2565" s="90">
        <v>1.4962315648593301</v>
      </c>
      <c r="AX2565" s="90">
        <v>1.1280598000000001E-3</v>
      </c>
    </row>
    <row r="2566" spans="1:50" x14ac:dyDescent="0.25">
      <c r="A2566" s="102">
        <v>830000</v>
      </c>
      <c r="B2566" s="102">
        <v>2400000</v>
      </c>
      <c r="C2566" s="102">
        <v>2400000</v>
      </c>
      <c r="D2566" s="90" t="s">
        <v>374</v>
      </c>
      <c r="E2566" s="90" t="s">
        <v>68</v>
      </c>
      <c r="F2566" s="90" t="s">
        <v>375</v>
      </c>
      <c r="G2566" s="90" t="s">
        <v>376</v>
      </c>
      <c r="H2566" s="90">
        <v>0.59</v>
      </c>
      <c r="I2566" s="90">
        <v>0.64</v>
      </c>
      <c r="J2566" s="90" t="s">
        <v>244</v>
      </c>
      <c r="K2566" s="90">
        <v>1.416881600862E-2</v>
      </c>
      <c r="L2566" s="90">
        <v>2431.5070642957398</v>
      </c>
      <c r="M2566" s="90">
        <v>6.7556750793336002</v>
      </c>
      <c r="N2566" s="90">
        <v>0.94297393693562004</v>
      </c>
      <c r="O2566" s="90">
        <v>9.5719917213099998E-2</v>
      </c>
      <c r="P2566" s="90">
        <v>1.336082421336E-2</v>
      </c>
      <c r="Q2566" s="90">
        <v>34.451576217668503</v>
      </c>
      <c r="R2566" s="90">
        <v>1400</v>
      </c>
      <c r="S2566" s="90" t="s">
        <v>324</v>
      </c>
      <c r="T2566" s="90">
        <v>1400</v>
      </c>
      <c r="U2566" s="90" t="s">
        <v>378</v>
      </c>
      <c r="V2566" s="90" t="s">
        <v>244</v>
      </c>
      <c r="Z2566" s="90">
        <v>0</v>
      </c>
      <c r="AA2566" s="90">
        <v>1</v>
      </c>
      <c r="AB2566" s="90">
        <v>9.5719917213099998E-2</v>
      </c>
      <c r="AC2566" s="90">
        <v>1.336082421336E-2</v>
      </c>
      <c r="AD2566" s="90">
        <v>375.10332549795601</v>
      </c>
      <c r="AF2566" s="90">
        <v>-1</v>
      </c>
      <c r="AG2566" s="90">
        <v>-1</v>
      </c>
      <c r="AH2566" s="90">
        <v>-1</v>
      </c>
      <c r="AI2566" s="90">
        <v>-1</v>
      </c>
      <c r="AJ2566" s="90">
        <v>0</v>
      </c>
      <c r="AM2566" s="90" t="s">
        <v>379</v>
      </c>
      <c r="AN2566" s="90">
        <v>-1</v>
      </c>
      <c r="AQ2566" s="90">
        <v>358</v>
      </c>
      <c r="AR2566" s="90" t="s">
        <v>422</v>
      </c>
      <c r="AS2566" s="90" t="s">
        <v>250</v>
      </c>
      <c r="AT2566" s="90" t="s">
        <v>244</v>
      </c>
      <c r="AU2566" s="90">
        <v>86.412649999999999</v>
      </c>
      <c r="AV2566" s="90">
        <v>102.30830328760101</v>
      </c>
      <c r="AW2566" s="90">
        <v>57.339164062291999</v>
      </c>
      <c r="AX2566" s="90">
        <v>0.3042200531</v>
      </c>
    </row>
    <row r="2567" spans="1:50" x14ac:dyDescent="0.25">
      <c r="A2567" s="102">
        <v>830000</v>
      </c>
      <c r="B2567" s="102">
        <v>2400000</v>
      </c>
      <c r="C2567" s="102">
        <v>2400000</v>
      </c>
      <c r="D2567" s="90" t="s">
        <v>374</v>
      </c>
      <c r="E2567" s="90" t="s">
        <v>68</v>
      </c>
      <c r="F2567" s="90" t="s">
        <v>375</v>
      </c>
      <c r="G2567" s="90" t="s">
        <v>376</v>
      </c>
      <c r="H2567" s="90">
        <v>0.59</v>
      </c>
      <c r="I2567" s="90">
        <v>0.64</v>
      </c>
      <c r="J2567" s="90" t="s">
        <v>244</v>
      </c>
      <c r="K2567" s="90">
        <v>0.18174187182688001</v>
      </c>
      <c r="L2567" s="90">
        <v>3771.5555228988101</v>
      </c>
      <c r="M2567" s="90">
        <v>8.5797628418002496</v>
      </c>
      <c r="N2567" s="90">
        <v>1.51420883694108</v>
      </c>
      <c r="O2567" s="90">
        <v>1.55930215869949</v>
      </c>
      <c r="P2567" s="90">
        <v>0.27519514836247</v>
      </c>
      <c r="Q2567" s="90">
        <v>685.44956043064201</v>
      </c>
      <c r="R2567" s="90">
        <v>1300</v>
      </c>
      <c r="S2567" s="90" t="s">
        <v>387</v>
      </c>
      <c r="T2567" s="90">
        <v>1300</v>
      </c>
      <c r="U2567" s="90" t="s">
        <v>378</v>
      </c>
      <c r="V2567" s="90" t="s">
        <v>244</v>
      </c>
      <c r="Z2567" s="90">
        <v>0</v>
      </c>
      <c r="AA2567" s="90">
        <v>1</v>
      </c>
      <c r="AB2567" s="90">
        <v>1.55930215869949</v>
      </c>
      <c r="AC2567" s="90">
        <v>0.27519514836247</v>
      </c>
      <c r="AD2567" s="90">
        <v>685.47451278937297</v>
      </c>
      <c r="AF2567" s="90">
        <v>-1</v>
      </c>
      <c r="AG2567" s="90">
        <v>-1</v>
      </c>
      <c r="AH2567" s="90">
        <v>-1</v>
      </c>
      <c r="AI2567" s="90">
        <v>-1</v>
      </c>
      <c r="AJ2567" s="90">
        <v>0</v>
      </c>
      <c r="AM2567" s="90" t="s">
        <v>379</v>
      </c>
      <c r="AN2567" s="90">
        <v>-1</v>
      </c>
      <c r="AQ2567" s="90">
        <v>358</v>
      </c>
      <c r="AR2567" s="90" t="s">
        <v>422</v>
      </c>
      <c r="AS2567" s="90" t="s">
        <v>250</v>
      </c>
      <c r="AT2567" s="90" t="s">
        <v>244</v>
      </c>
      <c r="AU2567" s="90">
        <v>86.412649999999999</v>
      </c>
      <c r="AV2567" s="90">
        <v>134.519240253753</v>
      </c>
      <c r="AW2567" s="90">
        <v>735.48326122160995</v>
      </c>
      <c r="AX2567" s="90">
        <v>0.55594039969999998</v>
      </c>
    </row>
    <row r="2568" spans="1:50" x14ac:dyDescent="0.25">
      <c r="A2568" s="102">
        <v>830000</v>
      </c>
      <c r="B2568" s="102">
        <v>2400000</v>
      </c>
      <c r="C2568" s="102">
        <v>2400000</v>
      </c>
      <c r="D2568" s="90" t="s">
        <v>374</v>
      </c>
      <c r="E2568" s="90" t="s">
        <v>68</v>
      </c>
      <c r="F2568" s="90" t="s">
        <v>375</v>
      </c>
      <c r="G2568" s="90" t="s">
        <v>376</v>
      </c>
      <c r="H2568" s="90">
        <v>0.59</v>
      </c>
      <c r="I2568" s="90">
        <v>0.64</v>
      </c>
      <c r="J2568" s="90" t="s">
        <v>244</v>
      </c>
      <c r="K2568" s="90">
        <v>1.2295819577400001E-2</v>
      </c>
      <c r="L2568" s="90">
        <v>3771.5555228988101</v>
      </c>
      <c r="M2568" s="90">
        <v>8.5797628418002496</v>
      </c>
      <c r="N2568" s="90">
        <v>1.51420883694108</v>
      </c>
      <c r="O2568" s="90">
        <v>0.10549521591967</v>
      </c>
      <c r="P2568" s="90">
        <v>1.8618438661529998E-2</v>
      </c>
      <c r="Q2568" s="90">
        <v>46.374366235717901</v>
      </c>
      <c r="R2568" s="90">
        <v>1300</v>
      </c>
      <c r="S2568" s="90" t="s">
        <v>387</v>
      </c>
      <c r="T2568" s="90">
        <v>1300</v>
      </c>
      <c r="U2568" s="90" t="s">
        <v>378</v>
      </c>
      <c r="V2568" s="90" t="s">
        <v>244</v>
      </c>
      <c r="Z2568" s="90">
        <v>0</v>
      </c>
      <c r="AA2568" s="90">
        <v>1</v>
      </c>
      <c r="AB2568" s="90">
        <v>0.10549521591967</v>
      </c>
      <c r="AC2568" s="90">
        <v>1.8618438661529998E-2</v>
      </c>
      <c r="AD2568" s="90">
        <v>46.374366235717098</v>
      </c>
      <c r="AF2568" s="90">
        <v>-1</v>
      </c>
      <c r="AG2568" s="90">
        <v>-1</v>
      </c>
      <c r="AH2568" s="90">
        <v>-1</v>
      </c>
      <c r="AI2568" s="90">
        <v>-1</v>
      </c>
      <c r="AJ2568" s="90">
        <v>0</v>
      </c>
      <c r="AM2568" s="90" t="s">
        <v>379</v>
      </c>
      <c r="AN2568" s="90">
        <v>-1</v>
      </c>
      <c r="AQ2568" s="90">
        <v>358</v>
      </c>
      <c r="AR2568" s="90" t="s">
        <v>422</v>
      </c>
      <c r="AS2568" s="90" t="s">
        <v>250</v>
      </c>
      <c r="AT2568" s="90" t="s">
        <v>244</v>
      </c>
      <c r="AU2568" s="90">
        <v>86.412649999999999</v>
      </c>
      <c r="AV2568" s="90">
        <v>71.640922837207697</v>
      </c>
      <c r="AW2568" s="90">
        <v>49.759416425480197</v>
      </c>
      <c r="AX2568" s="90">
        <v>3.7611002599999999E-2</v>
      </c>
    </row>
    <row r="2569" spans="1:50" x14ac:dyDescent="0.25">
      <c r="A2569" s="102">
        <v>830000</v>
      </c>
      <c r="B2569" s="102">
        <v>2400000</v>
      </c>
      <c r="C2569" s="102">
        <v>2400000</v>
      </c>
      <c r="D2569" s="90" t="s">
        <v>374</v>
      </c>
      <c r="E2569" s="90" t="s">
        <v>68</v>
      </c>
      <c r="F2569" s="90" t="s">
        <v>375</v>
      </c>
      <c r="G2569" s="90" t="s">
        <v>376</v>
      </c>
      <c r="H2569" s="90">
        <v>0.59</v>
      </c>
      <c r="I2569" s="90">
        <v>0.64</v>
      </c>
      <c r="J2569" s="90" t="s">
        <v>244</v>
      </c>
      <c r="K2569" s="90">
        <v>7.3493331242399998E-2</v>
      </c>
      <c r="L2569" s="90">
        <v>3771.5555228988101</v>
      </c>
      <c r="M2569" s="90">
        <v>8.5797628418002496</v>
      </c>
      <c r="N2569" s="90">
        <v>1.51420883694108</v>
      </c>
      <c r="O2569" s="90">
        <v>0.63055535251369998</v>
      </c>
      <c r="P2569" s="90">
        <v>0.11128425162348</v>
      </c>
      <c r="Q2569" s="90">
        <v>277.18417934352402</v>
      </c>
      <c r="R2569" s="90">
        <v>1300</v>
      </c>
      <c r="S2569" s="90" t="s">
        <v>387</v>
      </c>
      <c r="T2569" s="90">
        <v>1300</v>
      </c>
      <c r="U2569" s="90" t="s">
        <v>378</v>
      </c>
      <c r="V2569" s="90" t="s">
        <v>244</v>
      </c>
      <c r="Z2569" s="90">
        <v>0</v>
      </c>
      <c r="AA2569" s="90">
        <v>1</v>
      </c>
      <c r="AB2569" s="90">
        <v>0.63055535251369998</v>
      </c>
      <c r="AC2569" s="90">
        <v>0.11128425162348</v>
      </c>
      <c r="AD2569" s="90">
        <v>505.383928290889</v>
      </c>
      <c r="AF2569" s="90">
        <v>-1</v>
      </c>
      <c r="AG2569" s="90">
        <v>-1</v>
      </c>
      <c r="AH2569" s="90">
        <v>-1</v>
      </c>
      <c r="AI2569" s="90">
        <v>-1</v>
      </c>
      <c r="AJ2569" s="90">
        <v>0</v>
      </c>
      <c r="AM2569" s="90" t="s">
        <v>379</v>
      </c>
      <c r="AN2569" s="90">
        <v>-1</v>
      </c>
      <c r="AQ2569" s="90">
        <v>358</v>
      </c>
      <c r="AR2569" s="90" t="s">
        <v>422</v>
      </c>
      <c r="AS2569" s="90" t="s">
        <v>250</v>
      </c>
      <c r="AT2569" s="90" t="s">
        <v>244</v>
      </c>
      <c r="AU2569" s="90">
        <v>86.412649999999999</v>
      </c>
      <c r="AV2569" s="90">
        <v>72.0125042372227</v>
      </c>
      <c r="AW2569" s="90">
        <v>297.41695954189697</v>
      </c>
      <c r="AX2569" s="90">
        <v>0.40988153150000001</v>
      </c>
    </row>
    <row r="2570" spans="1:50" x14ac:dyDescent="0.25">
      <c r="A2570" s="102">
        <v>830000</v>
      </c>
      <c r="B2570" s="102">
        <v>2400000</v>
      </c>
      <c r="C2570" s="102">
        <v>2400000</v>
      </c>
      <c r="D2570" s="90" t="s">
        <v>374</v>
      </c>
      <c r="E2570" s="90" t="s">
        <v>68</v>
      </c>
      <c r="F2570" s="90" t="s">
        <v>375</v>
      </c>
      <c r="G2570" s="90" t="s">
        <v>376</v>
      </c>
      <c r="H2570" s="90">
        <v>0.59</v>
      </c>
      <c r="I2570" s="90">
        <v>0.64</v>
      </c>
      <c r="J2570" s="90" t="s">
        <v>244</v>
      </c>
      <c r="K2570" s="90">
        <v>7.3839937819999998E-5</v>
      </c>
      <c r="L2570" s="90">
        <v>3771.5555228988101</v>
      </c>
      <c r="M2570" s="90">
        <v>8.5797628418002496</v>
      </c>
      <c r="N2570" s="90">
        <v>1.51420883694108</v>
      </c>
      <c r="O2570" s="90">
        <v>6.3352915473999997E-4</v>
      </c>
      <c r="P2570" s="90">
        <v>1.1180908636E-4</v>
      </c>
      <c r="Q2570" s="90">
        <v>0.27849142529552001</v>
      </c>
      <c r="R2570" s="90">
        <v>1300</v>
      </c>
      <c r="S2570" s="90" t="s">
        <v>387</v>
      </c>
      <c r="T2570" s="90">
        <v>1300</v>
      </c>
      <c r="U2570" s="90" t="s">
        <v>378</v>
      </c>
      <c r="V2570" s="90" t="s">
        <v>244</v>
      </c>
      <c r="Z2570" s="90">
        <v>0</v>
      </c>
      <c r="AA2570" s="90">
        <v>1</v>
      </c>
      <c r="AB2570" s="90">
        <v>6.3352915473999997E-4</v>
      </c>
      <c r="AC2570" s="90">
        <v>1.1180908636E-4</v>
      </c>
      <c r="AD2570" s="90">
        <v>0.27849142529583998</v>
      </c>
      <c r="AF2570" s="90">
        <v>-1</v>
      </c>
      <c r="AG2570" s="90">
        <v>-1</v>
      </c>
      <c r="AH2570" s="90">
        <v>-1</v>
      </c>
      <c r="AI2570" s="90">
        <v>-1</v>
      </c>
      <c r="AJ2570" s="90">
        <v>0</v>
      </c>
      <c r="AM2570" s="90" t="s">
        <v>379</v>
      </c>
      <c r="AN2570" s="90">
        <v>-1</v>
      </c>
      <c r="AQ2570" s="90">
        <v>358</v>
      </c>
      <c r="AR2570" s="90" t="s">
        <v>422</v>
      </c>
      <c r="AS2570" s="90" t="s">
        <v>250</v>
      </c>
      <c r="AT2570" s="90" t="s">
        <v>244</v>
      </c>
      <c r="AU2570" s="90">
        <v>86.412649999999999</v>
      </c>
      <c r="AV2570" s="90">
        <v>5.3056079621315204</v>
      </c>
      <c r="AW2570" s="90">
        <v>0.29881962659681999</v>
      </c>
      <c r="AX2570" s="90">
        <v>2.258649E-4</v>
      </c>
    </row>
    <row r="2571" spans="1:50" x14ac:dyDescent="0.25">
      <c r="A2571" s="102">
        <v>830000</v>
      </c>
      <c r="B2571" s="102">
        <v>2400000</v>
      </c>
      <c r="C2571" s="102">
        <v>2400000</v>
      </c>
      <c r="D2571" s="90" t="s">
        <v>374</v>
      </c>
      <c r="E2571" s="90" t="s">
        <v>68</v>
      </c>
      <c r="F2571" s="90" t="s">
        <v>375</v>
      </c>
      <c r="G2571" s="90" t="s">
        <v>376</v>
      </c>
      <c r="H2571" s="90">
        <v>0.59</v>
      </c>
      <c r="I2571" s="90">
        <v>0.64</v>
      </c>
      <c r="J2571" s="90" t="s">
        <v>244</v>
      </c>
      <c r="K2571" s="90">
        <v>9.43249669461E-2</v>
      </c>
      <c r="L2571" s="90">
        <v>3771.5555228988101</v>
      </c>
      <c r="M2571" s="90">
        <v>8.5797628418002496</v>
      </c>
      <c r="N2571" s="90">
        <v>1.51420883694108</v>
      </c>
      <c r="O2571" s="90">
        <v>0.80928584645823998</v>
      </c>
      <c r="P2571" s="90">
        <v>0.14282769849397001</v>
      </c>
      <c r="Q2571" s="90">
        <v>355.75185003283798</v>
      </c>
      <c r="R2571" s="90">
        <v>1300</v>
      </c>
      <c r="S2571" s="90" t="s">
        <v>387</v>
      </c>
      <c r="T2571" s="90">
        <v>1300</v>
      </c>
      <c r="U2571" s="90" t="s">
        <v>378</v>
      </c>
      <c r="V2571" s="90" t="s">
        <v>244</v>
      </c>
      <c r="Z2571" s="90">
        <v>0</v>
      </c>
      <c r="AA2571" s="90">
        <v>1</v>
      </c>
      <c r="AB2571" s="90">
        <v>0.80928584645823998</v>
      </c>
      <c r="AC2571" s="90">
        <v>0.14282769849397001</v>
      </c>
      <c r="AD2571" s="90">
        <v>647.96567567216005</v>
      </c>
      <c r="AF2571" s="90">
        <v>-1</v>
      </c>
      <c r="AG2571" s="90">
        <v>-1</v>
      </c>
      <c r="AH2571" s="90">
        <v>-1</v>
      </c>
      <c r="AI2571" s="90">
        <v>-1</v>
      </c>
      <c r="AJ2571" s="90">
        <v>0</v>
      </c>
      <c r="AM2571" s="90" t="s">
        <v>379</v>
      </c>
      <c r="AN2571" s="90">
        <v>-1</v>
      </c>
      <c r="AQ2571" s="90">
        <v>358</v>
      </c>
      <c r="AR2571" s="90" t="s">
        <v>422</v>
      </c>
      <c r="AS2571" s="90" t="s">
        <v>250</v>
      </c>
      <c r="AT2571" s="90" t="s">
        <v>244</v>
      </c>
      <c r="AU2571" s="90">
        <v>86.412649999999999</v>
      </c>
      <c r="AV2571" s="90">
        <v>82.249439758325394</v>
      </c>
      <c r="AW2571" s="90">
        <v>381.71959827851998</v>
      </c>
      <c r="AX2571" s="90">
        <v>0.52551960720000002</v>
      </c>
    </row>
    <row r="2572" spans="1:50" x14ac:dyDescent="0.25">
      <c r="A2572" s="102">
        <v>830000</v>
      </c>
      <c r="B2572" s="102">
        <v>2400000</v>
      </c>
      <c r="C2572" s="102">
        <v>2400000</v>
      </c>
      <c r="D2572" s="90" t="s">
        <v>374</v>
      </c>
      <c r="E2572" s="90" t="s">
        <v>68</v>
      </c>
      <c r="F2572" s="90" t="s">
        <v>375</v>
      </c>
      <c r="G2572" s="90" t="s">
        <v>376</v>
      </c>
      <c r="H2572" s="90">
        <v>0.59</v>
      </c>
      <c r="I2572" s="90">
        <v>0.64</v>
      </c>
      <c r="J2572" s="90" t="s">
        <v>244</v>
      </c>
      <c r="K2572" s="90">
        <v>0.1375364633151</v>
      </c>
      <c r="L2572" s="90">
        <v>3742.65812197797</v>
      </c>
      <c r="M2572" s="90">
        <v>10.2965620753785</v>
      </c>
      <c r="N2572" s="90">
        <v>1.84520065417733</v>
      </c>
      <c r="O2572" s="90">
        <v>1.41615273215199</v>
      </c>
      <c r="P2572" s="90">
        <v>0.25378237208226001</v>
      </c>
      <c r="Q2572" s="90">
        <v>514.75196149439898</v>
      </c>
      <c r="R2572" s="90">
        <v>1200</v>
      </c>
      <c r="S2572" s="90" t="s">
        <v>384</v>
      </c>
      <c r="T2572" s="90">
        <v>1200</v>
      </c>
      <c r="U2572" s="90" t="s">
        <v>378</v>
      </c>
      <c r="V2572" s="90" t="s">
        <v>244</v>
      </c>
      <c r="Z2572" s="90">
        <v>0</v>
      </c>
      <c r="AA2572" s="90">
        <v>1</v>
      </c>
      <c r="AB2572" s="90">
        <v>1.41615273215199</v>
      </c>
      <c r="AC2572" s="90">
        <v>0.25378237208226001</v>
      </c>
      <c r="AD2572" s="90">
        <v>514.75196149439898</v>
      </c>
      <c r="AF2572" s="90">
        <v>-1</v>
      </c>
      <c r="AG2572" s="90">
        <v>-1</v>
      </c>
      <c r="AH2572" s="90">
        <v>-1</v>
      </c>
      <c r="AI2572" s="90">
        <v>-1</v>
      </c>
      <c r="AJ2572" s="90">
        <v>0</v>
      </c>
      <c r="AM2572" s="90" t="s">
        <v>379</v>
      </c>
      <c r="AN2572" s="90">
        <v>-1</v>
      </c>
      <c r="AQ2572" s="90">
        <v>358</v>
      </c>
      <c r="AR2572" s="90" t="s">
        <v>422</v>
      </c>
      <c r="AS2572" s="90" t="s">
        <v>250</v>
      </c>
      <c r="AT2572" s="90" t="s">
        <v>244</v>
      </c>
      <c r="AU2572" s="90">
        <v>86.412649999999999</v>
      </c>
      <c r="AV2572" s="90">
        <v>122.431856294906</v>
      </c>
      <c r="AW2572" s="90">
        <v>556.59031988090896</v>
      </c>
      <c r="AX2572" s="90">
        <v>0.41747928750000002</v>
      </c>
    </row>
    <row r="2573" spans="1:50" x14ac:dyDescent="0.25">
      <c r="A2573" s="102">
        <v>830000</v>
      </c>
      <c r="B2573" s="102">
        <v>2400000</v>
      </c>
      <c r="C2573" s="102">
        <v>2400000</v>
      </c>
      <c r="D2573" s="90" t="s">
        <v>374</v>
      </c>
      <c r="E2573" s="90" t="s">
        <v>68</v>
      </c>
      <c r="F2573" s="90" t="s">
        <v>375</v>
      </c>
      <c r="G2573" s="90" t="s">
        <v>376</v>
      </c>
      <c r="H2573" s="90">
        <v>0.59</v>
      </c>
      <c r="I2573" s="90">
        <v>0.64</v>
      </c>
      <c r="J2573" s="90" t="s">
        <v>244</v>
      </c>
      <c r="K2573" s="90">
        <v>0.27897770799637001</v>
      </c>
      <c r="L2573" s="90">
        <v>3742.65812197797</v>
      </c>
      <c r="M2573" s="90">
        <v>10.2965620753785</v>
      </c>
      <c r="N2573" s="90">
        <v>1.84520065417733</v>
      </c>
      <c r="O2573" s="90">
        <v>2.8725112880314598</v>
      </c>
      <c r="P2573" s="90">
        <v>0.51476984929578995</v>
      </c>
      <c r="Q2573" s="90">
        <v>1044.1181846834099</v>
      </c>
      <c r="R2573" s="90">
        <v>1300</v>
      </c>
      <c r="S2573" s="90" t="s">
        <v>387</v>
      </c>
      <c r="T2573" s="90">
        <v>1300</v>
      </c>
      <c r="U2573" s="90" t="s">
        <v>378</v>
      </c>
      <c r="V2573" s="90" t="s">
        <v>244</v>
      </c>
      <c r="Z2573" s="90">
        <v>0</v>
      </c>
      <c r="AA2573" s="90">
        <v>1</v>
      </c>
      <c r="AB2573" s="90">
        <v>2.8725112880314598</v>
      </c>
      <c r="AC2573" s="90">
        <v>0.51476984929578995</v>
      </c>
      <c r="AD2573" s="90">
        <v>1044.1181846834099</v>
      </c>
      <c r="AF2573" s="90">
        <v>-1</v>
      </c>
      <c r="AG2573" s="90">
        <v>-1</v>
      </c>
      <c r="AH2573" s="90">
        <v>-1</v>
      </c>
      <c r="AI2573" s="90">
        <v>-1</v>
      </c>
      <c r="AJ2573" s="90">
        <v>0</v>
      </c>
      <c r="AM2573" s="90" t="s">
        <v>379</v>
      </c>
      <c r="AN2573" s="90">
        <v>-1</v>
      </c>
      <c r="AQ2573" s="90">
        <v>358</v>
      </c>
      <c r="AR2573" s="90" t="s">
        <v>422</v>
      </c>
      <c r="AS2573" s="90" t="s">
        <v>250</v>
      </c>
      <c r="AT2573" s="90" t="s">
        <v>244</v>
      </c>
      <c r="AU2573" s="90">
        <v>86.412649999999999</v>
      </c>
      <c r="AV2573" s="90">
        <v>245.232750682312</v>
      </c>
      <c r="AW2573" s="90">
        <v>1128.98272931154</v>
      </c>
      <c r="AX2573" s="90">
        <v>0.84681117979999998</v>
      </c>
    </row>
    <row r="2574" spans="1:50" x14ac:dyDescent="0.25">
      <c r="A2574" s="102">
        <v>830000</v>
      </c>
      <c r="B2574" s="102">
        <v>2400000</v>
      </c>
      <c r="C2574" s="102">
        <v>2400000</v>
      </c>
      <c r="D2574" s="90" t="s">
        <v>374</v>
      </c>
      <c r="E2574" s="90" t="s">
        <v>68</v>
      </c>
      <c r="F2574" s="90" t="s">
        <v>375</v>
      </c>
      <c r="G2574" s="90" t="s">
        <v>376</v>
      </c>
      <c r="H2574" s="90">
        <v>0.59</v>
      </c>
      <c r="I2574" s="90">
        <v>0.64</v>
      </c>
      <c r="J2574" s="90" t="s">
        <v>381</v>
      </c>
      <c r="K2574" s="90">
        <v>3.0925717111500001E-3</v>
      </c>
      <c r="L2574" s="90">
        <v>3742.65812197797</v>
      </c>
      <c r="M2574" s="90">
        <v>10.2965620753785</v>
      </c>
      <c r="N2574" s="90">
        <v>1.84520065417733</v>
      </c>
      <c r="O2574" s="90">
        <v>3.1842856596439997E-2</v>
      </c>
      <c r="P2574" s="90">
        <v>5.7064153445099998E-3</v>
      </c>
      <c r="Q2574" s="90">
        <v>11.574438632546</v>
      </c>
      <c r="R2574" s="90">
        <v>1300</v>
      </c>
      <c r="S2574" s="90" t="s">
        <v>387</v>
      </c>
      <c r="T2574" s="90">
        <v>1300</v>
      </c>
      <c r="U2574" s="90" t="s">
        <v>382</v>
      </c>
      <c r="V2574" s="90" t="s">
        <v>381</v>
      </c>
      <c r="Z2574" s="90">
        <v>0</v>
      </c>
      <c r="AA2574" s="90">
        <v>1</v>
      </c>
      <c r="AB2574" s="90">
        <v>3.1842856596439997E-2</v>
      </c>
      <c r="AC2574" s="90">
        <v>5.7064153445099998E-3</v>
      </c>
      <c r="AD2574" s="90">
        <v>11.5744386325471</v>
      </c>
      <c r="AF2574" s="90">
        <v>-1</v>
      </c>
      <c r="AG2574" s="90">
        <v>-1</v>
      </c>
      <c r="AH2574" s="90">
        <v>-1</v>
      </c>
      <c r="AI2574" s="90">
        <v>-1</v>
      </c>
      <c r="AJ2574" s="90">
        <v>0</v>
      </c>
      <c r="AM2574" s="90" t="s">
        <v>379</v>
      </c>
      <c r="AN2574" s="90">
        <v>-1</v>
      </c>
      <c r="AQ2574" s="90">
        <v>358</v>
      </c>
      <c r="AR2574" s="90" t="s">
        <v>422</v>
      </c>
      <c r="AS2574" s="90" t="s">
        <v>250</v>
      </c>
      <c r="AT2574" s="90" t="s">
        <v>244</v>
      </c>
      <c r="AU2574" s="90">
        <v>86.412649999999999</v>
      </c>
      <c r="AV2574" s="90">
        <v>100.533728873044</v>
      </c>
      <c r="AW2574" s="90">
        <v>12.5151936910132</v>
      </c>
      <c r="AX2574" s="90">
        <v>9.3872170999999994E-3</v>
      </c>
    </row>
    <row r="2575" spans="1:50" x14ac:dyDescent="0.25">
      <c r="A2575" s="102">
        <v>830000</v>
      </c>
      <c r="B2575" s="102">
        <v>2400000</v>
      </c>
      <c r="C2575" s="102">
        <v>2400000</v>
      </c>
      <c r="D2575" s="90" t="s">
        <v>374</v>
      </c>
      <c r="E2575" s="90" t="s">
        <v>68</v>
      </c>
      <c r="F2575" s="90" t="s">
        <v>375</v>
      </c>
      <c r="G2575" s="90" t="s">
        <v>376</v>
      </c>
      <c r="H2575" s="90">
        <v>0.59</v>
      </c>
      <c r="I2575" s="90">
        <v>0.64</v>
      </c>
      <c r="J2575" s="90" t="s">
        <v>244</v>
      </c>
      <c r="K2575" s="90">
        <v>4.2639708776000002E-4</v>
      </c>
      <c r="L2575" s="90">
        <v>3742.65812197797</v>
      </c>
      <c r="M2575" s="90">
        <v>10.2965620753785</v>
      </c>
      <c r="N2575" s="90">
        <v>1.84520065417733</v>
      </c>
      <c r="O2575" s="90">
        <v>4.3904240829099996E-3</v>
      </c>
      <c r="P2575" s="90">
        <v>7.8678818527999996E-4</v>
      </c>
      <c r="Q2575" s="90">
        <v>1.59585852370394</v>
      </c>
      <c r="R2575" s="90">
        <v>1210</v>
      </c>
      <c r="S2575" s="90" t="s">
        <v>385</v>
      </c>
      <c r="T2575" s="90">
        <v>1210</v>
      </c>
      <c r="U2575" s="90" t="s">
        <v>378</v>
      </c>
      <c r="V2575" s="90" t="s">
        <v>244</v>
      </c>
      <c r="Z2575" s="90">
        <v>0</v>
      </c>
      <c r="AA2575" s="90">
        <v>1</v>
      </c>
      <c r="AB2575" s="90">
        <v>4.3904240829099996E-3</v>
      </c>
      <c r="AC2575" s="90">
        <v>7.8678818527999996E-4</v>
      </c>
      <c r="AD2575" s="90">
        <v>1.59585852370367</v>
      </c>
      <c r="AF2575" s="90">
        <v>-1</v>
      </c>
      <c r="AG2575" s="90">
        <v>-1</v>
      </c>
      <c r="AH2575" s="90">
        <v>-1</v>
      </c>
      <c r="AI2575" s="90">
        <v>-1</v>
      </c>
      <c r="AJ2575" s="90">
        <v>0</v>
      </c>
      <c r="AM2575" s="90" t="s">
        <v>379</v>
      </c>
      <c r="AN2575" s="90">
        <v>-1</v>
      </c>
      <c r="AQ2575" s="90">
        <v>358</v>
      </c>
      <c r="AR2575" s="90" t="s">
        <v>422</v>
      </c>
      <c r="AS2575" s="90" t="s">
        <v>250</v>
      </c>
      <c r="AT2575" s="90" t="s">
        <v>244</v>
      </c>
      <c r="AU2575" s="90">
        <v>86.412649999999999</v>
      </c>
      <c r="AV2575" s="90">
        <v>47.4241334434439</v>
      </c>
      <c r="AW2575" s="90">
        <v>1.72556779310605</v>
      </c>
      <c r="AX2575" s="90">
        <v>1.2942892E-3</v>
      </c>
    </row>
    <row r="2576" spans="1:50" x14ac:dyDescent="0.25">
      <c r="A2576" s="102">
        <v>830000</v>
      </c>
      <c r="B2576" s="102">
        <v>2400000</v>
      </c>
      <c r="C2576" s="102">
        <v>2400000</v>
      </c>
      <c r="D2576" s="90" t="s">
        <v>374</v>
      </c>
      <c r="E2576" s="90" t="s">
        <v>68</v>
      </c>
      <c r="F2576" s="90" t="s">
        <v>375</v>
      </c>
      <c r="G2576" s="90" t="s">
        <v>376</v>
      </c>
      <c r="H2576" s="90">
        <v>0.59</v>
      </c>
      <c r="I2576" s="90">
        <v>0.64</v>
      </c>
      <c r="J2576" s="90" t="s">
        <v>244</v>
      </c>
      <c r="K2576" s="90">
        <v>0.12851546495551999</v>
      </c>
      <c r="L2576" s="90">
        <v>3749.2748269618701</v>
      </c>
      <c r="M2576" s="90">
        <v>9.7099674031585899</v>
      </c>
      <c r="N2576" s="90">
        <v>1.65164948375355</v>
      </c>
      <c r="O2576" s="90">
        <v>1.24788097551995</v>
      </c>
      <c r="P2576" s="90">
        <v>0.21226250134814001</v>
      </c>
      <c r="Q2576" s="90">
        <v>481.83979763306598</v>
      </c>
      <c r="R2576" s="90">
        <v>1300</v>
      </c>
      <c r="S2576" s="90" t="s">
        <v>387</v>
      </c>
      <c r="T2576" s="90">
        <v>1300</v>
      </c>
      <c r="U2576" s="90" t="s">
        <v>378</v>
      </c>
      <c r="V2576" s="90" t="s">
        <v>244</v>
      </c>
      <c r="Z2576" s="90">
        <v>0</v>
      </c>
      <c r="AA2576" s="90">
        <v>1</v>
      </c>
      <c r="AB2576" s="90">
        <v>1.24788097551995</v>
      </c>
      <c r="AC2576" s="90">
        <v>0.21226250134814001</v>
      </c>
      <c r="AD2576" s="90">
        <v>481.83979763306598</v>
      </c>
      <c r="AF2576" s="90">
        <v>-1</v>
      </c>
      <c r="AG2576" s="90">
        <v>-1</v>
      </c>
      <c r="AH2576" s="90">
        <v>-1</v>
      </c>
      <c r="AI2576" s="90">
        <v>-1</v>
      </c>
      <c r="AJ2576" s="90">
        <v>0</v>
      </c>
      <c r="AM2576" s="90" t="s">
        <v>379</v>
      </c>
      <c r="AN2576" s="90">
        <v>-1</v>
      </c>
      <c r="AQ2576" s="90">
        <v>358</v>
      </c>
      <c r="AR2576" s="90" t="s">
        <v>422</v>
      </c>
      <c r="AS2576" s="90" t="s">
        <v>250</v>
      </c>
      <c r="AT2576" s="90" t="s">
        <v>244</v>
      </c>
      <c r="AU2576" s="90">
        <v>86.412649999999999</v>
      </c>
      <c r="AV2576" s="90">
        <v>93.007150605736996</v>
      </c>
      <c r="AW2576" s="90">
        <v>520.08363473300506</v>
      </c>
      <c r="AX2576" s="90">
        <v>0.39078653499999999</v>
      </c>
    </row>
    <row r="2577" spans="1:50" x14ac:dyDescent="0.25">
      <c r="A2577" s="102">
        <v>830000</v>
      </c>
      <c r="B2577" s="102">
        <v>2400000</v>
      </c>
      <c r="C2577" s="102">
        <v>2400000</v>
      </c>
      <c r="D2577" s="90" t="s">
        <v>374</v>
      </c>
      <c r="E2577" s="90" t="s">
        <v>68</v>
      </c>
      <c r="F2577" s="90" t="s">
        <v>375</v>
      </c>
      <c r="G2577" s="90" t="s">
        <v>376</v>
      </c>
      <c r="H2577" s="90">
        <v>0.59</v>
      </c>
      <c r="I2577" s="90">
        <v>0.64</v>
      </c>
      <c r="J2577" s="90" t="s">
        <v>244</v>
      </c>
      <c r="K2577" s="90">
        <v>0.13680167899232001</v>
      </c>
      <c r="L2577" s="90">
        <v>3749.2748269618701</v>
      </c>
      <c r="M2577" s="90">
        <v>9.7099674031585899</v>
      </c>
      <c r="N2577" s="90">
        <v>1.65164948375355</v>
      </c>
      <c r="O2577" s="90">
        <v>1.32833984371281</v>
      </c>
      <c r="P2577" s="90">
        <v>0.22594842248427999</v>
      </c>
      <c r="Q2577" s="90">
        <v>512.907091332032</v>
      </c>
      <c r="R2577" s="90">
        <v>1210</v>
      </c>
      <c r="S2577" s="90" t="s">
        <v>385</v>
      </c>
      <c r="T2577" s="90">
        <v>1210</v>
      </c>
      <c r="U2577" s="90" t="s">
        <v>378</v>
      </c>
      <c r="V2577" s="90" t="s">
        <v>244</v>
      </c>
      <c r="Z2577" s="90">
        <v>0</v>
      </c>
      <c r="AA2577" s="90">
        <v>1</v>
      </c>
      <c r="AB2577" s="90">
        <v>1.32833984371281</v>
      </c>
      <c r="AC2577" s="90">
        <v>0.22594842248427999</v>
      </c>
      <c r="AD2577" s="90">
        <v>512.907091332032</v>
      </c>
      <c r="AF2577" s="90">
        <v>-1</v>
      </c>
      <c r="AG2577" s="90">
        <v>-1</v>
      </c>
      <c r="AH2577" s="90">
        <v>-1</v>
      </c>
      <c r="AI2577" s="90">
        <v>-1</v>
      </c>
      <c r="AJ2577" s="90">
        <v>0</v>
      </c>
      <c r="AM2577" s="90" t="s">
        <v>379</v>
      </c>
      <c r="AN2577" s="90">
        <v>-1</v>
      </c>
      <c r="AQ2577" s="90">
        <v>358</v>
      </c>
      <c r="AR2577" s="90" t="s">
        <v>422</v>
      </c>
      <c r="AS2577" s="90" t="s">
        <v>250</v>
      </c>
      <c r="AT2577" s="90" t="s">
        <v>244</v>
      </c>
      <c r="AU2577" s="90">
        <v>86.412649999999999</v>
      </c>
      <c r="AV2577" s="90">
        <v>96.209611865622094</v>
      </c>
      <c r="AW2577" s="90">
        <v>553.61675322517897</v>
      </c>
      <c r="AX2577" s="90">
        <v>0.4159830424</v>
      </c>
    </row>
    <row r="2578" spans="1:50" x14ac:dyDescent="0.25">
      <c r="A2578" s="102">
        <v>830000</v>
      </c>
      <c r="B2578" s="102">
        <v>2400000</v>
      </c>
      <c r="C2578" s="102">
        <v>2400000</v>
      </c>
      <c r="D2578" s="90" t="s">
        <v>374</v>
      </c>
      <c r="E2578" s="90" t="s">
        <v>68</v>
      </c>
      <c r="F2578" s="90" t="s">
        <v>375</v>
      </c>
      <c r="G2578" s="90" t="s">
        <v>376</v>
      </c>
      <c r="H2578" s="90">
        <v>0.59</v>
      </c>
      <c r="I2578" s="90">
        <v>0.64</v>
      </c>
      <c r="J2578" s="90" t="s">
        <v>244</v>
      </c>
      <c r="K2578" s="90">
        <v>9.0539314726669998E-2</v>
      </c>
      <c r="L2578" s="90">
        <v>3749.2748269618701</v>
      </c>
      <c r="M2578" s="90">
        <v>9.7099674031585899</v>
      </c>
      <c r="N2578" s="90">
        <v>1.65164948375355</v>
      </c>
      <c r="O2578" s="90">
        <v>0.87913379470030995</v>
      </c>
      <c r="P2578" s="90">
        <v>0.14953921242771001</v>
      </c>
      <c r="Q2578" s="90">
        <v>339.45677355509298</v>
      </c>
      <c r="R2578" s="90">
        <v>1210</v>
      </c>
      <c r="S2578" s="90" t="s">
        <v>385</v>
      </c>
      <c r="T2578" s="90">
        <v>1210</v>
      </c>
      <c r="U2578" s="90" t="s">
        <v>378</v>
      </c>
      <c r="V2578" s="90" t="s">
        <v>244</v>
      </c>
      <c r="Z2578" s="90">
        <v>0</v>
      </c>
      <c r="AA2578" s="90">
        <v>1</v>
      </c>
      <c r="AB2578" s="90">
        <v>0.87913379470030995</v>
      </c>
      <c r="AC2578" s="90">
        <v>0.14953921242771001</v>
      </c>
      <c r="AD2578" s="90">
        <v>339.456773555094</v>
      </c>
      <c r="AF2578" s="90">
        <v>-1</v>
      </c>
      <c r="AG2578" s="90">
        <v>-1</v>
      </c>
      <c r="AH2578" s="90">
        <v>-1</v>
      </c>
      <c r="AI2578" s="90">
        <v>-1</v>
      </c>
      <c r="AJ2578" s="90">
        <v>0</v>
      </c>
      <c r="AM2578" s="90" t="s">
        <v>379</v>
      </c>
      <c r="AN2578" s="90">
        <v>-1</v>
      </c>
      <c r="AQ2578" s="90">
        <v>358</v>
      </c>
      <c r="AR2578" s="90" t="s">
        <v>422</v>
      </c>
      <c r="AS2578" s="90" t="s">
        <v>250</v>
      </c>
      <c r="AT2578" s="90" t="s">
        <v>244</v>
      </c>
      <c r="AU2578" s="90">
        <v>86.412649999999999</v>
      </c>
      <c r="AV2578" s="90">
        <v>84.536174919841798</v>
      </c>
      <c r="AW2578" s="90">
        <v>366.39960728133201</v>
      </c>
      <c r="AX2578" s="90">
        <v>0.27530962980000001</v>
      </c>
    </row>
    <row r="2579" spans="1:50" x14ac:dyDescent="0.25">
      <c r="A2579" s="102">
        <v>830000</v>
      </c>
      <c r="B2579" s="102">
        <v>2400000</v>
      </c>
      <c r="C2579" s="102">
        <v>2400000</v>
      </c>
      <c r="D2579" s="90" t="s">
        <v>374</v>
      </c>
      <c r="E2579" s="90" t="s">
        <v>68</v>
      </c>
      <c r="F2579" s="90" t="s">
        <v>375</v>
      </c>
      <c r="G2579" s="90" t="s">
        <v>376</v>
      </c>
      <c r="H2579" s="90">
        <v>0.59</v>
      </c>
      <c r="I2579" s="90">
        <v>0.64</v>
      </c>
      <c r="J2579" s="90" t="s">
        <v>244</v>
      </c>
      <c r="K2579" s="90">
        <v>0.26190699480927998</v>
      </c>
      <c r="L2579" s="90">
        <v>3749.2748269618701</v>
      </c>
      <c r="M2579" s="90">
        <v>9.7099674031585899</v>
      </c>
      <c r="N2579" s="90">
        <v>1.65164948375355</v>
      </c>
      <c r="O2579" s="90">
        <v>2.5431083822573499</v>
      </c>
      <c r="P2579" s="90">
        <v>0.43257855276819002</v>
      </c>
      <c r="Q2579" s="90">
        <v>981.96130264367503</v>
      </c>
      <c r="R2579" s="90">
        <v>1300</v>
      </c>
      <c r="S2579" s="90" t="s">
        <v>387</v>
      </c>
      <c r="T2579" s="90">
        <v>1300</v>
      </c>
      <c r="U2579" s="90" t="s">
        <v>378</v>
      </c>
      <c r="V2579" s="90" t="s">
        <v>244</v>
      </c>
      <c r="Z2579" s="90">
        <v>0</v>
      </c>
      <c r="AA2579" s="90">
        <v>1</v>
      </c>
      <c r="AB2579" s="90">
        <v>2.5431083822573499</v>
      </c>
      <c r="AC2579" s="90">
        <v>0.43257855276819002</v>
      </c>
      <c r="AD2579" s="90">
        <v>981.96130264367503</v>
      </c>
      <c r="AF2579" s="90">
        <v>-1</v>
      </c>
      <c r="AG2579" s="90">
        <v>-1</v>
      </c>
      <c r="AH2579" s="90">
        <v>-1</v>
      </c>
      <c r="AI2579" s="90">
        <v>-1</v>
      </c>
      <c r="AJ2579" s="90">
        <v>0</v>
      </c>
      <c r="AM2579" s="90" t="s">
        <v>379</v>
      </c>
      <c r="AN2579" s="90">
        <v>-1</v>
      </c>
      <c r="AQ2579" s="90">
        <v>358</v>
      </c>
      <c r="AR2579" s="90" t="s">
        <v>422</v>
      </c>
      <c r="AS2579" s="90" t="s">
        <v>250</v>
      </c>
      <c r="AT2579" s="90" t="s">
        <v>244</v>
      </c>
      <c r="AU2579" s="90">
        <v>86.412649999999999</v>
      </c>
      <c r="AV2579" s="90">
        <v>142.510372681863</v>
      </c>
      <c r="AW2579" s="90">
        <v>1059.9000040154201</v>
      </c>
      <c r="AX2579" s="90">
        <v>0.7964000832</v>
      </c>
    </row>
    <row r="2580" spans="1:50" x14ac:dyDescent="0.25">
      <c r="A2580" s="102">
        <v>830000</v>
      </c>
      <c r="B2580" s="102">
        <v>2400000</v>
      </c>
      <c r="C2580" s="102">
        <v>2400000</v>
      </c>
      <c r="D2580" s="90" t="s">
        <v>374</v>
      </c>
      <c r="E2580" s="90" t="s">
        <v>68</v>
      </c>
      <c r="F2580" s="90" t="s">
        <v>375</v>
      </c>
      <c r="G2580" s="90" t="s">
        <v>376</v>
      </c>
      <c r="H2580" s="90">
        <v>0.59</v>
      </c>
      <c r="I2580" s="90">
        <v>0.64</v>
      </c>
      <c r="J2580" s="90" t="s">
        <v>244</v>
      </c>
      <c r="K2580" s="90">
        <v>1.9586211440000001E-5</v>
      </c>
      <c r="L2580" s="90">
        <v>3747.2117851765402</v>
      </c>
      <c r="M2580" s="90">
        <v>10.398952070934399</v>
      </c>
      <c r="N2580" s="90">
        <v>1.8914477570213</v>
      </c>
      <c r="O2580" s="90">
        <v>2.0367607403E-4</v>
      </c>
      <c r="P2580" s="90">
        <v>3.7046295699999999E-5</v>
      </c>
      <c r="Q2580" s="90">
        <v>7.3393682342419997E-2</v>
      </c>
      <c r="R2580" s="90">
        <v>1200</v>
      </c>
      <c r="S2580" s="90" t="s">
        <v>384</v>
      </c>
      <c r="T2580" s="90">
        <v>1200</v>
      </c>
      <c r="U2580" s="90" t="s">
        <v>378</v>
      </c>
      <c r="V2580" s="90" t="s">
        <v>244</v>
      </c>
      <c r="Z2580" s="90">
        <v>0</v>
      </c>
      <c r="AA2580" s="90">
        <v>1</v>
      </c>
      <c r="AB2580" s="90">
        <v>2.0367607403E-4</v>
      </c>
      <c r="AC2580" s="90">
        <v>3.7046295699999999E-5</v>
      </c>
      <c r="AD2580" s="90">
        <v>7.3393682340640004E-2</v>
      </c>
      <c r="AF2580" s="90">
        <v>-1</v>
      </c>
      <c r="AG2580" s="90">
        <v>-1</v>
      </c>
      <c r="AH2580" s="90">
        <v>-1</v>
      </c>
      <c r="AI2580" s="90">
        <v>-1</v>
      </c>
      <c r="AJ2580" s="90">
        <v>0</v>
      </c>
      <c r="AM2580" s="90" t="s">
        <v>379</v>
      </c>
      <c r="AN2580" s="90">
        <v>-1</v>
      </c>
      <c r="AQ2580" s="90">
        <v>358</v>
      </c>
      <c r="AR2580" s="90" t="s">
        <v>422</v>
      </c>
      <c r="AS2580" s="90" t="s">
        <v>250</v>
      </c>
      <c r="AT2580" s="90" t="s">
        <v>244</v>
      </c>
      <c r="AU2580" s="90">
        <v>86.412649999999999</v>
      </c>
      <c r="AV2580" s="90">
        <v>2.9860995739262002</v>
      </c>
      <c r="AW2580" s="90">
        <v>7.9262585562620003E-2</v>
      </c>
      <c r="AX2580" s="90">
        <v>5.9524500000000002E-5</v>
      </c>
    </row>
    <row r="2581" spans="1:50" x14ac:dyDescent="0.25">
      <c r="A2581" s="102">
        <v>830000</v>
      </c>
      <c r="B2581" s="102">
        <v>2400000</v>
      </c>
      <c r="C2581" s="102">
        <v>2400000</v>
      </c>
      <c r="D2581" s="90" t="s">
        <v>374</v>
      </c>
      <c r="E2581" s="90" t="s">
        <v>68</v>
      </c>
      <c r="F2581" s="90" t="s">
        <v>375</v>
      </c>
      <c r="G2581" s="90" t="s">
        <v>376</v>
      </c>
      <c r="H2581" s="90">
        <v>0.59</v>
      </c>
      <c r="I2581" s="90">
        <v>0.64</v>
      </c>
      <c r="J2581" s="90" t="s">
        <v>244</v>
      </c>
      <c r="K2581" s="90">
        <v>0.11382700047122001</v>
      </c>
      <c r="L2581" s="90">
        <v>3747.2117851765402</v>
      </c>
      <c r="M2581" s="90">
        <v>10.398952070934399</v>
      </c>
      <c r="N2581" s="90">
        <v>1.8914477570213</v>
      </c>
      <c r="O2581" s="90">
        <v>1.18368152227854</v>
      </c>
      <c r="P2581" s="90">
        <v>0.21529782472976</v>
      </c>
      <c r="Q2581" s="90">
        <v>426.53387763708503</v>
      </c>
      <c r="R2581" s="90">
        <v>1300</v>
      </c>
      <c r="S2581" s="90" t="s">
        <v>387</v>
      </c>
      <c r="T2581" s="90">
        <v>1300</v>
      </c>
      <c r="U2581" s="90" t="s">
        <v>378</v>
      </c>
      <c r="V2581" s="90" t="s">
        <v>244</v>
      </c>
      <c r="Z2581" s="90">
        <v>0</v>
      </c>
      <c r="AA2581" s="90">
        <v>1</v>
      </c>
      <c r="AB2581" s="90">
        <v>1.18368152227854</v>
      </c>
      <c r="AC2581" s="90">
        <v>0.21529782472976</v>
      </c>
      <c r="AD2581" s="90">
        <v>426.53387763708503</v>
      </c>
      <c r="AF2581" s="90">
        <v>-1</v>
      </c>
      <c r="AG2581" s="90">
        <v>-1</v>
      </c>
      <c r="AH2581" s="90">
        <v>-1</v>
      </c>
      <c r="AI2581" s="90">
        <v>-1</v>
      </c>
      <c r="AJ2581" s="90">
        <v>0</v>
      </c>
      <c r="AM2581" s="90" t="s">
        <v>379</v>
      </c>
      <c r="AN2581" s="90">
        <v>-1</v>
      </c>
      <c r="AQ2581" s="90">
        <v>358</v>
      </c>
      <c r="AR2581" s="90" t="s">
        <v>422</v>
      </c>
      <c r="AS2581" s="90" t="s">
        <v>250</v>
      </c>
      <c r="AT2581" s="90" t="s">
        <v>244</v>
      </c>
      <c r="AU2581" s="90">
        <v>86.412649999999999</v>
      </c>
      <c r="AV2581" s="90">
        <v>169.17056452390801</v>
      </c>
      <c r="AW2581" s="90">
        <v>460.64152789952101</v>
      </c>
      <c r="AX2581" s="90">
        <v>0.34593177419999999</v>
      </c>
    </row>
    <row r="2582" spans="1:50" x14ac:dyDescent="0.25">
      <c r="A2582" s="102">
        <v>830000</v>
      </c>
      <c r="B2582" s="102">
        <v>2400000</v>
      </c>
      <c r="C2582" s="102">
        <v>2400000</v>
      </c>
      <c r="D2582" s="90" t="s">
        <v>374</v>
      </c>
      <c r="E2582" s="90" t="s">
        <v>68</v>
      </c>
      <c r="F2582" s="90" t="s">
        <v>375</v>
      </c>
      <c r="G2582" s="90" t="s">
        <v>376</v>
      </c>
      <c r="H2582" s="90">
        <v>0.59</v>
      </c>
      <c r="I2582" s="90">
        <v>0.64</v>
      </c>
      <c r="J2582" s="90" t="s">
        <v>381</v>
      </c>
      <c r="K2582" s="90">
        <v>7.5776904242799994E-2</v>
      </c>
      <c r="L2582" s="90">
        <v>3747.2117851765402</v>
      </c>
      <c r="M2582" s="90">
        <v>10.398952070934399</v>
      </c>
      <c r="N2582" s="90">
        <v>1.8914477570213</v>
      </c>
      <c r="O2582" s="90">
        <v>0.78800039530471999</v>
      </c>
      <c r="P2582" s="90">
        <v>0.14332805556406999</v>
      </c>
      <c r="Q2582" s="90">
        <v>283.95210862283699</v>
      </c>
      <c r="R2582" s="90">
        <v>1300</v>
      </c>
      <c r="S2582" s="90" t="s">
        <v>387</v>
      </c>
      <c r="T2582" s="90">
        <v>1300</v>
      </c>
      <c r="U2582" s="90" t="s">
        <v>382</v>
      </c>
      <c r="V2582" s="90" t="s">
        <v>381</v>
      </c>
      <c r="Z2582" s="90">
        <v>0</v>
      </c>
      <c r="AA2582" s="90">
        <v>1</v>
      </c>
      <c r="AB2582" s="90">
        <v>0.78800039530471999</v>
      </c>
      <c r="AC2582" s="90">
        <v>0.14332805556406999</v>
      </c>
      <c r="AD2582" s="90">
        <v>283.95210862283898</v>
      </c>
      <c r="AF2582" s="90">
        <v>-1</v>
      </c>
      <c r="AG2582" s="90">
        <v>-1</v>
      </c>
      <c r="AH2582" s="90">
        <v>-1</v>
      </c>
      <c r="AI2582" s="90">
        <v>-1</v>
      </c>
      <c r="AJ2582" s="90">
        <v>0</v>
      </c>
      <c r="AM2582" s="90" t="s">
        <v>379</v>
      </c>
      <c r="AN2582" s="90">
        <v>-1</v>
      </c>
      <c r="AQ2582" s="90">
        <v>358</v>
      </c>
      <c r="AR2582" s="90" t="s">
        <v>422</v>
      </c>
      <c r="AS2582" s="90" t="s">
        <v>250</v>
      </c>
      <c r="AT2582" s="90" t="s">
        <v>244</v>
      </c>
      <c r="AU2582" s="90">
        <v>86.412649999999999</v>
      </c>
      <c r="AV2582" s="90">
        <v>111.66245841268</v>
      </c>
      <c r="AW2582" s="90">
        <v>306.65825160459099</v>
      </c>
      <c r="AX2582" s="90">
        <v>0.230293681</v>
      </c>
    </row>
    <row r="2583" spans="1:50" x14ac:dyDescent="0.25">
      <c r="A2583" s="102">
        <v>830000</v>
      </c>
      <c r="B2583" s="102">
        <v>2400000</v>
      </c>
      <c r="C2583" s="102">
        <v>2400000</v>
      </c>
      <c r="D2583" s="90" t="s">
        <v>374</v>
      </c>
      <c r="E2583" s="90" t="s">
        <v>68</v>
      </c>
      <c r="F2583" s="90" t="s">
        <v>375</v>
      </c>
      <c r="G2583" s="90" t="s">
        <v>376</v>
      </c>
      <c r="H2583" s="90">
        <v>0.59</v>
      </c>
      <c r="I2583" s="90">
        <v>0.64</v>
      </c>
      <c r="J2583" s="90" t="s">
        <v>244</v>
      </c>
      <c r="K2583" s="90">
        <v>0.16387667918382001</v>
      </c>
      <c r="L2583" s="90">
        <v>3747.2117851765402</v>
      </c>
      <c r="M2583" s="90">
        <v>10.398952070934399</v>
      </c>
      <c r="N2583" s="90">
        <v>1.8914477570213</v>
      </c>
      <c r="O2583" s="90">
        <v>1.7041457323764899</v>
      </c>
      <c r="P2583" s="90">
        <v>0.30996417727033998</v>
      </c>
      <c r="Q2583" s="90">
        <v>614.08062355322397</v>
      </c>
      <c r="R2583" s="90">
        <v>1210</v>
      </c>
      <c r="S2583" s="90" t="s">
        <v>385</v>
      </c>
      <c r="T2583" s="90">
        <v>1210</v>
      </c>
      <c r="U2583" s="90" t="s">
        <v>378</v>
      </c>
      <c r="V2583" s="90" t="s">
        <v>244</v>
      </c>
      <c r="Z2583" s="90">
        <v>0</v>
      </c>
      <c r="AA2583" s="90">
        <v>1</v>
      </c>
      <c r="AB2583" s="90">
        <v>1.7041457323764899</v>
      </c>
      <c r="AC2583" s="90">
        <v>0.30996417727033998</v>
      </c>
      <c r="AD2583" s="90">
        <v>614.08062355322397</v>
      </c>
      <c r="AF2583" s="90">
        <v>-1</v>
      </c>
      <c r="AG2583" s="90">
        <v>-1</v>
      </c>
      <c r="AH2583" s="90">
        <v>-1</v>
      </c>
      <c r="AI2583" s="90">
        <v>-1</v>
      </c>
      <c r="AJ2583" s="90">
        <v>0</v>
      </c>
      <c r="AM2583" s="90" t="s">
        <v>379</v>
      </c>
      <c r="AN2583" s="90">
        <v>-1</v>
      </c>
      <c r="AQ2583" s="90">
        <v>358</v>
      </c>
      <c r="AR2583" s="90" t="s">
        <v>422</v>
      </c>
      <c r="AS2583" s="90" t="s">
        <v>250</v>
      </c>
      <c r="AT2583" s="90" t="s">
        <v>244</v>
      </c>
      <c r="AU2583" s="90">
        <v>86.412649999999999</v>
      </c>
      <c r="AV2583" s="90">
        <v>117.9794624403</v>
      </c>
      <c r="AW2583" s="90">
        <v>663.18539163664605</v>
      </c>
      <c r="AX2583" s="90">
        <v>0.4980378131</v>
      </c>
    </row>
    <row r="2584" spans="1:50" x14ac:dyDescent="0.25">
      <c r="A2584" s="102">
        <v>830000</v>
      </c>
      <c r="B2584" s="102">
        <v>2400000</v>
      </c>
      <c r="C2584" s="102">
        <v>2400000</v>
      </c>
      <c r="D2584" s="90" t="s">
        <v>374</v>
      </c>
      <c r="E2584" s="90" t="s">
        <v>68</v>
      </c>
      <c r="F2584" s="90" t="s">
        <v>375</v>
      </c>
      <c r="G2584" s="90" t="s">
        <v>376</v>
      </c>
      <c r="H2584" s="90">
        <v>0.59</v>
      </c>
      <c r="I2584" s="90">
        <v>0.64</v>
      </c>
      <c r="J2584" s="90" t="s">
        <v>244</v>
      </c>
      <c r="K2584" s="90">
        <v>0.26426329487674999</v>
      </c>
      <c r="L2584" s="90">
        <v>3747.2117851765402</v>
      </c>
      <c r="M2584" s="90">
        <v>10.398952070934399</v>
      </c>
      <c r="N2584" s="90">
        <v>1.8914477570213</v>
      </c>
      <c r="O2584" s="90">
        <v>2.7480613375305998</v>
      </c>
      <c r="P2584" s="90">
        <v>0.49984021635769998</v>
      </c>
      <c r="Q2584" s="90">
        <v>990.25053295176804</v>
      </c>
      <c r="R2584" s="90">
        <v>1300</v>
      </c>
      <c r="S2584" s="90" t="s">
        <v>387</v>
      </c>
      <c r="T2584" s="90">
        <v>1300</v>
      </c>
      <c r="U2584" s="90" t="s">
        <v>378</v>
      </c>
      <c r="V2584" s="90" t="s">
        <v>244</v>
      </c>
      <c r="Z2584" s="90">
        <v>0</v>
      </c>
      <c r="AA2584" s="90">
        <v>1</v>
      </c>
      <c r="AB2584" s="90">
        <v>2.7480613375305998</v>
      </c>
      <c r="AC2584" s="90">
        <v>0.49984021635769998</v>
      </c>
      <c r="AD2584" s="90">
        <v>990.25053295176804</v>
      </c>
      <c r="AF2584" s="90">
        <v>-1</v>
      </c>
      <c r="AG2584" s="90">
        <v>-1</v>
      </c>
      <c r="AH2584" s="90">
        <v>-1</v>
      </c>
      <c r="AI2584" s="90">
        <v>-1</v>
      </c>
      <c r="AJ2584" s="90">
        <v>0</v>
      </c>
      <c r="AM2584" s="90" t="s">
        <v>379</v>
      </c>
      <c r="AN2584" s="90">
        <v>-1</v>
      </c>
      <c r="AQ2584" s="90">
        <v>358</v>
      </c>
      <c r="AR2584" s="90" t="s">
        <v>422</v>
      </c>
      <c r="AS2584" s="90" t="s">
        <v>250</v>
      </c>
      <c r="AT2584" s="90" t="s">
        <v>244</v>
      </c>
      <c r="AU2584" s="90">
        <v>86.412649999999999</v>
      </c>
      <c r="AV2584" s="90">
        <v>135.47129271765201</v>
      </c>
      <c r="AW2584" s="90">
        <v>1069.4356120765799</v>
      </c>
      <c r="AX2584" s="90">
        <v>0.80312289780000001</v>
      </c>
    </row>
    <row r="2585" spans="1:50" x14ac:dyDescent="0.25">
      <c r="A2585" s="102">
        <v>830000</v>
      </c>
      <c r="B2585" s="102">
        <v>2400000</v>
      </c>
      <c r="C2585" s="102">
        <v>2400000</v>
      </c>
      <c r="D2585" s="90" t="s">
        <v>374</v>
      </c>
      <c r="E2585" s="90" t="s">
        <v>68</v>
      </c>
      <c r="F2585" s="90" t="s">
        <v>375</v>
      </c>
      <c r="G2585" s="90" t="s">
        <v>376</v>
      </c>
      <c r="H2585" s="90">
        <v>0.59</v>
      </c>
      <c r="I2585" s="90">
        <v>0.64</v>
      </c>
      <c r="J2585" s="90" t="s">
        <v>244</v>
      </c>
      <c r="K2585" s="90">
        <v>1.54005529718E-3</v>
      </c>
      <c r="L2585" s="90">
        <v>3779.8564071375999</v>
      </c>
      <c r="M2585" s="90">
        <v>11.612850411479</v>
      </c>
      <c r="N2585" s="90">
        <v>1.5331968048401501</v>
      </c>
      <c r="O2585" s="90">
        <v>1.7884431791560001E-2</v>
      </c>
      <c r="P2585" s="90">
        <v>2.3612078609100001E-3</v>
      </c>
      <c r="Q2585" s="90">
        <v>5.8211878823958001</v>
      </c>
      <c r="R2585" s="90">
        <v>1400</v>
      </c>
      <c r="S2585" s="90" t="s">
        <v>324</v>
      </c>
      <c r="T2585" s="90">
        <v>1400</v>
      </c>
      <c r="U2585" s="90" t="s">
        <v>378</v>
      </c>
      <c r="V2585" s="90" t="s">
        <v>244</v>
      </c>
      <c r="Z2585" s="90">
        <v>0</v>
      </c>
      <c r="AA2585" s="90">
        <v>1</v>
      </c>
      <c r="AB2585" s="90">
        <v>1.7884431791560001E-2</v>
      </c>
      <c r="AC2585" s="90">
        <v>2.3612078609100001E-3</v>
      </c>
      <c r="AD2585" s="90">
        <v>7.0936411275364</v>
      </c>
      <c r="AF2585" s="90">
        <v>-1</v>
      </c>
      <c r="AG2585" s="90">
        <v>-1</v>
      </c>
      <c r="AH2585" s="90">
        <v>-1</v>
      </c>
      <c r="AI2585" s="90">
        <v>-1</v>
      </c>
      <c r="AJ2585" s="90">
        <v>0</v>
      </c>
      <c r="AM2585" s="90" t="s">
        <v>379</v>
      </c>
      <c r="AN2585" s="90">
        <v>-1</v>
      </c>
      <c r="AQ2585" s="90">
        <v>358</v>
      </c>
      <c r="AR2585" s="90" t="s">
        <v>422</v>
      </c>
      <c r="AS2585" s="90" t="s">
        <v>250</v>
      </c>
      <c r="AT2585" s="90" t="s">
        <v>244</v>
      </c>
      <c r="AU2585" s="90">
        <v>86.412649999999999</v>
      </c>
      <c r="AV2585" s="90">
        <v>82.441618255490894</v>
      </c>
      <c r="AW2585" s="90">
        <v>6.23238267024837</v>
      </c>
      <c r="AX2585" s="90">
        <v>5.7531557999999997E-3</v>
      </c>
    </row>
    <row r="2586" spans="1:50" x14ac:dyDescent="0.25">
      <c r="A2586" s="102">
        <v>830000</v>
      </c>
      <c r="B2586" s="102">
        <v>2400000</v>
      </c>
      <c r="C2586" s="102">
        <v>2400000</v>
      </c>
      <c r="D2586" s="90" t="s">
        <v>374</v>
      </c>
      <c r="E2586" s="90" t="s">
        <v>68</v>
      </c>
      <c r="F2586" s="90" t="s">
        <v>375</v>
      </c>
      <c r="G2586" s="90" t="s">
        <v>376</v>
      </c>
      <c r="H2586" s="90">
        <v>0.59</v>
      </c>
      <c r="I2586" s="90">
        <v>0.64</v>
      </c>
      <c r="J2586" s="90" t="s">
        <v>381</v>
      </c>
      <c r="K2586" s="90">
        <v>0.11754804427453</v>
      </c>
      <c r="L2586" s="90">
        <v>3779.8564071375999</v>
      </c>
      <c r="M2586" s="90">
        <v>11.612850411479</v>
      </c>
      <c r="N2586" s="90">
        <v>1.5331968048401501</v>
      </c>
      <c r="O2586" s="90">
        <v>1.36506785432211</v>
      </c>
      <c r="P2586" s="90">
        <v>0.18022428589691999</v>
      </c>
      <c r="Q2586" s="90">
        <v>444.31472829760298</v>
      </c>
      <c r="R2586" s="90">
        <v>1400</v>
      </c>
      <c r="S2586" s="90" t="s">
        <v>324</v>
      </c>
      <c r="T2586" s="90">
        <v>1400</v>
      </c>
      <c r="U2586" s="90" t="s">
        <v>382</v>
      </c>
      <c r="V2586" s="90" t="s">
        <v>381</v>
      </c>
      <c r="Z2586" s="90">
        <v>0</v>
      </c>
      <c r="AA2586" s="90">
        <v>1</v>
      </c>
      <c r="AB2586" s="90">
        <v>1.36506785432211</v>
      </c>
      <c r="AC2586" s="90">
        <v>0.18022428589691999</v>
      </c>
      <c r="AD2586" s="90">
        <v>548.53911504927896</v>
      </c>
      <c r="AF2586" s="90">
        <v>-1</v>
      </c>
      <c r="AG2586" s="90">
        <v>-1</v>
      </c>
      <c r="AH2586" s="90">
        <v>-1</v>
      </c>
      <c r="AI2586" s="90">
        <v>-1</v>
      </c>
      <c r="AJ2586" s="90">
        <v>0</v>
      </c>
      <c r="AM2586" s="90" t="s">
        <v>379</v>
      </c>
      <c r="AN2586" s="90">
        <v>-1</v>
      </c>
      <c r="AQ2586" s="90">
        <v>358</v>
      </c>
      <c r="AR2586" s="90" t="s">
        <v>422</v>
      </c>
      <c r="AS2586" s="90" t="s">
        <v>250</v>
      </c>
      <c r="AT2586" s="90" t="s">
        <v>244</v>
      </c>
      <c r="AU2586" s="90">
        <v>86.412649999999999</v>
      </c>
      <c r="AV2586" s="90">
        <v>105.503132221396</v>
      </c>
      <c r="AW2586" s="90">
        <v>475.70005791296802</v>
      </c>
      <c r="AX2586" s="90">
        <v>0.44488168290000002</v>
      </c>
    </row>
    <row r="2587" spans="1:50" x14ac:dyDescent="0.25">
      <c r="A2587" s="102">
        <v>830000</v>
      </c>
      <c r="B2587" s="102">
        <v>2400000</v>
      </c>
      <c r="C2587" s="102">
        <v>2400000</v>
      </c>
      <c r="D2587" s="90" t="s">
        <v>374</v>
      </c>
      <c r="E2587" s="90" t="s">
        <v>68</v>
      </c>
      <c r="F2587" s="90" t="s">
        <v>375</v>
      </c>
      <c r="G2587" s="90" t="s">
        <v>376</v>
      </c>
      <c r="H2587" s="90">
        <v>0.59</v>
      </c>
      <c r="I2587" s="90">
        <v>0.64</v>
      </c>
      <c r="J2587" s="90" t="s">
        <v>244</v>
      </c>
      <c r="K2587" s="90">
        <v>0.38409988507914999</v>
      </c>
      <c r="L2587" s="90">
        <v>3779.8564071375999</v>
      </c>
      <c r="M2587" s="90">
        <v>11.612850411479</v>
      </c>
      <c r="N2587" s="90">
        <v>1.5331968048401501</v>
      </c>
      <c r="O2587" s="90">
        <v>4.4604945084904903</v>
      </c>
      <c r="P2587" s="90">
        <v>0.58890071654281995</v>
      </c>
      <c r="Q2587" s="90">
        <v>1451.84241159724</v>
      </c>
      <c r="R2587" s="90">
        <v>1410</v>
      </c>
      <c r="S2587" s="90" t="s">
        <v>325</v>
      </c>
      <c r="T2587" s="90">
        <v>1410</v>
      </c>
      <c r="U2587" s="90" t="s">
        <v>378</v>
      </c>
      <c r="V2587" s="90" t="s">
        <v>244</v>
      </c>
      <c r="Z2587" s="90">
        <v>0</v>
      </c>
      <c r="AA2587" s="90">
        <v>1</v>
      </c>
      <c r="AB2587" s="90">
        <v>4.4604945084904903</v>
      </c>
      <c r="AC2587" s="90">
        <v>0.58890071654281995</v>
      </c>
      <c r="AD2587" s="90">
        <v>1779.4243913084299</v>
      </c>
      <c r="AF2587" s="90">
        <v>-1</v>
      </c>
      <c r="AG2587" s="90">
        <v>-1</v>
      </c>
      <c r="AH2587" s="90">
        <v>-1</v>
      </c>
      <c r="AI2587" s="90">
        <v>-1</v>
      </c>
      <c r="AJ2587" s="90">
        <v>0</v>
      </c>
      <c r="AM2587" s="90" t="s">
        <v>379</v>
      </c>
      <c r="AN2587" s="90">
        <v>-1</v>
      </c>
      <c r="AQ2587" s="90">
        <v>358</v>
      </c>
      <c r="AR2587" s="90" t="s">
        <v>422</v>
      </c>
      <c r="AS2587" s="90" t="s">
        <v>250</v>
      </c>
      <c r="AT2587" s="90" t="s">
        <v>244</v>
      </c>
      <c r="AU2587" s="90">
        <v>86.412649999999999</v>
      </c>
      <c r="AV2587" s="90">
        <v>157.798998899629</v>
      </c>
      <c r="AW2587" s="90">
        <v>1554.39708677566</v>
      </c>
      <c r="AX2587" s="90">
        <v>1.4431665785000001</v>
      </c>
    </row>
    <row r="2588" spans="1:50" x14ac:dyDescent="0.25">
      <c r="A2588" s="102">
        <v>830000</v>
      </c>
      <c r="B2588" s="102">
        <v>2400000</v>
      </c>
      <c r="C2588" s="102">
        <v>2400000</v>
      </c>
      <c r="D2588" s="90" t="s">
        <v>374</v>
      </c>
      <c r="E2588" s="90" t="s">
        <v>68</v>
      </c>
      <c r="F2588" s="90" t="s">
        <v>375</v>
      </c>
      <c r="G2588" s="90" t="s">
        <v>376</v>
      </c>
      <c r="H2588" s="90">
        <v>0.59</v>
      </c>
      <c r="I2588" s="90">
        <v>0.64</v>
      </c>
      <c r="J2588" s="90" t="s">
        <v>244</v>
      </c>
      <c r="K2588" s="90">
        <v>0.42507599330031998</v>
      </c>
      <c r="L2588" s="90">
        <v>3750.70176535071</v>
      </c>
      <c r="M2588" s="90">
        <v>10.5397343980255</v>
      </c>
      <c r="N2588" s="90">
        <v>1.9571307316350099</v>
      </c>
      <c r="O2588" s="90">
        <v>4.4801880683623398</v>
      </c>
      <c r="P2588" s="90">
        <v>0.83192928976835001</v>
      </c>
      <c r="Q2588" s="90">
        <v>1594.3332784797501</v>
      </c>
      <c r="R2588" s="90">
        <v>1300</v>
      </c>
      <c r="S2588" s="90" t="s">
        <v>387</v>
      </c>
      <c r="T2588" s="90">
        <v>1300</v>
      </c>
      <c r="U2588" s="90" t="s">
        <v>378</v>
      </c>
      <c r="V2588" s="90" t="s">
        <v>244</v>
      </c>
      <c r="Z2588" s="90">
        <v>0</v>
      </c>
      <c r="AA2588" s="90">
        <v>1</v>
      </c>
      <c r="AB2588" s="90">
        <v>4.4801880683623398</v>
      </c>
      <c r="AC2588" s="90">
        <v>0.83192928976835001</v>
      </c>
      <c r="AD2588" s="90">
        <v>1594.3332784797501</v>
      </c>
      <c r="AF2588" s="90">
        <v>-1</v>
      </c>
      <c r="AG2588" s="90">
        <v>-1</v>
      </c>
      <c r="AH2588" s="90">
        <v>-1</v>
      </c>
      <c r="AI2588" s="90">
        <v>-1</v>
      </c>
      <c r="AJ2588" s="90">
        <v>0</v>
      </c>
      <c r="AM2588" s="90" t="s">
        <v>379</v>
      </c>
      <c r="AN2588" s="90">
        <v>-1</v>
      </c>
      <c r="AQ2588" s="90">
        <v>358</v>
      </c>
      <c r="AR2588" s="90" t="s">
        <v>422</v>
      </c>
      <c r="AS2588" s="90" t="s">
        <v>250</v>
      </c>
      <c r="AT2588" s="90" t="s">
        <v>244</v>
      </c>
      <c r="AU2588" s="90">
        <v>86.412649999999999</v>
      </c>
      <c r="AV2588" s="90">
        <v>168.826700750409</v>
      </c>
      <c r="AW2588" s="90">
        <v>1720.2215134954899</v>
      </c>
      <c r="AX2588" s="90">
        <v>1.2930521317999999</v>
      </c>
    </row>
    <row r="2589" spans="1:50" x14ac:dyDescent="0.25">
      <c r="A2589" s="102">
        <v>830000</v>
      </c>
      <c r="B2589" s="102">
        <v>2400000</v>
      </c>
      <c r="C2589" s="102">
        <v>2400000</v>
      </c>
      <c r="D2589" s="90" t="s">
        <v>374</v>
      </c>
      <c r="E2589" s="90" t="s">
        <v>68</v>
      </c>
      <c r="F2589" s="90" t="s">
        <v>375</v>
      </c>
      <c r="G2589" s="90" t="s">
        <v>376</v>
      </c>
      <c r="H2589" s="90">
        <v>0.59</v>
      </c>
      <c r="I2589" s="90">
        <v>0.64</v>
      </c>
      <c r="J2589" s="90" t="s">
        <v>244</v>
      </c>
      <c r="K2589" s="90">
        <v>3.6153138801E-4</v>
      </c>
      <c r="L2589" s="90">
        <v>3750.70176535071</v>
      </c>
      <c r="M2589" s="90">
        <v>10.5397343980255</v>
      </c>
      <c r="N2589" s="90">
        <v>1.9571307316350099</v>
      </c>
      <c r="O2589" s="90">
        <v>3.8104448062000001E-3</v>
      </c>
      <c r="P2589" s="90">
        <v>7.0756418993000005E-4</v>
      </c>
      <c r="Q2589" s="90">
        <v>1.3559964152500501</v>
      </c>
      <c r="R2589" s="90">
        <v>1330</v>
      </c>
      <c r="S2589" s="90" t="s">
        <v>397</v>
      </c>
      <c r="T2589" s="90">
        <v>1330</v>
      </c>
      <c r="U2589" s="90" t="s">
        <v>378</v>
      </c>
      <c r="V2589" s="90" t="s">
        <v>244</v>
      </c>
      <c r="Z2589" s="90">
        <v>0</v>
      </c>
      <c r="AA2589" s="90">
        <v>1</v>
      </c>
      <c r="AB2589" s="90">
        <v>3.8104448062000001E-3</v>
      </c>
      <c r="AC2589" s="90">
        <v>7.0756418993000005E-4</v>
      </c>
      <c r="AD2589" s="90">
        <v>1.35599641525153</v>
      </c>
      <c r="AF2589" s="90">
        <v>-1</v>
      </c>
      <c r="AG2589" s="90">
        <v>-1</v>
      </c>
      <c r="AH2589" s="90">
        <v>-1</v>
      </c>
      <c r="AI2589" s="90">
        <v>-1</v>
      </c>
      <c r="AJ2589" s="90">
        <v>0</v>
      </c>
      <c r="AM2589" s="90" t="s">
        <v>379</v>
      </c>
      <c r="AN2589" s="90">
        <v>-1</v>
      </c>
      <c r="AQ2589" s="90">
        <v>358</v>
      </c>
      <c r="AR2589" s="90" t="s">
        <v>422</v>
      </c>
      <c r="AS2589" s="90" t="s">
        <v>250</v>
      </c>
      <c r="AT2589" s="90" t="s">
        <v>244</v>
      </c>
      <c r="AU2589" s="90">
        <v>86.412649999999999</v>
      </c>
      <c r="AV2589" s="90">
        <v>22.448676331345698</v>
      </c>
      <c r="AW2589" s="90">
        <v>1.46306561948119</v>
      </c>
      <c r="AX2589" s="90">
        <v>1.0997538E-3</v>
      </c>
    </row>
    <row r="2590" spans="1:50" x14ac:dyDescent="0.25">
      <c r="A2590" s="102">
        <v>830000</v>
      </c>
      <c r="B2590" s="102">
        <v>2400000</v>
      </c>
      <c r="C2590" s="102">
        <v>2400000</v>
      </c>
      <c r="D2590" s="90" t="s">
        <v>374</v>
      </c>
      <c r="E2590" s="90" t="s">
        <v>68</v>
      </c>
      <c r="F2590" s="90" t="s">
        <v>375</v>
      </c>
      <c r="G2590" s="90" t="s">
        <v>376</v>
      </c>
      <c r="H2590" s="90">
        <v>0.59</v>
      </c>
      <c r="I2590" s="90">
        <v>0.64</v>
      </c>
      <c r="J2590" s="90" t="s">
        <v>244</v>
      </c>
      <c r="K2590" s="90">
        <v>2.798785785206E-2</v>
      </c>
      <c r="L2590" s="90">
        <v>3750.70176535071</v>
      </c>
      <c r="M2590" s="90">
        <v>10.5397343980255</v>
      </c>
      <c r="N2590" s="90">
        <v>1.9571307316350099</v>
      </c>
      <c r="O2590" s="90">
        <v>0.29498458813042</v>
      </c>
      <c r="P2590" s="90">
        <v>5.4775896714899998E-2</v>
      </c>
      <c r="Q2590" s="90">
        <v>104.974107854113</v>
      </c>
      <c r="R2590" s="90">
        <v>1330</v>
      </c>
      <c r="S2590" s="90" t="s">
        <v>397</v>
      </c>
      <c r="T2590" s="90">
        <v>1330</v>
      </c>
      <c r="U2590" s="90" t="s">
        <v>378</v>
      </c>
      <c r="V2590" s="90" t="s">
        <v>244</v>
      </c>
      <c r="Z2590" s="90">
        <v>0</v>
      </c>
      <c r="AA2590" s="90">
        <v>1</v>
      </c>
      <c r="AB2590" s="90">
        <v>0.29498458813042</v>
      </c>
      <c r="AC2590" s="90">
        <v>5.4775896714899998E-2</v>
      </c>
      <c r="AD2590" s="90">
        <v>104.97410785411201</v>
      </c>
      <c r="AF2590" s="90">
        <v>-1</v>
      </c>
      <c r="AG2590" s="90">
        <v>-1</v>
      </c>
      <c r="AH2590" s="90">
        <v>-1</v>
      </c>
      <c r="AI2590" s="90">
        <v>-1</v>
      </c>
      <c r="AJ2590" s="90">
        <v>0</v>
      </c>
      <c r="AM2590" s="90" t="s">
        <v>379</v>
      </c>
      <c r="AN2590" s="90">
        <v>-1</v>
      </c>
      <c r="AQ2590" s="90">
        <v>358</v>
      </c>
      <c r="AR2590" s="90" t="s">
        <v>422</v>
      </c>
      <c r="AS2590" s="90" t="s">
        <v>250</v>
      </c>
      <c r="AT2590" s="90" t="s">
        <v>244</v>
      </c>
      <c r="AU2590" s="90">
        <v>86.412649999999999</v>
      </c>
      <c r="AV2590" s="90">
        <v>46.262803535588802</v>
      </c>
      <c r="AW2590" s="90">
        <v>113.262842297834</v>
      </c>
      <c r="AX2590" s="90">
        <v>8.5137151499999994E-2</v>
      </c>
    </row>
    <row r="2591" spans="1:50" x14ac:dyDescent="0.25">
      <c r="A2591" s="102">
        <v>830000</v>
      </c>
      <c r="B2591" s="102">
        <v>2400000</v>
      </c>
      <c r="C2591" s="102">
        <v>2400000</v>
      </c>
      <c r="D2591" s="90" t="s">
        <v>374</v>
      </c>
      <c r="E2591" s="90" t="s">
        <v>68</v>
      </c>
      <c r="F2591" s="90" t="s">
        <v>375</v>
      </c>
      <c r="G2591" s="90" t="s">
        <v>376</v>
      </c>
      <c r="H2591" s="90">
        <v>0.59</v>
      </c>
      <c r="I2591" s="90">
        <v>0.64</v>
      </c>
      <c r="J2591" s="90" t="s">
        <v>244</v>
      </c>
      <c r="K2591" s="90">
        <v>4.7720784678999997E-2</v>
      </c>
      <c r="L2591" s="90">
        <v>3750.70176535071</v>
      </c>
      <c r="M2591" s="90">
        <v>10.5397343980255</v>
      </c>
      <c r="N2591" s="90">
        <v>1.9571307316350099</v>
      </c>
      <c r="O2591" s="90">
        <v>0.50296439578207996</v>
      </c>
      <c r="P2591" s="90">
        <v>9.339581423302E-2</v>
      </c>
      <c r="Q2591" s="90">
        <v>178.98643133946899</v>
      </c>
      <c r="R2591" s="90">
        <v>1330</v>
      </c>
      <c r="S2591" s="90" t="s">
        <v>397</v>
      </c>
      <c r="T2591" s="90">
        <v>1330</v>
      </c>
      <c r="U2591" s="90" t="s">
        <v>378</v>
      </c>
      <c r="V2591" s="90" t="s">
        <v>244</v>
      </c>
      <c r="Z2591" s="90">
        <v>0</v>
      </c>
      <c r="AA2591" s="90">
        <v>1</v>
      </c>
      <c r="AB2591" s="90">
        <v>0.50296439578207996</v>
      </c>
      <c r="AC2591" s="90">
        <v>9.339581423302E-2</v>
      </c>
      <c r="AD2591" s="90">
        <v>178.986431339468</v>
      </c>
      <c r="AF2591" s="90">
        <v>-1</v>
      </c>
      <c r="AG2591" s="90">
        <v>-1</v>
      </c>
      <c r="AH2591" s="90">
        <v>-1</v>
      </c>
      <c r="AI2591" s="90">
        <v>-1</v>
      </c>
      <c r="AJ2591" s="90">
        <v>0</v>
      </c>
      <c r="AM2591" s="90" t="s">
        <v>379</v>
      </c>
      <c r="AN2591" s="90">
        <v>-1</v>
      </c>
      <c r="AQ2591" s="90">
        <v>358</v>
      </c>
      <c r="AR2591" s="90" t="s">
        <v>422</v>
      </c>
      <c r="AS2591" s="90" t="s">
        <v>250</v>
      </c>
      <c r="AT2591" s="90" t="s">
        <v>244</v>
      </c>
      <c r="AU2591" s="90">
        <v>86.412649999999999</v>
      </c>
      <c r="AV2591" s="90">
        <v>61.0663757867543</v>
      </c>
      <c r="AW2591" s="90">
        <v>193.119163960202</v>
      </c>
      <c r="AX2591" s="90">
        <v>0.14516336690000001</v>
      </c>
    </row>
    <row r="2592" spans="1:50" x14ac:dyDescent="0.25">
      <c r="A2592" s="102">
        <v>830000</v>
      </c>
      <c r="B2592" s="102">
        <v>2400000</v>
      </c>
      <c r="C2592" s="102">
        <v>2400000</v>
      </c>
      <c r="D2592" s="90" t="s">
        <v>374</v>
      </c>
      <c r="E2592" s="90" t="s">
        <v>68</v>
      </c>
      <c r="F2592" s="90" t="s">
        <v>375</v>
      </c>
      <c r="G2592" s="90" t="s">
        <v>376</v>
      </c>
      <c r="H2592" s="90">
        <v>0.59</v>
      </c>
      <c r="I2592" s="90">
        <v>0.64</v>
      </c>
      <c r="J2592" s="90" t="s">
        <v>244</v>
      </c>
      <c r="K2592" s="90">
        <v>9.1892182063800006E-3</v>
      </c>
      <c r="L2592" s="90">
        <v>3750.70176535071</v>
      </c>
      <c r="M2592" s="90">
        <v>10.5397343980255</v>
      </c>
      <c r="N2592" s="90">
        <v>1.9571307316350099</v>
      </c>
      <c r="O2592" s="90">
        <v>9.6851919220769994E-2</v>
      </c>
      <c r="P2592" s="90">
        <v>1.7984501351409998E-2</v>
      </c>
      <c r="Q2592" s="90">
        <v>34.466016948873602</v>
      </c>
      <c r="R2592" s="90">
        <v>1330</v>
      </c>
      <c r="S2592" s="90" t="s">
        <v>397</v>
      </c>
      <c r="T2592" s="90">
        <v>1330</v>
      </c>
      <c r="U2592" s="90" t="s">
        <v>378</v>
      </c>
      <c r="V2592" s="90" t="s">
        <v>244</v>
      </c>
      <c r="Z2592" s="90">
        <v>0</v>
      </c>
      <c r="AA2592" s="90">
        <v>1</v>
      </c>
      <c r="AB2592" s="90">
        <v>9.6851919220769994E-2</v>
      </c>
      <c r="AC2592" s="90">
        <v>1.7984501351409998E-2</v>
      </c>
      <c r="AD2592" s="90">
        <v>34.466016948875499</v>
      </c>
      <c r="AF2592" s="90">
        <v>-1</v>
      </c>
      <c r="AG2592" s="90">
        <v>-1</v>
      </c>
      <c r="AH2592" s="90">
        <v>-1</v>
      </c>
      <c r="AI2592" s="90">
        <v>-1</v>
      </c>
      <c r="AJ2592" s="90">
        <v>0</v>
      </c>
      <c r="AM2592" s="90" t="s">
        <v>379</v>
      </c>
      <c r="AN2592" s="90">
        <v>-1</v>
      </c>
      <c r="AQ2592" s="90">
        <v>358</v>
      </c>
      <c r="AR2592" s="90" t="s">
        <v>422</v>
      </c>
      <c r="AS2592" s="90" t="s">
        <v>250</v>
      </c>
      <c r="AT2592" s="90" t="s">
        <v>244</v>
      </c>
      <c r="AU2592" s="90">
        <v>86.412649999999999</v>
      </c>
      <c r="AV2592" s="90">
        <v>31.2324806679222</v>
      </c>
      <c r="AW2592" s="90">
        <v>37.187446715337998</v>
      </c>
      <c r="AX2592" s="90">
        <v>2.7952973999999998E-2</v>
      </c>
    </row>
    <row r="2593" spans="1:50" x14ac:dyDescent="0.25">
      <c r="A2593" s="102">
        <v>830000</v>
      </c>
      <c r="B2593" s="102">
        <v>2400000</v>
      </c>
      <c r="C2593" s="102">
        <v>2400000</v>
      </c>
      <c r="D2593" s="90" t="s">
        <v>374</v>
      </c>
      <c r="E2593" s="90" t="s">
        <v>68</v>
      </c>
      <c r="F2593" s="90" t="s">
        <v>375</v>
      </c>
      <c r="G2593" s="90" t="s">
        <v>376</v>
      </c>
      <c r="H2593" s="90">
        <v>0.59</v>
      </c>
      <c r="I2593" s="90">
        <v>0.64</v>
      </c>
      <c r="J2593" s="90" t="s">
        <v>244</v>
      </c>
      <c r="K2593" s="90">
        <v>0.10742806831116</v>
      </c>
      <c r="L2593" s="90">
        <v>3750.70176535071</v>
      </c>
      <c r="M2593" s="90">
        <v>10.5397343980255</v>
      </c>
      <c r="N2593" s="90">
        <v>1.9571307316350099</v>
      </c>
      <c r="O2593" s="90">
        <v>1.13226330689257</v>
      </c>
      <c r="P2593" s="90">
        <v>0.21025077393194999</v>
      </c>
      <c r="Q2593" s="90">
        <v>402.93064546288798</v>
      </c>
      <c r="R2593" s="90">
        <v>1210</v>
      </c>
      <c r="S2593" s="90" t="s">
        <v>385</v>
      </c>
      <c r="T2593" s="90">
        <v>1210</v>
      </c>
      <c r="U2593" s="90" t="s">
        <v>378</v>
      </c>
      <c r="V2593" s="90" t="s">
        <v>244</v>
      </c>
      <c r="Z2593" s="90">
        <v>0</v>
      </c>
      <c r="AA2593" s="90">
        <v>1</v>
      </c>
      <c r="AB2593" s="90">
        <v>1.13226330689257</v>
      </c>
      <c r="AC2593" s="90">
        <v>0.21025077393194999</v>
      </c>
      <c r="AD2593" s="90">
        <v>402.93064546288798</v>
      </c>
      <c r="AF2593" s="90">
        <v>-1</v>
      </c>
      <c r="AG2593" s="90">
        <v>-1</v>
      </c>
      <c r="AH2593" s="90">
        <v>-1</v>
      </c>
      <c r="AI2593" s="90">
        <v>-1</v>
      </c>
      <c r="AJ2593" s="90">
        <v>0</v>
      </c>
      <c r="AM2593" s="90" t="s">
        <v>379</v>
      </c>
      <c r="AN2593" s="90">
        <v>-1</v>
      </c>
      <c r="AQ2593" s="90">
        <v>358</v>
      </c>
      <c r="AR2593" s="90" t="s">
        <v>422</v>
      </c>
      <c r="AS2593" s="90" t="s">
        <v>250</v>
      </c>
      <c r="AT2593" s="90" t="s">
        <v>244</v>
      </c>
      <c r="AU2593" s="90">
        <v>86.412649999999999</v>
      </c>
      <c r="AV2593" s="90">
        <v>87.427065509652394</v>
      </c>
      <c r="AW2593" s="90">
        <v>434.74596819104602</v>
      </c>
      <c r="AX2593" s="90">
        <v>0.32678884470000003</v>
      </c>
    </row>
    <row r="2594" spans="1:50" x14ac:dyDescent="0.25">
      <c r="A2594" s="102">
        <v>830000</v>
      </c>
      <c r="B2594" s="102">
        <v>2400000</v>
      </c>
      <c r="C2594" s="102">
        <v>2400000</v>
      </c>
      <c r="D2594" s="90" t="s">
        <v>374</v>
      </c>
      <c r="E2594" s="90" t="s">
        <v>68</v>
      </c>
      <c r="F2594" s="90" t="s">
        <v>375</v>
      </c>
      <c r="G2594" s="90" t="s">
        <v>376</v>
      </c>
      <c r="H2594" s="90">
        <v>0.59</v>
      </c>
      <c r="I2594" s="90">
        <v>0.64</v>
      </c>
      <c r="J2594" s="90" t="s">
        <v>244</v>
      </c>
      <c r="K2594" s="90">
        <v>2.7393443572889999E-2</v>
      </c>
      <c r="L2594" s="90">
        <v>3770.6719591851202</v>
      </c>
      <c r="M2594" s="90">
        <v>11.2297498236424</v>
      </c>
      <c r="N2594" s="90">
        <v>1.79496199580031</v>
      </c>
      <c r="O2594" s="90">
        <v>0.30762151813166</v>
      </c>
      <c r="P2594" s="90">
        <v>4.917019014744E-2</v>
      </c>
      <c r="Q2594" s="90">
        <v>103.29168954583101</v>
      </c>
      <c r="R2594" s="90">
        <v>1400</v>
      </c>
      <c r="S2594" s="90" t="s">
        <v>324</v>
      </c>
      <c r="T2594" s="90">
        <v>1400</v>
      </c>
      <c r="U2594" s="90" t="s">
        <v>378</v>
      </c>
      <c r="V2594" s="90" t="s">
        <v>244</v>
      </c>
      <c r="Z2594" s="90">
        <v>0</v>
      </c>
      <c r="AA2594" s="90">
        <v>1</v>
      </c>
      <c r="AB2594" s="90">
        <v>0.30762151813166</v>
      </c>
      <c r="AC2594" s="90">
        <v>4.917019014744E-2</v>
      </c>
      <c r="AD2594" s="90">
        <v>253.93073254391001</v>
      </c>
      <c r="AF2594" s="90">
        <v>-1</v>
      </c>
      <c r="AG2594" s="90">
        <v>-1</v>
      </c>
      <c r="AH2594" s="90">
        <v>-1</v>
      </c>
      <c r="AI2594" s="90">
        <v>-1</v>
      </c>
      <c r="AJ2594" s="90">
        <v>0</v>
      </c>
      <c r="AM2594" s="90" t="s">
        <v>379</v>
      </c>
      <c r="AN2594" s="90">
        <v>-1</v>
      </c>
      <c r="AQ2594" s="90">
        <v>358</v>
      </c>
      <c r="AR2594" s="90" t="s">
        <v>422</v>
      </c>
      <c r="AS2594" s="90" t="s">
        <v>250</v>
      </c>
      <c r="AT2594" s="90" t="s">
        <v>244</v>
      </c>
      <c r="AU2594" s="90">
        <v>86.412649999999999</v>
      </c>
      <c r="AV2594" s="90">
        <v>95.020779630521503</v>
      </c>
      <c r="AW2594" s="90">
        <v>110.857333054618</v>
      </c>
      <c r="AX2594" s="90">
        <v>0.20594544410000001</v>
      </c>
    </row>
    <row r="2595" spans="1:50" x14ac:dyDescent="0.25">
      <c r="A2595" s="102">
        <v>830000</v>
      </c>
      <c r="B2595" s="102">
        <v>2400000</v>
      </c>
      <c r="C2595" s="102">
        <v>2400000</v>
      </c>
      <c r="D2595" s="90" t="s">
        <v>374</v>
      </c>
      <c r="E2595" s="90" t="s">
        <v>68</v>
      </c>
      <c r="F2595" s="90" t="s">
        <v>375</v>
      </c>
      <c r="G2595" s="90" t="s">
        <v>376</v>
      </c>
      <c r="H2595" s="90">
        <v>0.59</v>
      </c>
      <c r="I2595" s="90">
        <v>0.64</v>
      </c>
      <c r="J2595" s="90" t="s">
        <v>381</v>
      </c>
      <c r="K2595" s="90">
        <v>6.5652473652620003E-2</v>
      </c>
      <c r="L2595" s="90">
        <v>3770.6719591851202</v>
      </c>
      <c r="M2595" s="90">
        <v>11.2297498236424</v>
      </c>
      <c r="N2595" s="90">
        <v>1.79496199580031</v>
      </c>
      <c r="O2595" s="90">
        <v>0.73726085442224998</v>
      </c>
      <c r="P2595" s="90">
        <v>0.11784369513674001</v>
      </c>
      <c r="Q2595" s="90">
        <v>247.55394145309299</v>
      </c>
      <c r="R2595" s="90">
        <v>1400</v>
      </c>
      <c r="S2595" s="90" t="s">
        <v>324</v>
      </c>
      <c r="T2595" s="90">
        <v>1400</v>
      </c>
      <c r="U2595" s="90" t="s">
        <v>382</v>
      </c>
      <c r="V2595" s="90" t="s">
        <v>381</v>
      </c>
      <c r="Z2595" s="90">
        <v>0</v>
      </c>
      <c r="AA2595" s="90">
        <v>1</v>
      </c>
      <c r="AB2595" s="90">
        <v>0.73726085442224998</v>
      </c>
      <c r="AC2595" s="90">
        <v>0.11784369513674001</v>
      </c>
      <c r="AD2595" s="90">
        <v>325.494420203419</v>
      </c>
      <c r="AF2595" s="90">
        <v>-1</v>
      </c>
      <c r="AG2595" s="90">
        <v>-1</v>
      </c>
      <c r="AH2595" s="90">
        <v>-1</v>
      </c>
      <c r="AI2595" s="90">
        <v>-1</v>
      </c>
      <c r="AJ2595" s="90">
        <v>0</v>
      </c>
      <c r="AM2595" s="90" t="s">
        <v>379</v>
      </c>
      <c r="AN2595" s="90">
        <v>-1</v>
      </c>
      <c r="AQ2595" s="90">
        <v>358</v>
      </c>
      <c r="AR2595" s="90" t="s">
        <v>422</v>
      </c>
      <c r="AS2595" s="90" t="s">
        <v>250</v>
      </c>
      <c r="AT2595" s="90" t="s">
        <v>244</v>
      </c>
      <c r="AU2595" s="90">
        <v>86.412649999999999</v>
      </c>
      <c r="AV2595" s="90">
        <v>99.848105139852294</v>
      </c>
      <c r="AW2595" s="90">
        <v>265.686134647573</v>
      </c>
      <c r="AX2595" s="90">
        <v>0.26398574229999999</v>
      </c>
    </row>
    <row r="2596" spans="1:50" x14ac:dyDescent="0.25">
      <c r="A2596" s="102">
        <v>830000</v>
      </c>
      <c r="B2596" s="102">
        <v>2400000</v>
      </c>
      <c r="C2596" s="102">
        <v>2400000</v>
      </c>
      <c r="D2596" s="90" t="s">
        <v>374</v>
      </c>
      <c r="E2596" s="90" t="s">
        <v>68</v>
      </c>
      <c r="F2596" s="90" t="s">
        <v>375</v>
      </c>
      <c r="G2596" s="90" t="s">
        <v>376</v>
      </c>
      <c r="H2596" s="90">
        <v>0.59</v>
      </c>
      <c r="I2596" s="90">
        <v>0.64</v>
      </c>
      <c r="J2596" s="90" t="s">
        <v>244</v>
      </c>
      <c r="K2596" s="90">
        <v>1.069489968976E-2</v>
      </c>
      <c r="L2596" s="90">
        <v>3770.6719591851202</v>
      </c>
      <c r="M2596" s="90">
        <v>11.2297498236424</v>
      </c>
      <c r="N2596" s="90">
        <v>1.79496199580031</v>
      </c>
      <c r="O2596" s="90">
        <v>0.12010104790499</v>
      </c>
      <c r="P2596" s="90">
        <v>1.9196938492020001E-2</v>
      </c>
      <c r="Q2596" s="90">
        <v>40.326958366486998</v>
      </c>
      <c r="R2596" s="90">
        <v>1410</v>
      </c>
      <c r="S2596" s="90" t="s">
        <v>325</v>
      </c>
      <c r="T2596" s="90">
        <v>1410</v>
      </c>
      <c r="U2596" s="90" t="s">
        <v>378</v>
      </c>
      <c r="V2596" s="90" t="s">
        <v>244</v>
      </c>
      <c r="Z2596" s="90">
        <v>0</v>
      </c>
      <c r="AA2596" s="90">
        <v>1</v>
      </c>
      <c r="AB2596" s="90">
        <v>0.12010104790499</v>
      </c>
      <c r="AC2596" s="90">
        <v>1.9196938492020001E-2</v>
      </c>
      <c r="AD2596" s="90">
        <v>43.658409900977297</v>
      </c>
      <c r="AF2596" s="90">
        <v>-1</v>
      </c>
      <c r="AG2596" s="90">
        <v>-1</v>
      </c>
      <c r="AH2596" s="90">
        <v>-1</v>
      </c>
      <c r="AI2596" s="90">
        <v>-1</v>
      </c>
      <c r="AJ2596" s="90">
        <v>0</v>
      </c>
      <c r="AM2596" s="90" t="s">
        <v>379</v>
      </c>
      <c r="AN2596" s="90">
        <v>-1</v>
      </c>
      <c r="AQ2596" s="90">
        <v>358</v>
      </c>
      <c r="AR2596" s="90" t="s">
        <v>422</v>
      </c>
      <c r="AS2596" s="90" t="s">
        <v>250</v>
      </c>
      <c r="AT2596" s="90" t="s">
        <v>244</v>
      </c>
      <c r="AU2596" s="90">
        <v>86.412649999999999</v>
      </c>
      <c r="AV2596" s="90">
        <v>35.536950462253699</v>
      </c>
      <c r="AW2596" s="90">
        <v>43.280723496440103</v>
      </c>
      <c r="AX2596" s="90">
        <v>3.54082805E-2</v>
      </c>
    </row>
    <row r="2597" spans="1:50" x14ac:dyDescent="0.25">
      <c r="A2597" s="102">
        <v>830000</v>
      </c>
      <c r="B2597" s="102">
        <v>2400000</v>
      </c>
      <c r="C2597" s="102">
        <v>2500000</v>
      </c>
      <c r="D2597" s="90" t="s">
        <v>374</v>
      </c>
      <c r="E2597" s="90" t="s">
        <v>68</v>
      </c>
      <c r="F2597" s="90" t="s">
        <v>375</v>
      </c>
      <c r="G2597" s="90" t="s">
        <v>376</v>
      </c>
      <c r="H2597" s="90">
        <v>0.59</v>
      </c>
      <c r="I2597" s="90">
        <v>0.64</v>
      </c>
      <c r="J2597" s="90" t="s">
        <v>244</v>
      </c>
      <c r="K2597" s="90">
        <v>0.10937721643812</v>
      </c>
      <c r="L2597" s="90">
        <v>3715.5859497668598</v>
      </c>
      <c r="M2597" s="90">
        <v>9.4652889878903306</v>
      </c>
      <c r="N2597" s="90">
        <v>1.4621859034937801</v>
      </c>
      <c r="O2597" s="90">
        <v>1.03528696227784</v>
      </c>
      <c r="P2597" s="90">
        <v>0.1599298240392</v>
      </c>
      <c r="Q2597" s="90">
        <v>406.40044862209197</v>
      </c>
      <c r="R2597" s="90">
        <v>1210</v>
      </c>
      <c r="S2597" s="90" t="s">
        <v>385</v>
      </c>
      <c r="T2597" s="90">
        <v>1210</v>
      </c>
      <c r="U2597" s="90" t="s">
        <v>378</v>
      </c>
      <c r="V2597" s="90" t="s">
        <v>244</v>
      </c>
      <c r="Z2597" s="90">
        <v>0</v>
      </c>
      <c r="AA2597" s="90">
        <v>1</v>
      </c>
      <c r="AB2597" s="90">
        <v>1.03528696227784</v>
      </c>
      <c r="AC2597" s="90">
        <v>0.1599298240392</v>
      </c>
      <c r="AD2597" s="90">
        <v>406.40044862209197</v>
      </c>
      <c r="AF2597" s="90">
        <v>-1</v>
      </c>
      <c r="AG2597" s="90">
        <v>-1</v>
      </c>
      <c r="AH2597" s="90">
        <v>-1</v>
      </c>
      <c r="AI2597" s="90">
        <v>-1</v>
      </c>
      <c r="AJ2597" s="90">
        <v>0</v>
      </c>
      <c r="AM2597" s="90" t="s">
        <v>379</v>
      </c>
      <c r="AN2597" s="90">
        <v>-1</v>
      </c>
      <c r="AQ2597" s="90">
        <v>358</v>
      </c>
      <c r="AR2597" s="90" t="s">
        <v>422</v>
      </c>
      <c r="AS2597" s="90" t="s">
        <v>250</v>
      </c>
      <c r="AT2597" s="90" t="s">
        <v>244</v>
      </c>
      <c r="AU2597" s="90">
        <v>86.412649999999999</v>
      </c>
      <c r="AV2597" s="90">
        <v>107.146868974139</v>
      </c>
      <c r="AW2597" s="90">
        <v>442.633890806843</v>
      </c>
      <c r="AX2597" s="90">
        <v>0.32960295909999998</v>
      </c>
    </row>
    <row r="2598" spans="1:50" x14ac:dyDescent="0.25">
      <c r="A2598" s="102">
        <v>830000</v>
      </c>
      <c r="B2598" s="102">
        <v>2400000</v>
      </c>
      <c r="C2598" s="102">
        <v>2500000</v>
      </c>
      <c r="D2598" s="90" t="s">
        <v>374</v>
      </c>
      <c r="E2598" s="90" t="s">
        <v>68</v>
      </c>
      <c r="F2598" s="90" t="s">
        <v>375</v>
      </c>
      <c r="G2598" s="90" t="s">
        <v>376</v>
      </c>
      <c r="H2598" s="90">
        <v>0.59</v>
      </c>
      <c r="I2598" s="90">
        <v>0.64</v>
      </c>
      <c r="J2598" s="90" t="s">
        <v>244</v>
      </c>
      <c r="K2598" s="90">
        <v>0.17722859505034999</v>
      </c>
      <c r="L2598" s="90">
        <v>3715.5859497668598</v>
      </c>
      <c r="M2598" s="90">
        <v>9.4652889878903306</v>
      </c>
      <c r="N2598" s="90">
        <v>1.4621859034937801</v>
      </c>
      <c r="O2598" s="90">
        <v>1.67751986906937</v>
      </c>
      <c r="P2598" s="90">
        <v>0.25914115337862997</v>
      </c>
      <c r="Q2598" s="90">
        <v>658.50807766600894</v>
      </c>
      <c r="R2598" s="90">
        <v>1210</v>
      </c>
      <c r="S2598" s="90" t="s">
        <v>385</v>
      </c>
      <c r="T2598" s="90">
        <v>1210</v>
      </c>
      <c r="U2598" s="90" t="s">
        <v>378</v>
      </c>
      <c r="V2598" s="90" t="s">
        <v>244</v>
      </c>
      <c r="Z2598" s="90">
        <v>0</v>
      </c>
      <c r="AA2598" s="90">
        <v>1</v>
      </c>
      <c r="AB2598" s="90">
        <v>1.67751986906937</v>
      </c>
      <c r="AC2598" s="90">
        <v>0.25914115337862997</v>
      </c>
      <c r="AD2598" s="90">
        <v>658.50807766600894</v>
      </c>
      <c r="AF2598" s="90">
        <v>-1</v>
      </c>
      <c r="AG2598" s="90">
        <v>-1</v>
      </c>
      <c r="AH2598" s="90">
        <v>-1</v>
      </c>
      <c r="AI2598" s="90">
        <v>-1</v>
      </c>
      <c r="AJ2598" s="90">
        <v>0</v>
      </c>
      <c r="AM2598" s="90" t="s">
        <v>379</v>
      </c>
      <c r="AN2598" s="90">
        <v>-1</v>
      </c>
      <c r="AQ2598" s="90">
        <v>358</v>
      </c>
      <c r="AR2598" s="90" t="s">
        <v>422</v>
      </c>
      <c r="AS2598" s="90" t="s">
        <v>250</v>
      </c>
      <c r="AT2598" s="90" t="s">
        <v>244</v>
      </c>
      <c r="AU2598" s="90">
        <v>86.412649999999999</v>
      </c>
      <c r="AV2598" s="90">
        <v>118.731789266733</v>
      </c>
      <c r="AW2598" s="90">
        <v>717.21867811244499</v>
      </c>
      <c r="AX2598" s="90">
        <v>0.5340698116</v>
      </c>
    </row>
    <row r="2599" spans="1:50" x14ac:dyDescent="0.25">
      <c r="A2599" s="102">
        <v>830000</v>
      </c>
      <c r="B2599" s="102">
        <v>2400000</v>
      </c>
      <c r="C2599" s="102">
        <v>2500000</v>
      </c>
      <c r="D2599" s="90" t="s">
        <v>374</v>
      </c>
      <c r="E2599" s="90" t="s">
        <v>68</v>
      </c>
      <c r="F2599" s="90" t="s">
        <v>375</v>
      </c>
      <c r="G2599" s="90" t="s">
        <v>376</v>
      </c>
      <c r="H2599" s="90">
        <v>0.59</v>
      </c>
      <c r="I2599" s="90">
        <v>0.64</v>
      </c>
      <c r="J2599" s="90" t="s">
        <v>244</v>
      </c>
      <c r="K2599" s="90">
        <v>0.24320777642870001</v>
      </c>
      <c r="L2599" s="90">
        <v>3715.5859497668598</v>
      </c>
      <c r="M2599" s="90">
        <v>9.4652889878903306</v>
      </c>
      <c r="N2599" s="90">
        <v>1.4621859034937801</v>
      </c>
      <c r="O2599" s="90">
        <v>2.3020318879999202</v>
      </c>
      <c r="P2599" s="90">
        <v>0.35561498231411998</v>
      </c>
      <c r="Q2599" s="90">
        <v>903.65939697254203</v>
      </c>
      <c r="R2599" s="90">
        <v>1210</v>
      </c>
      <c r="S2599" s="90" t="s">
        <v>385</v>
      </c>
      <c r="T2599" s="90">
        <v>1210</v>
      </c>
      <c r="U2599" s="90" t="s">
        <v>378</v>
      </c>
      <c r="V2599" s="90" t="s">
        <v>244</v>
      </c>
      <c r="Z2599" s="90">
        <v>0</v>
      </c>
      <c r="AA2599" s="90">
        <v>1</v>
      </c>
      <c r="AB2599" s="90">
        <v>2.3020318879999202</v>
      </c>
      <c r="AC2599" s="90">
        <v>0.35561498231411998</v>
      </c>
      <c r="AD2599" s="90">
        <v>903.65939697254203</v>
      </c>
      <c r="AF2599" s="90">
        <v>-1</v>
      </c>
      <c r="AG2599" s="90">
        <v>-1</v>
      </c>
      <c r="AH2599" s="90">
        <v>-1</v>
      </c>
      <c r="AI2599" s="90">
        <v>-1</v>
      </c>
      <c r="AJ2599" s="90">
        <v>0</v>
      </c>
      <c r="AM2599" s="90" t="s">
        <v>379</v>
      </c>
      <c r="AN2599" s="90">
        <v>-1</v>
      </c>
      <c r="AQ2599" s="90">
        <v>358</v>
      </c>
      <c r="AR2599" s="90" t="s">
        <v>422</v>
      </c>
      <c r="AS2599" s="90" t="s">
        <v>250</v>
      </c>
      <c r="AT2599" s="90" t="s">
        <v>244</v>
      </c>
      <c r="AU2599" s="90">
        <v>86.412649999999999</v>
      </c>
      <c r="AV2599" s="90">
        <v>131.74983332824101</v>
      </c>
      <c r="AW2599" s="90">
        <v>984.22695201813303</v>
      </c>
      <c r="AX2599" s="90">
        <v>0.73289488810000003</v>
      </c>
    </row>
    <row r="2600" spans="1:50" x14ac:dyDescent="0.25">
      <c r="A2600" s="102">
        <v>830000</v>
      </c>
      <c r="B2600" s="102">
        <v>2400000</v>
      </c>
      <c r="C2600" s="102">
        <v>2500000</v>
      </c>
      <c r="D2600" s="90" t="s">
        <v>374</v>
      </c>
      <c r="E2600" s="90" t="s">
        <v>68</v>
      </c>
      <c r="F2600" s="90" t="s">
        <v>375</v>
      </c>
      <c r="G2600" s="90" t="s">
        <v>376</v>
      </c>
      <c r="H2600" s="90">
        <v>0.59</v>
      </c>
      <c r="I2600" s="90">
        <v>0.64</v>
      </c>
      <c r="J2600" s="90" t="s">
        <v>244</v>
      </c>
      <c r="K2600" s="90">
        <v>1.520030603556E-2</v>
      </c>
      <c r="L2600" s="90">
        <v>3715.5859497668598</v>
      </c>
      <c r="M2600" s="90">
        <v>9.4652889878903306</v>
      </c>
      <c r="N2600" s="90">
        <v>1.4621859034937801</v>
      </c>
      <c r="O2600" s="90">
        <v>0.14387528933093999</v>
      </c>
      <c r="P2600" s="90">
        <v>2.2225673213980002E-2</v>
      </c>
      <c r="Q2600" s="90">
        <v>56.478043537883202</v>
      </c>
      <c r="R2600" s="90">
        <v>1300</v>
      </c>
      <c r="S2600" s="90" t="s">
        <v>387</v>
      </c>
      <c r="T2600" s="90">
        <v>1300</v>
      </c>
      <c r="U2600" s="90" t="s">
        <v>378</v>
      </c>
      <c r="V2600" s="90" t="s">
        <v>244</v>
      </c>
      <c r="Z2600" s="90">
        <v>0</v>
      </c>
      <c r="AA2600" s="90">
        <v>1</v>
      </c>
      <c r="AB2600" s="90">
        <v>0.14387528933093999</v>
      </c>
      <c r="AC2600" s="90">
        <v>2.2225673213980002E-2</v>
      </c>
      <c r="AD2600" s="90">
        <v>56.4780435378851</v>
      </c>
      <c r="AF2600" s="90">
        <v>-1</v>
      </c>
      <c r="AG2600" s="90">
        <v>-1</v>
      </c>
      <c r="AH2600" s="90">
        <v>-1</v>
      </c>
      <c r="AI2600" s="90">
        <v>-1</v>
      </c>
      <c r="AJ2600" s="90">
        <v>0</v>
      </c>
      <c r="AM2600" s="90" t="s">
        <v>379</v>
      </c>
      <c r="AN2600" s="90">
        <v>-1</v>
      </c>
      <c r="AQ2600" s="90">
        <v>358</v>
      </c>
      <c r="AR2600" s="90" t="s">
        <v>422</v>
      </c>
      <c r="AS2600" s="90" t="s">
        <v>250</v>
      </c>
      <c r="AT2600" s="90" t="s">
        <v>244</v>
      </c>
      <c r="AU2600" s="90">
        <v>86.412649999999999</v>
      </c>
      <c r="AV2600" s="90">
        <v>31.823501939968001</v>
      </c>
      <c r="AW2600" s="90">
        <v>61.513456102453397</v>
      </c>
      <c r="AX2600" s="90">
        <v>4.5805388099999997E-2</v>
      </c>
    </row>
    <row r="2601" spans="1:50" x14ac:dyDescent="0.25">
      <c r="A2601" s="102">
        <v>830000</v>
      </c>
      <c r="B2601" s="102">
        <v>2400000</v>
      </c>
      <c r="C2601" s="102">
        <v>2500000</v>
      </c>
      <c r="D2601" s="90" t="s">
        <v>374</v>
      </c>
      <c r="E2601" s="90" t="s">
        <v>68</v>
      </c>
      <c r="F2601" s="90" t="s">
        <v>375</v>
      </c>
      <c r="G2601" s="90" t="s">
        <v>376</v>
      </c>
      <c r="H2601" s="90">
        <v>0.59</v>
      </c>
      <c r="I2601" s="90">
        <v>0.64</v>
      </c>
      <c r="J2601" s="90" t="s">
        <v>244</v>
      </c>
      <c r="K2601" s="90">
        <v>1.9101598353040001E-2</v>
      </c>
      <c r="L2601" s="90">
        <v>3715.5859497668598</v>
      </c>
      <c r="M2601" s="90">
        <v>9.4652889878903306</v>
      </c>
      <c r="N2601" s="90">
        <v>1.4621859034937801</v>
      </c>
      <c r="O2601" s="90">
        <v>0.1808021485422</v>
      </c>
      <c r="P2601" s="90">
        <v>2.793008784602E-2</v>
      </c>
      <c r="Q2601" s="90">
        <v>70.973630458671295</v>
      </c>
      <c r="R2601" s="90">
        <v>1330</v>
      </c>
      <c r="S2601" s="90" t="s">
        <v>397</v>
      </c>
      <c r="T2601" s="90">
        <v>1330</v>
      </c>
      <c r="U2601" s="90" t="s">
        <v>378</v>
      </c>
      <c r="V2601" s="90" t="s">
        <v>244</v>
      </c>
      <c r="Z2601" s="90">
        <v>0</v>
      </c>
      <c r="AA2601" s="90">
        <v>1</v>
      </c>
      <c r="AB2601" s="90">
        <v>0.1808021485422</v>
      </c>
      <c r="AC2601" s="90">
        <v>2.793008784602E-2</v>
      </c>
      <c r="AD2601" s="90">
        <v>70.973630458671295</v>
      </c>
      <c r="AF2601" s="90">
        <v>-1</v>
      </c>
      <c r="AG2601" s="90">
        <v>-1</v>
      </c>
      <c r="AH2601" s="90">
        <v>-1</v>
      </c>
      <c r="AI2601" s="90">
        <v>-1</v>
      </c>
      <c r="AJ2601" s="90">
        <v>0</v>
      </c>
      <c r="AM2601" s="90" t="s">
        <v>379</v>
      </c>
      <c r="AN2601" s="90">
        <v>-1</v>
      </c>
      <c r="AQ2601" s="90">
        <v>358</v>
      </c>
      <c r="AR2601" s="90" t="s">
        <v>422</v>
      </c>
      <c r="AS2601" s="90" t="s">
        <v>250</v>
      </c>
      <c r="AT2601" s="90" t="s">
        <v>244</v>
      </c>
      <c r="AU2601" s="90">
        <v>86.412649999999999</v>
      </c>
      <c r="AV2601" s="90">
        <v>35.544138863494602</v>
      </c>
      <c r="AW2601" s="90">
        <v>77.301425973133504</v>
      </c>
      <c r="AX2601" s="90">
        <v>5.7561744099999999E-2</v>
      </c>
    </row>
    <row r="2602" spans="1:50" x14ac:dyDescent="0.25">
      <c r="A2602" s="102">
        <v>830000</v>
      </c>
      <c r="B2602" s="102">
        <v>2400000</v>
      </c>
      <c r="C2602" s="102">
        <v>2500000</v>
      </c>
      <c r="D2602" s="90" t="s">
        <v>374</v>
      </c>
      <c r="E2602" s="90" t="s">
        <v>68</v>
      </c>
      <c r="F2602" s="90" t="s">
        <v>375</v>
      </c>
      <c r="G2602" s="90" t="s">
        <v>376</v>
      </c>
      <c r="H2602" s="90">
        <v>0.59</v>
      </c>
      <c r="I2602" s="90">
        <v>0.64</v>
      </c>
      <c r="J2602" s="90" t="s">
        <v>244</v>
      </c>
      <c r="K2602" s="90">
        <v>5.3647961224040003E-2</v>
      </c>
      <c r="L2602" s="90">
        <v>3715.5859497668598</v>
      </c>
      <c r="M2602" s="90">
        <v>9.4652889878903306</v>
      </c>
      <c r="N2602" s="90">
        <v>1.4621859034937801</v>
      </c>
      <c r="O2602" s="90">
        <v>0.50779345659673003</v>
      </c>
      <c r="P2602" s="90">
        <v>7.8443292652980001E-2</v>
      </c>
      <c r="Q2602" s="90">
        <v>199.333610957703</v>
      </c>
      <c r="R2602" s="90">
        <v>1300</v>
      </c>
      <c r="S2602" s="90" t="s">
        <v>387</v>
      </c>
      <c r="T2602" s="90">
        <v>1300</v>
      </c>
      <c r="U2602" s="90" t="s">
        <v>378</v>
      </c>
      <c r="V2602" s="90" t="s">
        <v>244</v>
      </c>
      <c r="Z2602" s="90">
        <v>0</v>
      </c>
      <c r="AA2602" s="90">
        <v>1</v>
      </c>
      <c r="AB2602" s="90">
        <v>0.50779345659673003</v>
      </c>
      <c r="AC2602" s="90">
        <v>7.8443292652980001E-2</v>
      </c>
      <c r="AD2602" s="90">
        <v>199.333610957703</v>
      </c>
      <c r="AF2602" s="90">
        <v>-1</v>
      </c>
      <c r="AG2602" s="90">
        <v>-1</v>
      </c>
      <c r="AH2602" s="90">
        <v>-1</v>
      </c>
      <c r="AI2602" s="90">
        <v>-1</v>
      </c>
      <c r="AJ2602" s="90">
        <v>0</v>
      </c>
      <c r="AM2602" s="90" t="s">
        <v>379</v>
      </c>
      <c r="AN2602" s="90">
        <v>-1</v>
      </c>
      <c r="AQ2602" s="90">
        <v>358</v>
      </c>
      <c r="AR2602" s="90" t="s">
        <v>422</v>
      </c>
      <c r="AS2602" s="90" t="s">
        <v>250</v>
      </c>
      <c r="AT2602" s="90" t="s">
        <v>244</v>
      </c>
      <c r="AU2602" s="90">
        <v>86.412649999999999</v>
      </c>
      <c r="AV2602" s="90">
        <v>75.314826628748094</v>
      </c>
      <c r="AW2602" s="90">
        <v>217.105596428197</v>
      </c>
      <c r="AX2602" s="90">
        <v>0.1616655401</v>
      </c>
    </row>
    <row r="2603" spans="1:50" x14ac:dyDescent="0.25">
      <c r="A2603" s="102">
        <v>830000</v>
      </c>
      <c r="B2603" s="102">
        <v>2400000</v>
      </c>
      <c r="C2603" s="102">
        <v>2500000</v>
      </c>
      <c r="D2603" s="90" t="s">
        <v>374</v>
      </c>
      <c r="E2603" s="90" t="s">
        <v>68</v>
      </c>
      <c r="F2603" s="90" t="s">
        <v>375</v>
      </c>
      <c r="G2603" s="90" t="s">
        <v>376</v>
      </c>
      <c r="H2603" s="90">
        <v>0.59</v>
      </c>
      <c r="I2603" s="90">
        <v>0.64</v>
      </c>
      <c r="J2603" s="90" t="s">
        <v>244</v>
      </c>
      <c r="K2603" s="90">
        <v>5.0944896163339998E-2</v>
      </c>
      <c r="L2603" s="90">
        <v>3756.5087152749502</v>
      </c>
      <c r="M2603" s="90">
        <v>10.731421619887399</v>
      </c>
      <c r="N2603" s="90">
        <v>2.04574033894882</v>
      </c>
      <c r="O2603" s="90">
        <v>0.54671116011017995</v>
      </c>
      <c r="P2603" s="90">
        <v>0.1042200291449</v>
      </c>
      <c r="Q2603" s="90">
        <v>191.37494643636401</v>
      </c>
      <c r="R2603" s="90">
        <v>1200</v>
      </c>
      <c r="S2603" s="90" t="s">
        <v>384</v>
      </c>
      <c r="T2603" s="90">
        <v>1200</v>
      </c>
      <c r="U2603" s="90" t="s">
        <v>378</v>
      </c>
      <c r="V2603" s="90" t="s">
        <v>244</v>
      </c>
      <c r="Z2603" s="90">
        <v>0</v>
      </c>
      <c r="AA2603" s="90">
        <v>1</v>
      </c>
      <c r="AB2603" s="90">
        <v>0.54671116011017995</v>
      </c>
      <c r="AC2603" s="90">
        <v>0.1042200291449</v>
      </c>
      <c r="AD2603" s="90">
        <v>191.374946436366</v>
      </c>
      <c r="AF2603" s="90">
        <v>-1</v>
      </c>
      <c r="AG2603" s="90">
        <v>-1</v>
      </c>
      <c r="AH2603" s="90">
        <v>-1</v>
      </c>
      <c r="AI2603" s="90">
        <v>-1</v>
      </c>
      <c r="AJ2603" s="90">
        <v>0</v>
      </c>
      <c r="AM2603" s="90" t="s">
        <v>379</v>
      </c>
      <c r="AN2603" s="90">
        <v>-1</v>
      </c>
      <c r="AQ2603" s="90">
        <v>358</v>
      </c>
      <c r="AR2603" s="90" t="s">
        <v>422</v>
      </c>
      <c r="AS2603" s="90" t="s">
        <v>250</v>
      </c>
      <c r="AT2603" s="90" t="s">
        <v>244</v>
      </c>
      <c r="AU2603" s="90">
        <v>86.412649999999999</v>
      </c>
      <c r="AV2603" s="90">
        <v>115.043430203131</v>
      </c>
      <c r="AW2603" s="90">
        <v>206.16668022711499</v>
      </c>
      <c r="AX2603" s="90">
        <v>0.1552108244</v>
      </c>
    </row>
    <row r="2604" spans="1:50" x14ac:dyDescent="0.25">
      <c r="A2604" s="102">
        <v>830000</v>
      </c>
      <c r="B2604" s="102">
        <v>2400000</v>
      </c>
      <c r="C2604" s="102">
        <v>2500000</v>
      </c>
      <c r="D2604" s="90" t="s">
        <v>374</v>
      </c>
      <c r="E2604" s="90" t="s">
        <v>68</v>
      </c>
      <c r="F2604" s="90" t="s">
        <v>375</v>
      </c>
      <c r="G2604" s="90" t="s">
        <v>376</v>
      </c>
      <c r="H2604" s="90">
        <v>0.59</v>
      </c>
      <c r="I2604" s="90">
        <v>0.64</v>
      </c>
      <c r="J2604" s="90" t="s">
        <v>244</v>
      </c>
      <c r="K2604" s="90">
        <v>1.6439446963829998E-2</v>
      </c>
      <c r="L2604" s="90">
        <v>3756.5087152749502</v>
      </c>
      <c r="M2604" s="90">
        <v>10.731421619887399</v>
      </c>
      <c r="N2604" s="90">
        <v>2.04574033894882</v>
      </c>
      <c r="O2604" s="90">
        <v>0.17641863656667001</v>
      </c>
      <c r="P2604" s="90">
        <v>3.3630839803920003E-2</v>
      </c>
      <c r="Q2604" s="90">
        <v>61.754925793939002</v>
      </c>
      <c r="R2604" s="90">
        <v>1210</v>
      </c>
      <c r="S2604" s="90" t="s">
        <v>385</v>
      </c>
      <c r="T2604" s="90">
        <v>1210</v>
      </c>
      <c r="U2604" s="90" t="s">
        <v>378</v>
      </c>
      <c r="V2604" s="90" t="s">
        <v>244</v>
      </c>
      <c r="Z2604" s="90">
        <v>0</v>
      </c>
      <c r="AA2604" s="90">
        <v>1</v>
      </c>
      <c r="AB2604" s="90">
        <v>0.17641863656667001</v>
      </c>
      <c r="AC2604" s="90">
        <v>3.3630839803920003E-2</v>
      </c>
      <c r="AD2604" s="90">
        <v>61.754925793937502</v>
      </c>
      <c r="AF2604" s="90">
        <v>-1</v>
      </c>
      <c r="AG2604" s="90">
        <v>-1</v>
      </c>
      <c r="AH2604" s="90">
        <v>-1</v>
      </c>
      <c r="AI2604" s="90">
        <v>-1</v>
      </c>
      <c r="AJ2604" s="90">
        <v>0</v>
      </c>
      <c r="AM2604" s="90" t="s">
        <v>379</v>
      </c>
      <c r="AN2604" s="90">
        <v>-1</v>
      </c>
      <c r="AQ2604" s="90">
        <v>358</v>
      </c>
      <c r="AR2604" s="90" t="s">
        <v>422</v>
      </c>
      <c r="AS2604" s="90" t="s">
        <v>250</v>
      </c>
      <c r="AT2604" s="90" t="s">
        <v>244</v>
      </c>
      <c r="AU2604" s="90">
        <v>86.412649999999999</v>
      </c>
      <c r="AV2604" s="90">
        <v>43.5370042823278</v>
      </c>
      <c r="AW2604" s="90">
        <v>66.528081526290094</v>
      </c>
      <c r="AX2604" s="90">
        <v>5.0085098000000002E-2</v>
      </c>
    </row>
    <row r="2605" spans="1:50" x14ac:dyDescent="0.25">
      <c r="A2605" s="102">
        <v>830000</v>
      </c>
      <c r="B2605" s="102">
        <v>2400000</v>
      </c>
      <c r="C2605" s="102">
        <v>2500000</v>
      </c>
      <c r="D2605" s="90" t="s">
        <v>374</v>
      </c>
      <c r="E2605" s="90" t="s">
        <v>68</v>
      </c>
      <c r="F2605" s="90" t="s">
        <v>375</v>
      </c>
      <c r="G2605" s="90" t="s">
        <v>376</v>
      </c>
      <c r="H2605" s="90">
        <v>0.59</v>
      </c>
      <c r="I2605" s="90">
        <v>0.64</v>
      </c>
      <c r="J2605" s="90" t="s">
        <v>244</v>
      </c>
      <c r="K2605" s="90">
        <v>2.1090128194599999E-2</v>
      </c>
      <c r="L2605" s="90">
        <v>3756.5087152749502</v>
      </c>
      <c r="M2605" s="90">
        <v>10.731421619887399</v>
      </c>
      <c r="N2605" s="90">
        <v>2.04574033894882</v>
      </c>
      <c r="O2605" s="90">
        <v>0.22632705767375999</v>
      </c>
      <c r="P2605" s="90">
        <v>4.3144926001300002E-2</v>
      </c>
      <c r="Q2605" s="90">
        <v>79.225250369292098</v>
      </c>
      <c r="R2605" s="90">
        <v>1210</v>
      </c>
      <c r="S2605" s="90" t="s">
        <v>385</v>
      </c>
      <c r="T2605" s="90">
        <v>1210</v>
      </c>
      <c r="U2605" s="90" t="s">
        <v>378</v>
      </c>
      <c r="V2605" s="90" t="s">
        <v>244</v>
      </c>
      <c r="Z2605" s="90">
        <v>0</v>
      </c>
      <c r="AA2605" s="90">
        <v>1</v>
      </c>
      <c r="AB2605" s="90">
        <v>0.22632705767375999</v>
      </c>
      <c r="AC2605" s="90">
        <v>4.3144926001300002E-2</v>
      </c>
      <c r="AD2605" s="90">
        <v>79.225250369292098</v>
      </c>
      <c r="AF2605" s="90">
        <v>-1</v>
      </c>
      <c r="AG2605" s="90">
        <v>-1</v>
      </c>
      <c r="AH2605" s="90">
        <v>-1</v>
      </c>
      <c r="AI2605" s="90">
        <v>-1</v>
      </c>
      <c r="AJ2605" s="90">
        <v>0</v>
      </c>
      <c r="AM2605" s="90" t="s">
        <v>379</v>
      </c>
      <c r="AN2605" s="90">
        <v>-1</v>
      </c>
      <c r="AQ2605" s="90">
        <v>358</v>
      </c>
      <c r="AR2605" s="90" t="s">
        <v>422</v>
      </c>
      <c r="AS2605" s="90" t="s">
        <v>250</v>
      </c>
      <c r="AT2605" s="90" t="s">
        <v>244</v>
      </c>
      <c r="AU2605" s="90">
        <v>86.412649999999999</v>
      </c>
      <c r="AV2605" s="90">
        <v>52.177060158984098</v>
      </c>
      <c r="AW2605" s="90">
        <v>85.348720733568399</v>
      </c>
      <c r="AX2605" s="90">
        <v>6.4254055399999996E-2</v>
      </c>
    </row>
    <row r="2606" spans="1:50" x14ac:dyDescent="0.25">
      <c r="A2606" s="102">
        <v>830000</v>
      </c>
      <c r="B2606" s="102">
        <v>2400000</v>
      </c>
      <c r="C2606" s="102">
        <v>2500000</v>
      </c>
      <c r="D2606" s="90" t="s">
        <v>374</v>
      </c>
      <c r="E2606" s="90" t="s">
        <v>68</v>
      </c>
      <c r="F2606" s="90" t="s">
        <v>375</v>
      </c>
      <c r="G2606" s="90" t="s">
        <v>376</v>
      </c>
      <c r="H2606" s="90">
        <v>0.59</v>
      </c>
      <c r="I2606" s="90">
        <v>0.64</v>
      </c>
      <c r="J2606" s="90" t="s">
        <v>244</v>
      </c>
      <c r="K2606" s="90">
        <v>0.11674249783090999</v>
      </c>
      <c r="L2606" s="90">
        <v>3718.2889623159799</v>
      </c>
      <c r="M2606" s="90">
        <v>9.5841963074588996</v>
      </c>
      <c r="N2606" s="90">
        <v>1.5179571950383</v>
      </c>
      <c r="O2606" s="90">
        <v>1.11888301663457</v>
      </c>
      <c r="P2606" s="90">
        <v>0.17721011454918001</v>
      </c>
      <c r="Q2606" s="90">
        <v>434.08234111788499</v>
      </c>
      <c r="R2606" s="90">
        <v>1200</v>
      </c>
      <c r="S2606" s="90" t="s">
        <v>384</v>
      </c>
      <c r="T2606" s="90">
        <v>1200</v>
      </c>
      <c r="U2606" s="90" t="s">
        <v>378</v>
      </c>
      <c r="V2606" s="90" t="s">
        <v>244</v>
      </c>
      <c r="Z2606" s="90">
        <v>0</v>
      </c>
      <c r="AA2606" s="90">
        <v>1</v>
      </c>
      <c r="AB2606" s="90">
        <v>1.11888301663457</v>
      </c>
      <c r="AC2606" s="90">
        <v>0.17721011454918001</v>
      </c>
      <c r="AD2606" s="90">
        <v>434.08234111788499</v>
      </c>
      <c r="AF2606" s="90">
        <v>-1</v>
      </c>
      <c r="AG2606" s="90">
        <v>-1</v>
      </c>
      <c r="AH2606" s="90">
        <v>-1</v>
      </c>
      <c r="AI2606" s="90">
        <v>-1</v>
      </c>
      <c r="AJ2606" s="90">
        <v>0</v>
      </c>
      <c r="AM2606" s="90" t="s">
        <v>379</v>
      </c>
      <c r="AN2606" s="90">
        <v>-1</v>
      </c>
      <c r="AQ2606" s="90">
        <v>358</v>
      </c>
      <c r="AR2606" s="90" t="s">
        <v>422</v>
      </c>
      <c r="AS2606" s="90" t="s">
        <v>250</v>
      </c>
      <c r="AT2606" s="90" t="s">
        <v>244</v>
      </c>
      <c r="AU2606" s="90">
        <v>86.412649999999999</v>
      </c>
      <c r="AV2606" s="90">
        <v>159.21606556499401</v>
      </c>
      <c r="AW2606" s="90">
        <v>472.44012711405401</v>
      </c>
      <c r="AX2606" s="90">
        <v>0.35205380460000002</v>
      </c>
    </row>
    <row r="2607" spans="1:50" x14ac:dyDescent="0.25">
      <c r="A2607" s="102">
        <v>830000</v>
      </c>
      <c r="B2607" s="102">
        <v>2400000</v>
      </c>
      <c r="C2607" s="102">
        <v>2500000</v>
      </c>
      <c r="D2607" s="90" t="s">
        <v>374</v>
      </c>
      <c r="E2607" s="90" t="s">
        <v>68</v>
      </c>
      <c r="F2607" s="90" t="s">
        <v>375</v>
      </c>
      <c r="G2607" s="90" t="s">
        <v>376</v>
      </c>
      <c r="H2607" s="90">
        <v>0.59</v>
      </c>
      <c r="I2607" s="90">
        <v>0.64</v>
      </c>
      <c r="J2607" s="90" t="s">
        <v>244</v>
      </c>
      <c r="K2607" s="90">
        <v>0.10981233869581</v>
      </c>
      <c r="L2607" s="90">
        <v>3718.2889623159799</v>
      </c>
      <c r="M2607" s="90">
        <v>9.5841963074588996</v>
      </c>
      <c r="N2607" s="90">
        <v>1.5179571950383</v>
      </c>
      <c r="O2607" s="90">
        <v>1.0524630110418001</v>
      </c>
      <c r="P2607" s="90">
        <v>0.16669042962728001</v>
      </c>
      <c r="Q2607" s="90">
        <v>408.31400689873499</v>
      </c>
      <c r="R2607" s="90">
        <v>1300</v>
      </c>
      <c r="S2607" s="90" t="s">
        <v>387</v>
      </c>
      <c r="T2607" s="90">
        <v>1300</v>
      </c>
      <c r="U2607" s="90" t="s">
        <v>378</v>
      </c>
      <c r="V2607" s="90" t="s">
        <v>244</v>
      </c>
      <c r="Z2607" s="90">
        <v>0</v>
      </c>
      <c r="AA2607" s="90">
        <v>1</v>
      </c>
      <c r="AB2607" s="90">
        <v>1.0524630110418001</v>
      </c>
      <c r="AC2607" s="90">
        <v>0.16669042962728001</v>
      </c>
      <c r="AD2607" s="90">
        <v>408.31400689873499</v>
      </c>
      <c r="AF2607" s="90">
        <v>-1</v>
      </c>
      <c r="AG2607" s="90">
        <v>-1</v>
      </c>
      <c r="AH2607" s="90">
        <v>-1</v>
      </c>
      <c r="AI2607" s="90">
        <v>-1</v>
      </c>
      <c r="AJ2607" s="90">
        <v>0</v>
      </c>
      <c r="AM2607" s="90" t="s">
        <v>379</v>
      </c>
      <c r="AN2607" s="90">
        <v>-1</v>
      </c>
      <c r="AQ2607" s="90">
        <v>358</v>
      </c>
      <c r="AR2607" s="90" t="s">
        <v>422</v>
      </c>
      <c r="AS2607" s="90" t="s">
        <v>250</v>
      </c>
      <c r="AT2607" s="90" t="s">
        <v>244</v>
      </c>
      <c r="AU2607" s="90">
        <v>86.412649999999999</v>
      </c>
      <c r="AV2607" s="90">
        <v>102.15135258127999</v>
      </c>
      <c r="AW2607" s="90">
        <v>444.39476810990197</v>
      </c>
      <c r="AX2607" s="90">
        <v>0.33115491229999999</v>
      </c>
    </row>
    <row r="2608" spans="1:50" x14ac:dyDescent="0.25">
      <c r="A2608" s="102">
        <v>830000</v>
      </c>
      <c r="B2608" s="102">
        <v>2400000</v>
      </c>
      <c r="C2608" s="102">
        <v>2500000</v>
      </c>
      <c r="D2608" s="90" t="s">
        <v>374</v>
      </c>
      <c r="E2608" s="90" t="s">
        <v>68</v>
      </c>
      <c r="F2608" s="90" t="s">
        <v>375</v>
      </c>
      <c r="G2608" s="90" t="s">
        <v>376</v>
      </c>
      <c r="H2608" s="90">
        <v>0.59</v>
      </c>
      <c r="I2608" s="90">
        <v>0.64</v>
      </c>
      <c r="J2608" s="90" t="s">
        <v>244</v>
      </c>
      <c r="K2608" s="90">
        <v>7.979087046385E-2</v>
      </c>
      <c r="L2608" s="90">
        <v>3718.2889623159799</v>
      </c>
      <c r="M2608" s="90">
        <v>9.5841963074588996</v>
      </c>
      <c r="N2608" s="90">
        <v>1.5179571950383</v>
      </c>
      <c r="O2608" s="90">
        <v>0.76473136606860004</v>
      </c>
      <c r="P2608" s="90">
        <v>0.12111912591897001</v>
      </c>
      <c r="Q2608" s="90">
        <v>296.68551293933302</v>
      </c>
      <c r="R2608" s="90">
        <v>1210</v>
      </c>
      <c r="S2608" s="90" t="s">
        <v>385</v>
      </c>
      <c r="T2608" s="90">
        <v>1210</v>
      </c>
      <c r="U2608" s="90" t="s">
        <v>378</v>
      </c>
      <c r="V2608" s="90" t="s">
        <v>244</v>
      </c>
      <c r="Z2608" s="90">
        <v>0</v>
      </c>
      <c r="AA2608" s="90">
        <v>1</v>
      </c>
      <c r="AB2608" s="90">
        <v>0.76473136606860004</v>
      </c>
      <c r="AC2608" s="90">
        <v>0.12111912591897001</v>
      </c>
      <c r="AD2608" s="90">
        <v>296.68551293933302</v>
      </c>
      <c r="AF2608" s="90">
        <v>-1</v>
      </c>
      <c r="AG2608" s="90">
        <v>-1</v>
      </c>
      <c r="AH2608" s="90">
        <v>-1</v>
      </c>
      <c r="AI2608" s="90">
        <v>-1</v>
      </c>
      <c r="AJ2608" s="90">
        <v>0</v>
      </c>
      <c r="AM2608" s="90" t="s">
        <v>379</v>
      </c>
      <c r="AN2608" s="90">
        <v>-1</v>
      </c>
      <c r="AQ2608" s="90">
        <v>358</v>
      </c>
      <c r="AR2608" s="90" t="s">
        <v>422</v>
      </c>
      <c r="AS2608" s="90" t="s">
        <v>250</v>
      </c>
      <c r="AT2608" s="90" t="s">
        <v>244</v>
      </c>
      <c r="AU2608" s="90">
        <v>86.412649999999999</v>
      </c>
      <c r="AV2608" s="90">
        <v>95.4796190506177</v>
      </c>
      <c r="AW2608" s="90">
        <v>322.902196585534</v>
      </c>
      <c r="AX2608" s="90">
        <v>0.240620854</v>
      </c>
    </row>
    <row r="2609" spans="1:50" x14ac:dyDescent="0.25">
      <c r="A2609" s="102">
        <v>830000</v>
      </c>
      <c r="B2609" s="102">
        <v>2400000</v>
      </c>
      <c r="C2609" s="102">
        <v>2500000</v>
      </c>
      <c r="D2609" s="90" t="s">
        <v>374</v>
      </c>
      <c r="E2609" s="90" t="s">
        <v>68</v>
      </c>
      <c r="F2609" s="90" t="s">
        <v>375</v>
      </c>
      <c r="G2609" s="90" t="s">
        <v>376</v>
      </c>
      <c r="H2609" s="90">
        <v>0.59</v>
      </c>
      <c r="I2609" s="90">
        <v>0.64</v>
      </c>
      <c r="J2609" s="90" t="s">
        <v>244</v>
      </c>
      <c r="K2609" s="90">
        <v>2.6143965694419999E-2</v>
      </c>
      <c r="L2609" s="90">
        <v>3718.2889623159799</v>
      </c>
      <c r="M2609" s="90">
        <v>9.5841963074588996</v>
      </c>
      <c r="N2609" s="90">
        <v>1.5179571950383</v>
      </c>
      <c r="O2609" s="90">
        <v>0.25056889947085997</v>
      </c>
      <c r="P2609" s="90">
        <v>3.9685420832689999E-2</v>
      </c>
      <c r="Q2609" s="90">
        <v>97.210819072759506</v>
      </c>
      <c r="R2609" s="90">
        <v>1340</v>
      </c>
      <c r="S2609" s="90" t="s">
        <v>407</v>
      </c>
      <c r="T2609" s="90">
        <v>1340</v>
      </c>
      <c r="U2609" s="90" t="s">
        <v>378</v>
      </c>
      <c r="V2609" s="90" t="s">
        <v>244</v>
      </c>
      <c r="Z2609" s="90">
        <v>0</v>
      </c>
      <c r="AA2609" s="90">
        <v>1</v>
      </c>
      <c r="AB2609" s="90">
        <v>0.25056889947085997</v>
      </c>
      <c r="AC2609" s="90">
        <v>3.9685420832689999E-2</v>
      </c>
      <c r="AD2609" s="90">
        <v>97.210819072757999</v>
      </c>
      <c r="AF2609" s="90">
        <v>-1</v>
      </c>
      <c r="AG2609" s="90">
        <v>-1</v>
      </c>
      <c r="AH2609" s="90">
        <v>-1</v>
      </c>
      <c r="AI2609" s="90">
        <v>-1</v>
      </c>
      <c r="AJ2609" s="90">
        <v>0</v>
      </c>
      <c r="AM2609" s="90" t="s">
        <v>379</v>
      </c>
      <c r="AN2609" s="90">
        <v>-1</v>
      </c>
      <c r="AQ2609" s="90">
        <v>358</v>
      </c>
      <c r="AR2609" s="90" t="s">
        <v>422</v>
      </c>
      <c r="AS2609" s="90" t="s">
        <v>250</v>
      </c>
      <c r="AT2609" s="90" t="s">
        <v>244</v>
      </c>
      <c r="AU2609" s="90">
        <v>86.412649999999999</v>
      </c>
      <c r="AV2609" s="90">
        <v>41.172886620177799</v>
      </c>
      <c r="AW2609" s="90">
        <v>105.80087547749901</v>
      </c>
      <c r="AX2609" s="90">
        <v>7.8840891400000002E-2</v>
      </c>
    </row>
    <row r="2610" spans="1:50" x14ac:dyDescent="0.25">
      <c r="A2610" s="102">
        <v>830000</v>
      </c>
      <c r="B2610" s="102">
        <v>2400000</v>
      </c>
      <c r="C2610" s="102">
        <v>2500000</v>
      </c>
      <c r="D2610" s="90" t="s">
        <v>374</v>
      </c>
      <c r="E2610" s="90" t="s">
        <v>68</v>
      </c>
      <c r="F2610" s="90" t="s">
        <v>375</v>
      </c>
      <c r="G2610" s="90" t="s">
        <v>376</v>
      </c>
      <c r="H2610" s="90">
        <v>0.59</v>
      </c>
      <c r="I2610" s="90">
        <v>0.64</v>
      </c>
      <c r="J2610" s="90" t="s">
        <v>244</v>
      </c>
      <c r="K2610" s="90">
        <v>0.15126064339528</v>
      </c>
      <c r="L2610" s="90">
        <v>3718.2889623159799</v>
      </c>
      <c r="M2610" s="90">
        <v>9.5841963074588996</v>
      </c>
      <c r="N2610" s="90">
        <v>1.5179571950383</v>
      </c>
      <c r="O2610" s="90">
        <v>1.44971169989298</v>
      </c>
      <c r="P2610" s="90">
        <v>0.22960718196800001</v>
      </c>
      <c r="Q2610" s="90">
        <v>562.43078076951701</v>
      </c>
      <c r="R2610" s="90">
        <v>1210</v>
      </c>
      <c r="S2610" s="90" t="s">
        <v>385</v>
      </c>
      <c r="T2610" s="90">
        <v>1210</v>
      </c>
      <c r="U2610" s="90" t="s">
        <v>378</v>
      </c>
      <c r="V2610" s="90" t="s">
        <v>244</v>
      </c>
      <c r="Z2610" s="90">
        <v>0</v>
      </c>
      <c r="AA2610" s="90">
        <v>1</v>
      </c>
      <c r="AB2610" s="90">
        <v>1.44971169989298</v>
      </c>
      <c r="AC2610" s="90">
        <v>0.22960718196800001</v>
      </c>
      <c r="AD2610" s="90">
        <v>562.43078076951701</v>
      </c>
      <c r="AF2610" s="90">
        <v>-1</v>
      </c>
      <c r="AG2610" s="90">
        <v>-1</v>
      </c>
      <c r="AH2610" s="90">
        <v>-1</v>
      </c>
      <c r="AI2610" s="90">
        <v>-1</v>
      </c>
      <c r="AJ2610" s="90">
        <v>0</v>
      </c>
      <c r="AM2610" s="90" t="s">
        <v>379</v>
      </c>
      <c r="AN2610" s="90">
        <v>-1</v>
      </c>
      <c r="AQ2610" s="90">
        <v>358</v>
      </c>
      <c r="AR2610" s="90" t="s">
        <v>422</v>
      </c>
      <c r="AS2610" s="90" t="s">
        <v>250</v>
      </c>
      <c r="AT2610" s="90" t="s">
        <v>244</v>
      </c>
      <c r="AU2610" s="90">
        <v>86.412649999999999</v>
      </c>
      <c r="AV2610" s="90">
        <v>109.265606778015</v>
      </c>
      <c r="AW2610" s="90">
        <v>612.13010618058001</v>
      </c>
      <c r="AX2610" s="90">
        <v>0.45614824069999999</v>
      </c>
    </row>
    <row r="2611" spans="1:50" x14ac:dyDescent="0.25">
      <c r="A2611" s="102">
        <v>830000</v>
      </c>
      <c r="B2611" s="102">
        <v>2400000</v>
      </c>
      <c r="C2611" s="102">
        <v>2500000</v>
      </c>
      <c r="D2611" s="90" t="s">
        <v>374</v>
      </c>
      <c r="E2611" s="90" t="s">
        <v>68</v>
      </c>
      <c r="F2611" s="90" t="s">
        <v>375</v>
      </c>
      <c r="G2611" s="90" t="s">
        <v>376</v>
      </c>
      <c r="H2611" s="90">
        <v>0.59</v>
      </c>
      <c r="I2611" s="90">
        <v>0.64</v>
      </c>
      <c r="J2611" s="90" t="s">
        <v>244</v>
      </c>
      <c r="K2611" s="90">
        <v>0.13401313758760999</v>
      </c>
      <c r="L2611" s="90">
        <v>3718.2889623159799</v>
      </c>
      <c r="M2611" s="90">
        <v>9.5841963074588996</v>
      </c>
      <c r="N2611" s="90">
        <v>1.5179571950383</v>
      </c>
      <c r="O2611" s="90">
        <v>1.2844082184182399</v>
      </c>
      <c r="P2611" s="90">
        <v>0.20342620643077999</v>
      </c>
      <c r="Q2611" s="90">
        <v>498.29957029737699</v>
      </c>
      <c r="R2611" s="90">
        <v>1210</v>
      </c>
      <c r="S2611" s="90" t="s">
        <v>385</v>
      </c>
      <c r="T2611" s="90">
        <v>1210</v>
      </c>
      <c r="U2611" s="90" t="s">
        <v>378</v>
      </c>
      <c r="V2611" s="90" t="s">
        <v>244</v>
      </c>
      <c r="Z2611" s="90">
        <v>0</v>
      </c>
      <c r="AA2611" s="90">
        <v>1</v>
      </c>
      <c r="AB2611" s="90">
        <v>1.2844082184182399</v>
      </c>
      <c r="AC2611" s="90">
        <v>0.20342620643077999</v>
      </c>
      <c r="AD2611" s="90">
        <v>498.29957029737699</v>
      </c>
      <c r="AF2611" s="90">
        <v>-1</v>
      </c>
      <c r="AG2611" s="90">
        <v>-1</v>
      </c>
      <c r="AH2611" s="90">
        <v>-1</v>
      </c>
      <c r="AI2611" s="90">
        <v>-1</v>
      </c>
      <c r="AJ2611" s="90">
        <v>0</v>
      </c>
      <c r="AM2611" s="90" t="s">
        <v>379</v>
      </c>
      <c r="AN2611" s="90">
        <v>-1</v>
      </c>
      <c r="AQ2611" s="90">
        <v>358</v>
      </c>
      <c r="AR2611" s="90" t="s">
        <v>422</v>
      </c>
      <c r="AS2611" s="90" t="s">
        <v>250</v>
      </c>
      <c r="AT2611" s="90" t="s">
        <v>244</v>
      </c>
      <c r="AU2611" s="90">
        <v>86.412649999999999</v>
      </c>
      <c r="AV2611" s="90">
        <v>104.41984326572</v>
      </c>
      <c r="AW2611" s="90">
        <v>542.33192653242895</v>
      </c>
      <c r="AX2611" s="90">
        <v>0.40413590449999998</v>
      </c>
    </row>
    <row r="2612" spans="1:50" x14ac:dyDescent="0.25">
      <c r="A2612" s="102">
        <v>830000</v>
      </c>
      <c r="B2612" s="102">
        <v>2400000</v>
      </c>
      <c r="C2612" s="102">
        <v>2500000</v>
      </c>
      <c r="D2612" s="90" t="s">
        <v>374</v>
      </c>
      <c r="E2612" s="90" t="s">
        <v>68</v>
      </c>
      <c r="F2612" s="90" t="s">
        <v>375</v>
      </c>
      <c r="G2612" s="90" t="s">
        <v>376</v>
      </c>
      <c r="H2612" s="90">
        <v>0.59</v>
      </c>
      <c r="I2612" s="90">
        <v>0.64</v>
      </c>
      <c r="J2612" s="90" t="s">
        <v>244</v>
      </c>
      <c r="K2612" s="90">
        <v>7.9392901353699998E-3</v>
      </c>
      <c r="L2612" s="90">
        <v>3754.9419571742701</v>
      </c>
      <c r="M2612" s="90">
        <v>10.573213638594</v>
      </c>
      <c r="N2612" s="90">
        <v>1.9829423717950501</v>
      </c>
      <c r="O2612" s="90">
        <v>8.3943810740050001E-2</v>
      </c>
      <c r="P2612" s="90">
        <v>1.5743154811400002E-2</v>
      </c>
      <c r="Q2612" s="90">
        <v>29.811573639480599</v>
      </c>
      <c r="R2612" s="90">
        <v>1200</v>
      </c>
      <c r="S2612" s="90" t="s">
        <v>384</v>
      </c>
      <c r="T2612" s="90">
        <v>1200</v>
      </c>
      <c r="U2612" s="90" t="s">
        <v>378</v>
      </c>
      <c r="V2612" s="90" t="s">
        <v>244</v>
      </c>
      <c r="Z2612" s="90">
        <v>0</v>
      </c>
      <c r="AA2612" s="90">
        <v>1</v>
      </c>
      <c r="AB2612" s="90">
        <v>8.3943810740050001E-2</v>
      </c>
      <c r="AC2612" s="90">
        <v>1.5743154811400002E-2</v>
      </c>
      <c r="AD2612" s="90">
        <v>29.811573639478901</v>
      </c>
      <c r="AF2612" s="90">
        <v>-1</v>
      </c>
      <c r="AG2612" s="90">
        <v>-1</v>
      </c>
      <c r="AH2612" s="90">
        <v>-1</v>
      </c>
      <c r="AI2612" s="90">
        <v>-1</v>
      </c>
      <c r="AJ2612" s="90">
        <v>0</v>
      </c>
      <c r="AM2612" s="90" t="s">
        <v>379</v>
      </c>
      <c r="AN2612" s="90">
        <v>-1</v>
      </c>
      <c r="AQ2612" s="90">
        <v>358</v>
      </c>
      <c r="AR2612" s="90" t="s">
        <v>422</v>
      </c>
      <c r="AS2612" s="90" t="s">
        <v>250</v>
      </c>
      <c r="AT2612" s="90" t="s">
        <v>244</v>
      </c>
      <c r="AU2612" s="90">
        <v>86.412649999999999</v>
      </c>
      <c r="AV2612" s="90">
        <v>67.4240621387993</v>
      </c>
      <c r="AW2612" s="90">
        <v>32.129167273617199</v>
      </c>
      <c r="AX2612" s="90">
        <v>2.4178080800000001E-2</v>
      </c>
    </row>
    <row r="2613" spans="1:50" x14ac:dyDescent="0.25">
      <c r="A2613" s="102">
        <v>830000</v>
      </c>
      <c r="B2613" s="102">
        <v>2400000</v>
      </c>
      <c r="C2613" s="102">
        <v>2500000</v>
      </c>
      <c r="D2613" s="90" t="s">
        <v>374</v>
      </c>
      <c r="E2613" s="90" t="s">
        <v>68</v>
      </c>
      <c r="F2613" s="90" t="s">
        <v>375</v>
      </c>
      <c r="G2613" s="90" t="s">
        <v>376</v>
      </c>
      <c r="H2613" s="90">
        <v>0.59</v>
      </c>
      <c r="I2613" s="90">
        <v>0.64</v>
      </c>
      <c r="J2613" s="90" t="s">
        <v>244</v>
      </c>
      <c r="K2613" s="90">
        <v>4.4504225028900004E-3</v>
      </c>
      <c r="L2613" s="90">
        <v>3754.9419571742701</v>
      </c>
      <c r="M2613" s="90">
        <v>10.573213638594</v>
      </c>
      <c r="N2613" s="90">
        <v>1.9829423717950501</v>
      </c>
      <c r="O2613" s="90">
        <v>4.7055267905119998E-2</v>
      </c>
      <c r="P2613" s="90">
        <v>8.82493135338E-3</v>
      </c>
      <c r="Q2613" s="90">
        <v>16.711078183276701</v>
      </c>
      <c r="R2613" s="90">
        <v>1210</v>
      </c>
      <c r="S2613" s="90" t="s">
        <v>385</v>
      </c>
      <c r="T2613" s="90">
        <v>1210</v>
      </c>
      <c r="U2613" s="90" t="s">
        <v>378</v>
      </c>
      <c r="V2613" s="90" t="s">
        <v>244</v>
      </c>
      <c r="Z2613" s="90">
        <v>0</v>
      </c>
      <c r="AA2613" s="90">
        <v>1</v>
      </c>
      <c r="AB2613" s="90">
        <v>4.7055267905119998E-2</v>
      </c>
      <c r="AC2613" s="90">
        <v>8.82493135338E-3</v>
      </c>
      <c r="AD2613" s="90">
        <v>16.711078183276101</v>
      </c>
      <c r="AF2613" s="90">
        <v>-1</v>
      </c>
      <c r="AG2613" s="90">
        <v>-1</v>
      </c>
      <c r="AH2613" s="90">
        <v>-1</v>
      </c>
      <c r="AI2613" s="90">
        <v>-1</v>
      </c>
      <c r="AJ2613" s="90">
        <v>0</v>
      </c>
      <c r="AM2613" s="90" t="s">
        <v>379</v>
      </c>
      <c r="AN2613" s="90">
        <v>-1</v>
      </c>
      <c r="AQ2613" s="90">
        <v>358</v>
      </c>
      <c r="AR2613" s="90" t="s">
        <v>422</v>
      </c>
      <c r="AS2613" s="90" t="s">
        <v>250</v>
      </c>
      <c r="AT2613" s="90" t="s">
        <v>244</v>
      </c>
      <c r="AU2613" s="90">
        <v>86.412649999999999</v>
      </c>
      <c r="AV2613" s="90">
        <v>17.3043160399051</v>
      </c>
      <c r="AW2613" s="90">
        <v>18.010220888237502</v>
      </c>
      <c r="AX2613" s="90">
        <v>1.35531859E-2</v>
      </c>
    </row>
    <row r="2614" spans="1:50" x14ac:dyDescent="0.25">
      <c r="A2614" s="102">
        <v>830000</v>
      </c>
      <c r="B2614" s="102">
        <v>2400000</v>
      </c>
      <c r="C2614" s="102">
        <v>2500000</v>
      </c>
      <c r="D2614" s="90" t="s">
        <v>374</v>
      </c>
      <c r="E2614" s="90" t="s">
        <v>68</v>
      </c>
      <c r="F2614" s="90" t="s">
        <v>375</v>
      </c>
      <c r="G2614" s="90" t="s">
        <v>376</v>
      </c>
      <c r="H2614" s="90">
        <v>0.59</v>
      </c>
      <c r="I2614" s="90">
        <v>0.64</v>
      </c>
      <c r="J2614" s="90" t="s">
        <v>244</v>
      </c>
      <c r="K2614" s="90">
        <v>1.9637717179849998E-2</v>
      </c>
      <c r="L2614" s="90">
        <v>3754.9419571742701</v>
      </c>
      <c r="M2614" s="90">
        <v>10.573213638594</v>
      </c>
      <c r="N2614" s="90">
        <v>1.9829423717950501</v>
      </c>
      <c r="O2614" s="90">
        <v>0.20763377911684</v>
      </c>
      <c r="P2614" s="90">
        <v>3.8940461481250001E-2</v>
      </c>
      <c r="Q2614" s="90">
        <v>73.738488181740806</v>
      </c>
      <c r="R2614" s="90">
        <v>1210</v>
      </c>
      <c r="S2614" s="90" t="s">
        <v>385</v>
      </c>
      <c r="T2614" s="90">
        <v>1210</v>
      </c>
      <c r="U2614" s="90" t="s">
        <v>378</v>
      </c>
      <c r="V2614" s="90" t="s">
        <v>244</v>
      </c>
      <c r="Z2614" s="90">
        <v>0</v>
      </c>
      <c r="AA2614" s="90">
        <v>1</v>
      </c>
      <c r="AB2614" s="90">
        <v>0.20763377911684</v>
      </c>
      <c r="AC2614" s="90">
        <v>3.8940461481250001E-2</v>
      </c>
      <c r="AD2614" s="90">
        <v>73.738488181739299</v>
      </c>
      <c r="AF2614" s="90">
        <v>-1</v>
      </c>
      <c r="AG2614" s="90">
        <v>-1</v>
      </c>
      <c r="AH2614" s="90">
        <v>-1</v>
      </c>
      <c r="AI2614" s="90">
        <v>-1</v>
      </c>
      <c r="AJ2614" s="90">
        <v>0</v>
      </c>
      <c r="AM2614" s="90" t="s">
        <v>379</v>
      </c>
      <c r="AN2614" s="90">
        <v>-1</v>
      </c>
      <c r="AQ2614" s="90">
        <v>358</v>
      </c>
      <c r="AR2614" s="90" t="s">
        <v>422</v>
      </c>
      <c r="AS2614" s="90" t="s">
        <v>250</v>
      </c>
      <c r="AT2614" s="90" t="s">
        <v>244</v>
      </c>
      <c r="AU2614" s="90">
        <v>86.412649999999999</v>
      </c>
      <c r="AV2614" s="90">
        <v>53.321282615193702</v>
      </c>
      <c r="AW2614" s="90">
        <v>79.471021890549295</v>
      </c>
      <c r="AX2614" s="90">
        <v>5.9804126700000002E-2</v>
      </c>
    </row>
    <row r="2615" spans="1:50" x14ac:dyDescent="0.25">
      <c r="A2615" s="102">
        <v>830000</v>
      </c>
      <c r="B2615" s="102">
        <v>2400000</v>
      </c>
      <c r="C2615" s="102">
        <v>2500000</v>
      </c>
      <c r="D2615" s="90" t="s">
        <v>374</v>
      </c>
      <c r="E2615" s="90" t="s">
        <v>68</v>
      </c>
      <c r="F2615" s="90" t="s">
        <v>375</v>
      </c>
      <c r="G2615" s="90" t="s">
        <v>376</v>
      </c>
      <c r="H2615" s="90">
        <v>0.59</v>
      </c>
      <c r="I2615" s="90">
        <v>0.64</v>
      </c>
      <c r="J2615" s="90" t="s">
        <v>244</v>
      </c>
      <c r="K2615" s="90">
        <v>1.53715841693E-2</v>
      </c>
      <c r="L2615" s="90">
        <v>3754.9419571742701</v>
      </c>
      <c r="M2615" s="90">
        <v>10.573213638594</v>
      </c>
      <c r="N2615" s="90">
        <v>1.9829423717950501</v>
      </c>
      <c r="O2615" s="90">
        <v>0.16252704338564</v>
      </c>
      <c r="P2615" s="90">
        <v>3.0480965570909999E-2</v>
      </c>
      <c r="Q2615" s="90">
        <v>57.719406345540399</v>
      </c>
      <c r="R2615" s="90">
        <v>1210</v>
      </c>
      <c r="S2615" s="90" t="s">
        <v>385</v>
      </c>
      <c r="T2615" s="90">
        <v>1210</v>
      </c>
      <c r="U2615" s="90" t="s">
        <v>378</v>
      </c>
      <c r="V2615" s="90" t="s">
        <v>244</v>
      </c>
      <c r="Z2615" s="90">
        <v>0</v>
      </c>
      <c r="AA2615" s="90">
        <v>1</v>
      </c>
      <c r="AB2615" s="90">
        <v>0.16252704338564</v>
      </c>
      <c r="AC2615" s="90">
        <v>3.0480965570909999E-2</v>
      </c>
      <c r="AD2615" s="90">
        <v>57.7194063455416</v>
      </c>
      <c r="AF2615" s="90">
        <v>-1</v>
      </c>
      <c r="AG2615" s="90">
        <v>-1</v>
      </c>
      <c r="AH2615" s="90">
        <v>-1</v>
      </c>
      <c r="AI2615" s="90">
        <v>-1</v>
      </c>
      <c r="AJ2615" s="90">
        <v>0</v>
      </c>
      <c r="AM2615" s="90" t="s">
        <v>379</v>
      </c>
      <c r="AN2615" s="90">
        <v>-1</v>
      </c>
      <c r="AQ2615" s="90">
        <v>358</v>
      </c>
      <c r="AR2615" s="90" t="s">
        <v>422</v>
      </c>
      <c r="AS2615" s="90" t="s">
        <v>250</v>
      </c>
      <c r="AT2615" s="90" t="s">
        <v>244</v>
      </c>
      <c r="AU2615" s="90">
        <v>86.412649999999999</v>
      </c>
      <c r="AV2615" s="90">
        <v>48.936063096978501</v>
      </c>
      <c r="AW2615" s="90">
        <v>62.206594117995003</v>
      </c>
      <c r="AX2615" s="90">
        <v>4.6812170600000001E-2</v>
      </c>
    </row>
    <row r="2616" spans="1:50" x14ac:dyDescent="0.25">
      <c r="A2616" s="102">
        <v>830000</v>
      </c>
      <c r="B2616" s="102">
        <v>2400000</v>
      </c>
      <c r="C2616" s="102">
        <v>2500000</v>
      </c>
      <c r="D2616" s="90" t="s">
        <v>374</v>
      </c>
      <c r="E2616" s="90" t="s">
        <v>68</v>
      </c>
      <c r="F2616" s="90" t="s">
        <v>375</v>
      </c>
      <c r="G2616" s="90" t="s">
        <v>376</v>
      </c>
      <c r="H2616" s="90">
        <v>0.59</v>
      </c>
      <c r="I2616" s="90">
        <v>0.64</v>
      </c>
      <c r="J2616" s="90" t="s">
        <v>244</v>
      </c>
      <c r="K2616" s="90">
        <v>1.93286911079E-3</v>
      </c>
      <c r="L2616" s="90">
        <v>3836.9997908334099</v>
      </c>
      <c r="M2616" s="90">
        <v>9.6815867831486493</v>
      </c>
      <c r="N2616" s="90">
        <v>1.5396771592604801</v>
      </c>
      <c r="O2616" s="90">
        <v>1.8713240036620001E-2</v>
      </c>
      <c r="P2616" s="90">
        <v>2.9759944217299999E-3</v>
      </c>
      <c r="Q2616" s="90">
        <v>7.4164183738287797</v>
      </c>
      <c r="R2616" s="90">
        <v>1400</v>
      </c>
      <c r="S2616" s="90" t="s">
        <v>324</v>
      </c>
      <c r="T2616" s="90">
        <v>1400</v>
      </c>
      <c r="U2616" s="90" t="s">
        <v>378</v>
      </c>
      <c r="V2616" s="90" t="s">
        <v>244</v>
      </c>
      <c r="Z2616" s="90">
        <v>0</v>
      </c>
      <c r="AA2616" s="90">
        <v>1</v>
      </c>
      <c r="AB2616" s="90">
        <v>1.8713240036620001E-2</v>
      </c>
      <c r="AC2616" s="90">
        <v>2.9759944217299999E-3</v>
      </c>
      <c r="AD2616" s="90">
        <v>7.4164183738271703</v>
      </c>
      <c r="AF2616" s="90">
        <v>-1</v>
      </c>
      <c r="AG2616" s="90">
        <v>-1</v>
      </c>
      <c r="AH2616" s="90">
        <v>-1</v>
      </c>
      <c r="AI2616" s="90">
        <v>-1</v>
      </c>
      <c r="AJ2616" s="90">
        <v>0</v>
      </c>
      <c r="AM2616" s="90" t="s">
        <v>379</v>
      </c>
      <c r="AN2616" s="90">
        <v>-1</v>
      </c>
      <c r="AQ2616" s="90">
        <v>358</v>
      </c>
      <c r="AR2616" s="90" t="s">
        <v>422</v>
      </c>
      <c r="AS2616" s="90" t="s">
        <v>250</v>
      </c>
      <c r="AT2616" s="90" t="s">
        <v>244</v>
      </c>
      <c r="AU2616" s="90">
        <v>86.412649999999999</v>
      </c>
      <c r="AV2616" s="90">
        <v>100.360087563539</v>
      </c>
      <c r="AW2616" s="90">
        <v>7.8220437746776197</v>
      </c>
      <c r="AX2616" s="90">
        <v>6.0149378999999996E-3</v>
      </c>
    </row>
    <row r="2617" spans="1:50" x14ac:dyDescent="0.25">
      <c r="A2617" s="102">
        <v>830000</v>
      </c>
      <c r="B2617" s="102">
        <v>2400000</v>
      </c>
      <c r="C2617" s="102">
        <v>2500000</v>
      </c>
      <c r="D2617" s="90" t="s">
        <v>374</v>
      </c>
      <c r="E2617" s="90" t="s">
        <v>68</v>
      </c>
      <c r="F2617" s="90" t="s">
        <v>375</v>
      </c>
      <c r="G2617" s="90" t="s">
        <v>376</v>
      </c>
      <c r="H2617" s="90">
        <v>0.59</v>
      </c>
      <c r="I2617" s="90">
        <v>0.64</v>
      </c>
      <c r="J2617" s="90" t="s">
        <v>381</v>
      </c>
      <c r="K2617" s="90">
        <v>4.3420009761590002E-2</v>
      </c>
      <c r="L2617" s="90">
        <v>3836.9997908334099</v>
      </c>
      <c r="M2617" s="90">
        <v>9.6815867831486493</v>
      </c>
      <c r="N2617" s="90">
        <v>1.5396771592604801</v>
      </c>
      <c r="O2617" s="90">
        <v>0.42037459263207</v>
      </c>
      <c r="P2617" s="90">
        <v>6.6852797284799995E-2</v>
      </c>
      <c r="Q2617" s="90">
        <v>166.60256837323601</v>
      </c>
      <c r="R2617" s="90">
        <v>1400</v>
      </c>
      <c r="S2617" s="90" t="s">
        <v>324</v>
      </c>
      <c r="T2617" s="90">
        <v>1400</v>
      </c>
      <c r="U2617" s="90" t="s">
        <v>382</v>
      </c>
      <c r="V2617" s="90" t="s">
        <v>381</v>
      </c>
      <c r="Z2617" s="90">
        <v>0</v>
      </c>
      <c r="AA2617" s="90">
        <v>1</v>
      </c>
      <c r="AB2617" s="90">
        <v>0.42037459263207</v>
      </c>
      <c r="AC2617" s="90">
        <v>6.6852797284799995E-2</v>
      </c>
      <c r="AD2617" s="90">
        <v>166.60256837323701</v>
      </c>
      <c r="AF2617" s="90">
        <v>-1</v>
      </c>
      <c r="AG2617" s="90">
        <v>-1</v>
      </c>
      <c r="AH2617" s="90">
        <v>-1</v>
      </c>
      <c r="AI2617" s="90">
        <v>-1</v>
      </c>
      <c r="AJ2617" s="90">
        <v>0</v>
      </c>
      <c r="AM2617" s="90" t="s">
        <v>379</v>
      </c>
      <c r="AN2617" s="90">
        <v>-1</v>
      </c>
      <c r="AQ2617" s="90">
        <v>358</v>
      </c>
      <c r="AR2617" s="90" t="s">
        <v>422</v>
      </c>
      <c r="AS2617" s="90" t="s">
        <v>250</v>
      </c>
      <c r="AT2617" s="90" t="s">
        <v>244</v>
      </c>
      <c r="AU2617" s="90">
        <v>86.412649999999999</v>
      </c>
      <c r="AV2617" s="90">
        <v>107.0978307033</v>
      </c>
      <c r="AW2617" s="90">
        <v>175.71454536439401</v>
      </c>
      <c r="AX2617" s="90">
        <v>0.1351196824</v>
      </c>
    </row>
    <row r="2618" spans="1:50" x14ac:dyDescent="0.25">
      <c r="A2618" s="102">
        <v>830000</v>
      </c>
      <c r="B2618" s="102">
        <v>2400000</v>
      </c>
      <c r="C2618" s="102">
        <v>2500000</v>
      </c>
      <c r="D2618" s="90" t="s">
        <v>374</v>
      </c>
      <c r="E2618" s="90" t="s">
        <v>68</v>
      </c>
      <c r="F2618" s="90" t="s">
        <v>375</v>
      </c>
      <c r="G2618" s="90" t="s">
        <v>376</v>
      </c>
      <c r="H2618" s="90">
        <v>0.59</v>
      </c>
      <c r="I2618" s="90">
        <v>0.64</v>
      </c>
      <c r="J2618" s="90" t="s">
        <v>244</v>
      </c>
      <c r="K2618" s="90">
        <v>3.9871352624299998E-3</v>
      </c>
      <c r="L2618" s="90">
        <v>3836.9997908334099</v>
      </c>
      <c r="M2618" s="90">
        <v>9.6815867831486493</v>
      </c>
      <c r="N2618" s="90">
        <v>1.5396771592604801</v>
      </c>
      <c r="O2618" s="90">
        <v>3.8601796059409998E-2</v>
      </c>
      <c r="P2618" s="90">
        <v>6.1389010944500003E-3</v>
      </c>
      <c r="Q2618" s="90">
        <v>15.2986371679876</v>
      </c>
      <c r="R2618" s="90">
        <v>1420</v>
      </c>
      <c r="S2618" s="90" t="s">
        <v>327</v>
      </c>
      <c r="T2618" s="90">
        <v>1420</v>
      </c>
      <c r="U2618" s="90" t="s">
        <v>378</v>
      </c>
      <c r="V2618" s="90" t="s">
        <v>244</v>
      </c>
      <c r="Z2618" s="90">
        <v>0</v>
      </c>
      <c r="AA2618" s="90">
        <v>1</v>
      </c>
      <c r="AB2618" s="90">
        <v>3.8601796059409998E-2</v>
      </c>
      <c r="AC2618" s="90">
        <v>6.1389010944500003E-3</v>
      </c>
      <c r="AD2618" s="90">
        <v>15.2986371679893</v>
      </c>
      <c r="AF2618" s="90">
        <v>-1</v>
      </c>
      <c r="AG2618" s="90">
        <v>-1</v>
      </c>
      <c r="AH2618" s="90">
        <v>-1</v>
      </c>
      <c r="AI2618" s="90">
        <v>-1</v>
      </c>
      <c r="AJ2618" s="90">
        <v>0</v>
      </c>
      <c r="AM2618" s="90" t="s">
        <v>379</v>
      </c>
      <c r="AN2618" s="90">
        <v>-1</v>
      </c>
      <c r="AQ2618" s="90">
        <v>358</v>
      </c>
      <c r="AR2618" s="90" t="s">
        <v>422</v>
      </c>
      <c r="AS2618" s="90" t="s">
        <v>250</v>
      </c>
      <c r="AT2618" s="90" t="s">
        <v>244</v>
      </c>
      <c r="AU2618" s="90">
        <v>86.412649999999999</v>
      </c>
      <c r="AV2618" s="90">
        <v>41.819638203036398</v>
      </c>
      <c r="AW2618" s="90">
        <v>16.1353639437644</v>
      </c>
      <c r="AX2618" s="90">
        <v>1.24076538E-2</v>
      </c>
    </row>
    <row r="2619" spans="1:50" x14ac:dyDescent="0.25">
      <c r="A2619" s="102">
        <v>830000</v>
      </c>
      <c r="B2619" s="102">
        <v>2400000</v>
      </c>
      <c r="C2619" s="102">
        <v>2500000</v>
      </c>
      <c r="D2619" s="90" t="s">
        <v>374</v>
      </c>
      <c r="E2619" s="90" t="s">
        <v>68</v>
      </c>
      <c r="F2619" s="90" t="s">
        <v>375</v>
      </c>
      <c r="G2619" s="90" t="s">
        <v>376</v>
      </c>
      <c r="H2619" s="90">
        <v>0.59</v>
      </c>
      <c r="I2619" s="90">
        <v>0.64</v>
      </c>
      <c r="J2619" s="90" t="s">
        <v>244</v>
      </c>
      <c r="K2619" s="90">
        <v>0.22786541059891999</v>
      </c>
      <c r="L2619" s="90">
        <v>3836.9997908334099</v>
      </c>
      <c r="M2619" s="90">
        <v>9.6815867831486493</v>
      </c>
      <c r="N2619" s="90">
        <v>1.5396771592604801</v>
      </c>
      <c r="O2619" s="90">
        <v>2.2060987475912399</v>
      </c>
      <c r="P2619" s="90">
        <v>0.35083916808466997</v>
      </c>
      <c r="Q2619" s="90">
        <v>874.31953280622599</v>
      </c>
      <c r="R2619" s="90">
        <v>1300</v>
      </c>
      <c r="S2619" s="90" t="s">
        <v>387</v>
      </c>
      <c r="T2619" s="90">
        <v>1300</v>
      </c>
      <c r="U2619" s="90" t="s">
        <v>378</v>
      </c>
      <c r="V2619" s="90" t="s">
        <v>244</v>
      </c>
      <c r="Z2619" s="90">
        <v>0</v>
      </c>
      <c r="AA2619" s="90">
        <v>1</v>
      </c>
      <c r="AB2619" s="90">
        <v>2.2060987475912399</v>
      </c>
      <c r="AC2619" s="90">
        <v>0.35083916808466997</v>
      </c>
      <c r="AD2619" s="90">
        <v>874.31953280622599</v>
      </c>
      <c r="AF2619" s="90">
        <v>-1</v>
      </c>
      <c r="AG2619" s="90">
        <v>-1</v>
      </c>
      <c r="AH2619" s="90">
        <v>-1</v>
      </c>
      <c r="AI2619" s="90">
        <v>-1</v>
      </c>
      <c r="AJ2619" s="90">
        <v>0</v>
      </c>
      <c r="AM2619" s="90" t="s">
        <v>379</v>
      </c>
      <c r="AN2619" s="90">
        <v>-1</v>
      </c>
      <c r="AQ2619" s="90">
        <v>358</v>
      </c>
      <c r="AR2619" s="90" t="s">
        <v>422</v>
      </c>
      <c r="AS2619" s="90" t="s">
        <v>250</v>
      </c>
      <c r="AT2619" s="90" t="s">
        <v>244</v>
      </c>
      <c r="AU2619" s="90">
        <v>86.412649999999999</v>
      </c>
      <c r="AV2619" s="90">
        <v>132.09213617570501</v>
      </c>
      <c r="AW2619" s="90">
        <v>922.13860032504999</v>
      </c>
      <c r="AX2619" s="90">
        <v>0.70909937779999999</v>
      </c>
    </row>
    <row r="2620" spans="1:50" x14ac:dyDescent="0.25">
      <c r="A2620" s="102">
        <v>830000</v>
      </c>
      <c r="B2620" s="102">
        <v>2400000</v>
      </c>
      <c r="C2620" s="102">
        <v>2500000</v>
      </c>
      <c r="D2620" s="90" t="s">
        <v>374</v>
      </c>
      <c r="E2620" s="90" t="s">
        <v>68</v>
      </c>
      <c r="F2620" s="90" t="s">
        <v>375</v>
      </c>
      <c r="G2620" s="90" t="s">
        <v>376</v>
      </c>
      <c r="H2620" s="90">
        <v>0.59</v>
      </c>
      <c r="I2620" s="90">
        <v>0.64</v>
      </c>
      <c r="J2620" s="90" t="s">
        <v>244</v>
      </c>
      <c r="K2620" s="90">
        <v>1.58736910694E-3</v>
      </c>
      <c r="L2620" s="90">
        <v>3836.9997908334099</v>
      </c>
      <c r="M2620" s="90">
        <v>9.6815867831486493</v>
      </c>
      <c r="N2620" s="90">
        <v>1.5396771592604801</v>
      </c>
      <c r="O2620" s="90">
        <v>1.536825176579E-2</v>
      </c>
      <c r="P2620" s="90">
        <v>2.4440359572799998E-3</v>
      </c>
      <c r="Q2620" s="90">
        <v>6.0907349313310597</v>
      </c>
      <c r="R2620" s="90">
        <v>1300</v>
      </c>
      <c r="S2620" s="90" t="s">
        <v>387</v>
      </c>
      <c r="T2620" s="90">
        <v>1300</v>
      </c>
      <c r="U2620" s="90" t="s">
        <v>378</v>
      </c>
      <c r="V2620" s="90" t="s">
        <v>244</v>
      </c>
      <c r="Z2620" s="90">
        <v>0</v>
      </c>
      <c r="AA2620" s="90">
        <v>1</v>
      </c>
      <c r="AB2620" s="90">
        <v>1.536825176579E-2</v>
      </c>
      <c r="AC2620" s="90">
        <v>2.4440359572799998E-3</v>
      </c>
      <c r="AD2620" s="90">
        <v>6.0907349313293402</v>
      </c>
      <c r="AF2620" s="90">
        <v>-1</v>
      </c>
      <c r="AG2620" s="90">
        <v>-1</v>
      </c>
      <c r="AH2620" s="90">
        <v>-1</v>
      </c>
      <c r="AI2620" s="90">
        <v>-1</v>
      </c>
      <c r="AJ2620" s="90">
        <v>0</v>
      </c>
      <c r="AM2620" s="90" t="s">
        <v>379</v>
      </c>
      <c r="AN2620" s="90">
        <v>-1</v>
      </c>
      <c r="AQ2620" s="90">
        <v>358</v>
      </c>
      <c r="AR2620" s="90" t="s">
        <v>422</v>
      </c>
      <c r="AS2620" s="90" t="s">
        <v>250</v>
      </c>
      <c r="AT2620" s="90" t="s">
        <v>244</v>
      </c>
      <c r="AU2620" s="90">
        <v>86.412649999999999</v>
      </c>
      <c r="AV2620" s="90">
        <v>46.572642857472403</v>
      </c>
      <c r="AW2620" s="90">
        <v>6.4238548651659997</v>
      </c>
      <c r="AX2620" s="90">
        <v>4.9397688E-3</v>
      </c>
    </row>
    <row r="2621" spans="1:50" x14ac:dyDescent="0.25">
      <c r="A2621" s="102">
        <v>830000</v>
      </c>
      <c r="B2621" s="102">
        <v>2400000</v>
      </c>
      <c r="C2621" s="102">
        <v>2500000</v>
      </c>
      <c r="D2621" s="90" t="s">
        <v>374</v>
      </c>
      <c r="E2621" s="90" t="s">
        <v>68</v>
      </c>
      <c r="F2621" s="90" t="s">
        <v>375</v>
      </c>
      <c r="G2621" s="90" t="s">
        <v>376</v>
      </c>
      <c r="H2621" s="90">
        <v>0.59</v>
      </c>
      <c r="I2621" s="90">
        <v>0.64</v>
      </c>
      <c r="J2621" s="90" t="s">
        <v>244</v>
      </c>
      <c r="K2621" s="90">
        <v>0.33897065975816998</v>
      </c>
      <c r="L2621" s="90">
        <v>3836.9997908334099</v>
      </c>
      <c r="M2621" s="90">
        <v>9.6815867831486493</v>
      </c>
      <c r="N2621" s="90">
        <v>1.5396771592604801</v>
      </c>
      <c r="O2621" s="90">
        <v>3.2817738593899501</v>
      </c>
      <c r="P2621" s="90">
        <v>0.52190538248912</v>
      </c>
      <c r="Q2621" s="90">
        <v>1300.6303505907899</v>
      </c>
      <c r="R2621" s="90">
        <v>1410</v>
      </c>
      <c r="S2621" s="90" t="s">
        <v>325</v>
      </c>
      <c r="T2621" s="90">
        <v>1410</v>
      </c>
      <c r="U2621" s="90" t="s">
        <v>378</v>
      </c>
      <c r="V2621" s="90" t="s">
        <v>244</v>
      </c>
      <c r="Z2621" s="90">
        <v>0</v>
      </c>
      <c r="AA2621" s="90">
        <v>1</v>
      </c>
      <c r="AB2621" s="90">
        <v>3.2817738593899501</v>
      </c>
      <c r="AC2621" s="90">
        <v>0.52190538248912</v>
      </c>
      <c r="AD2621" s="90">
        <v>1300.6303505907899</v>
      </c>
      <c r="AF2621" s="90">
        <v>-1</v>
      </c>
      <c r="AG2621" s="90">
        <v>-1</v>
      </c>
      <c r="AH2621" s="90">
        <v>-1</v>
      </c>
      <c r="AI2621" s="90">
        <v>-1</v>
      </c>
      <c r="AJ2621" s="90">
        <v>0</v>
      </c>
      <c r="AM2621" s="90" t="s">
        <v>379</v>
      </c>
      <c r="AN2621" s="90">
        <v>-1</v>
      </c>
      <c r="AQ2621" s="90">
        <v>358</v>
      </c>
      <c r="AR2621" s="90" t="s">
        <v>422</v>
      </c>
      <c r="AS2621" s="90" t="s">
        <v>250</v>
      </c>
      <c r="AT2621" s="90" t="s">
        <v>244</v>
      </c>
      <c r="AU2621" s="90">
        <v>86.412649999999999</v>
      </c>
      <c r="AV2621" s="90">
        <v>151.403868609884</v>
      </c>
      <c r="AW2621" s="90">
        <v>1371.7655914475499</v>
      </c>
      <c r="AX2621" s="90">
        <v>1.0548502438</v>
      </c>
    </row>
    <row r="2622" spans="1:50" x14ac:dyDescent="0.25">
      <c r="A2622" s="102">
        <v>830000</v>
      </c>
      <c r="B2622" s="102">
        <v>2400000</v>
      </c>
      <c r="C2622" s="102">
        <v>2500000</v>
      </c>
      <c r="D2622" s="90" t="s">
        <v>374</v>
      </c>
      <c r="E2622" s="90" t="s">
        <v>68</v>
      </c>
      <c r="F2622" s="90" t="s">
        <v>375</v>
      </c>
      <c r="G2622" s="90" t="s">
        <v>376</v>
      </c>
      <c r="H2622" s="90">
        <v>0.59</v>
      </c>
      <c r="I2622" s="90">
        <v>0.64</v>
      </c>
      <c r="J2622" s="90" t="s">
        <v>244</v>
      </c>
      <c r="K2622" s="90">
        <v>8.2743170854E-4</v>
      </c>
      <c r="L2622" s="90">
        <v>3760.3626798448199</v>
      </c>
      <c r="M2622" s="90">
        <v>10.799717441868101</v>
      </c>
      <c r="N2622" s="90">
        <v>2.0759537243105801</v>
      </c>
      <c r="O2622" s="90">
        <v>8.9360286547600001E-3</v>
      </c>
      <c r="P2622" s="90">
        <v>1.7177099369700001E-3</v>
      </c>
      <c r="Q2622" s="90">
        <v>3.11144331694413</v>
      </c>
      <c r="R2622" s="90">
        <v>1200</v>
      </c>
      <c r="S2622" s="90" t="s">
        <v>384</v>
      </c>
      <c r="T2622" s="90">
        <v>1200</v>
      </c>
      <c r="U2622" s="90" t="s">
        <v>378</v>
      </c>
      <c r="V2622" s="90" t="s">
        <v>244</v>
      </c>
      <c r="Z2622" s="90">
        <v>0</v>
      </c>
      <c r="AA2622" s="90">
        <v>1</v>
      </c>
      <c r="AB2622" s="90">
        <v>8.9360286547600001E-3</v>
      </c>
      <c r="AC2622" s="90">
        <v>1.7177099369700001E-3</v>
      </c>
      <c r="AD2622" s="90">
        <v>3.1114433169451399</v>
      </c>
      <c r="AF2622" s="90">
        <v>-1</v>
      </c>
      <c r="AG2622" s="90">
        <v>-1</v>
      </c>
      <c r="AH2622" s="90">
        <v>-1</v>
      </c>
      <c r="AI2622" s="90">
        <v>-1</v>
      </c>
      <c r="AJ2622" s="90">
        <v>0</v>
      </c>
      <c r="AM2622" s="90" t="s">
        <v>379</v>
      </c>
      <c r="AN2622" s="90">
        <v>-1</v>
      </c>
      <c r="AQ2622" s="90">
        <v>358</v>
      </c>
      <c r="AR2622" s="90" t="s">
        <v>422</v>
      </c>
      <c r="AS2622" s="90" t="s">
        <v>250</v>
      </c>
      <c r="AT2622" s="90" t="s">
        <v>244</v>
      </c>
      <c r="AU2622" s="90">
        <v>86.412649999999999</v>
      </c>
      <c r="AV2622" s="90">
        <v>16.871581094118799</v>
      </c>
      <c r="AW2622" s="90">
        <v>3.3484973238359599</v>
      </c>
      <c r="AX2622" s="90">
        <v>2.5234738999999999E-3</v>
      </c>
    </row>
    <row r="2623" spans="1:50" x14ac:dyDescent="0.25">
      <c r="A2623" s="102">
        <v>830000</v>
      </c>
      <c r="B2623" s="102">
        <v>2400000</v>
      </c>
      <c r="C2623" s="102">
        <v>2500000</v>
      </c>
      <c r="D2623" s="90" t="s">
        <v>374</v>
      </c>
      <c r="E2623" s="90" t="s">
        <v>68</v>
      </c>
      <c r="F2623" s="90" t="s">
        <v>375</v>
      </c>
      <c r="G2623" s="90" t="s">
        <v>376</v>
      </c>
      <c r="H2623" s="90">
        <v>0.59</v>
      </c>
      <c r="I2623" s="90">
        <v>0.64</v>
      </c>
      <c r="J2623" s="90" t="s">
        <v>244</v>
      </c>
      <c r="K2623" s="90">
        <v>7.0847865413909999E-2</v>
      </c>
      <c r="L2623" s="90">
        <v>3760.3626798448199</v>
      </c>
      <c r="M2623" s="90">
        <v>10.799717441868101</v>
      </c>
      <c r="N2623" s="90">
        <v>2.0759537243105801</v>
      </c>
      <c r="O2623" s="90">
        <v>0.76513692782972997</v>
      </c>
      <c r="P2623" s="90">
        <v>0.14707689006545999</v>
      </c>
      <c r="Q2623" s="90">
        <v>266.413669049139</v>
      </c>
      <c r="R2623" s="90">
        <v>1300</v>
      </c>
      <c r="S2623" s="90" t="s">
        <v>387</v>
      </c>
      <c r="T2623" s="90">
        <v>1300</v>
      </c>
      <c r="U2623" s="90" t="s">
        <v>378</v>
      </c>
      <c r="V2623" s="90" t="s">
        <v>244</v>
      </c>
      <c r="Z2623" s="90">
        <v>0</v>
      </c>
      <c r="AA2623" s="90">
        <v>1</v>
      </c>
      <c r="AB2623" s="90">
        <v>0.76513692782972997</v>
      </c>
      <c r="AC2623" s="90">
        <v>0.14707689006545999</v>
      </c>
      <c r="AD2623" s="90">
        <v>266.413669049139</v>
      </c>
      <c r="AF2623" s="90">
        <v>-1</v>
      </c>
      <c r="AG2623" s="90">
        <v>-1</v>
      </c>
      <c r="AH2623" s="90">
        <v>-1</v>
      </c>
      <c r="AI2623" s="90">
        <v>-1</v>
      </c>
      <c r="AJ2623" s="90">
        <v>0</v>
      </c>
      <c r="AM2623" s="90" t="s">
        <v>379</v>
      </c>
      <c r="AN2623" s="90">
        <v>-1</v>
      </c>
      <c r="AQ2623" s="90">
        <v>358</v>
      </c>
      <c r="AR2623" s="90" t="s">
        <v>422</v>
      </c>
      <c r="AS2623" s="90" t="s">
        <v>250</v>
      </c>
      <c r="AT2623" s="90" t="s">
        <v>244</v>
      </c>
      <c r="AU2623" s="90">
        <v>86.412649999999999</v>
      </c>
      <c r="AV2623" s="90">
        <v>102.28480573569099</v>
      </c>
      <c r="AW2623" s="90">
        <v>286.711139163616</v>
      </c>
      <c r="AX2623" s="90">
        <v>0.2160694802</v>
      </c>
    </row>
    <row r="2624" spans="1:50" x14ac:dyDescent="0.25">
      <c r="A2624" s="102">
        <v>830000</v>
      </c>
      <c r="B2624" s="102">
        <v>2400000</v>
      </c>
      <c r="C2624" s="102">
        <v>2500000</v>
      </c>
      <c r="D2624" s="90" t="s">
        <v>374</v>
      </c>
      <c r="E2624" s="90" t="s">
        <v>68</v>
      </c>
      <c r="F2624" s="90" t="s">
        <v>375</v>
      </c>
      <c r="G2624" s="90" t="s">
        <v>376</v>
      </c>
      <c r="H2624" s="90">
        <v>0.59</v>
      </c>
      <c r="I2624" s="90">
        <v>0.64</v>
      </c>
      <c r="J2624" s="90" t="s">
        <v>381</v>
      </c>
      <c r="K2624" s="90">
        <v>4.1789154374269999E-2</v>
      </c>
      <c r="L2624" s="90">
        <v>3760.3626798448199</v>
      </c>
      <c r="M2624" s="90">
        <v>10.799717441868101</v>
      </c>
      <c r="N2624" s="90">
        <v>2.0759537243105801</v>
      </c>
      <c r="O2624" s="90">
        <v>0.45131105937681998</v>
      </c>
      <c r="P2624" s="90">
        <v>8.6752350659069999E-2</v>
      </c>
      <c r="Q2624" s="90">
        <v>157.14237653131201</v>
      </c>
      <c r="R2624" s="90">
        <v>1300</v>
      </c>
      <c r="S2624" s="90" t="s">
        <v>387</v>
      </c>
      <c r="T2624" s="90">
        <v>1300</v>
      </c>
      <c r="U2624" s="90" t="s">
        <v>382</v>
      </c>
      <c r="V2624" s="90" t="s">
        <v>381</v>
      </c>
      <c r="Z2624" s="90">
        <v>0</v>
      </c>
      <c r="AA2624" s="90">
        <v>1</v>
      </c>
      <c r="AB2624" s="90">
        <v>0.45131105937681998</v>
      </c>
      <c r="AC2624" s="90">
        <v>8.6752350659069999E-2</v>
      </c>
      <c r="AD2624" s="90">
        <v>167.55483724691399</v>
      </c>
      <c r="AF2624" s="90">
        <v>-1</v>
      </c>
      <c r="AG2624" s="90">
        <v>-1</v>
      </c>
      <c r="AH2624" s="90">
        <v>-1</v>
      </c>
      <c r="AI2624" s="90">
        <v>-1</v>
      </c>
      <c r="AJ2624" s="90">
        <v>0</v>
      </c>
      <c r="AM2624" s="90" t="s">
        <v>379</v>
      </c>
      <c r="AN2624" s="90">
        <v>-1</v>
      </c>
      <c r="AQ2624" s="90">
        <v>358</v>
      </c>
      <c r="AR2624" s="90" t="s">
        <v>422</v>
      </c>
      <c r="AS2624" s="90" t="s">
        <v>250</v>
      </c>
      <c r="AT2624" s="90" t="s">
        <v>244</v>
      </c>
      <c r="AU2624" s="90">
        <v>86.412649999999999</v>
      </c>
      <c r="AV2624" s="90">
        <v>97.871915018409396</v>
      </c>
      <c r="AW2624" s="90">
        <v>169.11470776621499</v>
      </c>
      <c r="AX2624" s="90">
        <v>0.13589200100000001</v>
      </c>
    </row>
    <row r="2625" spans="1:50" x14ac:dyDescent="0.25">
      <c r="A2625" s="102">
        <v>830000</v>
      </c>
      <c r="B2625" s="102">
        <v>2400000</v>
      </c>
      <c r="C2625" s="102">
        <v>2500000</v>
      </c>
      <c r="D2625" s="90" t="s">
        <v>374</v>
      </c>
      <c r="E2625" s="90" t="s">
        <v>68</v>
      </c>
      <c r="F2625" s="90" t="s">
        <v>375</v>
      </c>
      <c r="G2625" s="90" t="s">
        <v>376</v>
      </c>
      <c r="H2625" s="90">
        <v>0.59</v>
      </c>
      <c r="I2625" s="90">
        <v>0.64</v>
      </c>
      <c r="J2625" s="90" t="s">
        <v>244</v>
      </c>
      <c r="K2625" s="90">
        <v>2.2796709599699999E-3</v>
      </c>
      <c r="L2625" s="90">
        <v>3760.3626798448199</v>
      </c>
      <c r="M2625" s="90">
        <v>10.799717441868101</v>
      </c>
      <c r="N2625" s="90">
        <v>2.0759537243105801</v>
      </c>
      <c r="O2625" s="90">
        <v>2.4619802228109999E-2</v>
      </c>
      <c r="P2625" s="90">
        <v>4.7324914195499999E-3</v>
      </c>
      <c r="Q2625" s="90">
        <v>8.5723896002009603</v>
      </c>
      <c r="R2625" s="90">
        <v>1210</v>
      </c>
      <c r="S2625" s="90" t="s">
        <v>385</v>
      </c>
      <c r="T2625" s="90">
        <v>1210</v>
      </c>
      <c r="U2625" s="90" t="s">
        <v>378</v>
      </c>
      <c r="V2625" s="90" t="s">
        <v>244</v>
      </c>
      <c r="Z2625" s="90">
        <v>0</v>
      </c>
      <c r="AA2625" s="90">
        <v>1</v>
      </c>
      <c r="AB2625" s="90">
        <v>2.4619802228109999E-2</v>
      </c>
      <c r="AC2625" s="90">
        <v>4.7324914195499999E-3</v>
      </c>
      <c r="AD2625" s="90">
        <v>13.571888375399199</v>
      </c>
      <c r="AF2625" s="90">
        <v>-1</v>
      </c>
      <c r="AG2625" s="90">
        <v>-1</v>
      </c>
      <c r="AH2625" s="90">
        <v>-1</v>
      </c>
      <c r="AI2625" s="90">
        <v>-1</v>
      </c>
      <c r="AJ2625" s="90">
        <v>0</v>
      </c>
      <c r="AM2625" s="90" t="s">
        <v>379</v>
      </c>
      <c r="AN2625" s="90">
        <v>-1</v>
      </c>
      <c r="AQ2625" s="90">
        <v>358</v>
      </c>
      <c r="AR2625" s="90" t="s">
        <v>422</v>
      </c>
      <c r="AS2625" s="90" t="s">
        <v>250</v>
      </c>
      <c r="AT2625" s="90" t="s">
        <v>244</v>
      </c>
      <c r="AU2625" s="90">
        <v>86.412649999999999</v>
      </c>
      <c r="AV2625" s="90">
        <v>17.7961853158364</v>
      </c>
      <c r="AW2625" s="90">
        <v>9.2255010653168199</v>
      </c>
      <c r="AX2625" s="90">
        <v>1.10072087E-2</v>
      </c>
    </row>
    <row r="2626" spans="1:50" x14ac:dyDescent="0.25">
      <c r="A2626" s="102">
        <v>830000</v>
      </c>
      <c r="B2626" s="102">
        <v>2400000</v>
      </c>
      <c r="C2626" s="102">
        <v>2500000</v>
      </c>
      <c r="D2626" s="90" t="s">
        <v>374</v>
      </c>
      <c r="E2626" s="90" t="s">
        <v>68</v>
      </c>
      <c r="F2626" s="90" t="s">
        <v>375</v>
      </c>
      <c r="G2626" s="90" t="s">
        <v>376</v>
      </c>
      <c r="H2626" s="90">
        <v>0.59</v>
      </c>
      <c r="I2626" s="90">
        <v>0.64</v>
      </c>
      <c r="J2626" s="90" t="s">
        <v>244</v>
      </c>
      <c r="K2626" s="90">
        <v>2.09213704485E-3</v>
      </c>
      <c r="L2626" s="90">
        <v>3760.3626798448199</v>
      </c>
      <c r="M2626" s="90">
        <v>10.799717441868101</v>
      </c>
      <c r="N2626" s="90">
        <v>2.0759537243105801</v>
      </c>
      <c r="O2626" s="90">
        <v>2.259448893408E-2</v>
      </c>
      <c r="P2626" s="90">
        <v>4.3431796900300001E-3</v>
      </c>
      <c r="Q2626" s="90">
        <v>7.8671940645898104</v>
      </c>
      <c r="R2626" s="90">
        <v>1210</v>
      </c>
      <c r="S2626" s="90" t="s">
        <v>385</v>
      </c>
      <c r="T2626" s="90">
        <v>1210</v>
      </c>
      <c r="U2626" s="90" t="s">
        <v>378</v>
      </c>
      <c r="V2626" s="90" t="s">
        <v>244</v>
      </c>
      <c r="Z2626" s="90">
        <v>0</v>
      </c>
      <c r="AA2626" s="90">
        <v>1</v>
      </c>
      <c r="AB2626" s="90">
        <v>2.259448893408E-2</v>
      </c>
      <c r="AC2626" s="90">
        <v>4.3431796900300001E-3</v>
      </c>
      <c r="AD2626" s="90">
        <v>7.8671940645886798</v>
      </c>
      <c r="AF2626" s="90">
        <v>-1</v>
      </c>
      <c r="AG2626" s="90">
        <v>-1</v>
      </c>
      <c r="AH2626" s="90">
        <v>-1</v>
      </c>
      <c r="AI2626" s="90">
        <v>-1</v>
      </c>
      <c r="AJ2626" s="90">
        <v>0</v>
      </c>
      <c r="AM2626" s="90" t="s">
        <v>379</v>
      </c>
      <c r="AN2626" s="90">
        <v>-1</v>
      </c>
      <c r="AQ2626" s="90">
        <v>358</v>
      </c>
      <c r="AR2626" s="90" t="s">
        <v>422</v>
      </c>
      <c r="AS2626" s="90" t="s">
        <v>250</v>
      </c>
      <c r="AT2626" s="90" t="s">
        <v>244</v>
      </c>
      <c r="AU2626" s="90">
        <v>86.412649999999999</v>
      </c>
      <c r="AV2626" s="90">
        <v>33.460840791525897</v>
      </c>
      <c r="AW2626" s="90">
        <v>8.4665782365071305</v>
      </c>
      <c r="AX2626" s="90">
        <v>6.3805305000000003E-3</v>
      </c>
    </row>
    <row r="2627" spans="1:50" x14ac:dyDescent="0.25">
      <c r="A2627" s="102">
        <v>830000</v>
      </c>
      <c r="B2627" s="102">
        <v>2400000</v>
      </c>
      <c r="C2627" s="102">
        <v>2500000</v>
      </c>
      <c r="D2627" s="90" t="s">
        <v>374</v>
      </c>
      <c r="E2627" s="90" t="s">
        <v>68</v>
      </c>
      <c r="F2627" s="90" t="s">
        <v>375</v>
      </c>
      <c r="G2627" s="90" t="s">
        <v>376</v>
      </c>
      <c r="H2627" s="90">
        <v>0.59</v>
      </c>
      <c r="I2627" s="90">
        <v>0.64</v>
      </c>
      <c r="J2627" s="90" t="s">
        <v>244</v>
      </c>
      <c r="K2627" s="102">
        <v>1.262572856E-6</v>
      </c>
      <c r="L2627" s="90">
        <v>3760.3626798448199</v>
      </c>
      <c r="M2627" s="90">
        <v>10.799717441868101</v>
      </c>
      <c r="N2627" s="90">
        <v>2.0759537243105801</v>
      </c>
      <c r="O2627" s="90">
        <v>1.363543009E-5</v>
      </c>
      <c r="P2627" s="102">
        <v>2.6210428226270001E-6</v>
      </c>
      <c r="Q2627" s="90">
        <v>4.7477318482799999E-3</v>
      </c>
      <c r="R2627" s="90">
        <v>1210</v>
      </c>
      <c r="S2627" s="90" t="s">
        <v>385</v>
      </c>
      <c r="T2627" s="90">
        <v>1210</v>
      </c>
      <c r="U2627" s="90" t="s">
        <v>378</v>
      </c>
      <c r="V2627" s="90" t="s">
        <v>244</v>
      </c>
      <c r="Z2627" s="90">
        <v>0</v>
      </c>
      <c r="AA2627" s="90">
        <v>1</v>
      </c>
      <c r="AB2627" s="90">
        <v>1.363543009E-5</v>
      </c>
      <c r="AC2627" s="102">
        <v>2.6210428226270001E-6</v>
      </c>
      <c r="AD2627" s="90">
        <v>4.7477318476200001E-3</v>
      </c>
      <c r="AF2627" s="90">
        <v>-1</v>
      </c>
      <c r="AG2627" s="90">
        <v>-1</v>
      </c>
      <c r="AH2627" s="90">
        <v>-1</v>
      </c>
      <c r="AI2627" s="90">
        <v>-1</v>
      </c>
      <c r="AJ2627" s="90">
        <v>0</v>
      </c>
      <c r="AM2627" s="90" t="s">
        <v>379</v>
      </c>
      <c r="AN2627" s="90">
        <v>-1</v>
      </c>
      <c r="AQ2627" s="90">
        <v>358</v>
      </c>
      <c r="AR2627" s="90" t="s">
        <v>422</v>
      </c>
      <c r="AS2627" s="90" t="s">
        <v>250</v>
      </c>
      <c r="AT2627" s="90" t="s">
        <v>244</v>
      </c>
      <c r="AU2627" s="90">
        <v>86.412649999999999</v>
      </c>
      <c r="AV2627" s="90">
        <v>0.96994034406674001</v>
      </c>
      <c r="AW2627" s="90">
        <v>5.1094510703400004E-3</v>
      </c>
      <c r="AX2627" s="102">
        <v>3.8505529999999998E-6</v>
      </c>
    </row>
    <row r="2628" spans="1:50" x14ac:dyDescent="0.25">
      <c r="A2628" s="102">
        <v>830000</v>
      </c>
      <c r="B2628" s="102">
        <v>2400000</v>
      </c>
      <c r="C2628" s="102">
        <v>2500000</v>
      </c>
      <c r="D2628" s="90" t="s">
        <v>374</v>
      </c>
      <c r="E2628" s="90" t="s">
        <v>68</v>
      </c>
      <c r="F2628" s="90" t="s">
        <v>375</v>
      </c>
      <c r="G2628" s="90" t="s">
        <v>376</v>
      </c>
      <c r="H2628" s="90">
        <v>0.59</v>
      </c>
      <c r="I2628" s="90">
        <v>0.64</v>
      </c>
      <c r="J2628" s="90" t="s">
        <v>244</v>
      </c>
      <c r="K2628" s="90">
        <v>0.44703928581767999</v>
      </c>
      <c r="L2628" s="90">
        <v>3760.3626798448199</v>
      </c>
      <c r="M2628" s="90">
        <v>10.799717441868101</v>
      </c>
      <c r="N2628" s="90">
        <v>2.0759537243105801</v>
      </c>
      <c r="O2628" s="90">
        <v>4.82789797224555</v>
      </c>
      <c r="P2628" s="90">
        <v>0.92803287030637005</v>
      </c>
      <c r="Q2628" s="90">
        <v>1681.0298468133201</v>
      </c>
      <c r="R2628" s="90">
        <v>1340</v>
      </c>
      <c r="S2628" s="90" t="s">
        <v>407</v>
      </c>
      <c r="T2628" s="90">
        <v>1340</v>
      </c>
      <c r="U2628" s="90" t="s">
        <v>378</v>
      </c>
      <c r="V2628" s="90" t="s">
        <v>244</v>
      </c>
      <c r="Z2628" s="90">
        <v>0</v>
      </c>
      <c r="AA2628" s="90">
        <v>1</v>
      </c>
      <c r="AB2628" s="90">
        <v>4.82789797224555</v>
      </c>
      <c r="AC2628" s="90">
        <v>0.92803287030637005</v>
      </c>
      <c r="AD2628" s="90">
        <v>1864.4908591856999</v>
      </c>
      <c r="AF2628" s="90">
        <v>-1</v>
      </c>
      <c r="AG2628" s="90">
        <v>-1</v>
      </c>
      <c r="AH2628" s="90">
        <v>-1</v>
      </c>
      <c r="AI2628" s="90">
        <v>-1</v>
      </c>
      <c r="AJ2628" s="90">
        <v>0</v>
      </c>
      <c r="AM2628" s="90" t="s">
        <v>379</v>
      </c>
      <c r="AN2628" s="90">
        <v>-1</v>
      </c>
      <c r="AQ2628" s="90">
        <v>358</v>
      </c>
      <c r="AR2628" s="90" t="s">
        <v>422</v>
      </c>
      <c r="AS2628" s="90" t="s">
        <v>250</v>
      </c>
      <c r="AT2628" s="90" t="s">
        <v>244</v>
      </c>
      <c r="AU2628" s="90">
        <v>86.412649999999999</v>
      </c>
      <c r="AV2628" s="90">
        <v>170.25750282396299</v>
      </c>
      <c r="AW2628" s="90">
        <v>1809.1038048764201</v>
      </c>
      <c r="AX2628" s="90">
        <v>1.5121580366</v>
      </c>
    </row>
    <row r="2629" spans="1:50" x14ac:dyDescent="0.25">
      <c r="A2629" s="102">
        <v>830000</v>
      </c>
      <c r="B2629" s="102">
        <v>2400000</v>
      </c>
      <c r="C2629" s="102">
        <v>2500000</v>
      </c>
      <c r="D2629" s="90" t="s">
        <v>374</v>
      </c>
      <c r="E2629" s="90" t="s">
        <v>68</v>
      </c>
      <c r="F2629" s="90" t="s">
        <v>375</v>
      </c>
      <c r="G2629" s="90" t="s">
        <v>376</v>
      </c>
      <c r="H2629" s="90">
        <v>0.59</v>
      </c>
      <c r="I2629" s="90">
        <v>0.64</v>
      </c>
      <c r="J2629" s="90" t="s">
        <v>244</v>
      </c>
      <c r="K2629" s="90">
        <v>1.94099446937E-3</v>
      </c>
      <c r="L2629" s="90">
        <v>3764.7725650648199</v>
      </c>
      <c r="M2629" s="90">
        <v>10.784773787525801</v>
      </c>
      <c r="N2629" s="90">
        <v>2.0304144297448699</v>
      </c>
      <c r="O2629" s="90">
        <v>2.0933186275019999E-2</v>
      </c>
      <c r="P2629" s="90">
        <v>3.9410231786699999E-3</v>
      </c>
      <c r="Q2629" s="90">
        <v>7.3074027272380304</v>
      </c>
      <c r="R2629" s="90">
        <v>1400</v>
      </c>
      <c r="S2629" s="90" t="s">
        <v>324</v>
      </c>
      <c r="T2629" s="90">
        <v>1400</v>
      </c>
      <c r="U2629" s="90" t="s">
        <v>378</v>
      </c>
      <c r="V2629" s="90" t="s">
        <v>244</v>
      </c>
      <c r="Z2629" s="90">
        <v>0</v>
      </c>
      <c r="AA2629" s="90">
        <v>1</v>
      </c>
      <c r="AB2629" s="90">
        <v>2.0933186275019999E-2</v>
      </c>
      <c r="AC2629" s="90">
        <v>3.9410231786699999E-3</v>
      </c>
      <c r="AD2629" s="90">
        <v>7.3074027272383297</v>
      </c>
      <c r="AF2629" s="90">
        <v>-1</v>
      </c>
      <c r="AG2629" s="90">
        <v>-1</v>
      </c>
      <c r="AH2629" s="90">
        <v>-1</v>
      </c>
      <c r="AI2629" s="90">
        <v>-1</v>
      </c>
      <c r="AJ2629" s="90">
        <v>0</v>
      </c>
      <c r="AM2629" s="90" t="s">
        <v>379</v>
      </c>
      <c r="AN2629" s="90">
        <v>-1</v>
      </c>
      <c r="AQ2629" s="90">
        <v>358</v>
      </c>
      <c r="AR2629" s="90" t="s">
        <v>422</v>
      </c>
      <c r="AS2629" s="90" t="s">
        <v>250</v>
      </c>
      <c r="AT2629" s="90" t="s">
        <v>244</v>
      </c>
      <c r="AU2629" s="90">
        <v>86.412649999999999</v>
      </c>
      <c r="AV2629" s="90">
        <v>100.354232564581</v>
      </c>
      <c r="AW2629" s="90">
        <v>7.8549259342253199</v>
      </c>
      <c r="AX2629" s="90">
        <v>5.9265228999999999E-3</v>
      </c>
    </row>
    <row r="2630" spans="1:50" x14ac:dyDescent="0.25">
      <c r="A2630" s="102">
        <v>830000</v>
      </c>
      <c r="B2630" s="102">
        <v>2400000</v>
      </c>
      <c r="C2630" s="102">
        <v>2500000</v>
      </c>
      <c r="D2630" s="90" t="s">
        <v>374</v>
      </c>
      <c r="E2630" s="90" t="s">
        <v>68</v>
      </c>
      <c r="F2630" s="90" t="s">
        <v>375</v>
      </c>
      <c r="G2630" s="90" t="s">
        <v>376</v>
      </c>
      <c r="H2630" s="90">
        <v>0.59</v>
      </c>
      <c r="I2630" s="90">
        <v>0.64</v>
      </c>
      <c r="J2630" s="90" t="s">
        <v>381</v>
      </c>
      <c r="K2630" s="90">
        <v>2.5502957966659998E-2</v>
      </c>
      <c r="L2630" s="90">
        <v>3764.7725650648199</v>
      </c>
      <c r="M2630" s="90">
        <v>10.784773787525801</v>
      </c>
      <c r="N2630" s="90">
        <v>2.0304144297448699</v>
      </c>
      <c r="O2630" s="90">
        <v>0.27504363258327003</v>
      </c>
      <c r="P2630" s="90">
        <v>5.1781573856690001E-2</v>
      </c>
      <c r="Q2630" s="90">
        <v>96.012836480905605</v>
      </c>
      <c r="R2630" s="90">
        <v>1400</v>
      </c>
      <c r="S2630" s="90" t="s">
        <v>324</v>
      </c>
      <c r="T2630" s="90">
        <v>1400</v>
      </c>
      <c r="U2630" s="90" t="s">
        <v>382</v>
      </c>
      <c r="V2630" s="90" t="s">
        <v>381</v>
      </c>
      <c r="Z2630" s="90">
        <v>0</v>
      </c>
      <c r="AA2630" s="90">
        <v>1</v>
      </c>
      <c r="AB2630" s="90">
        <v>0.27504363258327003</v>
      </c>
      <c r="AC2630" s="90">
        <v>5.1781573856690001E-2</v>
      </c>
      <c r="AD2630" s="90">
        <v>96.012836480905605</v>
      </c>
      <c r="AF2630" s="90">
        <v>-1</v>
      </c>
      <c r="AG2630" s="90">
        <v>-1</v>
      </c>
      <c r="AH2630" s="90">
        <v>-1</v>
      </c>
      <c r="AI2630" s="90">
        <v>-1</v>
      </c>
      <c r="AJ2630" s="90">
        <v>0</v>
      </c>
      <c r="AM2630" s="90" t="s">
        <v>379</v>
      </c>
      <c r="AN2630" s="90">
        <v>-1</v>
      </c>
      <c r="AQ2630" s="90">
        <v>358</v>
      </c>
      <c r="AR2630" s="90" t="s">
        <v>422</v>
      </c>
      <c r="AS2630" s="90" t="s">
        <v>250</v>
      </c>
      <c r="AT2630" s="90" t="s">
        <v>244</v>
      </c>
      <c r="AU2630" s="90">
        <v>86.412649999999999</v>
      </c>
      <c r="AV2630" s="90">
        <v>104.148288029943</v>
      </c>
      <c r="AW2630" s="90">
        <v>103.206809237599</v>
      </c>
      <c r="AX2630" s="90">
        <v>7.7869291500000007E-2</v>
      </c>
    </row>
    <row r="2631" spans="1:50" x14ac:dyDescent="0.25">
      <c r="A2631" s="102">
        <v>830000</v>
      </c>
      <c r="B2631" s="102">
        <v>2400000</v>
      </c>
      <c r="C2631" s="102">
        <v>2500000</v>
      </c>
      <c r="D2631" s="90" t="s">
        <v>374</v>
      </c>
      <c r="E2631" s="90" t="s">
        <v>68</v>
      </c>
      <c r="F2631" s="90" t="s">
        <v>375</v>
      </c>
      <c r="G2631" s="90" t="s">
        <v>376</v>
      </c>
      <c r="H2631" s="90">
        <v>0.59</v>
      </c>
      <c r="I2631" s="90">
        <v>0.64</v>
      </c>
      <c r="J2631" s="90" t="s">
        <v>244</v>
      </c>
      <c r="K2631" s="90">
        <v>4.7933090182500004E-3</v>
      </c>
      <c r="L2631" s="90">
        <v>3764.7725650648199</v>
      </c>
      <c r="M2631" s="90">
        <v>10.784773787525801</v>
      </c>
      <c r="N2631" s="90">
        <v>2.0304144297448699</v>
      </c>
      <c r="O2631" s="90">
        <v>5.1694753455620003E-2</v>
      </c>
      <c r="P2631" s="90">
        <v>9.7324037968900007E-3</v>
      </c>
      <c r="Q2631" s="90">
        <v>18.0457182878155</v>
      </c>
      <c r="R2631" s="90">
        <v>1210</v>
      </c>
      <c r="S2631" s="90" t="s">
        <v>385</v>
      </c>
      <c r="T2631" s="90">
        <v>1210</v>
      </c>
      <c r="U2631" s="90" t="s">
        <v>378</v>
      </c>
      <c r="V2631" s="90" t="s">
        <v>244</v>
      </c>
      <c r="Z2631" s="90">
        <v>0</v>
      </c>
      <c r="AA2631" s="90">
        <v>1</v>
      </c>
      <c r="AB2631" s="90">
        <v>5.1694753455620003E-2</v>
      </c>
      <c r="AC2631" s="90">
        <v>9.7324037968900007E-3</v>
      </c>
      <c r="AD2631" s="90">
        <v>18.0457182878142</v>
      </c>
      <c r="AF2631" s="90">
        <v>-1</v>
      </c>
      <c r="AG2631" s="90">
        <v>-1</v>
      </c>
      <c r="AH2631" s="90">
        <v>-1</v>
      </c>
      <c r="AI2631" s="90">
        <v>-1</v>
      </c>
      <c r="AJ2631" s="90">
        <v>0</v>
      </c>
      <c r="AM2631" s="90" t="s">
        <v>379</v>
      </c>
      <c r="AN2631" s="90">
        <v>-1</v>
      </c>
      <c r="AQ2631" s="90">
        <v>358</v>
      </c>
      <c r="AR2631" s="90" t="s">
        <v>422</v>
      </c>
      <c r="AS2631" s="90" t="s">
        <v>250</v>
      </c>
      <c r="AT2631" s="90" t="s">
        <v>244</v>
      </c>
      <c r="AU2631" s="90">
        <v>86.412649999999999</v>
      </c>
      <c r="AV2631" s="90">
        <v>22.339183451499299</v>
      </c>
      <c r="AW2631" s="90">
        <v>19.3978333850838</v>
      </c>
      <c r="AX2631" s="90">
        <v>1.4635619000000001E-2</v>
      </c>
    </row>
    <row r="2632" spans="1:50" x14ac:dyDescent="0.25">
      <c r="A2632" s="102">
        <v>830000</v>
      </c>
      <c r="B2632" s="102">
        <v>2400000</v>
      </c>
      <c r="C2632" s="102">
        <v>2500000</v>
      </c>
      <c r="D2632" s="90" t="s">
        <v>374</v>
      </c>
      <c r="E2632" s="90" t="s">
        <v>68</v>
      </c>
      <c r="F2632" s="90" t="s">
        <v>375</v>
      </c>
      <c r="G2632" s="90" t="s">
        <v>376</v>
      </c>
      <c r="H2632" s="90">
        <v>0.59</v>
      </c>
      <c r="I2632" s="90">
        <v>0.64</v>
      </c>
      <c r="J2632" s="90" t="s">
        <v>244</v>
      </c>
      <c r="K2632" s="90">
        <v>1.5638403374450001E-2</v>
      </c>
      <c r="L2632" s="90">
        <v>3764.7725650648199</v>
      </c>
      <c r="M2632" s="90">
        <v>10.784773787525801</v>
      </c>
      <c r="N2632" s="90">
        <v>2.0304144297448699</v>
      </c>
      <c r="O2632" s="90">
        <v>0.16865664279154</v>
      </c>
      <c r="P2632" s="90">
        <v>3.1752439869649998E-2</v>
      </c>
      <c r="Q2632" s="90">
        <v>58.875031985554003</v>
      </c>
      <c r="R2632" s="90">
        <v>1420</v>
      </c>
      <c r="S2632" s="90" t="s">
        <v>327</v>
      </c>
      <c r="T2632" s="90">
        <v>1420</v>
      </c>
      <c r="U2632" s="90" t="s">
        <v>378</v>
      </c>
      <c r="V2632" s="90" t="s">
        <v>244</v>
      </c>
      <c r="Z2632" s="90">
        <v>0</v>
      </c>
      <c r="AA2632" s="90">
        <v>1</v>
      </c>
      <c r="AB2632" s="90">
        <v>0.16865664279154</v>
      </c>
      <c r="AC2632" s="90">
        <v>3.1752439869649998E-2</v>
      </c>
      <c r="AD2632" s="90">
        <v>58.875031985554003</v>
      </c>
      <c r="AF2632" s="90">
        <v>-1</v>
      </c>
      <c r="AG2632" s="90">
        <v>-1</v>
      </c>
      <c r="AH2632" s="90">
        <v>-1</v>
      </c>
      <c r="AI2632" s="90">
        <v>-1</v>
      </c>
      <c r="AJ2632" s="90">
        <v>0</v>
      </c>
      <c r="AM2632" s="90" t="s">
        <v>379</v>
      </c>
      <c r="AN2632" s="90">
        <v>-1</v>
      </c>
      <c r="AQ2632" s="90">
        <v>358</v>
      </c>
      <c r="AR2632" s="90" t="s">
        <v>422</v>
      </c>
      <c r="AS2632" s="90" t="s">
        <v>250</v>
      </c>
      <c r="AT2632" s="90" t="s">
        <v>244</v>
      </c>
      <c r="AU2632" s="90">
        <v>86.412649999999999</v>
      </c>
      <c r="AV2632" s="90">
        <v>85.066198903777007</v>
      </c>
      <c r="AW2632" s="90">
        <v>63.286373131982899</v>
      </c>
      <c r="AX2632" s="90">
        <v>4.7749417699999998E-2</v>
      </c>
    </row>
    <row r="2633" spans="1:50" x14ac:dyDescent="0.25">
      <c r="A2633" s="102">
        <v>830000</v>
      </c>
      <c r="B2633" s="102">
        <v>2400000</v>
      </c>
      <c r="C2633" s="102">
        <v>2500000</v>
      </c>
      <c r="D2633" s="90" t="s">
        <v>374</v>
      </c>
      <c r="E2633" s="90" t="s">
        <v>68</v>
      </c>
      <c r="F2633" s="90" t="s">
        <v>375</v>
      </c>
      <c r="G2633" s="90" t="s">
        <v>376</v>
      </c>
      <c r="H2633" s="90">
        <v>0.59</v>
      </c>
      <c r="I2633" s="90">
        <v>0.64</v>
      </c>
      <c r="J2633" s="90" t="s">
        <v>244</v>
      </c>
      <c r="K2633" s="90">
        <v>0.56988778870108003</v>
      </c>
      <c r="L2633" s="90">
        <v>3764.7725650648199</v>
      </c>
      <c r="M2633" s="90">
        <v>10.784773787525801</v>
      </c>
      <c r="N2633" s="90">
        <v>2.0304144297448699</v>
      </c>
      <c r="O2633" s="90">
        <v>6.1461108854145001</v>
      </c>
      <c r="P2633" s="90">
        <v>1.1571083895140799</v>
      </c>
      <c r="Q2633" s="90">
        <v>2145.4979120673001</v>
      </c>
      <c r="R2633" s="90">
        <v>1300</v>
      </c>
      <c r="S2633" s="90" t="s">
        <v>387</v>
      </c>
      <c r="T2633" s="90">
        <v>1300</v>
      </c>
      <c r="U2633" s="90" t="s">
        <v>378</v>
      </c>
      <c r="V2633" s="90" t="s">
        <v>244</v>
      </c>
      <c r="Z2633" s="90">
        <v>0</v>
      </c>
      <c r="AA2633" s="90">
        <v>1</v>
      </c>
      <c r="AB2633" s="90">
        <v>6.1461108854145001</v>
      </c>
      <c r="AC2633" s="90">
        <v>1.1571083895140799</v>
      </c>
      <c r="AD2633" s="90">
        <v>2145.4979120673001</v>
      </c>
      <c r="AF2633" s="90">
        <v>-1</v>
      </c>
      <c r="AG2633" s="90">
        <v>-1</v>
      </c>
      <c r="AH2633" s="90">
        <v>-1</v>
      </c>
      <c r="AI2633" s="90">
        <v>-1</v>
      </c>
      <c r="AJ2633" s="90">
        <v>0</v>
      </c>
      <c r="AM2633" s="90" t="s">
        <v>379</v>
      </c>
      <c r="AN2633" s="90">
        <v>-1</v>
      </c>
      <c r="AQ2633" s="90">
        <v>358</v>
      </c>
      <c r="AR2633" s="90" t="s">
        <v>422</v>
      </c>
      <c r="AS2633" s="90" t="s">
        <v>250</v>
      </c>
      <c r="AT2633" s="90" t="s">
        <v>244</v>
      </c>
      <c r="AU2633" s="90">
        <v>86.412649999999999</v>
      </c>
      <c r="AV2633" s="90">
        <v>192.284937059751</v>
      </c>
      <c r="AW2633" s="90">
        <v>2306.25405775231</v>
      </c>
      <c r="AX2633" s="90">
        <v>1.740063189</v>
      </c>
    </row>
    <row r="2634" spans="1:50" x14ac:dyDescent="0.25">
      <c r="A2634" s="102">
        <v>830000</v>
      </c>
      <c r="B2634" s="102">
        <v>2400000</v>
      </c>
      <c r="C2634" s="102">
        <v>2500000</v>
      </c>
      <c r="D2634" s="90" t="s">
        <v>374</v>
      </c>
      <c r="E2634" s="90" t="s">
        <v>68</v>
      </c>
      <c r="F2634" s="90" t="s">
        <v>375</v>
      </c>
      <c r="G2634" s="90" t="s">
        <v>376</v>
      </c>
      <c r="H2634" s="90">
        <v>0.59</v>
      </c>
      <c r="I2634" s="90">
        <v>0.64</v>
      </c>
      <c r="J2634" s="90" t="s">
        <v>381</v>
      </c>
      <c r="K2634" s="90">
        <v>7.3521283520720002E-2</v>
      </c>
      <c r="L2634" s="90">
        <v>3753.2077088716001</v>
      </c>
      <c r="M2634" s="90">
        <v>10.071534036608501</v>
      </c>
      <c r="N2634" s="90">
        <v>1.79410915702785</v>
      </c>
      <c r="O2634" s="90">
        <v>0.74047210939411001</v>
      </c>
      <c r="P2634" s="90">
        <v>0.13190520800097</v>
      </c>
      <c r="Q2634" s="90">
        <v>275.940648076115</v>
      </c>
      <c r="R2634" s="90">
        <v>1200</v>
      </c>
      <c r="S2634" s="90" t="s">
        <v>384</v>
      </c>
      <c r="T2634" s="90">
        <v>1200</v>
      </c>
      <c r="U2634" s="90" t="s">
        <v>382</v>
      </c>
      <c r="V2634" s="90" t="s">
        <v>381</v>
      </c>
      <c r="Z2634" s="90">
        <v>0</v>
      </c>
      <c r="AA2634" s="90">
        <v>1</v>
      </c>
      <c r="AB2634" s="90">
        <v>0.74047210939411001</v>
      </c>
      <c r="AC2634" s="90">
        <v>0.13190520800097</v>
      </c>
      <c r="AD2634" s="90">
        <v>275.94064807611699</v>
      </c>
      <c r="AF2634" s="90">
        <v>-1</v>
      </c>
      <c r="AG2634" s="90">
        <v>-1</v>
      </c>
      <c r="AH2634" s="90">
        <v>-1</v>
      </c>
      <c r="AI2634" s="90">
        <v>-1</v>
      </c>
      <c r="AJ2634" s="90">
        <v>0</v>
      </c>
      <c r="AM2634" s="90" t="s">
        <v>379</v>
      </c>
      <c r="AN2634" s="90">
        <v>-1</v>
      </c>
      <c r="AQ2634" s="90">
        <v>358</v>
      </c>
      <c r="AR2634" s="90" t="s">
        <v>422</v>
      </c>
      <c r="AS2634" s="90" t="s">
        <v>250</v>
      </c>
      <c r="AT2634" s="90" t="s">
        <v>244</v>
      </c>
      <c r="AU2634" s="90">
        <v>86.412649999999999</v>
      </c>
      <c r="AV2634" s="90">
        <v>112.041182460437</v>
      </c>
      <c r="AW2634" s="90">
        <v>297.53007839893399</v>
      </c>
      <c r="AX2634" s="90">
        <v>0.223796146</v>
      </c>
    </row>
    <row r="2635" spans="1:50" x14ac:dyDescent="0.25">
      <c r="A2635" s="102">
        <v>830000</v>
      </c>
      <c r="B2635" s="102">
        <v>2400000</v>
      </c>
      <c r="C2635" s="102">
        <v>2500000</v>
      </c>
      <c r="D2635" s="90" t="s">
        <v>374</v>
      </c>
      <c r="E2635" s="90" t="s">
        <v>68</v>
      </c>
      <c r="F2635" s="90" t="s">
        <v>375</v>
      </c>
      <c r="G2635" s="90" t="s">
        <v>376</v>
      </c>
      <c r="H2635" s="90">
        <v>0.59</v>
      </c>
      <c r="I2635" s="90">
        <v>0.64</v>
      </c>
      <c r="J2635" s="90" t="s">
        <v>244</v>
      </c>
      <c r="K2635" s="90">
        <v>1.78311784766E-3</v>
      </c>
      <c r="L2635" s="90">
        <v>3753.2077088716001</v>
      </c>
      <c r="M2635" s="90">
        <v>10.071534036608501</v>
      </c>
      <c r="N2635" s="90">
        <v>1.79410915702785</v>
      </c>
      <c r="O2635" s="90">
        <v>1.7958732094060001E-2</v>
      </c>
      <c r="P2635" s="90">
        <v>3.1991080585499999E-3</v>
      </c>
      <c r="Q2635" s="90">
        <v>6.6924116516903203</v>
      </c>
      <c r="R2635" s="90">
        <v>1300</v>
      </c>
      <c r="S2635" s="90" t="s">
        <v>387</v>
      </c>
      <c r="T2635" s="90">
        <v>1300</v>
      </c>
      <c r="U2635" s="90" t="s">
        <v>378</v>
      </c>
      <c r="V2635" s="90" t="s">
        <v>244</v>
      </c>
      <c r="Z2635" s="90">
        <v>0</v>
      </c>
      <c r="AA2635" s="90">
        <v>1</v>
      </c>
      <c r="AB2635" s="90">
        <v>1.7958732094060001E-2</v>
      </c>
      <c r="AC2635" s="90">
        <v>3.1991080585499999E-3</v>
      </c>
      <c r="AD2635" s="90">
        <v>6.6924116516905396</v>
      </c>
      <c r="AF2635" s="90">
        <v>-1</v>
      </c>
      <c r="AG2635" s="90">
        <v>-1</v>
      </c>
      <c r="AH2635" s="90">
        <v>-1</v>
      </c>
      <c r="AI2635" s="90">
        <v>-1</v>
      </c>
      <c r="AJ2635" s="90">
        <v>0</v>
      </c>
      <c r="AM2635" s="90" t="s">
        <v>379</v>
      </c>
      <c r="AN2635" s="90">
        <v>-1</v>
      </c>
      <c r="AQ2635" s="90">
        <v>358</v>
      </c>
      <c r="AR2635" s="90" t="s">
        <v>422</v>
      </c>
      <c r="AS2635" s="90" t="s">
        <v>250</v>
      </c>
      <c r="AT2635" s="90" t="s">
        <v>244</v>
      </c>
      <c r="AU2635" s="90">
        <v>86.412649999999999</v>
      </c>
      <c r="AV2635" s="90">
        <v>100.517299842982</v>
      </c>
      <c r="AW2635" s="90">
        <v>7.2160219137275003</v>
      </c>
      <c r="AX2635" s="90">
        <v>5.4277466999999996E-3</v>
      </c>
    </row>
    <row r="2636" spans="1:50" x14ac:dyDescent="0.25">
      <c r="A2636" s="102">
        <v>830000</v>
      </c>
      <c r="B2636" s="102">
        <v>2400000</v>
      </c>
      <c r="C2636" s="102">
        <v>2500000</v>
      </c>
      <c r="D2636" s="90" t="s">
        <v>374</v>
      </c>
      <c r="E2636" s="90" t="s">
        <v>68</v>
      </c>
      <c r="F2636" s="90" t="s">
        <v>375</v>
      </c>
      <c r="G2636" s="90" t="s">
        <v>376</v>
      </c>
      <c r="H2636" s="90">
        <v>0.59</v>
      </c>
      <c r="I2636" s="90">
        <v>0.64</v>
      </c>
      <c r="J2636" s="90" t="s">
        <v>381</v>
      </c>
      <c r="K2636" s="90">
        <v>0.15063056901891</v>
      </c>
      <c r="L2636" s="90">
        <v>3753.2077088716001</v>
      </c>
      <c r="M2636" s="90">
        <v>10.071534036608501</v>
      </c>
      <c r="N2636" s="90">
        <v>1.79410915702785</v>
      </c>
      <c r="O2636" s="90">
        <v>1.5170809028277299</v>
      </c>
      <c r="P2636" s="90">
        <v>0.27024768320515002</v>
      </c>
      <c r="Q2636" s="90">
        <v>565.34781283351504</v>
      </c>
      <c r="R2636" s="90">
        <v>1300</v>
      </c>
      <c r="S2636" s="90" t="s">
        <v>387</v>
      </c>
      <c r="T2636" s="90">
        <v>1300</v>
      </c>
      <c r="U2636" s="90" t="s">
        <v>382</v>
      </c>
      <c r="V2636" s="90" t="s">
        <v>381</v>
      </c>
      <c r="Z2636" s="90">
        <v>0</v>
      </c>
      <c r="AA2636" s="90">
        <v>1</v>
      </c>
      <c r="AB2636" s="90">
        <v>1.5170809028277299</v>
      </c>
      <c r="AC2636" s="90">
        <v>0.27024768320515002</v>
      </c>
      <c r="AD2636" s="90">
        <v>565.34781283351504</v>
      </c>
      <c r="AF2636" s="90">
        <v>-1</v>
      </c>
      <c r="AG2636" s="90">
        <v>-1</v>
      </c>
      <c r="AH2636" s="90">
        <v>-1</v>
      </c>
      <c r="AI2636" s="90">
        <v>-1</v>
      </c>
      <c r="AJ2636" s="90">
        <v>0</v>
      </c>
      <c r="AM2636" s="90" t="s">
        <v>379</v>
      </c>
      <c r="AN2636" s="90">
        <v>-1</v>
      </c>
      <c r="AQ2636" s="90">
        <v>358</v>
      </c>
      <c r="AR2636" s="90" t="s">
        <v>422</v>
      </c>
      <c r="AS2636" s="90" t="s">
        <v>250</v>
      </c>
      <c r="AT2636" s="90" t="s">
        <v>244</v>
      </c>
      <c r="AU2636" s="90">
        <v>86.412649999999999</v>
      </c>
      <c r="AV2636" s="90">
        <v>124.736832791284</v>
      </c>
      <c r="AW2636" s="90">
        <v>609.58028564397</v>
      </c>
      <c r="AX2636" s="90">
        <v>0.4585140412</v>
      </c>
    </row>
    <row r="2637" spans="1:50" x14ac:dyDescent="0.25">
      <c r="A2637" s="102">
        <v>830000</v>
      </c>
      <c r="B2637" s="102">
        <v>2400000</v>
      </c>
      <c r="C2637" s="102">
        <v>2500000</v>
      </c>
      <c r="D2637" s="90" t="s">
        <v>374</v>
      </c>
      <c r="E2637" s="90" t="s">
        <v>68</v>
      </c>
      <c r="F2637" s="90" t="s">
        <v>375</v>
      </c>
      <c r="G2637" s="90" t="s">
        <v>376</v>
      </c>
      <c r="H2637" s="90">
        <v>0.59</v>
      </c>
      <c r="I2637" s="90">
        <v>0.64</v>
      </c>
      <c r="J2637" s="90" t="s">
        <v>244</v>
      </c>
      <c r="K2637" s="90">
        <v>3.4915809043160002E-2</v>
      </c>
      <c r="L2637" s="90">
        <v>3753.2077088716001</v>
      </c>
      <c r="M2637" s="90">
        <v>10.071534036608501</v>
      </c>
      <c r="N2637" s="90">
        <v>1.79410915702785</v>
      </c>
      <c r="O2637" s="90">
        <v>0.35165575919399</v>
      </c>
      <c r="P2637" s="90">
        <v>6.264277272938E-2</v>
      </c>
      <c r="Q2637" s="90">
        <v>131.046283662306</v>
      </c>
      <c r="R2637" s="90">
        <v>1210</v>
      </c>
      <c r="S2637" s="90" t="s">
        <v>385</v>
      </c>
      <c r="T2637" s="90">
        <v>1210</v>
      </c>
      <c r="U2637" s="90" t="s">
        <v>378</v>
      </c>
      <c r="V2637" s="90" t="s">
        <v>244</v>
      </c>
      <c r="Z2637" s="90">
        <v>0</v>
      </c>
      <c r="AA2637" s="90">
        <v>1</v>
      </c>
      <c r="AB2637" s="90">
        <v>0.35165575919399</v>
      </c>
      <c r="AC2637" s="90">
        <v>6.264277272938E-2</v>
      </c>
      <c r="AD2637" s="90">
        <v>131.046283662305</v>
      </c>
      <c r="AF2637" s="90">
        <v>-1</v>
      </c>
      <c r="AG2637" s="90">
        <v>-1</v>
      </c>
      <c r="AH2637" s="90">
        <v>-1</v>
      </c>
      <c r="AI2637" s="90">
        <v>-1</v>
      </c>
      <c r="AJ2637" s="90">
        <v>0</v>
      </c>
      <c r="AM2637" s="90" t="s">
        <v>379</v>
      </c>
      <c r="AN2637" s="90">
        <v>-1</v>
      </c>
      <c r="AQ2637" s="90">
        <v>358</v>
      </c>
      <c r="AR2637" s="90" t="s">
        <v>422</v>
      </c>
      <c r="AS2637" s="90" t="s">
        <v>250</v>
      </c>
      <c r="AT2637" s="90" t="s">
        <v>244</v>
      </c>
      <c r="AU2637" s="90">
        <v>86.412649999999999</v>
      </c>
      <c r="AV2637" s="90">
        <v>48.241529350453398</v>
      </c>
      <c r="AW2637" s="90">
        <v>141.299266069634</v>
      </c>
      <c r="AX2637" s="90">
        <v>0.1062824685</v>
      </c>
    </row>
    <row r="2638" spans="1:50" x14ac:dyDescent="0.25">
      <c r="A2638" s="102">
        <v>830000</v>
      </c>
      <c r="B2638" s="102">
        <v>2400000</v>
      </c>
      <c r="C2638" s="102">
        <v>2500000</v>
      </c>
      <c r="D2638" s="90" t="s">
        <v>374</v>
      </c>
      <c r="E2638" s="90" t="s">
        <v>68</v>
      </c>
      <c r="F2638" s="90" t="s">
        <v>375</v>
      </c>
      <c r="G2638" s="90" t="s">
        <v>376</v>
      </c>
      <c r="H2638" s="90">
        <v>0.59</v>
      </c>
      <c r="I2638" s="90">
        <v>0.64</v>
      </c>
      <c r="J2638" s="90" t="s">
        <v>381</v>
      </c>
      <c r="K2638" s="90">
        <v>4.9295643347999996E-4</v>
      </c>
      <c r="L2638" s="90">
        <v>3753.2077088716001</v>
      </c>
      <c r="M2638" s="90">
        <v>10.071534036608501</v>
      </c>
      <c r="N2638" s="90">
        <v>1.79410915702785</v>
      </c>
      <c r="O2638" s="90">
        <v>4.9648274983900001E-3</v>
      </c>
      <c r="P2638" s="90">
        <v>8.8441765131999997E-4</v>
      </c>
      <c r="Q2638" s="90">
        <v>1.85016788628999</v>
      </c>
      <c r="R2638" s="90">
        <v>1210</v>
      </c>
      <c r="S2638" s="90" t="s">
        <v>385</v>
      </c>
      <c r="T2638" s="90">
        <v>1210</v>
      </c>
      <c r="U2638" s="90" t="s">
        <v>382</v>
      </c>
      <c r="V2638" s="90" t="s">
        <v>381</v>
      </c>
      <c r="Z2638" s="90">
        <v>0</v>
      </c>
      <c r="AA2638" s="90">
        <v>1</v>
      </c>
      <c r="AB2638" s="90">
        <v>4.9648274983900001E-3</v>
      </c>
      <c r="AC2638" s="90">
        <v>8.8441765131999997E-4</v>
      </c>
      <c r="AD2638" s="90">
        <v>1.85016788629019</v>
      </c>
      <c r="AF2638" s="90">
        <v>-1</v>
      </c>
      <c r="AG2638" s="90">
        <v>-1</v>
      </c>
      <c r="AH2638" s="90">
        <v>-1</v>
      </c>
      <c r="AI2638" s="90">
        <v>-1</v>
      </c>
      <c r="AJ2638" s="90">
        <v>0</v>
      </c>
      <c r="AM2638" s="90" t="s">
        <v>379</v>
      </c>
      <c r="AN2638" s="90">
        <v>-1</v>
      </c>
      <c r="AQ2638" s="90">
        <v>358</v>
      </c>
      <c r="AR2638" s="90" t="s">
        <v>422</v>
      </c>
      <c r="AS2638" s="90" t="s">
        <v>250</v>
      </c>
      <c r="AT2638" s="90" t="s">
        <v>244</v>
      </c>
      <c r="AU2638" s="90">
        <v>86.412649999999999</v>
      </c>
      <c r="AV2638" s="90">
        <v>28.004138885449901</v>
      </c>
      <c r="AW2638" s="90">
        <v>1.9949239088083299</v>
      </c>
      <c r="AX2638" s="90">
        <v>1.5005417E-3</v>
      </c>
    </row>
    <row r="2639" spans="1:50" x14ac:dyDescent="0.25">
      <c r="A2639" s="102">
        <v>830000</v>
      </c>
      <c r="B2639" s="102">
        <v>2400000</v>
      </c>
      <c r="C2639" s="102">
        <v>2500000</v>
      </c>
      <c r="D2639" s="90" t="s">
        <v>374</v>
      </c>
      <c r="E2639" s="90" t="s">
        <v>68</v>
      </c>
      <c r="F2639" s="90" t="s">
        <v>375</v>
      </c>
      <c r="G2639" s="90" t="s">
        <v>376</v>
      </c>
      <c r="H2639" s="90">
        <v>0.59</v>
      </c>
      <c r="I2639" s="90">
        <v>0.64</v>
      </c>
      <c r="J2639" s="90" t="s">
        <v>244</v>
      </c>
      <c r="K2639" s="90">
        <v>6.3941968837039995E-2</v>
      </c>
      <c r="L2639" s="90">
        <v>3753.2077088716001</v>
      </c>
      <c r="M2639" s="90">
        <v>10.071534036608501</v>
      </c>
      <c r="N2639" s="90">
        <v>1.79410915702785</v>
      </c>
      <c r="O2639" s="90">
        <v>0.64399371551000995</v>
      </c>
      <c r="P2639" s="90">
        <v>0.11471887180892</v>
      </c>
      <c r="Q2639" s="90">
        <v>239.98749035960901</v>
      </c>
      <c r="R2639" s="90">
        <v>1330</v>
      </c>
      <c r="S2639" s="90" t="s">
        <v>397</v>
      </c>
      <c r="T2639" s="90">
        <v>1330</v>
      </c>
      <c r="U2639" s="90" t="s">
        <v>378</v>
      </c>
      <c r="V2639" s="90" t="s">
        <v>244</v>
      </c>
      <c r="Z2639" s="90">
        <v>0</v>
      </c>
      <c r="AA2639" s="90">
        <v>1</v>
      </c>
      <c r="AB2639" s="90">
        <v>0.64399371551000995</v>
      </c>
      <c r="AC2639" s="90">
        <v>0.11471887180892</v>
      </c>
      <c r="AD2639" s="90">
        <v>239.98749035960799</v>
      </c>
      <c r="AF2639" s="90">
        <v>-1</v>
      </c>
      <c r="AG2639" s="90">
        <v>-1</v>
      </c>
      <c r="AH2639" s="90">
        <v>-1</v>
      </c>
      <c r="AI2639" s="90">
        <v>-1</v>
      </c>
      <c r="AJ2639" s="90">
        <v>0</v>
      </c>
      <c r="AM2639" s="90" t="s">
        <v>379</v>
      </c>
      <c r="AN2639" s="90">
        <v>-1</v>
      </c>
      <c r="AQ2639" s="90">
        <v>358</v>
      </c>
      <c r="AR2639" s="90" t="s">
        <v>422</v>
      </c>
      <c r="AS2639" s="90" t="s">
        <v>250</v>
      </c>
      <c r="AT2639" s="90" t="s">
        <v>244</v>
      </c>
      <c r="AU2639" s="90">
        <v>86.412649999999999</v>
      </c>
      <c r="AV2639" s="90">
        <v>68.428823447738097</v>
      </c>
      <c r="AW2639" s="90">
        <v>258.76396724907801</v>
      </c>
      <c r="AX2639" s="90">
        <v>0.1946370563</v>
      </c>
    </row>
    <row r="2640" spans="1:50" x14ac:dyDescent="0.25">
      <c r="A2640" s="102">
        <v>830000</v>
      </c>
      <c r="B2640" s="102">
        <v>2400000</v>
      </c>
      <c r="C2640" s="102">
        <v>2500000</v>
      </c>
      <c r="D2640" s="90" t="s">
        <v>374</v>
      </c>
      <c r="E2640" s="90" t="s">
        <v>68</v>
      </c>
      <c r="F2640" s="90" t="s">
        <v>375</v>
      </c>
      <c r="G2640" s="90" t="s">
        <v>376</v>
      </c>
      <c r="H2640" s="90">
        <v>0.59</v>
      </c>
      <c r="I2640" s="90">
        <v>0.64</v>
      </c>
      <c r="J2640" s="90" t="s">
        <v>381</v>
      </c>
      <c r="K2640" s="90">
        <v>8.1494761239000004E-4</v>
      </c>
      <c r="L2640" s="90">
        <v>3753.2077088716001</v>
      </c>
      <c r="M2640" s="90">
        <v>10.071534036608501</v>
      </c>
      <c r="N2640" s="90">
        <v>1.79410915702785</v>
      </c>
      <c r="O2640" s="90">
        <v>8.2077726162700006E-3</v>
      </c>
      <c r="P2640" s="90">
        <v>1.46210497389E-3</v>
      </c>
      <c r="Q2640" s="90">
        <v>3.0586676611636601</v>
      </c>
      <c r="R2640" s="90">
        <v>1330</v>
      </c>
      <c r="S2640" s="90" t="s">
        <v>397</v>
      </c>
      <c r="T2640" s="90">
        <v>1330</v>
      </c>
      <c r="U2640" s="90" t="s">
        <v>382</v>
      </c>
      <c r="V2640" s="90" t="s">
        <v>381</v>
      </c>
      <c r="Z2640" s="90">
        <v>0</v>
      </c>
      <c r="AA2640" s="90">
        <v>1</v>
      </c>
      <c r="AB2640" s="90">
        <v>8.2077726162700006E-3</v>
      </c>
      <c r="AC2640" s="90">
        <v>1.46210497389E-3</v>
      </c>
      <c r="AD2640" s="90">
        <v>3.05866766116403</v>
      </c>
      <c r="AF2640" s="90">
        <v>-1</v>
      </c>
      <c r="AG2640" s="90">
        <v>-1</v>
      </c>
      <c r="AH2640" s="90">
        <v>-1</v>
      </c>
      <c r="AI2640" s="90">
        <v>-1</v>
      </c>
      <c r="AJ2640" s="90">
        <v>0</v>
      </c>
      <c r="AM2640" s="90" t="s">
        <v>379</v>
      </c>
      <c r="AN2640" s="90">
        <v>-1</v>
      </c>
      <c r="AQ2640" s="90">
        <v>358</v>
      </c>
      <c r="AR2640" s="90" t="s">
        <v>422</v>
      </c>
      <c r="AS2640" s="90" t="s">
        <v>250</v>
      </c>
      <c r="AT2640" s="90" t="s">
        <v>244</v>
      </c>
      <c r="AU2640" s="90">
        <v>86.412649999999999</v>
      </c>
      <c r="AV2640" s="90">
        <v>46.105365296953202</v>
      </c>
      <c r="AW2640" s="90">
        <v>3.2979759791365999</v>
      </c>
      <c r="AX2640" s="90">
        <v>2.4806712999999999E-3</v>
      </c>
    </row>
    <row r="2641" spans="1:50" x14ac:dyDescent="0.25">
      <c r="A2641" s="102">
        <v>830000</v>
      </c>
      <c r="B2641" s="102">
        <v>2400000</v>
      </c>
      <c r="C2641" s="102">
        <v>2500000</v>
      </c>
      <c r="D2641" s="90" t="s">
        <v>374</v>
      </c>
      <c r="E2641" s="90" t="s">
        <v>68</v>
      </c>
      <c r="F2641" s="90" t="s">
        <v>375</v>
      </c>
      <c r="G2641" s="90" t="s">
        <v>376</v>
      </c>
      <c r="H2641" s="90">
        <v>0.59</v>
      </c>
      <c r="I2641" s="90">
        <v>0.64</v>
      </c>
      <c r="J2641" s="90" t="s">
        <v>244</v>
      </c>
      <c r="K2641" s="90">
        <v>8.834584937237E-2</v>
      </c>
      <c r="L2641" s="90">
        <v>3753.2077088716001</v>
      </c>
      <c r="M2641" s="90">
        <v>10.071534036608501</v>
      </c>
      <c r="N2641" s="90">
        <v>1.79410915702785</v>
      </c>
      <c r="O2641" s="90">
        <v>0.88977822894692005</v>
      </c>
      <c r="P2641" s="90">
        <v>0.15850209734437001</v>
      </c>
      <c r="Q2641" s="90">
        <v>331.58032291119201</v>
      </c>
      <c r="R2641" s="90">
        <v>1300</v>
      </c>
      <c r="S2641" s="90" t="s">
        <v>387</v>
      </c>
      <c r="T2641" s="90">
        <v>1300</v>
      </c>
      <c r="U2641" s="90" t="s">
        <v>378</v>
      </c>
      <c r="V2641" s="90" t="s">
        <v>244</v>
      </c>
      <c r="Z2641" s="90">
        <v>0</v>
      </c>
      <c r="AA2641" s="90">
        <v>1</v>
      </c>
      <c r="AB2641" s="90">
        <v>0.88977822894692005</v>
      </c>
      <c r="AC2641" s="90">
        <v>0.15850209734437001</v>
      </c>
      <c r="AD2641" s="90">
        <v>331.58032291119298</v>
      </c>
      <c r="AF2641" s="90">
        <v>-1</v>
      </c>
      <c r="AG2641" s="90">
        <v>-1</v>
      </c>
      <c r="AH2641" s="90">
        <v>-1</v>
      </c>
      <c r="AI2641" s="90">
        <v>-1</v>
      </c>
      <c r="AJ2641" s="90">
        <v>0</v>
      </c>
      <c r="AM2641" s="90" t="s">
        <v>379</v>
      </c>
      <c r="AN2641" s="90">
        <v>-1</v>
      </c>
      <c r="AQ2641" s="90">
        <v>358</v>
      </c>
      <c r="AR2641" s="90" t="s">
        <v>422</v>
      </c>
      <c r="AS2641" s="90" t="s">
        <v>250</v>
      </c>
      <c r="AT2641" s="90" t="s">
        <v>244</v>
      </c>
      <c r="AU2641" s="90">
        <v>86.412649999999999</v>
      </c>
      <c r="AV2641" s="90">
        <v>75.675754742092806</v>
      </c>
      <c r="AW2641" s="90">
        <v>357.52296792496401</v>
      </c>
      <c r="AX2641" s="90">
        <v>0.26892159199999999</v>
      </c>
    </row>
    <row r="2642" spans="1:50" x14ac:dyDescent="0.25">
      <c r="A2642" s="102">
        <v>830000</v>
      </c>
      <c r="B2642" s="102">
        <v>2400000</v>
      </c>
      <c r="C2642" s="102">
        <v>2500000</v>
      </c>
      <c r="D2642" s="90" t="s">
        <v>374</v>
      </c>
      <c r="E2642" s="90" t="s">
        <v>68</v>
      </c>
      <c r="F2642" s="90" t="s">
        <v>375</v>
      </c>
      <c r="G2642" s="90" t="s">
        <v>376</v>
      </c>
      <c r="H2642" s="90">
        <v>0.59</v>
      </c>
      <c r="I2642" s="90">
        <v>0.64</v>
      </c>
      <c r="J2642" s="90" t="s">
        <v>244</v>
      </c>
      <c r="K2642" s="90">
        <v>0.16243878553300001</v>
      </c>
      <c r="L2642" s="90">
        <v>3753.2077088716001</v>
      </c>
      <c r="M2642" s="90">
        <v>10.071534036608501</v>
      </c>
      <c r="N2642" s="90">
        <v>1.79410915702785</v>
      </c>
      <c r="O2642" s="90">
        <v>1.6360077573609699</v>
      </c>
      <c r="P2642" s="90">
        <v>0.29143291258123999</v>
      </c>
      <c r="Q2642" s="90">
        <v>609.66650208220005</v>
      </c>
      <c r="R2642" s="90">
        <v>1300</v>
      </c>
      <c r="S2642" s="90" t="s">
        <v>387</v>
      </c>
      <c r="T2642" s="90">
        <v>1300</v>
      </c>
      <c r="U2642" s="90" t="s">
        <v>378</v>
      </c>
      <c r="V2642" s="90" t="s">
        <v>244</v>
      </c>
      <c r="Z2642" s="90">
        <v>0</v>
      </c>
      <c r="AA2642" s="90">
        <v>1</v>
      </c>
      <c r="AB2642" s="90">
        <v>1.6360077573609699</v>
      </c>
      <c r="AC2642" s="90">
        <v>0.29143291258123999</v>
      </c>
      <c r="AD2642" s="90">
        <v>609.66650208220005</v>
      </c>
      <c r="AF2642" s="90">
        <v>-1</v>
      </c>
      <c r="AG2642" s="90">
        <v>-1</v>
      </c>
      <c r="AH2642" s="90">
        <v>-1</v>
      </c>
      <c r="AI2642" s="90">
        <v>-1</v>
      </c>
      <c r="AJ2642" s="90">
        <v>0</v>
      </c>
      <c r="AM2642" s="90" t="s">
        <v>379</v>
      </c>
      <c r="AN2642" s="90">
        <v>-1</v>
      </c>
      <c r="AQ2642" s="90">
        <v>358</v>
      </c>
      <c r="AR2642" s="90" t="s">
        <v>422</v>
      </c>
      <c r="AS2642" s="90" t="s">
        <v>250</v>
      </c>
      <c r="AT2642" s="90" t="s">
        <v>244</v>
      </c>
      <c r="AU2642" s="90">
        <v>86.412649999999999</v>
      </c>
      <c r="AV2642" s="90">
        <v>104.740617945517</v>
      </c>
      <c r="AW2642" s="90">
        <v>657.36644248108098</v>
      </c>
      <c r="AX2642" s="90">
        <v>0.4944578281</v>
      </c>
    </row>
    <row r="2643" spans="1:50" x14ac:dyDescent="0.25">
      <c r="A2643" s="102">
        <v>830000</v>
      </c>
      <c r="B2643" s="102">
        <v>2400000</v>
      </c>
      <c r="C2643" s="102">
        <v>2500000</v>
      </c>
      <c r="D2643" s="90" t="s">
        <v>374</v>
      </c>
      <c r="E2643" s="90" t="s">
        <v>68</v>
      </c>
      <c r="F2643" s="90" t="s">
        <v>375</v>
      </c>
      <c r="G2643" s="90" t="s">
        <v>376</v>
      </c>
      <c r="H2643" s="90">
        <v>0.59</v>
      </c>
      <c r="I2643" s="90">
        <v>0.64</v>
      </c>
      <c r="J2643" s="90" t="s">
        <v>244</v>
      </c>
      <c r="K2643" s="90">
        <v>4.0403420032330002E-2</v>
      </c>
      <c r="L2643" s="90">
        <v>3753.2077088716001</v>
      </c>
      <c r="M2643" s="90">
        <v>10.071534036608501</v>
      </c>
      <c r="N2643" s="90">
        <v>1.79410915702785</v>
      </c>
      <c r="O2643" s="90">
        <v>0.40692442005105001</v>
      </c>
      <c r="P2643" s="90">
        <v>7.248814585525E-2</v>
      </c>
      <c r="Q2643" s="90">
        <v>151.64242753013599</v>
      </c>
      <c r="R2643" s="90">
        <v>1210</v>
      </c>
      <c r="S2643" s="90" t="s">
        <v>385</v>
      </c>
      <c r="T2643" s="90">
        <v>1210</v>
      </c>
      <c r="U2643" s="90" t="s">
        <v>378</v>
      </c>
      <c r="V2643" s="90" t="s">
        <v>244</v>
      </c>
      <c r="Z2643" s="90">
        <v>0</v>
      </c>
      <c r="AA2643" s="90">
        <v>1</v>
      </c>
      <c r="AB2643" s="90">
        <v>0.40692442005105001</v>
      </c>
      <c r="AC2643" s="90">
        <v>7.248814585525E-2</v>
      </c>
      <c r="AD2643" s="90">
        <v>151.64242753013599</v>
      </c>
      <c r="AF2643" s="90">
        <v>-1</v>
      </c>
      <c r="AG2643" s="90">
        <v>-1</v>
      </c>
      <c r="AH2643" s="90">
        <v>-1</v>
      </c>
      <c r="AI2643" s="90">
        <v>-1</v>
      </c>
      <c r="AJ2643" s="90">
        <v>0</v>
      </c>
      <c r="AM2643" s="90" t="s">
        <v>379</v>
      </c>
      <c r="AN2643" s="90">
        <v>-1</v>
      </c>
      <c r="AQ2643" s="90">
        <v>358</v>
      </c>
      <c r="AR2643" s="90" t="s">
        <v>422</v>
      </c>
      <c r="AS2643" s="90" t="s">
        <v>250</v>
      </c>
      <c r="AT2643" s="90" t="s">
        <v>244</v>
      </c>
      <c r="AU2643" s="90">
        <v>86.412649999999999</v>
      </c>
      <c r="AV2643" s="90">
        <v>51.182842600643198</v>
      </c>
      <c r="AW2643" s="90">
        <v>163.506839844778</v>
      </c>
      <c r="AX2643" s="90">
        <v>0.1229865592</v>
      </c>
    </row>
    <row r="2644" spans="1:50" x14ac:dyDescent="0.25">
      <c r="A2644" s="102">
        <v>830000</v>
      </c>
      <c r="B2644" s="102">
        <v>2400000</v>
      </c>
      <c r="C2644" s="102">
        <v>2500000</v>
      </c>
      <c r="D2644" s="90" t="s">
        <v>374</v>
      </c>
      <c r="E2644" s="90" t="s">
        <v>68</v>
      </c>
      <c r="F2644" s="90" t="s">
        <v>375</v>
      </c>
      <c r="G2644" s="90" t="s">
        <v>376</v>
      </c>
      <c r="H2644" s="90">
        <v>0.59</v>
      </c>
      <c r="I2644" s="90">
        <v>0.64</v>
      </c>
      <c r="J2644" s="90" t="s">
        <v>381</v>
      </c>
      <c r="K2644" s="90">
        <v>4.7474641680999999E-4</v>
      </c>
      <c r="L2644" s="90">
        <v>3753.2077088716001</v>
      </c>
      <c r="M2644" s="90">
        <v>10.071534036608501</v>
      </c>
      <c r="N2644" s="90">
        <v>1.79410915702785</v>
      </c>
      <c r="O2644" s="90">
        <v>4.7814246956700002E-3</v>
      </c>
      <c r="P2644" s="90">
        <v>8.5174689365999996E-4</v>
      </c>
      <c r="Q2644" s="90">
        <v>1.78182191133421</v>
      </c>
      <c r="R2644" s="90">
        <v>1210</v>
      </c>
      <c r="S2644" s="90" t="s">
        <v>385</v>
      </c>
      <c r="T2644" s="90">
        <v>1210</v>
      </c>
      <c r="U2644" s="90" t="s">
        <v>382</v>
      </c>
      <c r="V2644" s="90" t="s">
        <v>381</v>
      </c>
      <c r="Z2644" s="90">
        <v>0</v>
      </c>
      <c r="AA2644" s="90">
        <v>1</v>
      </c>
      <c r="AB2644" s="90">
        <v>4.7814246956700002E-3</v>
      </c>
      <c r="AC2644" s="90">
        <v>8.5174689365999996E-4</v>
      </c>
      <c r="AD2644" s="90">
        <v>1.7818219113356899</v>
      </c>
      <c r="AF2644" s="90">
        <v>-1</v>
      </c>
      <c r="AG2644" s="90">
        <v>-1</v>
      </c>
      <c r="AH2644" s="90">
        <v>-1</v>
      </c>
      <c r="AI2644" s="90">
        <v>-1</v>
      </c>
      <c r="AJ2644" s="90">
        <v>0</v>
      </c>
      <c r="AM2644" s="90" t="s">
        <v>379</v>
      </c>
      <c r="AN2644" s="90">
        <v>-1</v>
      </c>
      <c r="AQ2644" s="90">
        <v>358</v>
      </c>
      <c r="AR2644" s="90" t="s">
        <v>422</v>
      </c>
      <c r="AS2644" s="90" t="s">
        <v>250</v>
      </c>
      <c r="AT2644" s="90" t="s">
        <v>244</v>
      </c>
      <c r="AU2644" s="90">
        <v>86.412649999999999</v>
      </c>
      <c r="AV2644" s="90">
        <v>26.983723317412</v>
      </c>
      <c r="AW2644" s="90">
        <v>1.92123058588458</v>
      </c>
      <c r="AX2644" s="90">
        <v>1.445111E-3</v>
      </c>
    </row>
    <row r="2645" spans="1:50" x14ac:dyDescent="0.25">
      <c r="A2645" s="102">
        <v>830000</v>
      </c>
      <c r="B2645" s="102">
        <v>2400000</v>
      </c>
      <c r="C2645" s="102">
        <v>2500000</v>
      </c>
      <c r="D2645" s="90" t="s">
        <v>374</v>
      </c>
      <c r="E2645" s="90" t="s">
        <v>68</v>
      </c>
      <c r="F2645" s="90" t="s">
        <v>375</v>
      </c>
      <c r="G2645" s="90" t="s">
        <v>376</v>
      </c>
      <c r="H2645" s="90">
        <v>0.59</v>
      </c>
      <c r="I2645" s="90">
        <v>0.64</v>
      </c>
      <c r="J2645" s="90" t="s">
        <v>244</v>
      </c>
      <c r="K2645" s="90">
        <v>0.10007263396959</v>
      </c>
      <c r="L2645" s="90">
        <v>3713.2986346112998</v>
      </c>
      <c r="M2645" s="90">
        <v>9.3867967913842492</v>
      </c>
      <c r="N2645" s="90">
        <v>1.42593905613779</v>
      </c>
      <c r="O2645" s="90">
        <v>0.93936147945113002</v>
      </c>
      <c r="P2645" s="90">
        <v>0.14269747722782</v>
      </c>
      <c r="Q2645" s="90">
        <v>371.59957508124199</v>
      </c>
      <c r="R2645" s="90">
        <v>1200</v>
      </c>
      <c r="S2645" s="90" t="s">
        <v>384</v>
      </c>
      <c r="T2645" s="90">
        <v>1200</v>
      </c>
      <c r="U2645" s="90" t="s">
        <v>378</v>
      </c>
      <c r="V2645" s="90" t="s">
        <v>244</v>
      </c>
      <c r="Z2645" s="90">
        <v>0</v>
      </c>
      <c r="AA2645" s="90">
        <v>1</v>
      </c>
      <c r="AB2645" s="90">
        <v>0.93936147945113002</v>
      </c>
      <c r="AC2645" s="90">
        <v>0.14269747722782</v>
      </c>
      <c r="AD2645" s="90">
        <v>371.59957508124199</v>
      </c>
      <c r="AF2645" s="90">
        <v>-1</v>
      </c>
      <c r="AG2645" s="90">
        <v>-1</v>
      </c>
      <c r="AH2645" s="90">
        <v>-1</v>
      </c>
      <c r="AI2645" s="90">
        <v>-1</v>
      </c>
      <c r="AJ2645" s="90">
        <v>0</v>
      </c>
      <c r="AM2645" s="90" t="s">
        <v>379</v>
      </c>
      <c r="AN2645" s="90">
        <v>-1</v>
      </c>
      <c r="AQ2645" s="90">
        <v>358</v>
      </c>
      <c r="AR2645" s="90" t="s">
        <v>422</v>
      </c>
      <c r="AS2645" s="90" t="s">
        <v>250</v>
      </c>
      <c r="AT2645" s="90" t="s">
        <v>244</v>
      </c>
      <c r="AU2645" s="90">
        <v>86.412649999999999</v>
      </c>
      <c r="AV2645" s="90">
        <v>105.455568072833</v>
      </c>
      <c r="AW2645" s="90">
        <v>404.97958148632802</v>
      </c>
      <c r="AX2645" s="90">
        <v>0.30137840640000002</v>
      </c>
    </row>
    <row r="2646" spans="1:50" x14ac:dyDescent="0.25">
      <c r="A2646" s="102">
        <v>830000</v>
      </c>
      <c r="B2646" s="102">
        <v>2400000</v>
      </c>
      <c r="C2646" s="102">
        <v>2500000</v>
      </c>
      <c r="D2646" s="90" t="s">
        <v>374</v>
      </c>
      <c r="E2646" s="90" t="s">
        <v>68</v>
      </c>
      <c r="F2646" s="90" t="s">
        <v>375</v>
      </c>
      <c r="G2646" s="90" t="s">
        <v>376</v>
      </c>
      <c r="H2646" s="90">
        <v>0.59</v>
      </c>
      <c r="I2646" s="90">
        <v>0.64</v>
      </c>
      <c r="J2646" s="90" t="s">
        <v>381</v>
      </c>
      <c r="K2646" s="90">
        <v>3.8802687808790003E-2</v>
      </c>
      <c r="L2646" s="90">
        <v>3713.2986346112998</v>
      </c>
      <c r="M2646" s="90">
        <v>9.3867967913842492</v>
      </c>
      <c r="N2646" s="90">
        <v>1.42593905613779</v>
      </c>
      <c r="O2646" s="90">
        <v>0.36423294542064999</v>
      </c>
      <c r="P2646" s="90">
        <v>5.5330268029669998E-2</v>
      </c>
      <c r="Q2646" s="90">
        <v>144.085967659635</v>
      </c>
      <c r="R2646" s="90">
        <v>1200</v>
      </c>
      <c r="S2646" s="90" t="s">
        <v>384</v>
      </c>
      <c r="T2646" s="90">
        <v>1200</v>
      </c>
      <c r="U2646" s="90" t="s">
        <v>382</v>
      </c>
      <c r="V2646" s="90" t="s">
        <v>381</v>
      </c>
      <c r="Z2646" s="90">
        <v>0</v>
      </c>
      <c r="AA2646" s="90">
        <v>1</v>
      </c>
      <c r="AB2646" s="90">
        <v>0.36423294542064999</v>
      </c>
      <c r="AC2646" s="90">
        <v>5.5330268029669998E-2</v>
      </c>
      <c r="AD2646" s="90">
        <v>150.583776680689</v>
      </c>
      <c r="AF2646" s="90">
        <v>-1</v>
      </c>
      <c r="AG2646" s="90">
        <v>-1</v>
      </c>
      <c r="AH2646" s="90">
        <v>-1</v>
      </c>
      <c r="AI2646" s="90">
        <v>-1</v>
      </c>
      <c r="AJ2646" s="90">
        <v>0</v>
      </c>
      <c r="AM2646" s="90" t="s">
        <v>379</v>
      </c>
      <c r="AN2646" s="90">
        <v>-1</v>
      </c>
      <c r="AQ2646" s="90">
        <v>358</v>
      </c>
      <c r="AR2646" s="90" t="s">
        <v>422</v>
      </c>
      <c r="AS2646" s="90" t="s">
        <v>250</v>
      </c>
      <c r="AT2646" s="90" t="s">
        <v>244</v>
      </c>
      <c r="AU2646" s="90">
        <v>86.412649999999999</v>
      </c>
      <c r="AV2646" s="90">
        <v>101.684530823155</v>
      </c>
      <c r="AW2646" s="90">
        <v>157.028906365393</v>
      </c>
      <c r="AX2646" s="90">
        <v>0.1221279616</v>
      </c>
    </row>
    <row r="2647" spans="1:50" x14ac:dyDescent="0.25">
      <c r="A2647" s="102">
        <v>830000</v>
      </c>
      <c r="B2647" s="102">
        <v>2400000</v>
      </c>
      <c r="C2647" s="102">
        <v>2500000</v>
      </c>
      <c r="D2647" s="90" t="s">
        <v>374</v>
      </c>
      <c r="E2647" s="90" t="s">
        <v>68</v>
      </c>
      <c r="F2647" s="90" t="s">
        <v>375</v>
      </c>
      <c r="G2647" s="90" t="s">
        <v>376</v>
      </c>
      <c r="H2647" s="90">
        <v>0.59</v>
      </c>
      <c r="I2647" s="90">
        <v>0.64</v>
      </c>
      <c r="J2647" s="90" t="s">
        <v>381</v>
      </c>
      <c r="K2647" s="90">
        <v>5.1757777551819997E-2</v>
      </c>
      <c r="L2647" s="90">
        <v>3713.2986346112998</v>
      </c>
      <c r="M2647" s="90">
        <v>9.3867967913842492</v>
      </c>
      <c r="N2647" s="90">
        <v>1.42593905613779</v>
      </c>
      <c r="O2647" s="90">
        <v>0.48583974025266002</v>
      </c>
      <c r="P2647" s="90">
        <v>7.3803436470039993E-2</v>
      </c>
      <c r="Q2647" s="90">
        <v>192.19208471370999</v>
      </c>
      <c r="R2647" s="90">
        <v>1300</v>
      </c>
      <c r="S2647" s="90" t="s">
        <v>387</v>
      </c>
      <c r="T2647" s="90">
        <v>1300</v>
      </c>
      <c r="U2647" s="90" t="s">
        <v>382</v>
      </c>
      <c r="V2647" s="90" t="s">
        <v>381</v>
      </c>
      <c r="Z2647" s="90">
        <v>0</v>
      </c>
      <c r="AA2647" s="90">
        <v>1</v>
      </c>
      <c r="AB2647" s="90">
        <v>0.48583974025266002</v>
      </c>
      <c r="AC2647" s="90">
        <v>7.3803436470039993E-2</v>
      </c>
      <c r="AD2647" s="90">
        <v>207.641839762057</v>
      </c>
      <c r="AF2647" s="90">
        <v>-1</v>
      </c>
      <c r="AG2647" s="90">
        <v>-1</v>
      </c>
      <c r="AH2647" s="90">
        <v>-1</v>
      </c>
      <c r="AI2647" s="90">
        <v>-1</v>
      </c>
      <c r="AJ2647" s="90">
        <v>0</v>
      </c>
      <c r="AM2647" s="90" t="s">
        <v>379</v>
      </c>
      <c r="AN2647" s="90">
        <v>-1</v>
      </c>
      <c r="AQ2647" s="90">
        <v>358</v>
      </c>
      <c r="AR2647" s="90" t="s">
        <v>422</v>
      </c>
      <c r="AS2647" s="90" t="s">
        <v>250</v>
      </c>
      <c r="AT2647" s="90" t="s">
        <v>244</v>
      </c>
      <c r="AU2647" s="90">
        <v>86.412649999999999</v>
      </c>
      <c r="AV2647" s="90">
        <v>104.046773608769</v>
      </c>
      <c r="AW2647" s="90">
        <v>209.456294494757</v>
      </c>
      <c r="AX2647" s="90">
        <v>0.16840376300000001</v>
      </c>
    </row>
    <row r="2648" spans="1:50" x14ac:dyDescent="0.25">
      <c r="A2648" s="102">
        <v>830000</v>
      </c>
      <c r="B2648" s="102">
        <v>2400000</v>
      </c>
      <c r="C2648" s="102">
        <v>2500000</v>
      </c>
      <c r="D2648" s="90" t="s">
        <v>374</v>
      </c>
      <c r="E2648" s="90" t="s">
        <v>68</v>
      </c>
      <c r="F2648" s="90" t="s">
        <v>375</v>
      </c>
      <c r="G2648" s="90" t="s">
        <v>376</v>
      </c>
      <c r="H2648" s="90">
        <v>0.59</v>
      </c>
      <c r="I2648" s="90">
        <v>0.64</v>
      </c>
      <c r="J2648" s="90" t="s">
        <v>244</v>
      </c>
      <c r="K2648" s="90">
        <v>7.315963315672E-2</v>
      </c>
      <c r="L2648" s="90">
        <v>3713.2986346112998</v>
      </c>
      <c r="M2648" s="90">
        <v>9.3867967913842492</v>
      </c>
      <c r="N2648" s="90">
        <v>1.42593905613779</v>
      </c>
      <c r="O2648" s="90">
        <v>0.68673460977437994</v>
      </c>
      <c r="P2648" s="90">
        <v>0.10432117825088</v>
      </c>
      <c r="Q2648" s="90">
        <v>271.66356590952603</v>
      </c>
      <c r="R2648" s="90">
        <v>1210</v>
      </c>
      <c r="S2648" s="90" t="s">
        <v>385</v>
      </c>
      <c r="T2648" s="90">
        <v>1210</v>
      </c>
      <c r="U2648" s="90" t="s">
        <v>378</v>
      </c>
      <c r="V2648" s="90" t="s">
        <v>244</v>
      </c>
      <c r="Z2648" s="90">
        <v>0</v>
      </c>
      <c r="AA2648" s="90">
        <v>1</v>
      </c>
      <c r="AB2648" s="90">
        <v>0.68673460977437994</v>
      </c>
      <c r="AC2648" s="90">
        <v>0.10432117825088</v>
      </c>
      <c r="AD2648" s="90">
        <v>390.103759635259</v>
      </c>
      <c r="AF2648" s="90">
        <v>-1</v>
      </c>
      <c r="AG2648" s="90">
        <v>-1</v>
      </c>
      <c r="AH2648" s="90">
        <v>-1</v>
      </c>
      <c r="AI2648" s="90">
        <v>-1</v>
      </c>
      <c r="AJ2648" s="90">
        <v>0</v>
      </c>
      <c r="AM2648" s="90" t="s">
        <v>379</v>
      </c>
      <c r="AN2648" s="90">
        <v>-1</v>
      </c>
      <c r="AQ2648" s="90">
        <v>358</v>
      </c>
      <c r="AR2648" s="90" t="s">
        <v>422</v>
      </c>
      <c r="AS2648" s="90" t="s">
        <v>250</v>
      </c>
      <c r="AT2648" s="90" t="s">
        <v>244</v>
      </c>
      <c r="AU2648" s="90">
        <v>86.412649999999999</v>
      </c>
      <c r="AV2648" s="90">
        <v>96.270023181617006</v>
      </c>
      <c r="AW2648" s="90">
        <v>296.06653130071601</v>
      </c>
      <c r="AX2648" s="90">
        <v>0.31638585530000002</v>
      </c>
    </row>
    <row r="2649" spans="1:50" x14ac:dyDescent="0.25">
      <c r="A2649" s="102">
        <v>830000</v>
      </c>
      <c r="B2649" s="102">
        <v>2400000</v>
      </c>
      <c r="C2649" s="102">
        <v>2500000</v>
      </c>
      <c r="D2649" s="90" t="s">
        <v>374</v>
      </c>
      <c r="E2649" s="90" t="s">
        <v>68</v>
      </c>
      <c r="F2649" s="90" t="s">
        <v>375</v>
      </c>
      <c r="G2649" s="90" t="s">
        <v>376</v>
      </c>
      <c r="H2649" s="90">
        <v>0.59</v>
      </c>
      <c r="I2649" s="90">
        <v>0.64</v>
      </c>
      <c r="J2649" s="90" t="s">
        <v>381</v>
      </c>
      <c r="K2649" s="90">
        <v>2.4415979447000002E-4</v>
      </c>
      <c r="L2649" s="90">
        <v>3713.2986346112998</v>
      </c>
      <c r="M2649" s="90">
        <v>9.3867967913842492</v>
      </c>
      <c r="N2649" s="90">
        <v>1.42593905613779</v>
      </c>
      <c r="O2649" s="90">
        <v>2.2918783753599998E-3</v>
      </c>
      <c r="P2649" s="90">
        <v>3.4815698687999999E-4</v>
      </c>
      <c r="Q2649" s="90">
        <v>0.90663823145098998</v>
      </c>
      <c r="R2649" s="90">
        <v>1210</v>
      </c>
      <c r="S2649" s="90" t="s">
        <v>385</v>
      </c>
      <c r="T2649" s="90">
        <v>1210</v>
      </c>
      <c r="U2649" s="90" t="s">
        <v>382</v>
      </c>
      <c r="V2649" s="90" t="s">
        <v>381</v>
      </c>
      <c r="Z2649" s="90">
        <v>0</v>
      </c>
      <c r="AA2649" s="90">
        <v>1</v>
      </c>
      <c r="AB2649" s="90">
        <v>2.2918783753599998E-3</v>
      </c>
      <c r="AC2649" s="90">
        <v>3.4815698687999999E-4</v>
      </c>
      <c r="AD2649" s="90">
        <v>1.26549710415144</v>
      </c>
      <c r="AF2649" s="90">
        <v>-1</v>
      </c>
      <c r="AG2649" s="90">
        <v>-1</v>
      </c>
      <c r="AH2649" s="90">
        <v>-1</v>
      </c>
      <c r="AI2649" s="90">
        <v>-1</v>
      </c>
      <c r="AJ2649" s="90">
        <v>0</v>
      </c>
      <c r="AM2649" s="90" t="s">
        <v>379</v>
      </c>
      <c r="AN2649" s="90">
        <v>-1</v>
      </c>
      <c r="AQ2649" s="90">
        <v>358</v>
      </c>
      <c r="AR2649" s="90" t="s">
        <v>422</v>
      </c>
      <c r="AS2649" s="90" t="s">
        <v>250</v>
      </c>
      <c r="AT2649" s="90" t="s">
        <v>244</v>
      </c>
      <c r="AU2649" s="90">
        <v>86.412649999999999</v>
      </c>
      <c r="AV2649" s="90">
        <v>13.888975113187</v>
      </c>
      <c r="AW2649" s="90">
        <v>0.98807963236312002</v>
      </c>
      <c r="AX2649" s="90">
        <v>1.0263561E-3</v>
      </c>
    </row>
    <row r="2650" spans="1:50" x14ac:dyDescent="0.25">
      <c r="A2650" s="102">
        <v>830000</v>
      </c>
      <c r="B2650" s="102">
        <v>2400000</v>
      </c>
      <c r="C2650" s="102">
        <v>2500000</v>
      </c>
      <c r="D2650" s="90" t="s">
        <v>374</v>
      </c>
      <c r="E2650" s="90" t="s">
        <v>68</v>
      </c>
      <c r="F2650" s="90" t="s">
        <v>375</v>
      </c>
      <c r="G2650" s="90" t="s">
        <v>376</v>
      </c>
      <c r="H2650" s="90">
        <v>0.59</v>
      </c>
      <c r="I2650" s="90">
        <v>0.64</v>
      </c>
      <c r="J2650" s="90" t="s">
        <v>244</v>
      </c>
      <c r="K2650" s="90">
        <v>0.1634777816885</v>
      </c>
      <c r="L2650" s="90">
        <v>3713.2986346112998</v>
      </c>
      <c r="M2650" s="90">
        <v>9.3867967913842492</v>
      </c>
      <c r="N2650" s="90">
        <v>1.42593905613779</v>
      </c>
      <c r="O2650" s="90">
        <v>1.5345327166162901</v>
      </c>
      <c r="P2650" s="90">
        <v>0.23310935372041</v>
      </c>
      <c r="Q2650" s="90">
        <v>607.04182353321698</v>
      </c>
      <c r="R2650" s="90">
        <v>1210</v>
      </c>
      <c r="S2650" s="90" t="s">
        <v>385</v>
      </c>
      <c r="T2650" s="90">
        <v>1210</v>
      </c>
      <c r="U2650" s="90" t="s">
        <v>378</v>
      </c>
      <c r="V2650" s="90" t="s">
        <v>244</v>
      </c>
      <c r="Z2650" s="90">
        <v>0</v>
      </c>
      <c r="AA2650" s="90">
        <v>1</v>
      </c>
      <c r="AB2650" s="90">
        <v>1.5345327166162901</v>
      </c>
      <c r="AC2650" s="90">
        <v>0.23310935372041</v>
      </c>
      <c r="AD2650" s="90">
        <v>607.04182353321698</v>
      </c>
      <c r="AF2650" s="90">
        <v>-1</v>
      </c>
      <c r="AG2650" s="90">
        <v>-1</v>
      </c>
      <c r="AH2650" s="90">
        <v>-1</v>
      </c>
      <c r="AI2650" s="90">
        <v>-1</v>
      </c>
      <c r="AJ2650" s="90">
        <v>0</v>
      </c>
      <c r="AM2650" s="90" t="s">
        <v>379</v>
      </c>
      <c r="AN2650" s="90">
        <v>-1</v>
      </c>
      <c r="AQ2650" s="90">
        <v>358</v>
      </c>
      <c r="AR2650" s="90" t="s">
        <v>422</v>
      </c>
      <c r="AS2650" s="90" t="s">
        <v>250</v>
      </c>
      <c r="AT2650" s="90" t="s">
        <v>244</v>
      </c>
      <c r="AU2650" s="90">
        <v>86.412649999999999</v>
      </c>
      <c r="AV2650" s="90">
        <v>115.070429136979</v>
      </c>
      <c r="AW2650" s="90">
        <v>661.57111074583997</v>
      </c>
      <c r="AX2650" s="90">
        <v>0.49232913509999998</v>
      </c>
    </row>
    <row r="2651" spans="1:50" x14ac:dyDescent="0.25">
      <c r="A2651" s="102">
        <v>830000</v>
      </c>
      <c r="B2651" s="102">
        <v>2400000</v>
      </c>
      <c r="C2651" s="102">
        <v>2500000</v>
      </c>
      <c r="D2651" s="90" t="s">
        <v>374</v>
      </c>
      <c r="E2651" s="90" t="s">
        <v>68</v>
      </c>
      <c r="F2651" s="90" t="s">
        <v>375</v>
      </c>
      <c r="G2651" s="90" t="s">
        <v>376</v>
      </c>
      <c r="H2651" s="90">
        <v>0.59</v>
      </c>
      <c r="I2651" s="90">
        <v>0.64</v>
      </c>
      <c r="J2651" s="90" t="s">
        <v>381</v>
      </c>
      <c r="K2651" s="90">
        <v>5.5994505167999997E-4</v>
      </c>
      <c r="L2651" s="90">
        <v>3713.2986346112998</v>
      </c>
      <c r="M2651" s="90">
        <v>9.3867967913842492</v>
      </c>
      <c r="N2651" s="90">
        <v>1.42593905613779</v>
      </c>
      <c r="O2651" s="90">
        <v>5.2560904145E-3</v>
      </c>
      <c r="P2651" s="90">
        <v>7.9844751848000002E-4</v>
      </c>
      <c r="Q2651" s="90">
        <v>2.0792431958792599</v>
      </c>
      <c r="R2651" s="90">
        <v>1210</v>
      </c>
      <c r="S2651" s="90" t="s">
        <v>385</v>
      </c>
      <c r="T2651" s="90">
        <v>1210</v>
      </c>
      <c r="U2651" s="90" t="s">
        <v>382</v>
      </c>
      <c r="V2651" s="90" t="s">
        <v>381</v>
      </c>
      <c r="Z2651" s="90">
        <v>0</v>
      </c>
      <c r="AA2651" s="90">
        <v>1</v>
      </c>
      <c r="AB2651" s="90">
        <v>5.2560904145E-3</v>
      </c>
      <c r="AC2651" s="90">
        <v>7.9844751848000002E-4</v>
      </c>
      <c r="AD2651" s="90">
        <v>2.0792431958809399</v>
      </c>
      <c r="AF2651" s="90">
        <v>-1</v>
      </c>
      <c r="AG2651" s="90">
        <v>-1</v>
      </c>
      <c r="AH2651" s="90">
        <v>-1</v>
      </c>
      <c r="AI2651" s="90">
        <v>-1</v>
      </c>
      <c r="AJ2651" s="90">
        <v>0</v>
      </c>
      <c r="AM2651" s="90" t="s">
        <v>379</v>
      </c>
      <c r="AN2651" s="90">
        <v>-1</v>
      </c>
      <c r="AQ2651" s="90">
        <v>358</v>
      </c>
      <c r="AR2651" s="90" t="s">
        <v>422</v>
      </c>
      <c r="AS2651" s="90" t="s">
        <v>250</v>
      </c>
      <c r="AT2651" s="90" t="s">
        <v>244</v>
      </c>
      <c r="AU2651" s="90">
        <v>86.412649999999999</v>
      </c>
      <c r="AV2651" s="90">
        <v>31.471575750708599</v>
      </c>
      <c r="AW2651" s="90">
        <v>2.2660172286043698</v>
      </c>
      <c r="AX2651" s="90">
        <v>1.6863285999999999E-3</v>
      </c>
    </row>
    <row r="2652" spans="1:50" x14ac:dyDescent="0.25">
      <c r="A2652" s="102">
        <v>830000</v>
      </c>
      <c r="B2652" s="102">
        <v>2400000</v>
      </c>
      <c r="C2652" s="102">
        <v>2500000</v>
      </c>
      <c r="D2652" s="90" t="s">
        <v>374</v>
      </c>
      <c r="E2652" s="90" t="s">
        <v>68</v>
      </c>
      <c r="F2652" s="90" t="s">
        <v>375</v>
      </c>
      <c r="G2652" s="90" t="s">
        <v>376</v>
      </c>
      <c r="H2652" s="90">
        <v>0.59</v>
      </c>
      <c r="I2652" s="90">
        <v>0.64</v>
      </c>
      <c r="J2652" s="90" t="s">
        <v>244</v>
      </c>
      <c r="K2652" s="90">
        <v>0.15018821137027999</v>
      </c>
      <c r="L2652" s="90">
        <v>3713.2986346112998</v>
      </c>
      <c r="M2652" s="90">
        <v>9.3867967913842492</v>
      </c>
      <c r="N2652" s="90">
        <v>1.42593905613779</v>
      </c>
      <c r="O2652" s="90">
        <v>1.4097862205943299</v>
      </c>
      <c r="P2652" s="90">
        <v>0.21415923636435999</v>
      </c>
      <c r="Q2652" s="90">
        <v>557.693680215992</v>
      </c>
      <c r="R2652" s="90">
        <v>1210</v>
      </c>
      <c r="S2652" s="90" t="s">
        <v>385</v>
      </c>
      <c r="T2652" s="90">
        <v>1210</v>
      </c>
      <c r="U2652" s="90" t="s">
        <v>378</v>
      </c>
      <c r="V2652" s="90" t="s">
        <v>244</v>
      </c>
      <c r="Z2652" s="90">
        <v>0</v>
      </c>
      <c r="AA2652" s="90">
        <v>1</v>
      </c>
      <c r="AB2652" s="90">
        <v>1.4097862205943299</v>
      </c>
      <c r="AC2652" s="90">
        <v>0.21415923636435999</v>
      </c>
      <c r="AD2652" s="90">
        <v>557.693680215992</v>
      </c>
      <c r="AF2652" s="90">
        <v>-1</v>
      </c>
      <c r="AG2652" s="90">
        <v>-1</v>
      </c>
      <c r="AH2652" s="90">
        <v>-1</v>
      </c>
      <c r="AI2652" s="90">
        <v>-1</v>
      </c>
      <c r="AJ2652" s="90">
        <v>0</v>
      </c>
      <c r="AM2652" s="90" t="s">
        <v>379</v>
      </c>
      <c r="AN2652" s="90">
        <v>-1</v>
      </c>
      <c r="AQ2652" s="90">
        <v>358</v>
      </c>
      <c r="AR2652" s="90" t="s">
        <v>422</v>
      </c>
      <c r="AS2652" s="90" t="s">
        <v>250</v>
      </c>
      <c r="AT2652" s="90" t="s">
        <v>244</v>
      </c>
      <c r="AU2652" s="90">
        <v>86.412649999999999</v>
      </c>
      <c r="AV2652" s="90">
        <v>113.33757141613</v>
      </c>
      <c r="AW2652" s="90">
        <v>607.79012775260401</v>
      </c>
      <c r="AX2652" s="90">
        <v>0.45230630999999999</v>
      </c>
    </row>
    <row r="2653" spans="1:50" x14ac:dyDescent="0.25">
      <c r="A2653" s="102">
        <v>830000</v>
      </c>
      <c r="B2653" s="102">
        <v>2400000</v>
      </c>
      <c r="C2653" s="102">
        <v>2500000</v>
      </c>
      <c r="D2653" s="90" t="s">
        <v>374</v>
      </c>
      <c r="E2653" s="90" t="s">
        <v>68</v>
      </c>
      <c r="F2653" s="90" t="s">
        <v>375</v>
      </c>
      <c r="G2653" s="90" t="s">
        <v>376</v>
      </c>
      <c r="H2653" s="90">
        <v>0.59</v>
      </c>
      <c r="I2653" s="90">
        <v>0.64</v>
      </c>
      <c r="J2653" s="90" t="s">
        <v>381</v>
      </c>
      <c r="K2653" s="90">
        <v>5.1219321411E-4</v>
      </c>
      <c r="L2653" s="90">
        <v>3713.2986346112998</v>
      </c>
      <c r="M2653" s="90">
        <v>9.3867967913842492</v>
      </c>
      <c r="N2653" s="90">
        <v>1.42593905613779</v>
      </c>
      <c r="O2653" s="90">
        <v>4.8078536188300002E-3</v>
      </c>
      <c r="P2653" s="90">
        <v>7.3035630829000001E-4</v>
      </c>
      <c r="Q2653" s="90">
        <v>1.9019263626341101</v>
      </c>
      <c r="R2653" s="90">
        <v>1210</v>
      </c>
      <c r="S2653" s="90" t="s">
        <v>385</v>
      </c>
      <c r="T2653" s="90">
        <v>1210</v>
      </c>
      <c r="U2653" s="90" t="s">
        <v>382</v>
      </c>
      <c r="V2653" s="90" t="s">
        <v>381</v>
      </c>
      <c r="Z2653" s="90">
        <v>0</v>
      </c>
      <c r="AA2653" s="90">
        <v>1</v>
      </c>
      <c r="AB2653" s="90">
        <v>4.8078536188300002E-3</v>
      </c>
      <c r="AC2653" s="90">
        <v>7.3035630829000001E-4</v>
      </c>
      <c r="AD2653" s="90">
        <v>1.9019263626354701</v>
      </c>
      <c r="AF2653" s="90">
        <v>-1</v>
      </c>
      <c r="AG2653" s="90">
        <v>-1</v>
      </c>
      <c r="AH2653" s="90">
        <v>-1</v>
      </c>
      <c r="AI2653" s="90">
        <v>-1</v>
      </c>
      <c r="AJ2653" s="90">
        <v>0</v>
      </c>
      <c r="AM2653" s="90" t="s">
        <v>379</v>
      </c>
      <c r="AN2653" s="90">
        <v>-1</v>
      </c>
      <c r="AQ2653" s="90">
        <v>358</v>
      </c>
      <c r="AR2653" s="90" t="s">
        <v>422</v>
      </c>
      <c r="AS2653" s="90" t="s">
        <v>250</v>
      </c>
      <c r="AT2653" s="90" t="s">
        <v>244</v>
      </c>
      <c r="AU2653" s="90">
        <v>86.412649999999999</v>
      </c>
      <c r="AV2653" s="90">
        <v>29.028409461163999</v>
      </c>
      <c r="AW2653" s="90">
        <v>2.07277239805651</v>
      </c>
      <c r="AX2653" s="90">
        <v>1.5425193999999999E-3</v>
      </c>
    </row>
    <row r="2654" spans="1:50" x14ac:dyDescent="0.25">
      <c r="A2654" s="102">
        <v>830000</v>
      </c>
      <c r="B2654" s="102">
        <v>2400000</v>
      </c>
      <c r="C2654" s="102">
        <v>2500000</v>
      </c>
      <c r="D2654" s="90" t="s">
        <v>374</v>
      </c>
      <c r="E2654" s="90" t="s">
        <v>68</v>
      </c>
      <c r="F2654" s="90" t="s">
        <v>375</v>
      </c>
      <c r="G2654" s="90" t="s">
        <v>376</v>
      </c>
      <c r="H2654" s="90">
        <v>0.59</v>
      </c>
      <c r="I2654" s="90">
        <v>0.64</v>
      </c>
      <c r="J2654" s="90" t="s">
        <v>244</v>
      </c>
      <c r="K2654" s="90">
        <v>1.0850372790200001E-3</v>
      </c>
      <c r="L2654" s="90">
        <v>3713.2986346112998</v>
      </c>
      <c r="M2654" s="90">
        <v>9.3867967913842492</v>
      </c>
      <c r="N2654" s="90">
        <v>1.42593905613779</v>
      </c>
      <c r="O2654" s="90">
        <v>1.018502444926E-2</v>
      </c>
      <c r="P2654" s="90">
        <v>1.5471970335200001E-3</v>
      </c>
      <c r="Q2654" s="90">
        <v>4.02906744669846</v>
      </c>
      <c r="R2654" s="90">
        <v>1340</v>
      </c>
      <c r="S2654" s="90" t="s">
        <v>407</v>
      </c>
      <c r="T2654" s="90">
        <v>1340</v>
      </c>
      <c r="U2654" s="90" t="s">
        <v>378</v>
      </c>
      <c r="V2654" s="90" t="s">
        <v>244</v>
      </c>
      <c r="Z2654" s="90">
        <v>0</v>
      </c>
      <c r="AA2654" s="90">
        <v>1</v>
      </c>
      <c r="AB2654" s="90">
        <v>1.018502444926E-2</v>
      </c>
      <c r="AC2654" s="90">
        <v>1.5471970335200001E-3</v>
      </c>
      <c r="AD2654" s="90">
        <v>4.02906744669842</v>
      </c>
      <c r="AF2654" s="90">
        <v>-1</v>
      </c>
      <c r="AG2654" s="90">
        <v>-1</v>
      </c>
      <c r="AH2654" s="90">
        <v>-1</v>
      </c>
      <c r="AI2654" s="90">
        <v>-1</v>
      </c>
      <c r="AJ2654" s="90">
        <v>0</v>
      </c>
      <c r="AM2654" s="90" t="s">
        <v>379</v>
      </c>
      <c r="AN2654" s="90">
        <v>-1</v>
      </c>
      <c r="AQ2654" s="90">
        <v>358</v>
      </c>
      <c r="AR2654" s="90" t="s">
        <v>422</v>
      </c>
      <c r="AS2654" s="90" t="s">
        <v>250</v>
      </c>
      <c r="AT2654" s="90" t="s">
        <v>244</v>
      </c>
      <c r="AU2654" s="90">
        <v>86.412649999999999</v>
      </c>
      <c r="AV2654" s="90">
        <v>28.434372169197498</v>
      </c>
      <c r="AW2654" s="90">
        <v>4.3909900811576001</v>
      </c>
      <c r="AX2654" s="90">
        <v>3.2676946E-3</v>
      </c>
    </row>
    <row r="2655" spans="1:50" x14ac:dyDescent="0.25">
      <c r="A2655" s="102">
        <v>830000</v>
      </c>
      <c r="B2655" s="102">
        <v>2500000</v>
      </c>
      <c r="C2655" s="102">
        <v>2500000</v>
      </c>
      <c r="D2655" s="90" t="s">
        <v>374</v>
      </c>
      <c r="E2655" s="90" t="s">
        <v>68</v>
      </c>
      <c r="F2655" s="90" t="s">
        <v>375</v>
      </c>
      <c r="G2655" s="90" t="s">
        <v>376</v>
      </c>
      <c r="H2655" s="90">
        <v>0.59</v>
      </c>
      <c r="I2655" s="90">
        <v>0.64</v>
      </c>
      <c r="J2655" s="90" t="s">
        <v>244</v>
      </c>
      <c r="K2655" s="90">
        <v>0.13253029383994999</v>
      </c>
      <c r="L2655" s="90">
        <v>3716.7945626155902</v>
      </c>
      <c r="M2655" s="90">
        <v>9.5099457771999401</v>
      </c>
      <c r="N2655" s="90">
        <v>1.4830566354307499</v>
      </c>
      <c r="O2655" s="90">
        <v>1.2603559082543601</v>
      </c>
      <c r="P2655" s="90">
        <v>0.19654993167493001</v>
      </c>
      <c r="Q2655" s="90">
        <v>492.58787552619901</v>
      </c>
      <c r="R2655" s="90">
        <v>1210</v>
      </c>
      <c r="S2655" s="90" t="s">
        <v>385</v>
      </c>
      <c r="T2655" s="90">
        <v>1210</v>
      </c>
      <c r="U2655" s="90" t="s">
        <v>378</v>
      </c>
      <c r="V2655" s="90" t="s">
        <v>244</v>
      </c>
      <c r="Z2655" s="90">
        <v>0</v>
      </c>
      <c r="AA2655" s="90">
        <v>1</v>
      </c>
      <c r="AB2655" s="90">
        <v>1.2603559082543601</v>
      </c>
      <c r="AC2655" s="90">
        <v>0.19654993167493001</v>
      </c>
      <c r="AD2655" s="90">
        <v>492.58787552619901</v>
      </c>
      <c r="AF2655" s="90">
        <v>-1</v>
      </c>
      <c r="AG2655" s="90">
        <v>-1</v>
      </c>
      <c r="AH2655" s="90">
        <v>-1</v>
      </c>
      <c r="AI2655" s="90">
        <v>-1</v>
      </c>
      <c r="AJ2655" s="90">
        <v>0</v>
      </c>
      <c r="AM2655" s="90" t="s">
        <v>379</v>
      </c>
      <c r="AN2655" s="90">
        <v>-1</v>
      </c>
      <c r="AQ2655" s="90">
        <v>358</v>
      </c>
      <c r="AR2655" s="90" t="s">
        <v>422</v>
      </c>
      <c r="AS2655" s="90" t="s">
        <v>250</v>
      </c>
      <c r="AT2655" s="90" t="s">
        <v>244</v>
      </c>
      <c r="AU2655" s="90">
        <v>86.412649999999999</v>
      </c>
      <c r="AV2655" s="90">
        <v>110.46231927299399</v>
      </c>
      <c r="AW2655" s="90">
        <v>536.33107078878902</v>
      </c>
      <c r="AX2655" s="90">
        <v>0.39950354869999999</v>
      </c>
    </row>
    <row r="2656" spans="1:50" x14ac:dyDescent="0.25">
      <c r="A2656" s="102">
        <v>830000</v>
      </c>
      <c r="B2656" s="102">
        <v>2500000</v>
      </c>
      <c r="C2656" s="102">
        <v>2500000</v>
      </c>
      <c r="D2656" s="90" t="s">
        <v>374</v>
      </c>
      <c r="E2656" s="90" t="s">
        <v>68</v>
      </c>
      <c r="F2656" s="90" t="s">
        <v>375</v>
      </c>
      <c r="G2656" s="90" t="s">
        <v>376</v>
      </c>
      <c r="H2656" s="90">
        <v>0.59</v>
      </c>
      <c r="I2656" s="90">
        <v>0.64</v>
      </c>
      <c r="J2656" s="90" t="s">
        <v>244</v>
      </c>
      <c r="K2656" s="90">
        <v>2.6099375459159999E-2</v>
      </c>
      <c r="L2656" s="90">
        <v>3716.7945626155902</v>
      </c>
      <c r="M2656" s="90">
        <v>9.5099457771999401</v>
      </c>
      <c r="N2656" s="90">
        <v>1.4830566354307499</v>
      </c>
      <c r="O2656" s="90">
        <v>0.24820364543543999</v>
      </c>
      <c r="P2656" s="90">
        <v>3.8706851955309998E-2</v>
      </c>
      <c r="Q2656" s="90">
        <v>97.006016794287405</v>
      </c>
      <c r="R2656" s="90">
        <v>1330</v>
      </c>
      <c r="S2656" s="90" t="s">
        <v>397</v>
      </c>
      <c r="T2656" s="90">
        <v>1330</v>
      </c>
      <c r="U2656" s="90" t="s">
        <v>378</v>
      </c>
      <c r="V2656" s="90" t="s">
        <v>244</v>
      </c>
      <c r="Z2656" s="90">
        <v>0</v>
      </c>
      <c r="AA2656" s="90">
        <v>1</v>
      </c>
      <c r="AB2656" s="90">
        <v>0.24820364543543999</v>
      </c>
      <c r="AC2656" s="90">
        <v>3.8706851955309998E-2</v>
      </c>
      <c r="AD2656" s="90">
        <v>97.006016794287106</v>
      </c>
      <c r="AF2656" s="90">
        <v>-1</v>
      </c>
      <c r="AG2656" s="90">
        <v>-1</v>
      </c>
      <c r="AH2656" s="90">
        <v>-1</v>
      </c>
      <c r="AI2656" s="90">
        <v>-1</v>
      </c>
      <c r="AJ2656" s="90">
        <v>0</v>
      </c>
      <c r="AM2656" s="90" t="s">
        <v>379</v>
      </c>
      <c r="AN2656" s="90">
        <v>-1</v>
      </c>
      <c r="AQ2656" s="90">
        <v>358</v>
      </c>
      <c r="AR2656" s="90" t="s">
        <v>422</v>
      </c>
      <c r="AS2656" s="90" t="s">
        <v>250</v>
      </c>
      <c r="AT2656" s="90" t="s">
        <v>244</v>
      </c>
      <c r="AU2656" s="90">
        <v>86.412649999999999</v>
      </c>
      <c r="AV2656" s="90">
        <v>43.3497970181296</v>
      </c>
      <c r="AW2656" s="90">
        <v>105.62042519755001</v>
      </c>
      <c r="AX2656" s="90">
        <v>7.8674790600000002E-2</v>
      </c>
    </row>
    <row r="2657" spans="1:50" x14ac:dyDescent="0.25">
      <c r="A2657" s="102">
        <v>830000</v>
      </c>
      <c r="B2657" s="102">
        <v>2500000</v>
      </c>
      <c r="C2657" s="102">
        <v>2500000</v>
      </c>
      <c r="D2657" s="90" t="s">
        <v>374</v>
      </c>
      <c r="E2657" s="90" t="s">
        <v>68</v>
      </c>
      <c r="F2657" s="90" t="s">
        <v>375</v>
      </c>
      <c r="G2657" s="90" t="s">
        <v>376</v>
      </c>
      <c r="H2657" s="90">
        <v>0.59</v>
      </c>
      <c r="I2657" s="90">
        <v>0.64</v>
      </c>
      <c r="J2657" s="90" t="s">
        <v>244</v>
      </c>
      <c r="K2657" s="90">
        <v>0.15935527847385</v>
      </c>
      <c r="L2657" s="90">
        <v>3716.7945626155902</v>
      </c>
      <c r="M2657" s="90">
        <v>9.5099457771999401</v>
      </c>
      <c r="N2657" s="90">
        <v>1.4830566354307499</v>
      </c>
      <c r="O2657" s="90">
        <v>1.5154600575969299</v>
      </c>
      <c r="P2657" s="90">
        <v>0.23633290313156</v>
      </c>
      <c r="Q2657" s="90">
        <v>592.29083255571095</v>
      </c>
      <c r="R2657" s="90">
        <v>1210</v>
      </c>
      <c r="S2657" s="90" t="s">
        <v>385</v>
      </c>
      <c r="T2657" s="90">
        <v>1210</v>
      </c>
      <c r="U2657" s="90" t="s">
        <v>378</v>
      </c>
      <c r="V2657" s="90" t="s">
        <v>244</v>
      </c>
      <c r="Z2657" s="90">
        <v>0</v>
      </c>
      <c r="AA2657" s="90">
        <v>1</v>
      </c>
      <c r="AB2657" s="90">
        <v>1.5154600575969299</v>
      </c>
      <c r="AC2657" s="90">
        <v>0.23633290313156</v>
      </c>
      <c r="AD2657" s="90">
        <v>592.29083255571095</v>
      </c>
      <c r="AF2657" s="90">
        <v>-1</v>
      </c>
      <c r="AG2657" s="90">
        <v>-1</v>
      </c>
      <c r="AH2657" s="90">
        <v>-1</v>
      </c>
      <c r="AI2657" s="90">
        <v>-1</v>
      </c>
      <c r="AJ2657" s="90">
        <v>0</v>
      </c>
      <c r="AM2657" s="90" t="s">
        <v>379</v>
      </c>
      <c r="AN2657" s="90">
        <v>-1</v>
      </c>
      <c r="AQ2657" s="90">
        <v>358</v>
      </c>
      <c r="AR2657" s="90" t="s">
        <v>422</v>
      </c>
      <c r="AS2657" s="90" t="s">
        <v>250</v>
      </c>
      <c r="AT2657" s="90" t="s">
        <v>244</v>
      </c>
      <c r="AU2657" s="90">
        <v>86.412649999999999</v>
      </c>
      <c r="AV2657" s="90">
        <v>114.433666645201</v>
      </c>
      <c r="AW2657" s="90">
        <v>644.887932135254</v>
      </c>
      <c r="AX2657" s="90">
        <v>0.48036563869999999</v>
      </c>
    </row>
    <row r="2658" spans="1:50" x14ac:dyDescent="0.25">
      <c r="A2658" s="102">
        <v>830000</v>
      </c>
      <c r="B2658" s="102">
        <v>2500000</v>
      </c>
      <c r="C2658" s="102">
        <v>2500000</v>
      </c>
      <c r="D2658" s="90" t="s">
        <v>374</v>
      </c>
      <c r="E2658" s="90" t="s">
        <v>68</v>
      </c>
      <c r="F2658" s="90" t="s">
        <v>375</v>
      </c>
      <c r="G2658" s="90" t="s">
        <v>376</v>
      </c>
      <c r="H2658" s="90">
        <v>0.59</v>
      </c>
      <c r="I2658" s="90">
        <v>0.64</v>
      </c>
      <c r="J2658" s="90" t="s">
        <v>244</v>
      </c>
      <c r="K2658" s="90">
        <v>3.2107432106100002E-2</v>
      </c>
      <c r="L2658" s="90">
        <v>3716.7945626155902</v>
      </c>
      <c r="M2658" s="90">
        <v>9.5099457771999401</v>
      </c>
      <c r="N2658" s="90">
        <v>1.4830566354307499</v>
      </c>
      <c r="O2658" s="90">
        <v>0.30533993837413997</v>
      </c>
      <c r="P2658" s="90">
        <v>4.7617140231589999E-2</v>
      </c>
      <c r="Q2658" s="90">
        <v>119.336729071505</v>
      </c>
      <c r="R2658" s="90">
        <v>1330</v>
      </c>
      <c r="S2658" s="90" t="s">
        <v>397</v>
      </c>
      <c r="T2658" s="90">
        <v>1330</v>
      </c>
      <c r="U2658" s="90" t="s">
        <v>378</v>
      </c>
      <c r="V2658" s="90" t="s">
        <v>244</v>
      </c>
      <c r="Z2658" s="90">
        <v>0</v>
      </c>
      <c r="AA2658" s="90">
        <v>1</v>
      </c>
      <c r="AB2658" s="90">
        <v>0.30533993837413997</v>
      </c>
      <c r="AC2658" s="90">
        <v>4.7617140231589999E-2</v>
      </c>
      <c r="AD2658" s="90">
        <v>119.336729071504</v>
      </c>
      <c r="AF2658" s="90">
        <v>-1</v>
      </c>
      <c r="AG2658" s="90">
        <v>-1</v>
      </c>
      <c r="AH2658" s="90">
        <v>-1</v>
      </c>
      <c r="AI2658" s="90">
        <v>-1</v>
      </c>
      <c r="AJ2658" s="90">
        <v>0</v>
      </c>
      <c r="AM2658" s="90" t="s">
        <v>379</v>
      </c>
      <c r="AN2658" s="90">
        <v>-1</v>
      </c>
      <c r="AQ2658" s="90">
        <v>358</v>
      </c>
      <c r="AR2658" s="90" t="s">
        <v>422</v>
      </c>
      <c r="AS2658" s="90" t="s">
        <v>250</v>
      </c>
      <c r="AT2658" s="90" t="s">
        <v>244</v>
      </c>
      <c r="AU2658" s="90">
        <v>86.412649999999999</v>
      </c>
      <c r="AV2658" s="90">
        <v>47.829406863263799</v>
      </c>
      <c r="AW2658" s="90">
        <v>129.93416782534501</v>
      </c>
      <c r="AX2658" s="90">
        <v>9.6785668300000002E-2</v>
      </c>
    </row>
    <row r="2659" spans="1:50" x14ac:dyDescent="0.25">
      <c r="A2659" s="102">
        <v>830000</v>
      </c>
      <c r="B2659" s="102">
        <v>2500000</v>
      </c>
      <c r="C2659" s="102">
        <v>2500000</v>
      </c>
      <c r="D2659" s="90" t="s">
        <v>374</v>
      </c>
      <c r="E2659" s="90" t="s">
        <v>68</v>
      </c>
      <c r="F2659" s="90" t="s">
        <v>375</v>
      </c>
      <c r="G2659" s="90" t="s">
        <v>376</v>
      </c>
      <c r="H2659" s="90">
        <v>0.59</v>
      </c>
      <c r="I2659" s="90">
        <v>0.64</v>
      </c>
      <c r="J2659" s="90" t="s">
        <v>244</v>
      </c>
      <c r="K2659" s="90">
        <v>0.14286406726949999</v>
      </c>
      <c r="L2659" s="90">
        <v>3716.7945626155902</v>
      </c>
      <c r="M2659" s="90">
        <v>9.5099457771999401</v>
      </c>
      <c r="N2659" s="90">
        <v>1.4830566354307499</v>
      </c>
      <c r="O2659" s="90">
        <v>1.3586295332431899</v>
      </c>
      <c r="P2659" s="90">
        <v>0.21187550292865001</v>
      </c>
      <c r="Q2659" s="90">
        <v>530.996388420426</v>
      </c>
      <c r="R2659" s="90">
        <v>1210</v>
      </c>
      <c r="S2659" s="90" t="s">
        <v>385</v>
      </c>
      <c r="T2659" s="90">
        <v>1210</v>
      </c>
      <c r="U2659" s="90" t="s">
        <v>378</v>
      </c>
      <c r="V2659" s="90" t="s">
        <v>244</v>
      </c>
      <c r="Z2659" s="90">
        <v>0</v>
      </c>
      <c r="AA2659" s="90">
        <v>1</v>
      </c>
      <c r="AB2659" s="90">
        <v>1.3586295332431899</v>
      </c>
      <c r="AC2659" s="90">
        <v>0.21187550292865001</v>
      </c>
      <c r="AD2659" s="90">
        <v>530.996388420426</v>
      </c>
      <c r="AF2659" s="90">
        <v>-1</v>
      </c>
      <c r="AG2659" s="90">
        <v>-1</v>
      </c>
      <c r="AH2659" s="90">
        <v>-1</v>
      </c>
      <c r="AI2659" s="90">
        <v>-1</v>
      </c>
      <c r="AJ2659" s="90">
        <v>0</v>
      </c>
      <c r="AM2659" s="90" t="s">
        <v>379</v>
      </c>
      <c r="AN2659" s="90">
        <v>-1</v>
      </c>
      <c r="AQ2659" s="90">
        <v>358</v>
      </c>
      <c r="AR2659" s="90" t="s">
        <v>422</v>
      </c>
      <c r="AS2659" s="90" t="s">
        <v>250</v>
      </c>
      <c r="AT2659" s="90" t="s">
        <v>244</v>
      </c>
      <c r="AU2659" s="90">
        <v>86.412649999999999</v>
      </c>
      <c r="AV2659" s="90">
        <v>109.932332180063</v>
      </c>
      <c r="AW2659" s="90">
        <v>578.15036815975998</v>
      </c>
      <c r="AX2659" s="90">
        <v>0.43065400520000002</v>
      </c>
    </row>
    <row r="2660" spans="1:50" x14ac:dyDescent="0.25">
      <c r="A2660" s="102">
        <v>830000</v>
      </c>
      <c r="B2660" s="102">
        <v>2500000</v>
      </c>
      <c r="C2660" s="102">
        <v>2500000</v>
      </c>
      <c r="D2660" s="90" t="s">
        <v>374</v>
      </c>
      <c r="E2660" s="90" t="s">
        <v>68</v>
      </c>
      <c r="F2660" s="90" t="s">
        <v>375</v>
      </c>
      <c r="G2660" s="90" t="s">
        <v>376</v>
      </c>
      <c r="H2660" s="90">
        <v>0.59</v>
      </c>
      <c r="I2660" s="90">
        <v>0.64</v>
      </c>
      <c r="J2660" s="90" t="s">
        <v>244</v>
      </c>
      <c r="K2660" s="90">
        <v>7.7121995506350002E-2</v>
      </c>
      <c r="L2660" s="90">
        <v>3716.7945626155902</v>
      </c>
      <c r="M2660" s="90">
        <v>9.5099457771999401</v>
      </c>
      <c r="N2660" s="90">
        <v>1.4830566354307499</v>
      </c>
      <c r="O2660" s="90">
        <v>0.73342599549484999</v>
      </c>
      <c r="P2660" s="90">
        <v>0.11437628717334999</v>
      </c>
      <c r="Q2660" s="90">
        <v>286.64661355607001</v>
      </c>
      <c r="R2660" s="90">
        <v>1210</v>
      </c>
      <c r="S2660" s="90" t="s">
        <v>385</v>
      </c>
      <c r="T2660" s="90">
        <v>1210</v>
      </c>
      <c r="U2660" s="90" t="s">
        <v>378</v>
      </c>
      <c r="V2660" s="90" t="s">
        <v>244</v>
      </c>
      <c r="Z2660" s="90">
        <v>0</v>
      </c>
      <c r="AA2660" s="90">
        <v>1</v>
      </c>
      <c r="AB2660" s="90">
        <v>0.73342599549484999</v>
      </c>
      <c r="AC2660" s="90">
        <v>0.11437628717334999</v>
      </c>
      <c r="AD2660" s="90">
        <v>286.64661355607001</v>
      </c>
      <c r="AF2660" s="90">
        <v>-1</v>
      </c>
      <c r="AG2660" s="90">
        <v>-1</v>
      </c>
      <c r="AH2660" s="90">
        <v>-1</v>
      </c>
      <c r="AI2660" s="90">
        <v>-1</v>
      </c>
      <c r="AJ2660" s="90">
        <v>0</v>
      </c>
      <c r="AM2660" s="90" t="s">
        <v>379</v>
      </c>
      <c r="AN2660" s="90">
        <v>-1</v>
      </c>
      <c r="AQ2660" s="90">
        <v>358</v>
      </c>
      <c r="AR2660" s="90" t="s">
        <v>422</v>
      </c>
      <c r="AS2660" s="90" t="s">
        <v>250</v>
      </c>
      <c r="AT2660" s="90" t="s">
        <v>244</v>
      </c>
      <c r="AU2660" s="90">
        <v>86.412649999999999</v>
      </c>
      <c r="AV2660" s="90">
        <v>95.679304571261696</v>
      </c>
      <c r="AW2660" s="90">
        <v>312.10164282317999</v>
      </c>
      <c r="AX2660" s="90">
        <v>0.23247900530000001</v>
      </c>
    </row>
    <row r="2661" spans="1:50" x14ac:dyDescent="0.25">
      <c r="A2661" s="102">
        <v>830000</v>
      </c>
      <c r="B2661" s="102">
        <v>2500000</v>
      </c>
      <c r="C2661" s="102">
        <v>2500000</v>
      </c>
      <c r="D2661" s="90" t="s">
        <v>374</v>
      </c>
      <c r="E2661" s="90" t="s">
        <v>68</v>
      </c>
      <c r="F2661" s="90" t="s">
        <v>375</v>
      </c>
      <c r="G2661" s="90" t="s">
        <v>376</v>
      </c>
      <c r="H2661" s="90">
        <v>0.59</v>
      </c>
      <c r="I2661" s="90">
        <v>0.64</v>
      </c>
      <c r="J2661" s="90" t="s">
        <v>244</v>
      </c>
      <c r="K2661" s="90">
        <v>4.7685010966959998E-2</v>
      </c>
      <c r="L2661" s="90">
        <v>3716.7945626155902</v>
      </c>
      <c r="M2661" s="90">
        <v>9.5099457771999401</v>
      </c>
      <c r="N2661" s="90">
        <v>1.4830566354307499</v>
      </c>
      <c r="O2661" s="90">
        <v>0.45348186868097001</v>
      </c>
      <c r="P2661" s="90">
        <v>7.0719571925129995E-2</v>
      </c>
      <c r="Q2661" s="90">
        <v>177.235389480262</v>
      </c>
      <c r="R2661" s="90">
        <v>1340</v>
      </c>
      <c r="S2661" s="90" t="s">
        <v>407</v>
      </c>
      <c r="T2661" s="90">
        <v>1340</v>
      </c>
      <c r="U2661" s="90" t="s">
        <v>378</v>
      </c>
      <c r="V2661" s="90" t="s">
        <v>244</v>
      </c>
      <c r="Z2661" s="90">
        <v>0</v>
      </c>
      <c r="AA2661" s="90">
        <v>1</v>
      </c>
      <c r="AB2661" s="90">
        <v>0.45348186868097001</v>
      </c>
      <c r="AC2661" s="90">
        <v>7.0719571925129995E-2</v>
      </c>
      <c r="AD2661" s="90">
        <v>177.23538948026101</v>
      </c>
      <c r="AF2661" s="90">
        <v>-1</v>
      </c>
      <c r="AG2661" s="90">
        <v>-1</v>
      </c>
      <c r="AH2661" s="90">
        <v>-1</v>
      </c>
      <c r="AI2661" s="90">
        <v>-1</v>
      </c>
      <c r="AJ2661" s="90">
        <v>0</v>
      </c>
      <c r="AM2661" s="90" t="s">
        <v>379</v>
      </c>
      <c r="AN2661" s="90">
        <v>-1</v>
      </c>
      <c r="AQ2661" s="90">
        <v>358</v>
      </c>
      <c r="AR2661" s="90" t="s">
        <v>422</v>
      </c>
      <c r="AS2661" s="90" t="s">
        <v>250</v>
      </c>
      <c r="AT2661" s="90" t="s">
        <v>244</v>
      </c>
      <c r="AU2661" s="90">
        <v>86.412649999999999</v>
      </c>
      <c r="AV2661" s="90">
        <v>59.536996022364796</v>
      </c>
      <c r="AW2661" s="90">
        <v>192.97439288385499</v>
      </c>
      <c r="AX2661" s="90">
        <v>0.14374321940000001</v>
      </c>
    </row>
    <row r="2662" spans="1:50" x14ac:dyDescent="0.25">
      <c r="A2662" s="102">
        <v>830000</v>
      </c>
      <c r="B2662" s="102">
        <v>2500000</v>
      </c>
      <c r="C2662" s="102">
        <v>2500000</v>
      </c>
      <c r="D2662" s="90" t="s">
        <v>374</v>
      </c>
      <c r="E2662" s="90" t="s">
        <v>68</v>
      </c>
      <c r="F2662" s="90" t="s">
        <v>375</v>
      </c>
      <c r="G2662" s="90" t="s">
        <v>376</v>
      </c>
      <c r="H2662" s="90">
        <v>0.59</v>
      </c>
      <c r="I2662" s="90">
        <v>0.64</v>
      </c>
      <c r="J2662" s="90" t="s">
        <v>381</v>
      </c>
      <c r="K2662" s="90">
        <v>3.3392213136149998E-2</v>
      </c>
      <c r="L2662" s="90">
        <v>3757.9958221035699</v>
      </c>
      <c r="M2662" s="90">
        <v>10.7272201985196</v>
      </c>
      <c r="N2662" s="90">
        <v>2.0425690029948802</v>
      </c>
      <c r="O2662" s="90">
        <v>0.35820562322740002</v>
      </c>
      <c r="P2662" s="90">
        <v>6.8205899493299998E-2</v>
      </c>
      <c r="Q2662" s="90">
        <v>125.48779745645101</v>
      </c>
      <c r="R2662" s="90">
        <v>1200</v>
      </c>
      <c r="S2662" s="90" t="s">
        <v>384</v>
      </c>
      <c r="T2662" s="90">
        <v>1200</v>
      </c>
      <c r="U2662" s="90" t="s">
        <v>382</v>
      </c>
      <c r="V2662" s="90" t="s">
        <v>381</v>
      </c>
      <c r="Z2662" s="90">
        <v>0</v>
      </c>
      <c r="AA2662" s="90">
        <v>1</v>
      </c>
      <c r="AB2662" s="90">
        <v>0.35820562322740002</v>
      </c>
      <c r="AC2662" s="90">
        <v>6.8205899493299998E-2</v>
      </c>
      <c r="AD2662" s="90">
        <v>125.48779745645101</v>
      </c>
      <c r="AF2662" s="90">
        <v>-1</v>
      </c>
      <c r="AG2662" s="90">
        <v>-1</v>
      </c>
      <c r="AH2662" s="90">
        <v>-1</v>
      </c>
      <c r="AI2662" s="90">
        <v>-1</v>
      </c>
      <c r="AJ2662" s="90">
        <v>0</v>
      </c>
      <c r="AM2662" s="90" t="s">
        <v>379</v>
      </c>
      <c r="AN2662" s="90">
        <v>-1</v>
      </c>
      <c r="AQ2662" s="90">
        <v>358</v>
      </c>
      <c r="AR2662" s="90" t="s">
        <v>422</v>
      </c>
      <c r="AS2662" s="90" t="s">
        <v>250</v>
      </c>
      <c r="AT2662" s="90" t="s">
        <v>244</v>
      </c>
      <c r="AU2662" s="90">
        <v>86.412649999999999</v>
      </c>
      <c r="AV2662" s="90">
        <v>104.84090851072</v>
      </c>
      <c r="AW2662" s="90">
        <v>135.13349218818499</v>
      </c>
      <c r="AX2662" s="90">
        <v>0.10177436939999999</v>
      </c>
    </row>
    <row r="2663" spans="1:50" x14ac:dyDescent="0.25">
      <c r="A2663" s="102">
        <v>830000</v>
      </c>
      <c r="B2663" s="102">
        <v>2500000</v>
      </c>
      <c r="C2663" s="102">
        <v>2500000</v>
      </c>
      <c r="D2663" s="90" t="s">
        <v>374</v>
      </c>
      <c r="E2663" s="90" t="s">
        <v>68</v>
      </c>
      <c r="F2663" s="90" t="s">
        <v>375</v>
      </c>
      <c r="G2663" s="90" t="s">
        <v>376</v>
      </c>
      <c r="H2663" s="90">
        <v>0.59</v>
      </c>
      <c r="I2663" s="90">
        <v>0.64</v>
      </c>
      <c r="J2663" s="90" t="s">
        <v>244</v>
      </c>
      <c r="K2663" s="90">
        <v>1.7817288388500001E-3</v>
      </c>
      <c r="L2663" s="90">
        <v>3757.9958221035699</v>
      </c>
      <c r="M2663" s="90">
        <v>10.7272201985196</v>
      </c>
      <c r="N2663" s="90">
        <v>2.0425690029948802</v>
      </c>
      <c r="O2663" s="90">
        <v>1.911299758848E-2</v>
      </c>
      <c r="P2663" s="90">
        <v>3.6393040979900001E-3</v>
      </c>
      <c r="Q2663" s="90">
        <v>6.6957295325498203</v>
      </c>
      <c r="R2663" s="90">
        <v>1300</v>
      </c>
      <c r="S2663" s="90" t="s">
        <v>387</v>
      </c>
      <c r="T2663" s="90">
        <v>1300</v>
      </c>
      <c r="U2663" s="90" t="s">
        <v>378</v>
      </c>
      <c r="V2663" s="90" t="s">
        <v>244</v>
      </c>
      <c r="Z2663" s="90">
        <v>0</v>
      </c>
      <c r="AA2663" s="90">
        <v>1</v>
      </c>
      <c r="AB2663" s="90">
        <v>1.911299758848E-2</v>
      </c>
      <c r="AC2663" s="90">
        <v>3.6393040979900001E-3</v>
      </c>
      <c r="AD2663" s="90">
        <v>6.69572953254929</v>
      </c>
      <c r="AF2663" s="90">
        <v>-1</v>
      </c>
      <c r="AG2663" s="90">
        <v>-1</v>
      </c>
      <c r="AH2663" s="90">
        <v>-1</v>
      </c>
      <c r="AI2663" s="90">
        <v>-1</v>
      </c>
      <c r="AJ2663" s="90">
        <v>0</v>
      </c>
      <c r="AM2663" s="90" t="s">
        <v>379</v>
      </c>
      <c r="AN2663" s="90">
        <v>-1</v>
      </c>
      <c r="AQ2663" s="90">
        <v>358</v>
      </c>
      <c r="AR2663" s="90" t="s">
        <v>422</v>
      </c>
      <c r="AS2663" s="90" t="s">
        <v>250</v>
      </c>
      <c r="AT2663" s="90" t="s">
        <v>244</v>
      </c>
      <c r="AU2663" s="90">
        <v>86.412649999999999</v>
      </c>
      <c r="AV2663" s="90">
        <v>100.517126818677</v>
      </c>
      <c r="AW2663" s="90">
        <v>7.2104007945072199</v>
      </c>
      <c r="AX2663" s="90">
        <v>5.4304376E-3</v>
      </c>
    </row>
    <row r="2664" spans="1:50" x14ac:dyDescent="0.25">
      <c r="A2664" s="102">
        <v>830000</v>
      </c>
      <c r="B2664" s="102">
        <v>2500000</v>
      </c>
      <c r="C2664" s="102">
        <v>2500000</v>
      </c>
      <c r="D2664" s="90" t="s">
        <v>374</v>
      </c>
      <c r="E2664" s="90" t="s">
        <v>68</v>
      </c>
      <c r="F2664" s="90" t="s">
        <v>375</v>
      </c>
      <c r="G2664" s="90" t="s">
        <v>376</v>
      </c>
      <c r="H2664" s="90">
        <v>0.59</v>
      </c>
      <c r="I2664" s="90">
        <v>0.64</v>
      </c>
      <c r="J2664" s="90" t="s">
        <v>381</v>
      </c>
      <c r="K2664" s="90">
        <v>0.16296881428259</v>
      </c>
      <c r="L2664" s="90">
        <v>3757.9958221035699</v>
      </c>
      <c r="M2664" s="90">
        <v>10.7272201985196</v>
      </c>
      <c r="N2664" s="90">
        <v>2.0425690029948802</v>
      </c>
      <c r="O2664" s="90">
        <v>1.7482023563010201</v>
      </c>
      <c r="P2664" s="90">
        <v>0.33287504850845001</v>
      </c>
      <c r="Q2664" s="90">
        <v>612.43612320715397</v>
      </c>
      <c r="R2664" s="90">
        <v>1300</v>
      </c>
      <c r="S2664" s="90" t="s">
        <v>387</v>
      </c>
      <c r="T2664" s="90">
        <v>1300</v>
      </c>
      <c r="U2664" s="90" t="s">
        <v>382</v>
      </c>
      <c r="V2664" s="90" t="s">
        <v>381</v>
      </c>
      <c r="Z2664" s="90">
        <v>0</v>
      </c>
      <c r="AA2664" s="90">
        <v>1</v>
      </c>
      <c r="AB2664" s="90">
        <v>1.7482023563010201</v>
      </c>
      <c r="AC2664" s="90">
        <v>0.33287504850845001</v>
      </c>
      <c r="AD2664" s="90">
        <v>612.43612320715397</v>
      </c>
      <c r="AF2664" s="90">
        <v>-1</v>
      </c>
      <c r="AG2664" s="90">
        <v>-1</v>
      </c>
      <c r="AH2664" s="90">
        <v>-1</v>
      </c>
      <c r="AI2664" s="90">
        <v>-1</v>
      </c>
      <c r="AJ2664" s="90">
        <v>0</v>
      </c>
      <c r="AM2664" s="90" t="s">
        <v>379</v>
      </c>
      <c r="AN2664" s="90">
        <v>-1</v>
      </c>
      <c r="AQ2664" s="90">
        <v>358</v>
      </c>
      <c r="AR2664" s="90" t="s">
        <v>422</v>
      </c>
      <c r="AS2664" s="90" t="s">
        <v>250</v>
      </c>
      <c r="AT2664" s="90" t="s">
        <v>244</v>
      </c>
      <c r="AU2664" s="90">
        <v>86.412649999999999</v>
      </c>
      <c r="AV2664" s="90">
        <v>126.61837415558701</v>
      </c>
      <c r="AW2664" s="90">
        <v>659.51139273041895</v>
      </c>
      <c r="AX2664" s="90">
        <v>0.496704074</v>
      </c>
    </row>
    <row r="2665" spans="1:50" x14ac:dyDescent="0.25">
      <c r="A2665" s="102">
        <v>830000</v>
      </c>
      <c r="B2665" s="102">
        <v>2500000</v>
      </c>
      <c r="C2665" s="102">
        <v>2500000</v>
      </c>
      <c r="D2665" s="90" t="s">
        <v>374</v>
      </c>
      <c r="E2665" s="90" t="s">
        <v>68</v>
      </c>
      <c r="F2665" s="90" t="s">
        <v>375</v>
      </c>
      <c r="G2665" s="90" t="s">
        <v>376</v>
      </c>
      <c r="H2665" s="90">
        <v>0.59</v>
      </c>
      <c r="I2665" s="90">
        <v>0.64</v>
      </c>
      <c r="J2665" s="90" t="s">
        <v>244</v>
      </c>
      <c r="K2665" s="90">
        <v>4.2690358747999999E-4</v>
      </c>
      <c r="L2665" s="90">
        <v>3757.9958221035699</v>
      </c>
      <c r="M2665" s="90">
        <v>10.7272201985196</v>
      </c>
      <c r="N2665" s="90">
        <v>2.0425690029948802</v>
      </c>
      <c r="O2665" s="90">
        <v>4.5794887865000002E-3</v>
      </c>
      <c r="P2665" s="90">
        <v>8.7198003506E-4</v>
      </c>
      <c r="Q2665" s="90">
        <v>1.6043018982134101</v>
      </c>
      <c r="R2665" s="90">
        <v>1210</v>
      </c>
      <c r="S2665" s="90" t="s">
        <v>385</v>
      </c>
      <c r="T2665" s="90">
        <v>1210</v>
      </c>
      <c r="U2665" s="90" t="s">
        <v>378</v>
      </c>
      <c r="V2665" s="90" t="s">
        <v>244</v>
      </c>
      <c r="Z2665" s="90">
        <v>0</v>
      </c>
      <c r="AA2665" s="90">
        <v>1</v>
      </c>
      <c r="AB2665" s="90">
        <v>4.5794887865000002E-3</v>
      </c>
      <c r="AC2665" s="90">
        <v>8.7198003506E-4</v>
      </c>
      <c r="AD2665" s="90">
        <v>1.60430189821492</v>
      </c>
      <c r="AF2665" s="90">
        <v>-1</v>
      </c>
      <c r="AG2665" s="90">
        <v>-1</v>
      </c>
      <c r="AH2665" s="90">
        <v>-1</v>
      </c>
      <c r="AI2665" s="90">
        <v>-1</v>
      </c>
      <c r="AJ2665" s="90">
        <v>0</v>
      </c>
      <c r="AM2665" s="90" t="s">
        <v>379</v>
      </c>
      <c r="AN2665" s="90">
        <v>-1</v>
      </c>
      <c r="AQ2665" s="90">
        <v>358</v>
      </c>
      <c r="AR2665" s="90" t="s">
        <v>422</v>
      </c>
      <c r="AS2665" s="90" t="s">
        <v>250</v>
      </c>
      <c r="AT2665" s="90" t="s">
        <v>244</v>
      </c>
      <c r="AU2665" s="90">
        <v>86.412649999999999</v>
      </c>
      <c r="AV2665" s="90">
        <v>15.2495394450091</v>
      </c>
      <c r="AW2665" s="90">
        <v>1.7276175247649299</v>
      </c>
      <c r="AX2665" s="90">
        <v>1.301137E-3</v>
      </c>
    </row>
    <row r="2666" spans="1:50" x14ac:dyDescent="0.25">
      <c r="A2666" s="102">
        <v>830000</v>
      </c>
      <c r="B2666" s="102">
        <v>2500000</v>
      </c>
      <c r="C2666" s="102">
        <v>2500000</v>
      </c>
      <c r="D2666" s="90" t="s">
        <v>374</v>
      </c>
      <c r="E2666" s="90" t="s">
        <v>68</v>
      </c>
      <c r="F2666" s="90" t="s">
        <v>375</v>
      </c>
      <c r="G2666" s="90" t="s">
        <v>376</v>
      </c>
      <c r="H2666" s="90">
        <v>0.59</v>
      </c>
      <c r="I2666" s="90">
        <v>0.64</v>
      </c>
      <c r="J2666" s="90" t="s">
        <v>381</v>
      </c>
      <c r="K2666" s="90">
        <v>3.0560601283000002E-4</v>
      </c>
      <c r="L2666" s="90">
        <v>3757.9958221035699</v>
      </c>
      <c r="M2666" s="90">
        <v>10.7272201985196</v>
      </c>
      <c r="N2666" s="90">
        <v>2.0425690029948802</v>
      </c>
      <c r="O2666" s="90">
        <v>3.27830299364E-3</v>
      </c>
      <c r="P2666" s="90">
        <v>6.2422136893999997E-4</v>
      </c>
      <c r="Q2666" s="90">
        <v>1.14846611943238</v>
      </c>
      <c r="R2666" s="90">
        <v>1210</v>
      </c>
      <c r="S2666" s="90" t="s">
        <v>385</v>
      </c>
      <c r="T2666" s="90">
        <v>1210</v>
      </c>
      <c r="U2666" s="90" t="s">
        <v>382</v>
      </c>
      <c r="V2666" s="90" t="s">
        <v>381</v>
      </c>
      <c r="Z2666" s="90">
        <v>0</v>
      </c>
      <c r="AA2666" s="90">
        <v>1</v>
      </c>
      <c r="AB2666" s="90">
        <v>3.27830299364E-3</v>
      </c>
      <c r="AC2666" s="90">
        <v>6.2422136893999997E-4</v>
      </c>
      <c r="AD2666" s="90">
        <v>1.1484661194310899</v>
      </c>
      <c r="AF2666" s="90">
        <v>-1</v>
      </c>
      <c r="AG2666" s="90">
        <v>-1</v>
      </c>
      <c r="AH2666" s="90">
        <v>-1</v>
      </c>
      <c r="AI2666" s="90">
        <v>-1</v>
      </c>
      <c r="AJ2666" s="90">
        <v>0</v>
      </c>
      <c r="AM2666" s="90" t="s">
        <v>379</v>
      </c>
      <c r="AN2666" s="90">
        <v>-1</v>
      </c>
      <c r="AQ2666" s="90">
        <v>358</v>
      </c>
      <c r="AR2666" s="90" t="s">
        <v>422</v>
      </c>
      <c r="AS2666" s="90" t="s">
        <v>250</v>
      </c>
      <c r="AT2666" s="90" t="s">
        <v>244</v>
      </c>
      <c r="AU2666" s="90">
        <v>86.412649999999999</v>
      </c>
      <c r="AV2666" s="90">
        <v>19.479345895247199</v>
      </c>
      <c r="AW2666" s="90">
        <v>1.2367436557518401</v>
      </c>
      <c r="AX2666" s="90">
        <v>9.3144050000000002E-4</v>
      </c>
    </row>
    <row r="2667" spans="1:50" x14ac:dyDescent="0.25">
      <c r="A2667" s="102">
        <v>830000</v>
      </c>
      <c r="B2667" s="102">
        <v>2500000</v>
      </c>
      <c r="C2667" s="102">
        <v>2500000</v>
      </c>
      <c r="D2667" s="90" t="s">
        <v>374</v>
      </c>
      <c r="E2667" s="90" t="s">
        <v>68</v>
      </c>
      <c r="F2667" s="90" t="s">
        <v>375</v>
      </c>
      <c r="G2667" s="90" t="s">
        <v>376</v>
      </c>
      <c r="H2667" s="90">
        <v>0.59</v>
      </c>
      <c r="I2667" s="90">
        <v>0.64</v>
      </c>
      <c r="J2667" s="90" t="s">
        <v>244</v>
      </c>
      <c r="K2667" s="90">
        <v>7.2723003801999995E-4</v>
      </c>
      <c r="L2667" s="90">
        <v>3757.9958221035699</v>
      </c>
      <c r="M2667" s="90">
        <v>10.7272201985196</v>
      </c>
      <c r="N2667" s="90">
        <v>2.0425690029948802</v>
      </c>
      <c r="O2667" s="90">
        <v>7.8011567528699999E-3</v>
      </c>
      <c r="P2667" s="90">
        <v>1.48541753371E-3</v>
      </c>
      <c r="Q2667" s="90">
        <v>2.7329274446061702</v>
      </c>
      <c r="R2667" s="90">
        <v>1210</v>
      </c>
      <c r="S2667" s="90" t="s">
        <v>385</v>
      </c>
      <c r="T2667" s="90">
        <v>1210</v>
      </c>
      <c r="U2667" s="90" t="s">
        <v>378</v>
      </c>
      <c r="V2667" s="90" t="s">
        <v>244</v>
      </c>
      <c r="Z2667" s="90">
        <v>0</v>
      </c>
      <c r="AA2667" s="90">
        <v>1</v>
      </c>
      <c r="AB2667" s="90">
        <v>7.8011567528699999E-3</v>
      </c>
      <c r="AC2667" s="90">
        <v>1.48541753371E-3</v>
      </c>
      <c r="AD2667" s="90">
        <v>2.7329274446044001</v>
      </c>
      <c r="AF2667" s="90">
        <v>-1</v>
      </c>
      <c r="AG2667" s="90">
        <v>-1</v>
      </c>
      <c r="AH2667" s="90">
        <v>-1</v>
      </c>
      <c r="AI2667" s="90">
        <v>-1</v>
      </c>
      <c r="AJ2667" s="90">
        <v>0</v>
      </c>
      <c r="AM2667" s="90" t="s">
        <v>379</v>
      </c>
      <c r="AN2667" s="90">
        <v>-1</v>
      </c>
      <c r="AQ2667" s="90">
        <v>358</v>
      </c>
      <c r="AR2667" s="90" t="s">
        <v>422</v>
      </c>
      <c r="AS2667" s="90" t="s">
        <v>250</v>
      </c>
      <c r="AT2667" s="90" t="s">
        <v>244</v>
      </c>
      <c r="AU2667" s="90">
        <v>86.412649999999999</v>
      </c>
      <c r="AV2667" s="90">
        <v>10.2549754225416</v>
      </c>
      <c r="AW2667" s="90">
        <v>2.9429955499417599</v>
      </c>
      <c r="AX2667" s="90">
        <v>2.2164861999999998E-3</v>
      </c>
    </row>
    <row r="2668" spans="1:50" x14ac:dyDescent="0.25">
      <c r="A2668" s="102">
        <v>830000</v>
      </c>
      <c r="B2668" s="102">
        <v>2500000</v>
      </c>
      <c r="C2668" s="102">
        <v>2500000</v>
      </c>
      <c r="D2668" s="90" t="s">
        <v>374</v>
      </c>
      <c r="E2668" s="90" t="s">
        <v>68</v>
      </c>
      <c r="F2668" s="90" t="s">
        <v>375</v>
      </c>
      <c r="G2668" s="90" t="s">
        <v>376</v>
      </c>
      <c r="H2668" s="90">
        <v>0.59</v>
      </c>
      <c r="I2668" s="90">
        <v>0.64</v>
      </c>
      <c r="J2668" s="90" t="s">
        <v>381</v>
      </c>
      <c r="K2668" s="90">
        <v>1.5409814676999999E-4</v>
      </c>
      <c r="L2668" s="90">
        <v>3757.9958221035699</v>
      </c>
      <c r="M2668" s="90">
        <v>10.7272201985196</v>
      </c>
      <c r="N2668" s="90">
        <v>2.0425690029948802</v>
      </c>
      <c r="O2668" s="90">
        <v>1.6530447526699999E-3</v>
      </c>
      <c r="P2668" s="90">
        <v>3.1475609802000001E-4</v>
      </c>
      <c r="Q2668" s="90">
        <v>0.57910019178562</v>
      </c>
      <c r="R2668" s="90">
        <v>1210</v>
      </c>
      <c r="S2668" s="90" t="s">
        <v>385</v>
      </c>
      <c r="T2668" s="90">
        <v>1210</v>
      </c>
      <c r="U2668" s="90" t="s">
        <v>382</v>
      </c>
      <c r="V2668" s="90" t="s">
        <v>381</v>
      </c>
      <c r="Z2668" s="90">
        <v>0</v>
      </c>
      <c r="AA2668" s="90">
        <v>1</v>
      </c>
      <c r="AB2668" s="90">
        <v>1.6530447526699999E-3</v>
      </c>
      <c r="AC2668" s="90">
        <v>3.1475609802000001E-4</v>
      </c>
      <c r="AD2668" s="90">
        <v>0.57910019178481997</v>
      </c>
      <c r="AF2668" s="90">
        <v>-1</v>
      </c>
      <c r="AG2668" s="90">
        <v>-1</v>
      </c>
      <c r="AH2668" s="90">
        <v>-1</v>
      </c>
      <c r="AI2668" s="90">
        <v>-1</v>
      </c>
      <c r="AJ2668" s="90">
        <v>0</v>
      </c>
      <c r="AM2668" s="90" t="s">
        <v>379</v>
      </c>
      <c r="AN2668" s="90">
        <v>-1</v>
      </c>
      <c r="AQ2668" s="90">
        <v>358</v>
      </c>
      <c r="AR2668" s="90" t="s">
        <v>422</v>
      </c>
      <c r="AS2668" s="90" t="s">
        <v>250</v>
      </c>
      <c r="AT2668" s="90" t="s">
        <v>244</v>
      </c>
      <c r="AU2668" s="90">
        <v>86.412649999999999</v>
      </c>
      <c r="AV2668" s="90">
        <v>9.27337556019034</v>
      </c>
      <c r="AW2668" s="90">
        <v>0.62361307496761997</v>
      </c>
      <c r="AX2668" s="90">
        <v>4.6966759999999999E-4</v>
      </c>
    </row>
    <row r="2669" spans="1:50" x14ac:dyDescent="0.25">
      <c r="A2669" s="102">
        <v>830000</v>
      </c>
      <c r="B2669" s="102">
        <v>2500000</v>
      </c>
      <c r="C2669" s="102">
        <v>2500000</v>
      </c>
      <c r="D2669" s="90" t="s">
        <v>374</v>
      </c>
      <c r="E2669" s="90" t="s">
        <v>68</v>
      </c>
      <c r="F2669" s="90" t="s">
        <v>375</v>
      </c>
      <c r="G2669" s="90" t="s">
        <v>376</v>
      </c>
      <c r="H2669" s="90">
        <v>0.59</v>
      </c>
      <c r="I2669" s="90">
        <v>0.64</v>
      </c>
      <c r="J2669" s="90" t="s">
        <v>244</v>
      </c>
      <c r="K2669" s="90">
        <v>0.41800685974024998</v>
      </c>
      <c r="L2669" s="90">
        <v>3757.9958221035699</v>
      </c>
      <c r="M2669" s="90">
        <v>10.7272201985196</v>
      </c>
      <c r="N2669" s="90">
        <v>2.0425690029948802</v>
      </c>
      <c r="O2669" s="90">
        <v>4.4840516289254797</v>
      </c>
      <c r="P2669" s="90">
        <v>0.85380785474468002</v>
      </c>
      <c r="Q2669" s="90">
        <v>1570.8680325145299</v>
      </c>
      <c r="R2669" s="90">
        <v>1300</v>
      </c>
      <c r="S2669" s="90" t="s">
        <v>387</v>
      </c>
      <c r="T2669" s="90">
        <v>1300</v>
      </c>
      <c r="U2669" s="90" t="s">
        <v>378</v>
      </c>
      <c r="V2669" s="90" t="s">
        <v>244</v>
      </c>
      <c r="Z2669" s="90">
        <v>0</v>
      </c>
      <c r="AA2669" s="90">
        <v>1</v>
      </c>
      <c r="AB2669" s="90">
        <v>4.4840516289254797</v>
      </c>
      <c r="AC2669" s="90">
        <v>0.85380785474468002</v>
      </c>
      <c r="AD2669" s="90">
        <v>1570.8680325145299</v>
      </c>
      <c r="AF2669" s="90">
        <v>-1</v>
      </c>
      <c r="AG2669" s="90">
        <v>-1</v>
      </c>
      <c r="AH2669" s="90">
        <v>-1</v>
      </c>
      <c r="AI2669" s="90">
        <v>-1</v>
      </c>
      <c r="AJ2669" s="90">
        <v>0</v>
      </c>
      <c r="AM2669" s="90" t="s">
        <v>379</v>
      </c>
      <c r="AN2669" s="90">
        <v>-1</v>
      </c>
      <c r="AQ2669" s="90">
        <v>358</v>
      </c>
      <c r="AR2669" s="90" t="s">
        <v>422</v>
      </c>
      <c r="AS2669" s="90" t="s">
        <v>250</v>
      </c>
      <c r="AT2669" s="90" t="s">
        <v>244</v>
      </c>
      <c r="AU2669" s="90">
        <v>86.412649999999999</v>
      </c>
      <c r="AV2669" s="90">
        <v>167.77890330183499</v>
      </c>
      <c r="AW2669" s="90">
        <v>1691.61374494712</v>
      </c>
      <c r="AX2669" s="90">
        <v>1.2740211132000001</v>
      </c>
    </row>
    <row r="2670" spans="1:50" x14ac:dyDescent="0.25">
      <c r="A2670" s="102">
        <v>830000</v>
      </c>
      <c r="B2670" s="102">
        <v>2500000</v>
      </c>
      <c r="C2670" s="102">
        <v>2500000</v>
      </c>
      <c r="D2670" s="90" t="s">
        <v>374</v>
      </c>
      <c r="E2670" s="90" t="s">
        <v>68</v>
      </c>
      <c r="F2670" s="90" t="s">
        <v>375</v>
      </c>
      <c r="G2670" s="90" t="s">
        <v>376</v>
      </c>
      <c r="H2670" s="90">
        <v>0.59</v>
      </c>
      <c r="I2670" s="90">
        <v>0.64</v>
      </c>
      <c r="J2670" s="90" t="s">
        <v>244</v>
      </c>
      <c r="K2670" s="90">
        <v>8.457113420739E-2</v>
      </c>
      <c r="L2670" s="90">
        <v>3739.27822813378</v>
      </c>
      <c r="M2670" s="90">
        <v>10.113204548915601</v>
      </c>
      <c r="N2670" s="90">
        <v>1.7586406215261099</v>
      </c>
      <c r="O2670" s="90">
        <v>0.85528517917313995</v>
      </c>
      <c r="P2670" s="90">
        <v>0.14873023202565</v>
      </c>
      <c r="Q2670" s="90">
        <v>316.23500087027702</v>
      </c>
      <c r="R2670" s="90">
        <v>1300</v>
      </c>
      <c r="S2670" s="90" t="s">
        <v>387</v>
      </c>
      <c r="T2670" s="90">
        <v>1300</v>
      </c>
      <c r="U2670" s="90" t="s">
        <v>378</v>
      </c>
      <c r="V2670" s="90" t="s">
        <v>244</v>
      </c>
      <c r="Z2670" s="90">
        <v>0</v>
      </c>
      <c r="AA2670" s="90">
        <v>1</v>
      </c>
      <c r="AB2670" s="90">
        <v>0.85528517917313995</v>
      </c>
      <c r="AC2670" s="90">
        <v>0.14873023202565</v>
      </c>
      <c r="AD2670" s="90">
        <v>611.40818481890005</v>
      </c>
      <c r="AF2670" s="90">
        <v>-1</v>
      </c>
      <c r="AG2670" s="90">
        <v>-1</v>
      </c>
      <c r="AH2670" s="90">
        <v>-1</v>
      </c>
      <c r="AI2670" s="90">
        <v>-1</v>
      </c>
      <c r="AJ2670" s="90">
        <v>0</v>
      </c>
      <c r="AM2670" s="90" t="s">
        <v>379</v>
      </c>
      <c r="AN2670" s="90">
        <v>-1</v>
      </c>
      <c r="AQ2670" s="90">
        <v>358</v>
      </c>
      <c r="AR2670" s="90" t="s">
        <v>422</v>
      </c>
      <c r="AS2670" s="90" t="s">
        <v>250</v>
      </c>
      <c r="AT2670" s="90" t="s">
        <v>244</v>
      </c>
      <c r="AU2670" s="90">
        <v>86.412649999999999</v>
      </c>
      <c r="AV2670" s="90">
        <v>113.615178728842</v>
      </c>
      <c r="AW2670" s="90">
        <v>342.24723761683202</v>
      </c>
      <c r="AX2670" s="90">
        <v>0.49587038509999998</v>
      </c>
    </row>
    <row r="2671" spans="1:50" x14ac:dyDescent="0.25">
      <c r="A2671" s="102">
        <v>830000</v>
      </c>
      <c r="B2671" s="102">
        <v>2500000</v>
      </c>
      <c r="C2671" s="102">
        <v>2500000</v>
      </c>
      <c r="D2671" s="90" t="s">
        <v>374</v>
      </c>
      <c r="E2671" s="90" t="s">
        <v>68</v>
      </c>
      <c r="F2671" s="90" t="s">
        <v>375</v>
      </c>
      <c r="G2671" s="90" t="s">
        <v>376</v>
      </c>
      <c r="H2671" s="90">
        <v>0.59</v>
      </c>
      <c r="I2671" s="90">
        <v>0.64</v>
      </c>
      <c r="J2671" s="90" t="s">
        <v>244</v>
      </c>
      <c r="K2671" s="90">
        <v>8.7595858588230005E-2</v>
      </c>
      <c r="L2671" s="90">
        <v>3739.27822813378</v>
      </c>
      <c r="M2671" s="90">
        <v>10.113204548915601</v>
      </c>
      <c r="N2671" s="90">
        <v>1.7586406215261099</v>
      </c>
      <c r="O2671" s="90">
        <v>0.88587483554071</v>
      </c>
      <c r="P2671" s="90">
        <v>0.15404963519072001</v>
      </c>
      <c r="Q2671" s="90">
        <v>327.54528689367203</v>
      </c>
      <c r="R2671" s="90">
        <v>1330</v>
      </c>
      <c r="S2671" s="90" t="s">
        <v>397</v>
      </c>
      <c r="T2671" s="90">
        <v>1330</v>
      </c>
      <c r="U2671" s="90" t="s">
        <v>378</v>
      </c>
      <c r="V2671" s="90" t="s">
        <v>244</v>
      </c>
      <c r="Z2671" s="90">
        <v>0</v>
      </c>
      <c r="AA2671" s="90">
        <v>1</v>
      </c>
      <c r="AB2671" s="90">
        <v>0.88587483554071</v>
      </c>
      <c r="AC2671" s="90">
        <v>0.15404963519072001</v>
      </c>
      <c r="AD2671" s="90">
        <v>327.545286893671</v>
      </c>
      <c r="AF2671" s="90">
        <v>-1</v>
      </c>
      <c r="AG2671" s="90">
        <v>-1</v>
      </c>
      <c r="AH2671" s="90">
        <v>-1</v>
      </c>
      <c r="AI2671" s="90">
        <v>-1</v>
      </c>
      <c r="AJ2671" s="90">
        <v>0</v>
      </c>
      <c r="AM2671" s="90" t="s">
        <v>379</v>
      </c>
      <c r="AN2671" s="90">
        <v>-1</v>
      </c>
      <c r="AQ2671" s="90">
        <v>358</v>
      </c>
      <c r="AR2671" s="90" t="s">
        <v>422</v>
      </c>
      <c r="AS2671" s="90" t="s">
        <v>250</v>
      </c>
      <c r="AT2671" s="90" t="s">
        <v>244</v>
      </c>
      <c r="AU2671" s="90">
        <v>86.412649999999999</v>
      </c>
      <c r="AV2671" s="90">
        <v>88.987619997344495</v>
      </c>
      <c r="AW2671" s="90">
        <v>354.48786290343901</v>
      </c>
      <c r="AX2671" s="90">
        <v>0.2656490567</v>
      </c>
    </row>
    <row r="2672" spans="1:50" x14ac:dyDescent="0.25">
      <c r="A2672" s="102">
        <v>830000</v>
      </c>
      <c r="B2672" s="102">
        <v>2500000</v>
      </c>
      <c r="C2672" s="102">
        <v>2500000</v>
      </c>
      <c r="D2672" s="90" t="s">
        <v>374</v>
      </c>
      <c r="E2672" s="90" t="s">
        <v>68</v>
      </c>
      <c r="F2672" s="90" t="s">
        <v>375</v>
      </c>
      <c r="G2672" s="90" t="s">
        <v>376</v>
      </c>
      <c r="H2672" s="90">
        <v>0.59</v>
      </c>
      <c r="I2672" s="90">
        <v>0.64</v>
      </c>
      <c r="J2672" s="90" t="s">
        <v>244</v>
      </c>
      <c r="K2672" s="90">
        <v>0.13443188410515999</v>
      </c>
      <c r="L2672" s="90">
        <v>3739.27822813378</v>
      </c>
      <c r="M2672" s="90">
        <v>10.113204548915601</v>
      </c>
      <c r="N2672" s="90">
        <v>1.7586406215261099</v>
      </c>
      <c r="O2672" s="90">
        <v>1.35953714185164</v>
      </c>
      <c r="P2672" s="90">
        <v>0.23641737221563</v>
      </c>
      <c r="Q2672" s="90">
        <v>502.67821740144001</v>
      </c>
      <c r="R2672" s="90">
        <v>1210</v>
      </c>
      <c r="S2672" s="90" t="s">
        <v>385</v>
      </c>
      <c r="T2672" s="90">
        <v>1210</v>
      </c>
      <c r="U2672" s="90" t="s">
        <v>378</v>
      </c>
      <c r="V2672" s="90" t="s">
        <v>244</v>
      </c>
      <c r="Z2672" s="90">
        <v>0</v>
      </c>
      <c r="AA2672" s="90">
        <v>1</v>
      </c>
      <c r="AB2672" s="90">
        <v>1.35953714185164</v>
      </c>
      <c r="AC2672" s="90">
        <v>0.23641737221563</v>
      </c>
      <c r="AD2672" s="90">
        <v>502.67821740144001</v>
      </c>
      <c r="AF2672" s="90">
        <v>-1</v>
      </c>
      <c r="AG2672" s="90">
        <v>-1</v>
      </c>
      <c r="AH2672" s="90">
        <v>-1</v>
      </c>
      <c r="AI2672" s="90">
        <v>-1</v>
      </c>
      <c r="AJ2672" s="90">
        <v>0</v>
      </c>
      <c r="AM2672" s="90" t="s">
        <v>379</v>
      </c>
      <c r="AN2672" s="90">
        <v>-1</v>
      </c>
      <c r="AQ2672" s="90">
        <v>358</v>
      </c>
      <c r="AR2672" s="90" t="s">
        <v>422</v>
      </c>
      <c r="AS2672" s="90" t="s">
        <v>250</v>
      </c>
      <c r="AT2672" s="90" t="s">
        <v>244</v>
      </c>
      <c r="AU2672" s="90">
        <v>86.412649999999999</v>
      </c>
      <c r="AV2672" s="90">
        <v>100.446395873927</v>
      </c>
      <c r="AW2672" s="90">
        <v>544.02653356631095</v>
      </c>
      <c r="AX2672" s="90">
        <v>0.40768711870000002</v>
      </c>
    </row>
    <row r="2673" spans="1:50" x14ac:dyDescent="0.25">
      <c r="A2673" s="102">
        <v>830000</v>
      </c>
      <c r="B2673" s="102">
        <v>2500000</v>
      </c>
      <c r="C2673" s="102">
        <v>2500000</v>
      </c>
      <c r="D2673" s="90" t="s">
        <v>374</v>
      </c>
      <c r="E2673" s="90" t="s">
        <v>68</v>
      </c>
      <c r="F2673" s="90" t="s">
        <v>375</v>
      </c>
      <c r="G2673" s="90" t="s">
        <v>376</v>
      </c>
      <c r="H2673" s="90">
        <v>0.59</v>
      </c>
      <c r="I2673" s="90">
        <v>0.64</v>
      </c>
      <c r="J2673" s="90" t="s">
        <v>244</v>
      </c>
      <c r="K2673" s="90">
        <v>0.11647641607369</v>
      </c>
      <c r="L2673" s="90">
        <v>3739.27822813378</v>
      </c>
      <c r="M2673" s="90">
        <v>10.113204548915601</v>
      </c>
      <c r="N2673" s="90">
        <v>1.7586406215261099</v>
      </c>
      <c r="O2673" s="90">
        <v>1.17794982087787</v>
      </c>
      <c r="P2673" s="90">
        <v>0.20484015675697001</v>
      </c>
      <c r="Q2673" s="90">
        <v>435.53772671541498</v>
      </c>
      <c r="R2673" s="90">
        <v>1210</v>
      </c>
      <c r="S2673" s="90" t="s">
        <v>385</v>
      </c>
      <c r="T2673" s="90">
        <v>1210</v>
      </c>
      <c r="U2673" s="90" t="s">
        <v>378</v>
      </c>
      <c r="V2673" s="90" t="s">
        <v>244</v>
      </c>
      <c r="Z2673" s="90">
        <v>0</v>
      </c>
      <c r="AA2673" s="90">
        <v>1</v>
      </c>
      <c r="AB2673" s="90">
        <v>1.17794982087787</v>
      </c>
      <c r="AC2673" s="90">
        <v>0.20484015675697001</v>
      </c>
      <c r="AD2673" s="90">
        <v>435.53772671541498</v>
      </c>
      <c r="AF2673" s="90">
        <v>-1</v>
      </c>
      <c r="AG2673" s="90">
        <v>-1</v>
      </c>
      <c r="AH2673" s="90">
        <v>-1</v>
      </c>
      <c r="AI2673" s="90">
        <v>-1</v>
      </c>
      <c r="AJ2673" s="90">
        <v>0</v>
      </c>
      <c r="AM2673" s="90" t="s">
        <v>379</v>
      </c>
      <c r="AN2673" s="90">
        <v>-1</v>
      </c>
      <c r="AQ2673" s="90">
        <v>358</v>
      </c>
      <c r="AR2673" s="90" t="s">
        <v>422</v>
      </c>
      <c r="AS2673" s="90" t="s">
        <v>250</v>
      </c>
      <c r="AT2673" s="90" t="s">
        <v>244</v>
      </c>
      <c r="AU2673" s="90">
        <v>86.412649999999999</v>
      </c>
      <c r="AV2673" s="90">
        <v>96.651323505832906</v>
      </c>
      <c r="AW2673" s="90">
        <v>471.36333244596102</v>
      </c>
      <c r="AX2673" s="90">
        <v>0.35323416600000002</v>
      </c>
    </row>
    <row r="2674" spans="1:50" x14ac:dyDescent="0.25">
      <c r="A2674" s="102">
        <v>830000</v>
      </c>
      <c r="B2674" s="102">
        <v>2500000</v>
      </c>
      <c r="C2674" s="102">
        <v>2500000</v>
      </c>
      <c r="D2674" s="90" t="s">
        <v>374</v>
      </c>
      <c r="E2674" s="90" t="s">
        <v>68</v>
      </c>
      <c r="F2674" s="90" t="s">
        <v>375</v>
      </c>
      <c r="G2674" s="90" t="s">
        <v>376</v>
      </c>
      <c r="H2674" s="90">
        <v>0.59</v>
      </c>
      <c r="I2674" s="90">
        <v>0.64</v>
      </c>
      <c r="J2674" s="90" t="s">
        <v>244</v>
      </c>
      <c r="K2674" s="90">
        <v>8.8858832647739999E-2</v>
      </c>
      <c r="L2674" s="90">
        <v>3739.27822813378</v>
      </c>
      <c r="M2674" s="90">
        <v>10.113204548915601</v>
      </c>
      <c r="N2674" s="90">
        <v>1.7586406215261099</v>
      </c>
      <c r="O2674" s="90">
        <v>0.89864755054454004</v>
      </c>
      <c r="P2674" s="90">
        <v>0.15627075267571999</v>
      </c>
      <c r="Q2674" s="90">
        <v>332.26789829710702</v>
      </c>
      <c r="R2674" s="90">
        <v>1300</v>
      </c>
      <c r="S2674" s="90" t="s">
        <v>387</v>
      </c>
      <c r="T2674" s="90">
        <v>1300</v>
      </c>
      <c r="U2674" s="90" t="s">
        <v>378</v>
      </c>
      <c r="V2674" s="90" t="s">
        <v>244</v>
      </c>
      <c r="Z2674" s="90">
        <v>0</v>
      </c>
      <c r="AA2674" s="90">
        <v>1</v>
      </c>
      <c r="AB2674" s="90">
        <v>0.89864755054454004</v>
      </c>
      <c r="AC2674" s="90">
        <v>0.15627075267571999</v>
      </c>
      <c r="AD2674" s="90">
        <v>332.26789829710498</v>
      </c>
      <c r="AF2674" s="90">
        <v>-1</v>
      </c>
      <c r="AG2674" s="90">
        <v>-1</v>
      </c>
      <c r="AH2674" s="90">
        <v>-1</v>
      </c>
      <c r="AI2674" s="90">
        <v>-1</v>
      </c>
      <c r="AJ2674" s="90">
        <v>0</v>
      </c>
      <c r="AM2674" s="90" t="s">
        <v>379</v>
      </c>
      <c r="AN2674" s="90">
        <v>-1</v>
      </c>
      <c r="AQ2674" s="90">
        <v>358</v>
      </c>
      <c r="AR2674" s="90" t="s">
        <v>422</v>
      </c>
      <c r="AS2674" s="90" t="s">
        <v>250</v>
      </c>
      <c r="AT2674" s="90" t="s">
        <v>244</v>
      </c>
      <c r="AU2674" s="90">
        <v>86.412649999999999</v>
      </c>
      <c r="AV2674" s="90">
        <v>90.7315018786081</v>
      </c>
      <c r="AW2674" s="90">
        <v>359.59893758750297</v>
      </c>
      <c r="AX2674" s="90">
        <v>0.26947923629999998</v>
      </c>
    </row>
    <row r="2675" spans="1:50" x14ac:dyDescent="0.25">
      <c r="A2675" s="102">
        <v>830000</v>
      </c>
      <c r="B2675" s="102">
        <v>2500000</v>
      </c>
      <c r="C2675" s="102">
        <v>2500000</v>
      </c>
      <c r="D2675" s="90" t="s">
        <v>374</v>
      </c>
      <c r="E2675" s="90" t="s">
        <v>68</v>
      </c>
      <c r="F2675" s="90" t="s">
        <v>375</v>
      </c>
      <c r="G2675" s="90" t="s">
        <v>376</v>
      </c>
      <c r="H2675" s="90">
        <v>0.59</v>
      </c>
      <c r="I2675" s="90">
        <v>0.64</v>
      </c>
      <c r="J2675" s="90" t="s">
        <v>244</v>
      </c>
      <c r="K2675" s="90">
        <v>8.6023373894069999E-2</v>
      </c>
      <c r="L2675" s="90">
        <v>3742.2567206406002</v>
      </c>
      <c r="M2675" s="90">
        <v>8.8761450412007097</v>
      </c>
      <c r="N2675" s="90">
        <v>1.3324168124670399</v>
      </c>
      <c r="O2675" s="90">
        <v>0.76355594361727996</v>
      </c>
      <c r="P2675" s="90">
        <v>0.11461898964161001</v>
      </c>
      <c r="Q2675" s="90">
        <v>321.921549087296</v>
      </c>
      <c r="R2675" s="90">
        <v>1210</v>
      </c>
      <c r="S2675" s="90" t="s">
        <v>385</v>
      </c>
      <c r="T2675" s="90">
        <v>1210</v>
      </c>
      <c r="U2675" s="90" t="s">
        <v>378</v>
      </c>
      <c r="V2675" s="90" t="s">
        <v>244</v>
      </c>
      <c r="Z2675" s="90">
        <v>0</v>
      </c>
      <c r="AA2675" s="90">
        <v>1</v>
      </c>
      <c r="AB2675" s="90">
        <v>0.76355594361727996</v>
      </c>
      <c r="AC2675" s="90">
        <v>0.11461898964161001</v>
      </c>
      <c r="AD2675" s="90">
        <v>321.921549087296</v>
      </c>
      <c r="AF2675" s="90">
        <v>-1</v>
      </c>
      <c r="AG2675" s="90">
        <v>-1</v>
      </c>
      <c r="AH2675" s="90">
        <v>-1</v>
      </c>
      <c r="AI2675" s="90">
        <v>-1</v>
      </c>
      <c r="AJ2675" s="90">
        <v>0</v>
      </c>
      <c r="AM2675" s="90" t="s">
        <v>379</v>
      </c>
      <c r="AN2675" s="90">
        <v>-1</v>
      </c>
      <c r="AQ2675" s="90">
        <v>358</v>
      </c>
      <c r="AR2675" s="90" t="s">
        <v>422</v>
      </c>
      <c r="AS2675" s="90" t="s">
        <v>250</v>
      </c>
      <c r="AT2675" s="90" t="s">
        <v>244</v>
      </c>
      <c r="AU2675" s="90">
        <v>86.412649999999999</v>
      </c>
      <c r="AV2675" s="90">
        <v>86.088716842424006</v>
      </c>
      <c r="AW2675" s="90">
        <v>348.12424311976997</v>
      </c>
      <c r="AX2675" s="90">
        <v>0.26108803660000002</v>
      </c>
    </row>
    <row r="2676" spans="1:50" x14ac:dyDescent="0.25">
      <c r="A2676" s="102">
        <v>830000</v>
      </c>
      <c r="B2676" s="102">
        <v>2500000</v>
      </c>
      <c r="C2676" s="102">
        <v>2500000</v>
      </c>
      <c r="D2676" s="90" t="s">
        <v>374</v>
      </c>
      <c r="E2676" s="90" t="s">
        <v>68</v>
      </c>
      <c r="F2676" s="90" t="s">
        <v>375</v>
      </c>
      <c r="G2676" s="90" t="s">
        <v>376</v>
      </c>
      <c r="H2676" s="90">
        <v>0.59</v>
      </c>
      <c r="I2676" s="90">
        <v>0.64</v>
      </c>
      <c r="J2676" s="90" t="s">
        <v>244</v>
      </c>
      <c r="K2676" s="90">
        <v>0.17592526346616</v>
      </c>
      <c r="L2676" s="90">
        <v>3742.2567206406002</v>
      </c>
      <c r="M2676" s="90">
        <v>8.8761450412007097</v>
      </c>
      <c r="N2676" s="90">
        <v>1.3324168124670399</v>
      </c>
      <c r="O2676" s="90">
        <v>1.5615381549371401</v>
      </c>
      <c r="P2676" s="90">
        <v>0.23440577878001001</v>
      </c>
      <c r="Q2676" s="90">
        <v>658.35749953673098</v>
      </c>
      <c r="R2676" s="90">
        <v>1210</v>
      </c>
      <c r="S2676" s="90" t="s">
        <v>385</v>
      </c>
      <c r="T2676" s="90">
        <v>1210</v>
      </c>
      <c r="U2676" s="90" t="s">
        <v>378</v>
      </c>
      <c r="V2676" s="90" t="s">
        <v>244</v>
      </c>
      <c r="Z2676" s="90">
        <v>0</v>
      </c>
      <c r="AA2676" s="90">
        <v>1</v>
      </c>
      <c r="AB2676" s="90">
        <v>1.5615381549371401</v>
      </c>
      <c r="AC2676" s="90">
        <v>0.23440577878001001</v>
      </c>
      <c r="AD2676" s="90">
        <v>658.35749953673098</v>
      </c>
      <c r="AF2676" s="90">
        <v>-1</v>
      </c>
      <c r="AG2676" s="90">
        <v>-1</v>
      </c>
      <c r="AH2676" s="90">
        <v>-1</v>
      </c>
      <c r="AI2676" s="90">
        <v>-1</v>
      </c>
      <c r="AJ2676" s="90">
        <v>0</v>
      </c>
      <c r="AM2676" s="90" t="s">
        <v>379</v>
      </c>
      <c r="AN2676" s="90">
        <v>-1</v>
      </c>
      <c r="AQ2676" s="90">
        <v>358</v>
      </c>
      <c r="AR2676" s="90" t="s">
        <v>422</v>
      </c>
      <c r="AS2676" s="90" t="s">
        <v>250</v>
      </c>
      <c r="AT2676" s="90" t="s">
        <v>244</v>
      </c>
      <c r="AU2676" s="90">
        <v>86.412649999999999</v>
      </c>
      <c r="AV2676" s="90">
        <v>108.00508144627101</v>
      </c>
      <c r="AW2676" s="90">
        <v>711.94428232047005</v>
      </c>
      <c r="AX2676" s="90">
        <v>0.53394768820000005</v>
      </c>
    </row>
    <row r="2677" spans="1:50" x14ac:dyDescent="0.25">
      <c r="A2677" s="102">
        <v>830000</v>
      </c>
      <c r="B2677" s="102">
        <v>2500000</v>
      </c>
      <c r="C2677" s="102">
        <v>2500000</v>
      </c>
      <c r="D2677" s="90" t="s">
        <v>374</v>
      </c>
      <c r="E2677" s="90" t="s">
        <v>68</v>
      </c>
      <c r="F2677" s="90" t="s">
        <v>375</v>
      </c>
      <c r="G2677" s="90" t="s">
        <v>376</v>
      </c>
      <c r="H2677" s="90">
        <v>0.59</v>
      </c>
      <c r="I2677" s="90">
        <v>0.64</v>
      </c>
      <c r="J2677" s="90" t="s">
        <v>244</v>
      </c>
      <c r="K2677" s="90">
        <v>0.12003922704405</v>
      </c>
      <c r="L2677" s="90">
        <v>3742.2567206406002</v>
      </c>
      <c r="M2677" s="90">
        <v>8.8761450412007097</v>
      </c>
      <c r="N2677" s="90">
        <v>1.3324168124670399</v>
      </c>
      <c r="O2677" s="90">
        <v>1.06548558987669</v>
      </c>
      <c r="P2677" s="90">
        <v>0.15994228426904999</v>
      </c>
      <c r="Q2677" s="90">
        <v>449.21760414613198</v>
      </c>
      <c r="R2677" s="90">
        <v>1210</v>
      </c>
      <c r="S2677" s="90" t="s">
        <v>385</v>
      </c>
      <c r="T2677" s="90">
        <v>1210</v>
      </c>
      <c r="U2677" s="90" t="s">
        <v>378</v>
      </c>
      <c r="V2677" s="90" t="s">
        <v>244</v>
      </c>
      <c r="Z2677" s="90">
        <v>0</v>
      </c>
      <c r="AA2677" s="90">
        <v>1</v>
      </c>
      <c r="AB2677" s="90">
        <v>1.06548558987669</v>
      </c>
      <c r="AC2677" s="90">
        <v>0.15994228426904999</v>
      </c>
      <c r="AD2677" s="90">
        <v>449.21760414613198</v>
      </c>
      <c r="AF2677" s="90">
        <v>-1</v>
      </c>
      <c r="AG2677" s="90">
        <v>-1</v>
      </c>
      <c r="AH2677" s="90">
        <v>-1</v>
      </c>
      <c r="AI2677" s="90">
        <v>-1</v>
      </c>
      <c r="AJ2677" s="90">
        <v>0</v>
      </c>
      <c r="AM2677" s="90" t="s">
        <v>379</v>
      </c>
      <c r="AN2677" s="90">
        <v>-1</v>
      </c>
      <c r="AQ2677" s="90">
        <v>358</v>
      </c>
      <c r="AR2677" s="90" t="s">
        <v>422</v>
      </c>
      <c r="AS2677" s="90" t="s">
        <v>250</v>
      </c>
      <c r="AT2677" s="90" t="s">
        <v>244</v>
      </c>
      <c r="AU2677" s="90">
        <v>86.412649999999999</v>
      </c>
      <c r="AV2677" s="90">
        <v>92.202729962465597</v>
      </c>
      <c r="AW2677" s="90">
        <v>485.78151690317998</v>
      </c>
      <c r="AX2677" s="90">
        <v>0.36432895710000002</v>
      </c>
    </row>
    <row r="2678" spans="1:50" x14ac:dyDescent="0.25">
      <c r="A2678" s="102">
        <v>830000</v>
      </c>
      <c r="B2678" s="102">
        <v>2500000</v>
      </c>
      <c r="C2678" s="102">
        <v>2500000</v>
      </c>
      <c r="D2678" s="90" t="s">
        <v>374</v>
      </c>
      <c r="E2678" s="90" t="s">
        <v>68</v>
      </c>
      <c r="F2678" s="90" t="s">
        <v>375</v>
      </c>
      <c r="G2678" s="90" t="s">
        <v>376</v>
      </c>
      <c r="H2678" s="90">
        <v>0.59</v>
      </c>
      <c r="I2678" s="90">
        <v>0.64</v>
      </c>
      <c r="J2678" s="90" t="s">
        <v>244</v>
      </c>
      <c r="K2678" s="90">
        <v>0.12268417044083001</v>
      </c>
      <c r="L2678" s="90">
        <v>3742.2567206406002</v>
      </c>
      <c r="M2678" s="90">
        <v>8.8761450412007097</v>
      </c>
      <c r="N2678" s="90">
        <v>1.3324168124670399</v>
      </c>
      <c r="O2678" s="90">
        <v>1.08896249109219</v>
      </c>
      <c r="P2678" s="90">
        <v>0.16346645131893001</v>
      </c>
      <c r="Q2678" s="90">
        <v>459.11566134841303</v>
      </c>
      <c r="R2678" s="90">
        <v>1300</v>
      </c>
      <c r="S2678" s="90" t="s">
        <v>387</v>
      </c>
      <c r="T2678" s="90">
        <v>1300</v>
      </c>
      <c r="U2678" s="90" t="s">
        <v>378</v>
      </c>
      <c r="V2678" s="90" t="s">
        <v>244</v>
      </c>
      <c r="Z2678" s="90">
        <v>0</v>
      </c>
      <c r="AA2678" s="90">
        <v>1</v>
      </c>
      <c r="AB2678" s="90">
        <v>1.08896249109219</v>
      </c>
      <c r="AC2678" s="90">
        <v>0.16346645131893001</v>
      </c>
      <c r="AD2678" s="90">
        <v>459.11566134841303</v>
      </c>
      <c r="AF2678" s="90">
        <v>-1</v>
      </c>
      <c r="AG2678" s="90">
        <v>-1</v>
      </c>
      <c r="AH2678" s="90">
        <v>-1</v>
      </c>
      <c r="AI2678" s="90">
        <v>-1</v>
      </c>
      <c r="AJ2678" s="90">
        <v>0</v>
      </c>
      <c r="AM2678" s="90" t="s">
        <v>379</v>
      </c>
      <c r="AN2678" s="90">
        <v>-1</v>
      </c>
      <c r="AQ2678" s="90">
        <v>358</v>
      </c>
      <c r="AR2678" s="90" t="s">
        <v>422</v>
      </c>
      <c r="AS2678" s="90" t="s">
        <v>250</v>
      </c>
      <c r="AT2678" s="90" t="s">
        <v>244</v>
      </c>
      <c r="AU2678" s="90">
        <v>86.412649999999999</v>
      </c>
      <c r="AV2678" s="90">
        <v>90.9036600894419</v>
      </c>
      <c r="AW2678" s="90">
        <v>496.485223075291</v>
      </c>
      <c r="AX2678" s="90">
        <v>0.37235657849999998</v>
      </c>
    </row>
    <row r="2679" spans="1:50" x14ac:dyDescent="0.25">
      <c r="A2679" s="102">
        <v>830000</v>
      </c>
      <c r="B2679" s="102">
        <v>2500000</v>
      </c>
      <c r="C2679" s="102">
        <v>2500000</v>
      </c>
      <c r="D2679" s="90" t="s">
        <v>374</v>
      </c>
      <c r="E2679" s="90" t="s">
        <v>68</v>
      </c>
      <c r="F2679" s="90" t="s">
        <v>375</v>
      </c>
      <c r="G2679" s="90" t="s">
        <v>376</v>
      </c>
      <c r="H2679" s="90">
        <v>0.59</v>
      </c>
      <c r="I2679" s="90">
        <v>0.64</v>
      </c>
      <c r="J2679" s="90" t="s">
        <v>244</v>
      </c>
      <c r="K2679" s="90">
        <v>0.11309141877675</v>
      </c>
      <c r="L2679" s="90">
        <v>3742.2567206406002</v>
      </c>
      <c r="M2679" s="90">
        <v>8.8761450412007097</v>
      </c>
      <c r="N2679" s="90">
        <v>1.3324168124670399</v>
      </c>
      <c r="O2679" s="90">
        <v>1.0038158359776099</v>
      </c>
      <c r="P2679" s="90">
        <v>0.15068490772389001</v>
      </c>
      <c r="Q2679" s="90">
        <v>423.21712196407702</v>
      </c>
      <c r="R2679" s="90">
        <v>1300</v>
      </c>
      <c r="S2679" s="90" t="s">
        <v>387</v>
      </c>
      <c r="T2679" s="90">
        <v>1300</v>
      </c>
      <c r="U2679" s="90" t="s">
        <v>378</v>
      </c>
      <c r="V2679" s="90" t="s">
        <v>244</v>
      </c>
      <c r="Z2679" s="90">
        <v>0</v>
      </c>
      <c r="AA2679" s="90">
        <v>1</v>
      </c>
      <c r="AB2679" s="90">
        <v>1.0038158359776099</v>
      </c>
      <c r="AC2679" s="90">
        <v>0.15068490772389001</v>
      </c>
      <c r="AD2679" s="90">
        <v>423.21712196407702</v>
      </c>
      <c r="AF2679" s="90">
        <v>-1</v>
      </c>
      <c r="AG2679" s="90">
        <v>-1</v>
      </c>
      <c r="AH2679" s="90">
        <v>-1</v>
      </c>
      <c r="AI2679" s="90">
        <v>-1</v>
      </c>
      <c r="AJ2679" s="90">
        <v>0</v>
      </c>
      <c r="AM2679" s="90" t="s">
        <v>379</v>
      </c>
      <c r="AN2679" s="90">
        <v>-1</v>
      </c>
      <c r="AQ2679" s="90">
        <v>358</v>
      </c>
      <c r="AR2679" s="90" t="s">
        <v>422</v>
      </c>
      <c r="AS2679" s="90" t="s">
        <v>250</v>
      </c>
      <c r="AT2679" s="90" t="s">
        <v>244</v>
      </c>
      <c r="AU2679" s="90">
        <v>86.412649999999999</v>
      </c>
      <c r="AV2679" s="90">
        <v>85.808604463322894</v>
      </c>
      <c r="AW2679" s="90">
        <v>457.664734395023</v>
      </c>
      <c r="AX2679" s="90">
        <v>0.34324178589999998</v>
      </c>
    </row>
    <row r="2680" spans="1:50" x14ac:dyDescent="0.25">
      <c r="A2680" s="102">
        <v>830000</v>
      </c>
      <c r="B2680" s="102">
        <v>2500000</v>
      </c>
      <c r="C2680" s="102">
        <v>2500000</v>
      </c>
      <c r="D2680" s="90" t="s">
        <v>374</v>
      </c>
      <c r="E2680" s="90" t="s">
        <v>68</v>
      </c>
      <c r="F2680" s="90" t="s">
        <v>375</v>
      </c>
      <c r="G2680" s="90" t="s">
        <v>376</v>
      </c>
      <c r="H2680" s="90">
        <v>0.59</v>
      </c>
      <c r="I2680" s="90">
        <v>0.64</v>
      </c>
      <c r="J2680" s="90" t="s">
        <v>244</v>
      </c>
      <c r="K2680" s="90">
        <v>5.5543407326910002E-2</v>
      </c>
      <c r="L2680" s="90">
        <v>3812.8369858083101</v>
      </c>
      <c r="M2680" s="90">
        <v>10.1211233041548</v>
      </c>
      <c r="N2680" s="90">
        <v>1.70932928857025</v>
      </c>
      <c r="O2680" s="90">
        <v>0.56216167428857999</v>
      </c>
      <c r="P2680" s="90">
        <v>9.4941972930879998E-2</v>
      </c>
      <c r="Q2680" s="90">
        <v>211.77795777387001</v>
      </c>
      <c r="R2680" s="90">
        <v>1400</v>
      </c>
      <c r="S2680" s="90" t="s">
        <v>324</v>
      </c>
      <c r="T2680" s="90">
        <v>1400</v>
      </c>
      <c r="U2680" s="90" t="s">
        <v>378</v>
      </c>
      <c r="V2680" s="90" t="s">
        <v>244</v>
      </c>
      <c r="Z2680" s="90">
        <v>0</v>
      </c>
      <c r="AA2680" s="90">
        <v>1</v>
      </c>
      <c r="AB2680" s="90">
        <v>0.56216167428857999</v>
      </c>
      <c r="AC2680" s="90">
        <v>9.4941972930879998E-2</v>
      </c>
      <c r="AD2680" s="90">
        <v>211.77795777387001</v>
      </c>
      <c r="AF2680" s="90">
        <v>-1</v>
      </c>
      <c r="AG2680" s="90">
        <v>-1</v>
      </c>
      <c r="AH2680" s="90">
        <v>-1</v>
      </c>
      <c r="AI2680" s="90">
        <v>-1</v>
      </c>
      <c r="AJ2680" s="90">
        <v>0</v>
      </c>
      <c r="AM2680" s="90" t="s">
        <v>379</v>
      </c>
      <c r="AN2680" s="90">
        <v>-1</v>
      </c>
      <c r="AQ2680" s="90">
        <v>358</v>
      </c>
      <c r="AR2680" s="90" t="s">
        <v>422</v>
      </c>
      <c r="AS2680" s="90" t="s">
        <v>250</v>
      </c>
      <c r="AT2680" s="90" t="s">
        <v>244</v>
      </c>
      <c r="AU2680" s="90">
        <v>86.412649999999999</v>
      </c>
      <c r="AV2680" s="90">
        <v>109.00578294768999</v>
      </c>
      <c r="AW2680" s="90">
        <v>224.77619466289701</v>
      </c>
      <c r="AX2680" s="90">
        <v>0.1717582788</v>
      </c>
    </row>
    <row r="2681" spans="1:50" x14ac:dyDescent="0.25">
      <c r="A2681" s="102">
        <v>830000</v>
      </c>
      <c r="B2681" s="102">
        <v>2500000</v>
      </c>
      <c r="C2681" s="102">
        <v>2500000</v>
      </c>
      <c r="D2681" s="90" t="s">
        <v>374</v>
      </c>
      <c r="E2681" s="90" t="s">
        <v>68</v>
      </c>
      <c r="F2681" s="90" t="s">
        <v>375</v>
      </c>
      <c r="G2681" s="90" t="s">
        <v>376</v>
      </c>
      <c r="H2681" s="90">
        <v>0.59</v>
      </c>
      <c r="I2681" s="90">
        <v>0.64</v>
      </c>
      <c r="J2681" s="90" t="s">
        <v>244</v>
      </c>
      <c r="K2681" s="90">
        <v>0.22143874492807</v>
      </c>
      <c r="L2681" s="90">
        <v>3812.8369858083101</v>
      </c>
      <c r="M2681" s="90">
        <v>10.1211233041548</v>
      </c>
      <c r="N2681" s="90">
        <v>1.70932928857025</v>
      </c>
      <c r="O2681" s="90">
        <v>2.2412088417342901</v>
      </c>
      <c r="P2681" s="90">
        <v>0.37851173232978003</v>
      </c>
      <c r="Q2681" s="90">
        <v>844.30983675271898</v>
      </c>
      <c r="R2681" s="90">
        <v>1420</v>
      </c>
      <c r="S2681" s="90" t="s">
        <v>327</v>
      </c>
      <c r="T2681" s="90">
        <v>1420</v>
      </c>
      <c r="U2681" s="90" t="s">
        <v>378</v>
      </c>
      <c r="V2681" s="90" t="s">
        <v>244</v>
      </c>
      <c r="Z2681" s="90">
        <v>0</v>
      </c>
      <c r="AA2681" s="90">
        <v>1</v>
      </c>
      <c r="AB2681" s="90">
        <v>2.2412088417342901</v>
      </c>
      <c r="AC2681" s="90">
        <v>0.37851173232978003</v>
      </c>
      <c r="AD2681" s="90">
        <v>844.30983675271898</v>
      </c>
      <c r="AF2681" s="90">
        <v>-1</v>
      </c>
      <c r="AG2681" s="90">
        <v>-1</v>
      </c>
      <c r="AH2681" s="90">
        <v>-1</v>
      </c>
      <c r="AI2681" s="90">
        <v>-1</v>
      </c>
      <c r="AJ2681" s="90">
        <v>0</v>
      </c>
      <c r="AM2681" s="90" t="s">
        <v>379</v>
      </c>
      <c r="AN2681" s="90">
        <v>-1</v>
      </c>
      <c r="AQ2681" s="90">
        <v>358</v>
      </c>
      <c r="AR2681" s="90" t="s">
        <v>422</v>
      </c>
      <c r="AS2681" s="90" t="s">
        <v>250</v>
      </c>
      <c r="AT2681" s="90" t="s">
        <v>244</v>
      </c>
      <c r="AU2681" s="90">
        <v>86.412649999999999</v>
      </c>
      <c r="AV2681" s="90">
        <v>129.98530054713501</v>
      </c>
      <c r="AW2681" s="90">
        <v>896.13080708035704</v>
      </c>
      <c r="AX2681" s="90">
        <v>0.68476061369999996</v>
      </c>
    </row>
    <row r="2682" spans="1:50" x14ac:dyDescent="0.25">
      <c r="A2682" s="102">
        <v>830000</v>
      </c>
      <c r="B2682" s="102">
        <v>2500000</v>
      </c>
      <c r="C2682" s="102">
        <v>2500000</v>
      </c>
      <c r="D2682" s="90" t="s">
        <v>374</v>
      </c>
      <c r="E2682" s="90" t="s">
        <v>68</v>
      </c>
      <c r="F2682" s="90" t="s">
        <v>375</v>
      </c>
      <c r="G2682" s="90" t="s">
        <v>376</v>
      </c>
      <c r="H2682" s="90">
        <v>0.59</v>
      </c>
      <c r="I2682" s="90">
        <v>0.64</v>
      </c>
      <c r="J2682" s="90" t="s">
        <v>244</v>
      </c>
      <c r="K2682" s="90">
        <v>0.33737245222693002</v>
      </c>
      <c r="L2682" s="90">
        <v>3812.8369858083101</v>
      </c>
      <c r="M2682" s="90">
        <v>10.1211233041548</v>
      </c>
      <c r="N2682" s="90">
        <v>1.70932928857025</v>
      </c>
      <c r="O2682" s="90">
        <v>3.41458818841393</v>
      </c>
      <c r="P2682" s="90">
        <v>0.57668061374826995</v>
      </c>
      <c r="Q2682" s="90">
        <v>1286.34616384371</v>
      </c>
      <c r="R2682" s="90">
        <v>1300</v>
      </c>
      <c r="S2682" s="90" t="s">
        <v>387</v>
      </c>
      <c r="T2682" s="90">
        <v>1300</v>
      </c>
      <c r="U2682" s="90" t="s">
        <v>378</v>
      </c>
      <c r="V2682" s="90" t="s">
        <v>244</v>
      </c>
      <c r="Z2682" s="90">
        <v>0</v>
      </c>
      <c r="AA2682" s="90">
        <v>1</v>
      </c>
      <c r="AB2682" s="90">
        <v>3.41458818841393</v>
      </c>
      <c r="AC2682" s="90">
        <v>0.57668061374826995</v>
      </c>
      <c r="AD2682" s="90">
        <v>1286.34616384371</v>
      </c>
      <c r="AF2682" s="90">
        <v>-1</v>
      </c>
      <c r="AG2682" s="90">
        <v>-1</v>
      </c>
      <c r="AH2682" s="90">
        <v>-1</v>
      </c>
      <c r="AI2682" s="90">
        <v>-1</v>
      </c>
      <c r="AJ2682" s="90">
        <v>0</v>
      </c>
      <c r="AM2682" s="90" t="s">
        <v>379</v>
      </c>
      <c r="AN2682" s="90">
        <v>-1</v>
      </c>
      <c r="AQ2682" s="90">
        <v>358</v>
      </c>
      <c r="AR2682" s="90" t="s">
        <v>422</v>
      </c>
      <c r="AS2682" s="90" t="s">
        <v>250</v>
      </c>
      <c r="AT2682" s="90" t="s">
        <v>244</v>
      </c>
      <c r="AU2682" s="90">
        <v>86.412649999999999</v>
      </c>
      <c r="AV2682" s="90">
        <v>150.542138346212</v>
      </c>
      <c r="AW2682" s="90">
        <v>1365.29787503542</v>
      </c>
      <c r="AX2682" s="90">
        <v>1.0432653397</v>
      </c>
    </row>
    <row r="2683" spans="1:50" x14ac:dyDescent="0.25">
      <c r="A2683" s="102">
        <v>830000</v>
      </c>
      <c r="B2683" s="102">
        <v>2500000</v>
      </c>
      <c r="C2683" s="102">
        <v>2500000</v>
      </c>
      <c r="D2683" s="90" t="s">
        <v>374</v>
      </c>
      <c r="E2683" s="90" t="s">
        <v>68</v>
      </c>
      <c r="F2683" s="90" t="s">
        <v>375</v>
      </c>
      <c r="G2683" s="90" t="s">
        <v>376</v>
      </c>
      <c r="H2683" s="90">
        <v>0.59</v>
      </c>
      <c r="I2683" s="90">
        <v>0.64</v>
      </c>
      <c r="J2683" s="90" t="s">
        <v>244</v>
      </c>
      <c r="K2683" s="90">
        <v>1.4248659540999999E-4</v>
      </c>
      <c r="L2683" s="90">
        <v>3812.8369858083101</v>
      </c>
      <c r="M2683" s="90">
        <v>10.1211233041548</v>
      </c>
      <c r="N2683" s="90">
        <v>1.70932928857025</v>
      </c>
      <c r="O2683" s="90">
        <v>1.44212440133E-3</v>
      </c>
      <c r="P2683" s="90">
        <v>2.4355651075999999E-4</v>
      </c>
      <c r="Q2683" s="90">
        <v>0.54327816096115</v>
      </c>
      <c r="R2683" s="90">
        <v>1410</v>
      </c>
      <c r="S2683" s="90" t="s">
        <v>325</v>
      </c>
      <c r="T2683" s="90">
        <v>1410</v>
      </c>
      <c r="U2683" s="90" t="s">
        <v>378</v>
      </c>
      <c r="V2683" s="90" t="s">
        <v>244</v>
      </c>
      <c r="Z2683" s="90">
        <v>0</v>
      </c>
      <c r="AA2683" s="90">
        <v>1</v>
      </c>
      <c r="AB2683" s="90">
        <v>1.44212440133E-3</v>
      </c>
      <c r="AC2683" s="90">
        <v>2.4355651075999999E-4</v>
      </c>
      <c r="AD2683" s="90">
        <v>0.54327816096200998</v>
      </c>
      <c r="AF2683" s="90">
        <v>-1</v>
      </c>
      <c r="AG2683" s="90">
        <v>-1</v>
      </c>
      <c r="AH2683" s="90">
        <v>-1</v>
      </c>
      <c r="AI2683" s="90">
        <v>-1</v>
      </c>
      <c r="AJ2683" s="90">
        <v>0</v>
      </c>
      <c r="AM2683" s="90" t="s">
        <v>379</v>
      </c>
      <c r="AN2683" s="90">
        <v>-1</v>
      </c>
      <c r="AQ2683" s="90">
        <v>358</v>
      </c>
      <c r="AR2683" s="90" t="s">
        <v>422</v>
      </c>
      <c r="AS2683" s="90" t="s">
        <v>250</v>
      </c>
      <c r="AT2683" s="90" t="s">
        <v>244</v>
      </c>
      <c r="AU2683" s="90">
        <v>86.412649999999999</v>
      </c>
      <c r="AV2683" s="90">
        <v>13.9533761129083</v>
      </c>
      <c r="AW2683" s="90">
        <v>0.57662279374178005</v>
      </c>
      <c r="AX2683" s="90">
        <v>4.4061490000000002E-4</v>
      </c>
    </row>
    <row r="2684" spans="1:50" x14ac:dyDescent="0.25">
      <c r="A2684" s="102">
        <v>830000</v>
      </c>
      <c r="B2684" s="102">
        <v>2500000</v>
      </c>
      <c r="C2684" s="102">
        <v>2500000</v>
      </c>
      <c r="D2684" s="90" t="s">
        <v>374</v>
      </c>
      <c r="E2684" s="90" t="s">
        <v>68</v>
      </c>
      <c r="F2684" s="90" t="s">
        <v>375</v>
      </c>
      <c r="G2684" s="90" t="s">
        <v>376</v>
      </c>
      <c r="H2684" s="90">
        <v>0.59</v>
      </c>
      <c r="I2684" s="90">
        <v>0.64</v>
      </c>
      <c r="J2684" s="90" t="s">
        <v>244</v>
      </c>
      <c r="K2684" s="90">
        <v>3.2663626596200002E-3</v>
      </c>
      <c r="L2684" s="90">
        <v>3812.8369858083101</v>
      </c>
      <c r="M2684" s="90">
        <v>10.1211233041548</v>
      </c>
      <c r="N2684" s="90">
        <v>1.70932928857025</v>
      </c>
      <c r="O2684" s="90">
        <v>3.3059259234120002E-2</v>
      </c>
      <c r="P2684" s="90">
        <v>5.5832893611799999E-3</v>
      </c>
      <c r="Q2684" s="90">
        <v>12.454108357669901</v>
      </c>
      <c r="R2684" s="90">
        <v>1300</v>
      </c>
      <c r="S2684" s="90" t="s">
        <v>387</v>
      </c>
      <c r="T2684" s="90">
        <v>1300</v>
      </c>
      <c r="U2684" s="90" t="s">
        <v>378</v>
      </c>
      <c r="V2684" s="90" t="s">
        <v>244</v>
      </c>
      <c r="Z2684" s="90">
        <v>0</v>
      </c>
      <c r="AA2684" s="90">
        <v>1</v>
      </c>
      <c r="AB2684" s="90">
        <v>3.3059259234120002E-2</v>
      </c>
      <c r="AC2684" s="90">
        <v>5.5832893611799999E-3</v>
      </c>
      <c r="AD2684" s="90">
        <v>12.4541083576714</v>
      </c>
      <c r="AF2684" s="90">
        <v>-1</v>
      </c>
      <c r="AG2684" s="90">
        <v>-1</v>
      </c>
      <c r="AH2684" s="90">
        <v>-1</v>
      </c>
      <c r="AI2684" s="90">
        <v>-1</v>
      </c>
      <c r="AJ2684" s="90">
        <v>0</v>
      </c>
      <c r="AM2684" s="90" t="s">
        <v>379</v>
      </c>
      <c r="AN2684" s="90">
        <v>-1</v>
      </c>
      <c r="AQ2684" s="90">
        <v>358</v>
      </c>
      <c r="AR2684" s="90" t="s">
        <v>422</v>
      </c>
      <c r="AS2684" s="90" t="s">
        <v>250</v>
      </c>
      <c r="AT2684" s="90" t="s">
        <v>244</v>
      </c>
      <c r="AU2684" s="90">
        <v>86.412649999999999</v>
      </c>
      <c r="AV2684" s="90">
        <v>50.006538235517198</v>
      </c>
      <c r="AW2684" s="90">
        <v>13.2185007069804</v>
      </c>
      <c r="AX2684" s="90">
        <v>1.0100655599999999E-2</v>
      </c>
    </row>
    <row r="2685" spans="1:50" x14ac:dyDescent="0.25">
      <c r="A2685" s="102">
        <v>830000</v>
      </c>
      <c r="B2685" s="102">
        <v>2500000</v>
      </c>
      <c r="C2685" s="102">
        <v>2500000</v>
      </c>
      <c r="D2685" s="90" t="s">
        <v>374</v>
      </c>
      <c r="E2685" s="90" t="s">
        <v>68</v>
      </c>
      <c r="F2685" s="90" t="s">
        <v>375</v>
      </c>
      <c r="G2685" s="90" t="s">
        <v>376</v>
      </c>
      <c r="H2685" s="90">
        <v>0.59</v>
      </c>
      <c r="I2685" s="90">
        <v>0.64</v>
      </c>
      <c r="J2685" s="90" t="s">
        <v>244</v>
      </c>
      <c r="K2685" s="90">
        <v>8.4749724469610002E-2</v>
      </c>
      <c r="L2685" s="90">
        <v>3747.0616051852398</v>
      </c>
      <c r="M2685" s="90">
        <v>10.3479272339492</v>
      </c>
      <c r="N2685" s="90">
        <v>1.86666852895644</v>
      </c>
      <c r="O2685" s="90">
        <v>0.87698398190881999</v>
      </c>
      <c r="P2685" s="90">
        <v>0.15819964350516</v>
      </c>
      <c r="Q2685" s="90">
        <v>317.562438610122</v>
      </c>
      <c r="R2685" s="90">
        <v>1300</v>
      </c>
      <c r="S2685" s="90" t="s">
        <v>387</v>
      </c>
      <c r="T2685" s="90">
        <v>1300</v>
      </c>
      <c r="U2685" s="90" t="s">
        <v>378</v>
      </c>
      <c r="V2685" s="90" t="s">
        <v>244</v>
      </c>
      <c r="Z2685" s="90">
        <v>0</v>
      </c>
      <c r="AA2685" s="90">
        <v>1</v>
      </c>
      <c r="AB2685" s="90">
        <v>0.87698398190881999</v>
      </c>
      <c r="AC2685" s="90">
        <v>0.15819964350516</v>
      </c>
      <c r="AD2685" s="90">
        <v>575.59970837608705</v>
      </c>
      <c r="AF2685" s="90">
        <v>-1</v>
      </c>
      <c r="AG2685" s="90">
        <v>-1</v>
      </c>
      <c r="AH2685" s="90">
        <v>-1</v>
      </c>
      <c r="AI2685" s="90">
        <v>-1</v>
      </c>
      <c r="AJ2685" s="90">
        <v>0</v>
      </c>
      <c r="AM2685" s="90" t="s">
        <v>379</v>
      </c>
      <c r="AN2685" s="90">
        <v>-1</v>
      </c>
      <c r="AQ2685" s="90">
        <v>358</v>
      </c>
      <c r="AR2685" s="90" t="s">
        <v>422</v>
      </c>
      <c r="AS2685" s="90" t="s">
        <v>250</v>
      </c>
      <c r="AT2685" s="90" t="s">
        <v>244</v>
      </c>
      <c r="AU2685" s="90">
        <v>86.412649999999999</v>
      </c>
      <c r="AV2685" s="90">
        <v>113.74832653484999</v>
      </c>
      <c r="AW2685" s="90">
        <v>342.96996676649297</v>
      </c>
      <c r="AX2685" s="90">
        <v>0.46682863619999998</v>
      </c>
    </row>
    <row r="2686" spans="1:50" x14ac:dyDescent="0.25">
      <c r="A2686" s="102">
        <v>830000</v>
      </c>
      <c r="B2686" s="102">
        <v>2500000</v>
      </c>
      <c r="C2686" s="102">
        <v>2500000</v>
      </c>
      <c r="D2686" s="90" t="s">
        <v>374</v>
      </c>
      <c r="E2686" s="90" t="s">
        <v>68</v>
      </c>
      <c r="F2686" s="90" t="s">
        <v>375</v>
      </c>
      <c r="G2686" s="90" t="s">
        <v>376</v>
      </c>
      <c r="H2686" s="90">
        <v>0.59</v>
      </c>
      <c r="I2686" s="90">
        <v>0.64</v>
      </c>
      <c r="J2686" s="90" t="s">
        <v>244</v>
      </c>
      <c r="K2686" s="90">
        <v>3.3763865385710003E-2</v>
      </c>
      <c r="L2686" s="90">
        <v>3747.0616051852398</v>
      </c>
      <c r="M2686" s="90">
        <v>10.3479272339492</v>
      </c>
      <c r="N2686" s="90">
        <v>1.86666852895644</v>
      </c>
      <c r="O2686" s="90">
        <v>0.34938602214823999</v>
      </c>
      <c r="P2686" s="90">
        <v>6.3025944931430003E-2</v>
      </c>
      <c r="Q2686" s="90">
        <v>126.51528362945901</v>
      </c>
      <c r="R2686" s="90">
        <v>1330</v>
      </c>
      <c r="S2686" s="90" t="s">
        <v>397</v>
      </c>
      <c r="T2686" s="90">
        <v>1330</v>
      </c>
      <c r="U2686" s="90" t="s">
        <v>378</v>
      </c>
      <c r="V2686" s="90" t="s">
        <v>244</v>
      </c>
      <c r="Z2686" s="90">
        <v>0</v>
      </c>
      <c r="AA2686" s="90">
        <v>1</v>
      </c>
      <c r="AB2686" s="90">
        <v>0.34938602214823999</v>
      </c>
      <c r="AC2686" s="90">
        <v>6.3025944931430003E-2</v>
      </c>
      <c r="AD2686" s="90">
        <v>126.515283629458</v>
      </c>
      <c r="AF2686" s="90">
        <v>-1</v>
      </c>
      <c r="AG2686" s="90">
        <v>-1</v>
      </c>
      <c r="AH2686" s="90">
        <v>-1</v>
      </c>
      <c r="AI2686" s="90">
        <v>-1</v>
      </c>
      <c r="AJ2686" s="90">
        <v>0</v>
      </c>
      <c r="AM2686" s="90" t="s">
        <v>379</v>
      </c>
      <c r="AN2686" s="90">
        <v>-1</v>
      </c>
      <c r="AQ2686" s="90">
        <v>358</v>
      </c>
      <c r="AR2686" s="90" t="s">
        <v>422</v>
      </c>
      <c r="AS2686" s="90" t="s">
        <v>250</v>
      </c>
      <c r="AT2686" s="90" t="s">
        <v>244</v>
      </c>
      <c r="AU2686" s="90">
        <v>86.412649999999999</v>
      </c>
      <c r="AV2686" s="90">
        <v>75.893679540503101</v>
      </c>
      <c r="AW2686" s="90">
        <v>136.63751548123199</v>
      </c>
      <c r="AX2686" s="90">
        <v>0.1026076915</v>
      </c>
    </row>
    <row r="2687" spans="1:50" x14ac:dyDescent="0.25">
      <c r="A2687" s="102">
        <v>830000</v>
      </c>
      <c r="B2687" s="102">
        <v>2500000</v>
      </c>
      <c r="C2687" s="102">
        <v>2500000</v>
      </c>
      <c r="D2687" s="90" t="s">
        <v>374</v>
      </c>
      <c r="E2687" s="90" t="s">
        <v>68</v>
      </c>
      <c r="F2687" s="90" t="s">
        <v>375</v>
      </c>
      <c r="G2687" s="90" t="s">
        <v>376</v>
      </c>
      <c r="H2687" s="90">
        <v>0.59</v>
      </c>
      <c r="I2687" s="90">
        <v>0.64</v>
      </c>
      <c r="J2687" s="90" t="s">
        <v>244</v>
      </c>
      <c r="K2687" s="90">
        <v>0.13373873063495001</v>
      </c>
      <c r="L2687" s="90">
        <v>3747.0616051852398</v>
      </c>
      <c r="M2687" s="90">
        <v>10.3479272339492</v>
      </c>
      <c r="N2687" s="90">
        <v>1.86666852895644</v>
      </c>
      <c r="O2687" s="90">
        <v>1.3839186529712699</v>
      </c>
      <c r="P2687" s="90">
        <v>0.24964587957885001</v>
      </c>
      <c r="Q2687" s="90">
        <v>501.12726268845802</v>
      </c>
      <c r="R2687" s="90">
        <v>1210</v>
      </c>
      <c r="S2687" s="90" t="s">
        <v>385</v>
      </c>
      <c r="T2687" s="90">
        <v>1210</v>
      </c>
      <c r="U2687" s="90" t="s">
        <v>378</v>
      </c>
      <c r="V2687" s="90" t="s">
        <v>244</v>
      </c>
      <c r="Z2687" s="90">
        <v>0</v>
      </c>
      <c r="AA2687" s="90">
        <v>1</v>
      </c>
      <c r="AB2687" s="90">
        <v>1.3839186529712699</v>
      </c>
      <c r="AC2687" s="90">
        <v>0.24964587957885001</v>
      </c>
      <c r="AD2687" s="90">
        <v>501.12726268845802</v>
      </c>
      <c r="AF2687" s="90">
        <v>-1</v>
      </c>
      <c r="AG2687" s="90">
        <v>-1</v>
      </c>
      <c r="AH2687" s="90">
        <v>-1</v>
      </c>
      <c r="AI2687" s="90">
        <v>-1</v>
      </c>
      <c r="AJ2687" s="90">
        <v>0</v>
      </c>
      <c r="AM2687" s="90" t="s">
        <v>379</v>
      </c>
      <c r="AN2687" s="90">
        <v>-1</v>
      </c>
      <c r="AQ2687" s="90">
        <v>358</v>
      </c>
      <c r="AR2687" s="90" t="s">
        <v>422</v>
      </c>
      <c r="AS2687" s="90" t="s">
        <v>250</v>
      </c>
      <c r="AT2687" s="90" t="s">
        <v>244</v>
      </c>
      <c r="AU2687" s="90">
        <v>86.412649999999999</v>
      </c>
      <c r="AV2687" s="90">
        <v>99.494226661507597</v>
      </c>
      <c r="AW2687" s="90">
        <v>541.22144099370098</v>
      </c>
      <c r="AX2687" s="90">
        <v>0.40642924790000001</v>
      </c>
    </row>
    <row r="2688" spans="1:50" x14ac:dyDescent="0.25">
      <c r="A2688" s="102">
        <v>830000</v>
      </c>
      <c r="B2688" s="102">
        <v>2500000</v>
      </c>
      <c r="C2688" s="102">
        <v>2500000</v>
      </c>
      <c r="D2688" s="90" t="s">
        <v>374</v>
      </c>
      <c r="E2688" s="90" t="s">
        <v>68</v>
      </c>
      <c r="F2688" s="90" t="s">
        <v>375</v>
      </c>
      <c r="G2688" s="90" t="s">
        <v>376</v>
      </c>
      <c r="H2688" s="90">
        <v>0.59</v>
      </c>
      <c r="I2688" s="90">
        <v>0.64</v>
      </c>
      <c r="J2688" s="90" t="s">
        <v>244</v>
      </c>
      <c r="K2688" s="90">
        <v>0.24468203718927001</v>
      </c>
      <c r="L2688" s="90">
        <v>3747.0616051852398</v>
      </c>
      <c r="M2688" s="90">
        <v>10.3479272339492</v>
      </c>
      <c r="N2688" s="90">
        <v>1.86666852895644</v>
      </c>
      <c r="O2688" s="90">
        <v>2.5319519162891</v>
      </c>
      <c r="P2688" s="90">
        <v>0.45674025842216998</v>
      </c>
      <c r="Q2688" s="90">
        <v>916.83866703044703</v>
      </c>
      <c r="R2688" s="90">
        <v>1300</v>
      </c>
      <c r="S2688" s="90" t="s">
        <v>387</v>
      </c>
      <c r="T2688" s="90">
        <v>1300</v>
      </c>
      <c r="U2688" s="90" t="s">
        <v>378</v>
      </c>
      <c r="V2688" s="90" t="s">
        <v>244</v>
      </c>
      <c r="Z2688" s="90">
        <v>0</v>
      </c>
      <c r="AA2688" s="90">
        <v>1</v>
      </c>
      <c r="AB2688" s="90">
        <v>2.5319519162891</v>
      </c>
      <c r="AC2688" s="90">
        <v>0.45674025842216998</v>
      </c>
      <c r="AD2688" s="90">
        <v>916.83866703044703</v>
      </c>
      <c r="AF2688" s="90">
        <v>-1</v>
      </c>
      <c r="AG2688" s="90">
        <v>-1</v>
      </c>
      <c r="AH2688" s="90">
        <v>-1</v>
      </c>
      <c r="AI2688" s="90">
        <v>-1</v>
      </c>
      <c r="AJ2688" s="90">
        <v>0</v>
      </c>
      <c r="AM2688" s="90" t="s">
        <v>379</v>
      </c>
      <c r="AN2688" s="90">
        <v>-1</v>
      </c>
      <c r="AQ2688" s="90">
        <v>358</v>
      </c>
      <c r="AR2688" s="90" t="s">
        <v>422</v>
      </c>
      <c r="AS2688" s="90" t="s">
        <v>250</v>
      </c>
      <c r="AT2688" s="90" t="s">
        <v>244</v>
      </c>
      <c r="AU2688" s="90">
        <v>86.412649999999999</v>
      </c>
      <c r="AV2688" s="90">
        <v>126.04047700684499</v>
      </c>
      <c r="AW2688" s="90">
        <v>990.19307364534302</v>
      </c>
      <c r="AX2688" s="90">
        <v>0.74358367160000005</v>
      </c>
    </row>
    <row r="2689" spans="1:50" x14ac:dyDescent="0.25">
      <c r="A2689" s="102">
        <v>830000</v>
      </c>
      <c r="B2689" s="102">
        <v>2500000</v>
      </c>
      <c r="C2689" s="102">
        <v>2500000</v>
      </c>
      <c r="D2689" s="90" t="s">
        <v>374</v>
      </c>
      <c r="E2689" s="90" t="s">
        <v>68</v>
      </c>
      <c r="F2689" s="90" t="s">
        <v>375</v>
      </c>
      <c r="G2689" s="90" t="s">
        <v>376</v>
      </c>
      <c r="H2689" s="90">
        <v>0.59</v>
      </c>
      <c r="I2689" s="90">
        <v>0.64</v>
      </c>
      <c r="J2689" s="90" t="s">
        <v>244</v>
      </c>
      <c r="K2689" s="90">
        <v>1.95272200542E-3</v>
      </c>
      <c r="L2689" s="90">
        <v>3809.15363092386</v>
      </c>
      <c r="M2689" s="90">
        <v>11.0287034900294</v>
      </c>
      <c r="N2689" s="90">
        <v>1.4627517303879101</v>
      </c>
      <c r="O2689" s="90">
        <v>2.1535991996329999E-2</v>
      </c>
      <c r="P2689" s="90">
        <v>2.8563474924000001E-3</v>
      </c>
      <c r="Q2689" s="90">
        <v>7.4382181171647996</v>
      </c>
      <c r="R2689" s="90">
        <v>1400</v>
      </c>
      <c r="S2689" s="90" t="s">
        <v>324</v>
      </c>
      <c r="T2689" s="90">
        <v>1400</v>
      </c>
      <c r="U2689" s="90" t="s">
        <v>378</v>
      </c>
      <c r="V2689" s="90" t="s">
        <v>244</v>
      </c>
      <c r="Z2689" s="90">
        <v>0</v>
      </c>
      <c r="AA2689" s="90">
        <v>1</v>
      </c>
      <c r="AB2689" s="90">
        <v>2.1535991996329999E-2</v>
      </c>
      <c r="AC2689" s="90">
        <v>2.8563474924000001E-3</v>
      </c>
      <c r="AD2689" s="90">
        <v>7.4382181171635802</v>
      </c>
      <c r="AF2689" s="90">
        <v>-1</v>
      </c>
      <c r="AG2689" s="90">
        <v>-1</v>
      </c>
      <c r="AH2689" s="90">
        <v>-1</v>
      </c>
      <c r="AI2689" s="90">
        <v>-1</v>
      </c>
      <c r="AJ2689" s="90">
        <v>0</v>
      </c>
      <c r="AM2689" s="90" t="s">
        <v>379</v>
      </c>
      <c r="AN2689" s="90">
        <v>-1</v>
      </c>
      <c r="AQ2689" s="90">
        <v>358</v>
      </c>
      <c r="AR2689" s="90" t="s">
        <v>422</v>
      </c>
      <c r="AS2689" s="90" t="s">
        <v>250</v>
      </c>
      <c r="AT2689" s="90" t="s">
        <v>244</v>
      </c>
      <c r="AU2689" s="90">
        <v>86.412649999999999</v>
      </c>
      <c r="AV2689" s="90">
        <v>100.347625704705</v>
      </c>
      <c r="AW2689" s="90">
        <v>7.9023855888308701</v>
      </c>
      <c r="AX2689" s="90">
        <v>6.0326180999999996E-3</v>
      </c>
    </row>
    <row r="2690" spans="1:50" x14ac:dyDescent="0.25">
      <c r="A2690" s="102">
        <v>830000</v>
      </c>
      <c r="B2690" s="102">
        <v>2500000</v>
      </c>
      <c r="C2690" s="102">
        <v>2500000</v>
      </c>
      <c r="D2690" s="90" t="s">
        <v>374</v>
      </c>
      <c r="E2690" s="90" t="s">
        <v>68</v>
      </c>
      <c r="F2690" s="90" t="s">
        <v>375</v>
      </c>
      <c r="G2690" s="90" t="s">
        <v>376</v>
      </c>
      <c r="H2690" s="90">
        <v>0.59</v>
      </c>
      <c r="I2690" s="90">
        <v>0.64</v>
      </c>
      <c r="J2690" s="90" t="s">
        <v>381</v>
      </c>
      <c r="K2690" s="90">
        <v>6.1410509703780002E-2</v>
      </c>
      <c r="L2690" s="90">
        <v>3809.15363092386</v>
      </c>
      <c r="M2690" s="90">
        <v>11.0287034900294</v>
      </c>
      <c r="N2690" s="90">
        <v>1.4627517303879101</v>
      </c>
      <c r="O2690" s="90">
        <v>0.67727830269458</v>
      </c>
      <c r="P2690" s="90">
        <v>8.982832933321E-2</v>
      </c>
      <c r="Q2690" s="90">
        <v>233.92206601504199</v>
      </c>
      <c r="R2690" s="90">
        <v>1400</v>
      </c>
      <c r="S2690" s="90" t="s">
        <v>324</v>
      </c>
      <c r="T2690" s="90">
        <v>1400</v>
      </c>
      <c r="U2690" s="90" t="s">
        <v>382</v>
      </c>
      <c r="V2690" s="90" t="s">
        <v>381</v>
      </c>
      <c r="Z2690" s="90">
        <v>0</v>
      </c>
      <c r="AA2690" s="90">
        <v>1</v>
      </c>
      <c r="AB2690" s="90">
        <v>0.67727830269458</v>
      </c>
      <c r="AC2690" s="90">
        <v>8.982832933321E-2</v>
      </c>
      <c r="AD2690" s="90">
        <v>233.92206601504299</v>
      </c>
      <c r="AF2690" s="90">
        <v>-1</v>
      </c>
      <c r="AG2690" s="90">
        <v>-1</v>
      </c>
      <c r="AH2690" s="90">
        <v>-1</v>
      </c>
      <c r="AI2690" s="90">
        <v>-1</v>
      </c>
      <c r="AJ2690" s="90">
        <v>0</v>
      </c>
      <c r="AM2690" s="90" t="s">
        <v>379</v>
      </c>
      <c r="AN2690" s="90">
        <v>-1</v>
      </c>
      <c r="AQ2690" s="90">
        <v>358</v>
      </c>
      <c r="AR2690" s="90" t="s">
        <v>422</v>
      </c>
      <c r="AS2690" s="90" t="s">
        <v>250</v>
      </c>
      <c r="AT2690" s="90" t="s">
        <v>244</v>
      </c>
      <c r="AU2690" s="90">
        <v>86.412649999999999</v>
      </c>
      <c r="AV2690" s="90">
        <v>109.902335371254</v>
      </c>
      <c r="AW2690" s="90">
        <v>248.519515597604</v>
      </c>
      <c r="AX2690" s="90">
        <v>0.18971781509999999</v>
      </c>
    </row>
    <row r="2691" spans="1:50" x14ac:dyDescent="0.25">
      <c r="A2691" s="102">
        <v>830000</v>
      </c>
      <c r="B2691" s="102">
        <v>2500000</v>
      </c>
      <c r="C2691" s="102">
        <v>2500000</v>
      </c>
      <c r="D2691" s="90" t="s">
        <v>374</v>
      </c>
      <c r="E2691" s="90" t="s">
        <v>68</v>
      </c>
      <c r="F2691" s="90" t="s">
        <v>375</v>
      </c>
      <c r="G2691" s="90" t="s">
        <v>376</v>
      </c>
      <c r="H2691" s="90">
        <v>0.59</v>
      </c>
      <c r="I2691" s="90">
        <v>0.64</v>
      </c>
      <c r="J2691" s="90" t="s">
        <v>244</v>
      </c>
      <c r="K2691" s="90">
        <v>0.17309659793740001</v>
      </c>
      <c r="L2691" s="90">
        <v>3809.15363092386</v>
      </c>
      <c r="M2691" s="90">
        <v>11.0287034900294</v>
      </c>
      <c r="N2691" s="90">
        <v>1.4627517303879101</v>
      </c>
      <c r="O2691" s="90">
        <v>1.9090310537845101</v>
      </c>
      <c r="P2691" s="90">
        <v>0.25319734815720002</v>
      </c>
      <c r="Q2691" s="90">
        <v>659.351534533841</v>
      </c>
      <c r="R2691" s="90">
        <v>1410</v>
      </c>
      <c r="S2691" s="90" t="s">
        <v>325</v>
      </c>
      <c r="T2691" s="90">
        <v>1410</v>
      </c>
      <c r="U2691" s="90" t="s">
        <v>378</v>
      </c>
      <c r="V2691" s="90" t="s">
        <v>244</v>
      </c>
      <c r="Z2691" s="90">
        <v>0</v>
      </c>
      <c r="AA2691" s="90">
        <v>1</v>
      </c>
      <c r="AB2691" s="90">
        <v>1.9090310537845101</v>
      </c>
      <c r="AC2691" s="90">
        <v>0.25319734815720002</v>
      </c>
      <c r="AD2691" s="90">
        <v>659.351534533841</v>
      </c>
      <c r="AF2691" s="90">
        <v>-1</v>
      </c>
      <c r="AG2691" s="90">
        <v>-1</v>
      </c>
      <c r="AH2691" s="90">
        <v>-1</v>
      </c>
      <c r="AI2691" s="90">
        <v>-1</v>
      </c>
      <c r="AJ2691" s="90">
        <v>0</v>
      </c>
      <c r="AM2691" s="90" t="s">
        <v>379</v>
      </c>
      <c r="AN2691" s="90">
        <v>-1</v>
      </c>
      <c r="AQ2691" s="90">
        <v>358</v>
      </c>
      <c r="AR2691" s="90" t="s">
        <v>422</v>
      </c>
      <c r="AS2691" s="90" t="s">
        <v>250</v>
      </c>
      <c r="AT2691" s="90" t="s">
        <v>244</v>
      </c>
      <c r="AU2691" s="90">
        <v>86.412649999999999</v>
      </c>
      <c r="AV2691" s="90">
        <v>120.513362189105</v>
      </c>
      <c r="AW2691" s="90">
        <v>700.497079058586</v>
      </c>
      <c r="AX2691" s="90">
        <v>0.53475388040000005</v>
      </c>
    </row>
    <row r="2692" spans="1:50" x14ac:dyDescent="0.25">
      <c r="A2692" s="102">
        <v>830000</v>
      </c>
      <c r="B2692" s="102">
        <v>2500000</v>
      </c>
      <c r="C2692" s="102">
        <v>2500000</v>
      </c>
      <c r="D2692" s="90" t="s">
        <v>374</v>
      </c>
      <c r="E2692" s="90" t="s">
        <v>68</v>
      </c>
      <c r="F2692" s="90" t="s">
        <v>375</v>
      </c>
      <c r="G2692" s="90" t="s">
        <v>376</v>
      </c>
      <c r="H2692" s="90">
        <v>0.59</v>
      </c>
      <c r="I2692" s="90">
        <v>0.64</v>
      </c>
      <c r="J2692" s="90" t="s">
        <v>244</v>
      </c>
      <c r="K2692" s="90">
        <v>9.2283183629349994E-2</v>
      </c>
      <c r="L2692" s="90">
        <v>3809.15363092386</v>
      </c>
      <c r="M2692" s="90">
        <v>11.0287034900294</v>
      </c>
      <c r="N2692" s="90">
        <v>1.4627517303879101</v>
      </c>
      <c r="O2692" s="90">
        <v>1.01776386936414</v>
      </c>
      <c r="P2692" s="90">
        <v>0.13498738653955</v>
      </c>
      <c r="Q2692" s="90">
        <v>351.52082399498602</v>
      </c>
      <c r="R2692" s="90">
        <v>1410</v>
      </c>
      <c r="S2692" s="90" t="s">
        <v>325</v>
      </c>
      <c r="T2692" s="90">
        <v>1410</v>
      </c>
      <c r="U2692" s="90" t="s">
        <v>378</v>
      </c>
      <c r="V2692" s="90" t="s">
        <v>244</v>
      </c>
      <c r="Z2692" s="90">
        <v>0</v>
      </c>
      <c r="AA2692" s="90">
        <v>1</v>
      </c>
      <c r="AB2692" s="90">
        <v>1.01776386936414</v>
      </c>
      <c r="AC2692" s="90">
        <v>0.13498738653955</v>
      </c>
      <c r="AD2692" s="90">
        <v>351.52082399498698</v>
      </c>
      <c r="AF2692" s="90">
        <v>-1</v>
      </c>
      <c r="AG2692" s="90">
        <v>-1</v>
      </c>
      <c r="AH2692" s="90">
        <v>-1</v>
      </c>
      <c r="AI2692" s="90">
        <v>-1</v>
      </c>
      <c r="AJ2692" s="90">
        <v>0</v>
      </c>
      <c r="AM2692" s="90" t="s">
        <v>379</v>
      </c>
      <c r="AN2692" s="90">
        <v>-1</v>
      </c>
      <c r="AQ2692" s="90">
        <v>358</v>
      </c>
      <c r="AR2692" s="90" t="s">
        <v>422</v>
      </c>
      <c r="AS2692" s="90" t="s">
        <v>250</v>
      </c>
      <c r="AT2692" s="90" t="s">
        <v>244</v>
      </c>
      <c r="AU2692" s="90">
        <v>86.412649999999999</v>
      </c>
      <c r="AV2692" s="90">
        <v>107.267013143176</v>
      </c>
      <c r="AW2692" s="90">
        <v>373.45679434999101</v>
      </c>
      <c r="AX2692" s="90">
        <v>0.28509393669999999</v>
      </c>
    </row>
    <row r="2693" spans="1:50" x14ac:dyDescent="0.25">
      <c r="A2693" s="102">
        <v>830000</v>
      </c>
      <c r="B2693" s="102">
        <v>2500000</v>
      </c>
      <c r="C2693" s="102">
        <v>2500000</v>
      </c>
      <c r="D2693" s="90" t="s">
        <v>374</v>
      </c>
      <c r="E2693" s="90" t="s">
        <v>68</v>
      </c>
      <c r="F2693" s="90" t="s">
        <v>375</v>
      </c>
      <c r="G2693" s="90" t="s">
        <v>376</v>
      </c>
      <c r="H2693" s="90">
        <v>0.59</v>
      </c>
      <c r="I2693" s="90">
        <v>0.64</v>
      </c>
      <c r="J2693" s="90" t="s">
        <v>244</v>
      </c>
      <c r="K2693" s="90">
        <v>0.25636384639422999</v>
      </c>
      <c r="L2693" s="90">
        <v>3809.15363092386</v>
      </c>
      <c r="M2693" s="90">
        <v>11.0287034900294</v>
      </c>
      <c r="N2693" s="90">
        <v>1.4627517303879101</v>
      </c>
      <c r="O2693" s="90">
        <v>2.8273608474455099</v>
      </c>
      <c r="P2693" s="90">
        <v>0.37499665992206999</v>
      </c>
      <c r="Q2693" s="90">
        <v>976.52927633021795</v>
      </c>
      <c r="R2693" s="90">
        <v>1420</v>
      </c>
      <c r="S2693" s="90" t="s">
        <v>327</v>
      </c>
      <c r="T2693" s="90">
        <v>1420</v>
      </c>
      <c r="U2693" s="90" t="s">
        <v>378</v>
      </c>
      <c r="V2693" s="90" t="s">
        <v>244</v>
      </c>
      <c r="Z2693" s="90">
        <v>0</v>
      </c>
      <c r="AA2693" s="90">
        <v>1</v>
      </c>
      <c r="AB2693" s="90">
        <v>2.8273608474455099</v>
      </c>
      <c r="AC2693" s="90">
        <v>0.37499665992206999</v>
      </c>
      <c r="AD2693" s="90">
        <v>976.52927633021795</v>
      </c>
      <c r="AF2693" s="90">
        <v>-1</v>
      </c>
      <c r="AG2693" s="90">
        <v>-1</v>
      </c>
      <c r="AH2693" s="90">
        <v>-1</v>
      </c>
      <c r="AI2693" s="90">
        <v>-1</v>
      </c>
      <c r="AJ2693" s="90">
        <v>0</v>
      </c>
      <c r="AM2693" s="90" t="s">
        <v>379</v>
      </c>
      <c r="AN2693" s="90">
        <v>-1</v>
      </c>
      <c r="AQ2693" s="90">
        <v>358</v>
      </c>
      <c r="AR2693" s="90" t="s">
        <v>422</v>
      </c>
      <c r="AS2693" s="90" t="s">
        <v>250</v>
      </c>
      <c r="AT2693" s="90" t="s">
        <v>244</v>
      </c>
      <c r="AU2693" s="90">
        <v>86.412649999999999</v>
      </c>
      <c r="AV2693" s="90">
        <v>136.10692583344999</v>
      </c>
      <c r="AW2693" s="90">
        <v>1037.4676782516799</v>
      </c>
      <c r="AX2693" s="90">
        <v>0.79199454690000004</v>
      </c>
    </row>
    <row r="2694" spans="1:50" x14ac:dyDescent="0.25">
      <c r="A2694" s="102">
        <v>830000</v>
      </c>
      <c r="B2694" s="102">
        <v>2500000</v>
      </c>
      <c r="C2694" s="102">
        <v>2500000</v>
      </c>
      <c r="D2694" s="90" t="s">
        <v>374</v>
      </c>
      <c r="E2694" s="90" t="s">
        <v>68</v>
      </c>
      <c r="F2694" s="90" t="s">
        <v>375</v>
      </c>
      <c r="G2694" s="90" t="s">
        <v>376</v>
      </c>
      <c r="H2694" s="90">
        <v>0.59</v>
      </c>
      <c r="I2694" s="90">
        <v>0.64</v>
      </c>
      <c r="J2694" s="90" t="s">
        <v>244</v>
      </c>
      <c r="K2694" s="90">
        <v>3.2656593813589999E-2</v>
      </c>
      <c r="L2694" s="90">
        <v>3809.15363092386</v>
      </c>
      <c r="M2694" s="90">
        <v>11.0287034900294</v>
      </c>
      <c r="N2694" s="90">
        <v>1.4627517303879101</v>
      </c>
      <c r="O2694" s="90">
        <v>0.36015989016442002</v>
      </c>
      <c r="P2694" s="90">
        <v>4.77684891094E-2</v>
      </c>
      <c r="Q2694" s="90">
        <v>124.39398289864501</v>
      </c>
      <c r="R2694" s="90">
        <v>1410</v>
      </c>
      <c r="S2694" s="90" t="s">
        <v>325</v>
      </c>
      <c r="T2694" s="90">
        <v>1410</v>
      </c>
      <c r="U2694" s="90" t="s">
        <v>378</v>
      </c>
      <c r="V2694" s="90" t="s">
        <v>244</v>
      </c>
      <c r="Z2694" s="90">
        <v>0</v>
      </c>
      <c r="AA2694" s="90">
        <v>1</v>
      </c>
      <c r="AB2694" s="90">
        <v>0.36015989016442002</v>
      </c>
      <c r="AC2694" s="90">
        <v>4.77684891094E-2</v>
      </c>
      <c r="AD2694" s="90">
        <v>124.393982898646</v>
      </c>
      <c r="AF2694" s="90">
        <v>-1</v>
      </c>
      <c r="AG2694" s="90">
        <v>-1</v>
      </c>
      <c r="AH2694" s="90">
        <v>-1</v>
      </c>
      <c r="AI2694" s="90">
        <v>-1</v>
      </c>
      <c r="AJ2694" s="90">
        <v>0</v>
      </c>
      <c r="AM2694" s="90" t="s">
        <v>379</v>
      </c>
      <c r="AN2694" s="90">
        <v>-1</v>
      </c>
      <c r="AQ2694" s="90">
        <v>358</v>
      </c>
      <c r="AR2694" s="90" t="s">
        <v>422</v>
      </c>
      <c r="AS2694" s="90" t="s">
        <v>250</v>
      </c>
      <c r="AT2694" s="90" t="s">
        <v>244</v>
      </c>
      <c r="AU2694" s="90">
        <v>86.412649999999999</v>
      </c>
      <c r="AV2694" s="90">
        <v>94.557521478265102</v>
      </c>
      <c r="AW2694" s="90">
        <v>132.156546408239</v>
      </c>
      <c r="AX2694" s="90">
        <v>0.100887253</v>
      </c>
    </row>
    <row r="2695" spans="1:50" x14ac:dyDescent="0.25">
      <c r="A2695" s="102">
        <v>830000</v>
      </c>
      <c r="B2695" s="102">
        <v>2500000</v>
      </c>
      <c r="C2695" s="102">
        <v>2500000</v>
      </c>
      <c r="D2695" s="90" t="s">
        <v>374</v>
      </c>
      <c r="E2695" s="90" t="s">
        <v>68</v>
      </c>
      <c r="F2695" s="90" t="s">
        <v>375</v>
      </c>
      <c r="G2695" s="90" t="s">
        <v>376</v>
      </c>
      <c r="H2695" s="90">
        <v>0.59</v>
      </c>
      <c r="I2695" s="90">
        <v>0.64</v>
      </c>
      <c r="J2695" s="90" t="s">
        <v>244</v>
      </c>
      <c r="K2695" s="90">
        <v>7.7295208666400004E-3</v>
      </c>
      <c r="L2695" s="90">
        <v>3782.56191348942</v>
      </c>
      <c r="M2695" s="90">
        <v>9.5830836593905993</v>
      </c>
      <c r="N2695" s="90">
        <v>1.6952882494625601</v>
      </c>
      <c r="O2695" s="90">
        <v>7.4072645112089996E-2</v>
      </c>
      <c r="P2695" s="90">
        <v>1.3103765899200001E-2</v>
      </c>
      <c r="Q2695" s="90">
        <v>29.237391239704401</v>
      </c>
      <c r="R2695" s="90">
        <v>1390</v>
      </c>
      <c r="S2695" s="90" t="s">
        <v>402</v>
      </c>
      <c r="T2695" s="90">
        <v>1390</v>
      </c>
      <c r="U2695" s="90" t="s">
        <v>378</v>
      </c>
      <c r="V2695" s="90" t="s">
        <v>244</v>
      </c>
      <c r="Z2695" s="90">
        <v>0</v>
      </c>
      <c r="AA2695" s="90">
        <v>1</v>
      </c>
      <c r="AB2695" s="90">
        <v>7.4072645112089996E-2</v>
      </c>
      <c r="AC2695" s="90">
        <v>1.3103765899200001E-2</v>
      </c>
      <c r="AD2695" s="90">
        <v>1191.0985619220801</v>
      </c>
      <c r="AF2695" s="90">
        <v>-1</v>
      </c>
      <c r="AG2695" s="90">
        <v>-1</v>
      </c>
      <c r="AH2695" s="90">
        <v>-1</v>
      </c>
      <c r="AI2695" s="90">
        <v>-1</v>
      </c>
      <c r="AJ2695" s="90">
        <v>0</v>
      </c>
      <c r="AM2695" s="90" t="s">
        <v>379</v>
      </c>
      <c r="AN2695" s="90">
        <v>-1</v>
      </c>
      <c r="AQ2695" s="90">
        <v>358</v>
      </c>
      <c r="AR2695" s="90" t="s">
        <v>422</v>
      </c>
      <c r="AS2695" s="90" t="s">
        <v>250</v>
      </c>
      <c r="AT2695" s="90" t="s">
        <v>244</v>
      </c>
      <c r="AU2695" s="90">
        <v>86.412649999999999</v>
      </c>
      <c r="AV2695" s="90">
        <v>39.0942090285658</v>
      </c>
      <c r="AW2695" s="90">
        <v>31.280261161267401</v>
      </c>
      <c r="AX2695" s="90">
        <v>0.96601667629999999</v>
      </c>
    </row>
    <row r="2696" spans="1:50" x14ac:dyDescent="0.25">
      <c r="A2696" s="102">
        <v>830000</v>
      </c>
      <c r="B2696" s="102">
        <v>2500000</v>
      </c>
      <c r="C2696" s="102">
        <v>2500000</v>
      </c>
      <c r="D2696" s="90" t="s">
        <v>374</v>
      </c>
      <c r="E2696" s="90" t="s">
        <v>68</v>
      </c>
      <c r="F2696" s="90" t="s">
        <v>375</v>
      </c>
      <c r="G2696" s="90" t="s">
        <v>376</v>
      </c>
      <c r="H2696" s="90">
        <v>0.59</v>
      </c>
      <c r="I2696" s="90">
        <v>0.64</v>
      </c>
      <c r="J2696" s="90" t="s">
        <v>381</v>
      </c>
      <c r="K2696" s="90">
        <v>1.87371739961E-3</v>
      </c>
      <c r="L2696" s="90">
        <v>3782.56191348942</v>
      </c>
      <c r="M2696" s="90">
        <v>9.5830836593905993</v>
      </c>
      <c r="N2696" s="90">
        <v>1.6952882494625601</v>
      </c>
      <c r="O2696" s="90">
        <v>1.795599059453E-2</v>
      </c>
      <c r="P2696" s="90">
        <v>3.1764910903700001E-3</v>
      </c>
      <c r="Q2696" s="90">
        <v>7.0874520724147896</v>
      </c>
      <c r="R2696" s="90">
        <v>1390</v>
      </c>
      <c r="S2696" s="90" t="s">
        <v>402</v>
      </c>
      <c r="T2696" s="90">
        <v>1390</v>
      </c>
      <c r="U2696" s="90" t="s">
        <v>382</v>
      </c>
      <c r="V2696" s="90" t="s">
        <v>381</v>
      </c>
      <c r="Z2696" s="90">
        <v>0</v>
      </c>
      <c r="AA2696" s="90">
        <v>1</v>
      </c>
      <c r="AB2696" s="90">
        <v>1.795599059453E-2</v>
      </c>
      <c r="AC2696" s="90">
        <v>3.1764910903700001E-3</v>
      </c>
      <c r="AD2696" s="90">
        <v>139.59794414314399</v>
      </c>
      <c r="AF2696" s="90">
        <v>-1</v>
      </c>
      <c r="AG2696" s="90">
        <v>-1</v>
      </c>
      <c r="AH2696" s="90">
        <v>-1</v>
      </c>
      <c r="AI2696" s="90">
        <v>-1</v>
      </c>
      <c r="AJ2696" s="90">
        <v>0</v>
      </c>
      <c r="AM2696" s="90" t="s">
        <v>379</v>
      </c>
      <c r="AN2696" s="90">
        <v>-1</v>
      </c>
      <c r="AQ2696" s="90">
        <v>358</v>
      </c>
      <c r="AR2696" s="90" t="s">
        <v>422</v>
      </c>
      <c r="AS2696" s="90" t="s">
        <v>250</v>
      </c>
      <c r="AT2696" s="90" t="s">
        <v>244</v>
      </c>
      <c r="AU2696" s="90">
        <v>86.412649999999999</v>
      </c>
      <c r="AV2696" s="90">
        <v>11.097611310578101</v>
      </c>
      <c r="AW2696" s="90">
        <v>7.5826652923839699</v>
      </c>
      <c r="AX2696" s="90">
        <v>0.1132181218</v>
      </c>
    </row>
    <row r="2697" spans="1:50" x14ac:dyDescent="0.25">
      <c r="A2697" s="102">
        <v>830000</v>
      </c>
      <c r="B2697" s="102">
        <v>2500000</v>
      </c>
      <c r="C2697" s="102">
        <v>2500000</v>
      </c>
      <c r="D2697" s="90" t="s">
        <v>374</v>
      </c>
      <c r="E2697" s="90" t="s">
        <v>68</v>
      </c>
      <c r="F2697" s="90" t="s">
        <v>375</v>
      </c>
      <c r="G2697" s="90" t="s">
        <v>376</v>
      </c>
      <c r="H2697" s="90">
        <v>0.59</v>
      </c>
      <c r="I2697" s="90">
        <v>0.64</v>
      </c>
      <c r="J2697" s="90" t="s">
        <v>244</v>
      </c>
      <c r="K2697" s="90">
        <v>1.9370893118200001E-3</v>
      </c>
      <c r="L2697" s="90">
        <v>3782.56191348942</v>
      </c>
      <c r="M2697" s="90">
        <v>9.5830836593905993</v>
      </c>
      <c r="N2697" s="90">
        <v>1.6952882494625601</v>
      </c>
      <c r="O2697" s="90">
        <v>1.8563288930949998E-2</v>
      </c>
      <c r="P2697" s="90">
        <v>3.2839247485E-3</v>
      </c>
      <c r="Q2697" s="90">
        <v>7.3271602539480201</v>
      </c>
      <c r="R2697" s="90">
        <v>1300</v>
      </c>
      <c r="S2697" s="90" t="s">
        <v>387</v>
      </c>
      <c r="T2697" s="90">
        <v>1300</v>
      </c>
      <c r="U2697" s="90" t="s">
        <v>378</v>
      </c>
      <c r="V2697" s="90" t="s">
        <v>244</v>
      </c>
      <c r="Z2697" s="90">
        <v>0</v>
      </c>
      <c r="AA2697" s="90">
        <v>1</v>
      </c>
      <c r="AB2697" s="90">
        <v>1.8563288930949998E-2</v>
      </c>
      <c r="AC2697" s="90">
        <v>3.2839247485E-3</v>
      </c>
      <c r="AD2697" s="90">
        <v>7.3271602539472998</v>
      </c>
      <c r="AF2697" s="90">
        <v>-1</v>
      </c>
      <c r="AG2697" s="90">
        <v>-1</v>
      </c>
      <c r="AH2697" s="90">
        <v>-1</v>
      </c>
      <c r="AI2697" s="90">
        <v>-1</v>
      </c>
      <c r="AJ2697" s="90">
        <v>0</v>
      </c>
      <c r="AM2697" s="90" t="s">
        <v>379</v>
      </c>
      <c r="AN2697" s="90">
        <v>-1</v>
      </c>
      <c r="AQ2697" s="90">
        <v>358</v>
      </c>
      <c r="AR2697" s="90" t="s">
        <v>422</v>
      </c>
      <c r="AS2697" s="90" t="s">
        <v>250</v>
      </c>
      <c r="AT2697" s="90" t="s">
        <v>244</v>
      </c>
      <c r="AU2697" s="90">
        <v>86.412649999999999</v>
      </c>
      <c r="AV2697" s="90">
        <v>100.356675464726</v>
      </c>
      <c r="AW2697" s="90">
        <v>7.8391223223327602</v>
      </c>
      <c r="AX2697" s="90">
        <v>5.9425468000000002E-3</v>
      </c>
    </row>
    <row r="2698" spans="1:50" x14ac:dyDescent="0.25">
      <c r="A2698" s="102">
        <v>830000</v>
      </c>
      <c r="B2698" s="102">
        <v>2500000</v>
      </c>
      <c r="C2698" s="102">
        <v>2500000</v>
      </c>
      <c r="D2698" s="90" t="s">
        <v>374</v>
      </c>
      <c r="E2698" s="90" t="s">
        <v>68</v>
      </c>
      <c r="F2698" s="90" t="s">
        <v>375</v>
      </c>
      <c r="G2698" s="90" t="s">
        <v>376</v>
      </c>
      <c r="H2698" s="90">
        <v>0.59</v>
      </c>
      <c r="I2698" s="90">
        <v>0.64</v>
      </c>
      <c r="J2698" s="90" t="s">
        <v>381</v>
      </c>
      <c r="K2698" s="90">
        <v>0.11831235427887</v>
      </c>
      <c r="L2698" s="90">
        <v>3782.56191348942</v>
      </c>
      <c r="M2698" s="90">
        <v>9.5830836593905993</v>
      </c>
      <c r="N2698" s="90">
        <v>1.6952882494625601</v>
      </c>
      <c r="O2698" s="90">
        <v>1.13379718899393</v>
      </c>
      <c r="P2698" s="90">
        <v>0.20057354397523</v>
      </c>
      <c r="Q2698" s="90">
        <v>447.52380519054702</v>
      </c>
      <c r="R2698" s="90">
        <v>1300</v>
      </c>
      <c r="S2698" s="90" t="s">
        <v>387</v>
      </c>
      <c r="T2698" s="90">
        <v>1300</v>
      </c>
      <c r="U2698" s="90" t="s">
        <v>382</v>
      </c>
      <c r="V2698" s="90" t="s">
        <v>381</v>
      </c>
      <c r="Z2698" s="90">
        <v>0</v>
      </c>
      <c r="AA2698" s="90">
        <v>1</v>
      </c>
      <c r="AB2698" s="90">
        <v>1.13379718899393</v>
      </c>
      <c r="AC2698" s="90">
        <v>0.20057354397523</v>
      </c>
      <c r="AD2698" s="90">
        <v>735.94598253935305</v>
      </c>
      <c r="AF2698" s="90">
        <v>-1</v>
      </c>
      <c r="AG2698" s="90">
        <v>-1</v>
      </c>
      <c r="AH2698" s="90">
        <v>-1</v>
      </c>
      <c r="AI2698" s="90">
        <v>-1</v>
      </c>
      <c r="AJ2698" s="90">
        <v>0</v>
      </c>
      <c r="AM2698" s="90" t="s">
        <v>379</v>
      </c>
      <c r="AN2698" s="90">
        <v>-1</v>
      </c>
      <c r="AQ2698" s="90">
        <v>358</v>
      </c>
      <c r="AR2698" s="90" t="s">
        <v>422</v>
      </c>
      <c r="AS2698" s="90" t="s">
        <v>250</v>
      </c>
      <c r="AT2698" s="90" t="s">
        <v>244</v>
      </c>
      <c r="AU2698" s="90">
        <v>86.412649999999999</v>
      </c>
      <c r="AV2698" s="90">
        <v>128.553291272585</v>
      </c>
      <c r="AW2698" s="90">
        <v>478.79311076273598</v>
      </c>
      <c r="AX2698" s="90">
        <v>0.5968742762</v>
      </c>
    </row>
    <row r="2699" spans="1:50" x14ac:dyDescent="0.25">
      <c r="A2699" s="102">
        <v>830000</v>
      </c>
      <c r="B2699" s="102">
        <v>2500000</v>
      </c>
      <c r="C2699" s="102">
        <v>2500000</v>
      </c>
      <c r="D2699" s="90" t="s">
        <v>374</v>
      </c>
      <c r="E2699" s="90" t="s">
        <v>68</v>
      </c>
      <c r="F2699" s="90" t="s">
        <v>375</v>
      </c>
      <c r="G2699" s="90" t="s">
        <v>376</v>
      </c>
      <c r="H2699" s="90">
        <v>0.59</v>
      </c>
      <c r="I2699" s="90">
        <v>0.64</v>
      </c>
      <c r="J2699" s="90" t="s">
        <v>244</v>
      </c>
      <c r="K2699" s="90">
        <v>6.946584589391E-2</v>
      </c>
      <c r="L2699" s="90">
        <v>3782.56191348942</v>
      </c>
      <c r="M2699" s="90">
        <v>9.5830836593905993</v>
      </c>
      <c r="N2699" s="90">
        <v>1.6952882494625601</v>
      </c>
      <c r="O2699" s="90">
        <v>0.66569701267172998</v>
      </c>
      <c r="P2699" s="90">
        <v>0.11776463228293001</v>
      </c>
      <c r="Q2699" s="90">
        <v>262.75886296665198</v>
      </c>
      <c r="R2699" s="90">
        <v>1300</v>
      </c>
      <c r="S2699" s="90" t="s">
        <v>387</v>
      </c>
      <c r="T2699" s="90">
        <v>1300</v>
      </c>
      <c r="U2699" s="90" t="s">
        <v>378</v>
      </c>
      <c r="V2699" s="90" t="s">
        <v>244</v>
      </c>
      <c r="Z2699" s="90">
        <v>0</v>
      </c>
      <c r="AA2699" s="90">
        <v>1</v>
      </c>
      <c r="AB2699" s="90">
        <v>0.66569701267172998</v>
      </c>
      <c r="AC2699" s="90">
        <v>0.11776463228293001</v>
      </c>
      <c r="AD2699" s="90">
        <v>262.75886296664999</v>
      </c>
      <c r="AF2699" s="90">
        <v>-1</v>
      </c>
      <c r="AG2699" s="90">
        <v>-1</v>
      </c>
      <c r="AH2699" s="90">
        <v>-1</v>
      </c>
      <c r="AI2699" s="90">
        <v>-1</v>
      </c>
      <c r="AJ2699" s="90">
        <v>0</v>
      </c>
      <c r="AM2699" s="90" t="s">
        <v>379</v>
      </c>
      <c r="AN2699" s="90">
        <v>-1</v>
      </c>
      <c r="AQ2699" s="90">
        <v>358</v>
      </c>
      <c r="AR2699" s="90" t="s">
        <v>422</v>
      </c>
      <c r="AS2699" s="90" t="s">
        <v>250</v>
      </c>
      <c r="AT2699" s="90" t="s">
        <v>244</v>
      </c>
      <c r="AU2699" s="90">
        <v>86.412649999999999</v>
      </c>
      <c r="AV2699" s="90">
        <v>111.266287474159</v>
      </c>
      <c r="AW2699" s="90">
        <v>281.11830459324102</v>
      </c>
      <c r="AX2699" s="90">
        <v>0.2131053228</v>
      </c>
    </row>
    <row r="2700" spans="1:50" x14ac:dyDescent="0.25">
      <c r="A2700" s="102">
        <v>830000</v>
      </c>
      <c r="B2700" s="102">
        <v>2500000</v>
      </c>
      <c r="C2700" s="102">
        <v>2500000</v>
      </c>
      <c r="D2700" s="90" t="s">
        <v>374</v>
      </c>
      <c r="E2700" s="90" t="s">
        <v>68</v>
      </c>
      <c r="F2700" s="90" t="s">
        <v>375</v>
      </c>
      <c r="G2700" s="90" t="s">
        <v>376</v>
      </c>
      <c r="H2700" s="90">
        <v>0.59</v>
      </c>
      <c r="I2700" s="90">
        <v>0.64</v>
      </c>
      <c r="J2700" s="90" t="s">
        <v>244</v>
      </c>
      <c r="K2700" s="90">
        <v>0.20473252166507999</v>
      </c>
      <c r="L2700" s="90">
        <v>3757.7721566750201</v>
      </c>
      <c r="M2700" s="90">
        <v>9.6111683812555793</v>
      </c>
      <c r="N2700" s="90">
        <v>1.43536160021609</v>
      </c>
      <c r="O2700" s="90">
        <v>1.9677187388422099</v>
      </c>
      <c r="P2700" s="90">
        <v>0.29386519991346999</v>
      </c>
      <c r="Q2700" s="90">
        <v>769.33816947893399</v>
      </c>
      <c r="R2700" s="90">
        <v>1400</v>
      </c>
      <c r="S2700" s="90" t="s">
        <v>324</v>
      </c>
      <c r="T2700" s="90">
        <v>1400</v>
      </c>
      <c r="U2700" s="90" t="s">
        <v>378</v>
      </c>
      <c r="V2700" s="90" t="s">
        <v>244</v>
      </c>
      <c r="Z2700" s="90">
        <v>0</v>
      </c>
      <c r="AA2700" s="90">
        <v>1</v>
      </c>
      <c r="AB2700" s="90">
        <v>1.9677187388422099</v>
      </c>
      <c r="AC2700" s="90">
        <v>0.29386519991346999</v>
      </c>
      <c r="AD2700" s="90">
        <v>769.33816947893399</v>
      </c>
      <c r="AF2700" s="90">
        <v>-1</v>
      </c>
      <c r="AG2700" s="90">
        <v>-1</v>
      </c>
      <c r="AH2700" s="90">
        <v>-1</v>
      </c>
      <c r="AI2700" s="90">
        <v>-1</v>
      </c>
      <c r="AJ2700" s="90">
        <v>0</v>
      </c>
      <c r="AM2700" s="90" t="s">
        <v>379</v>
      </c>
      <c r="AN2700" s="90">
        <v>-1</v>
      </c>
      <c r="AQ2700" s="90">
        <v>358</v>
      </c>
      <c r="AR2700" s="90" t="s">
        <v>422</v>
      </c>
      <c r="AS2700" s="90" t="s">
        <v>250</v>
      </c>
      <c r="AT2700" s="90" t="s">
        <v>244</v>
      </c>
      <c r="AU2700" s="90">
        <v>86.412649999999999</v>
      </c>
      <c r="AV2700" s="90">
        <v>200.467424378125</v>
      </c>
      <c r="AW2700" s="90">
        <v>828.52312017451004</v>
      </c>
      <c r="AX2700" s="90">
        <v>0.62395634180000004</v>
      </c>
    </row>
    <row r="2701" spans="1:50" x14ac:dyDescent="0.25">
      <c r="A2701" s="102">
        <v>830000</v>
      </c>
      <c r="B2701" s="102">
        <v>2500000</v>
      </c>
      <c r="C2701" s="102">
        <v>2500000</v>
      </c>
      <c r="D2701" s="90" t="s">
        <v>374</v>
      </c>
      <c r="E2701" s="90" t="s">
        <v>68</v>
      </c>
      <c r="F2701" s="90" t="s">
        <v>375</v>
      </c>
      <c r="G2701" s="90" t="s">
        <v>376</v>
      </c>
      <c r="H2701" s="90">
        <v>0.59</v>
      </c>
      <c r="I2701" s="90">
        <v>0.64</v>
      </c>
      <c r="J2701" s="90" t="s">
        <v>244</v>
      </c>
      <c r="K2701" s="90">
        <v>8.2811941723299996E-3</v>
      </c>
      <c r="L2701" s="90">
        <v>3757.7721566750201</v>
      </c>
      <c r="M2701" s="90">
        <v>9.6111683812555793</v>
      </c>
      <c r="N2701" s="90">
        <v>1.43536160021609</v>
      </c>
      <c r="O2701" s="90">
        <v>7.9591951588179999E-2</v>
      </c>
      <c r="P2701" s="90">
        <v>1.18865081189E-2</v>
      </c>
      <c r="Q2701" s="90">
        <v>31.1188408848199</v>
      </c>
      <c r="R2701" s="90">
        <v>1410</v>
      </c>
      <c r="S2701" s="90" t="s">
        <v>325</v>
      </c>
      <c r="T2701" s="90">
        <v>1410</v>
      </c>
      <c r="U2701" s="90" t="s">
        <v>378</v>
      </c>
      <c r="V2701" s="90" t="s">
        <v>244</v>
      </c>
      <c r="Z2701" s="90">
        <v>0</v>
      </c>
      <c r="AA2701" s="90">
        <v>1</v>
      </c>
      <c r="AB2701" s="90">
        <v>7.9591951588179999E-2</v>
      </c>
      <c r="AC2701" s="90">
        <v>1.18865081189E-2</v>
      </c>
      <c r="AD2701" s="90">
        <v>31.118840884818098</v>
      </c>
      <c r="AF2701" s="90">
        <v>-1</v>
      </c>
      <c r="AG2701" s="90">
        <v>-1</v>
      </c>
      <c r="AH2701" s="90">
        <v>-1</v>
      </c>
      <c r="AI2701" s="90">
        <v>-1</v>
      </c>
      <c r="AJ2701" s="90">
        <v>0</v>
      </c>
      <c r="AM2701" s="90" t="s">
        <v>379</v>
      </c>
      <c r="AN2701" s="90">
        <v>-1</v>
      </c>
      <c r="AQ2701" s="90">
        <v>358</v>
      </c>
      <c r="AR2701" s="90" t="s">
        <v>422</v>
      </c>
      <c r="AS2701" s="90" t="s">
        <v>250</v>
      </c>
      <c r="AT2701" s="90" t="s">
        <v>244</v>
      </c>
      <c r="AU2701" s="90">
        <v>86.412649999999999</v>
      </c>
      <c r="AV2701" s="90">
        <v>26.5616495587965</v>
      </c>
      <c r="AW2701" s="90">
        <v>33.512803821453403</v>
      </c>
      <c r="AX2701" s="90">
        <v>2.5238313799999999E-2</v>
      </c>
    </row>
    <row r="2702" spans="1:50" x14ac:dyDescent="0.25">
      <c r="A2702" s="102">
        <v>830000</v>
      </c>
      <c r="B2702" s="102">
        <v>2500000</v>
      </c>
      <c r="C2702" s="102">
        <v>2500000</v>
      </c>
      <c r="D2702" s="90" t="s">
        <v>374</v>
      </c>
      <c r="E2702" s="90" t="s">
        <v>68</v>
      </c>
      <c r="F2702" s="90" t="s">
        <v>375</v>
      </c>
      <c r="G2702" s="90" t="s">
        <v>376</v>
      </c>
      <c r="H2702" s="90">
        <v>0.59</v>
      </c>
      <c r="I2702" s="90">
        <v>0.64</v>
      </c>
      <c r="J2702" s="90" t="s">
        <v>244</v>
      </c>
      <c r="K2702" s="90">
        <v>0.11372604808564001</v>
      </c>
      <c r="L2702" s="90">
        <v>3757.7721566750201</v>
      </c>
      <c r="M2702" s="90">
        <v>9.6111683812555793</v>
      </c>
      <c r="N2702" s="90">
        <v>1.43536160021609</v>
      </c>
      <c r="O2702" s="90">
        <v>1.0930401974859001</v>
      </c>
      <c r="P2702" s="90">
        <v>0.16323800236645999</v>
      </c>
      <c r="Q2702" s="90">
        <v>427.35657698492201</v>
      </c>
      <c r="R2702" s="90">
        <v>1330</v>
      </c>
      <c r="S2702" s="90" t="s">
        <v>397</v>
      </c>
      <c r="T2702" s="90">
        <v>1330</v>
      </c>
      <c r="U2702" s="90" t="s">
        <v>378</v>
      </c>
      <c r="V2702" s="90" t="s">
        <v>244</v>
      </c>
      <c r="Z2702" s="90">
        <v>0</v>
      </c>
      <c r="AA2702" s="90">
        <v>1</v>
      </c>
      <c r="AB2702" s="90">
        <v>1.0930401974859001</v>
      </c>
      <c r="AC2702" s="90">
        <v>0.16323800236645999</v>
      </c>
      <c r="AD2702" s="90">
        <v>427.35657698492201</v>
      </c>
      <c r="AF2702" s="90">
        <v>-1</v>
      </c>
      <c r="AG2702" s="90">
        <v>-1</v>
      </c>
      <c r="AH2702" s="90">
        <v>-1</v>
      </c>
      <c r="AI2702" s="90">
        <v>-1</v>
      </c>
      <c r="AJ2702" s="90">
        <v>0</v>
      </c>
      <c r="AM2702" s="90" t="s">
        <v>379</v>
      </c>
      <c r="AN2702" s="90">
        <v>-1</v>
      </c>
      <c r="AQ2702" s="90">
        <v>358</v>
      </c>
      <c r="AR2702" s="90" t="s">
        <v>422</v>
      </c>
      <c r="AS2702" s="90" t="s">
        <v>250</v>
      </c>
      <c r="AT2702" s="90" t="s">
        <v>244</v>
      </c>
      <c r="AU2702" s="90">
        <v>86.412649999999999</v>
      </c>
      <c r="AV2702" s="90">
        <v>110.971274209795</v>
      </c>
      <c r="AW2702" s="90">
        <v>460.23298808956298</v>
      </c>
      <c r="AX2702" s="90">
        <v>0.34659900809999999</v>
      </c>
    </row>
    <row r="2703" spans="1:50" x14ac:dyDescent="0.25">
      <c r="A2703" s="102">
        <v>830000</v>
      </c>
      <c r="B2703" s="102">
        <v>2500000</v>
      </c>
      <c r="C2703" s="102">
        <v>2500000</v>
      </c>
      <c r="D2703" s="90" t="s">
        <v>374</v>
      </c>
      <c r="E2703" s="90" t="s">
        <v>68</v>
      </c>
      <c r="F2703" s="90" t="s">
        <v>375</v>
      </c>
      <c r="G2703" s="90" t="s">
        <v>376</v>
      </c>
      <c r="H2703" s="90">
        <v>0.59</v>
      </c>
      <c r="I2703" s="90">
        <v>0.64</v>
      </c>
      <c r="J2703" s="90" t="s">
        <v>244</v>
      </c>
      <c r="K2703" s="90">
        <v>9.2891488422900004E-3</v>
      </c>
      <c r="L2703" s="90">
        <v>3757.7721566750201</v>
      </c>
      <c r="M2703" s="90">
        <v>9.6111683812555793</v>
      </c>
      <c r="N2703" s="90">
        <v>1.43536160021609</v>
      </c>
      <c r="O2703" s="90">
        <v>8.9279573641789997E-2</v>
      </c>
      <c r="P2703" s="90">
        <v>1.3333287546909999E-2</v>
      </c>
      <c r="Q2703" s="90">
        <v>34.9065048787674</v>
      </c>
      <c r="R2703" s="90">
        <v>1410</v>
      </c>
      <c r="S2703" s="90" t="s">
        <v>325</v>
      </c>
      <c r="T2703" s="90">
        <v>1410</v>
      </c>
      <c r="U2703" s="90" t="s">
        <v>378</v>
      </c>
      <c r="V2703" s="90" t="s">
        <v>244</v>
      </c>
      <c r="Z2703" s="90">
        <v>0</v>
      </c>
      <c r="AA2703" s="90">
        <v>1</v>
      </c>
      <c r="AB2703" s="90">
        <v>8.9279573641789997E-2</v>
      </c>
      <c r="AC2703" s="90">
        <v>1.3333287546909999E-2</v>
      </c>
      <c r="AD2703" s="90">
        <v>34.906504878765602</v>
      </c>
      <c r="AF2703" s="90">
        <v>-1</v>
      </c>
      <c r="AG2703" s="90">
        <v>-1</v>
      </c>
      <c r="AH2703" s="90">
        <v>-1</v>
      </c>
      <c r="AI2703" s="90">
        <v>-1</v>
      </c>
      <c r="AJ2703" s="90">
        <v>0</v>
      </c>
      <c r="AM2703" s="90" t="s">
        <v>379</v>
      </c>
      <c r="AN2703" s="90">
        <v>-1</v>
      </c>
      <c r="AQ2703" s="90">
        <v>358</v>
      </c>
      <c r="AR2703" s="90" t="s">
        <v>422</v>
      </c>
      <c r="AS2703" s="90" t="s">
        <v>250</v>
      </c>
      <c r="AT2703" s="90" t="s">
        <v>244</v>
      </c>
      <c r="AU2703" s="90">
        <v>86.412649999999999</v>
      </c>
      <c r="AV2703" s="90">
        <v>52.751427895803303</v>
      </c>
      <c r="AW2703" s="90">
        <v>37.591851651048799</v>
      </c>
      <c r="AX2703" s="90">
        <v>2.8310222900000001E-2</v>
      </c>
    </row>
    <row r="2704" spans="1:50" x14ac:dyDescent="0.25">
      <c r="A2704" s="102">
        <v>830000</v>
      </c>
      <c r="B2704" s="102">
        <v>2500000</v>
      </c>
      <c r="C2704" s="102">
        <v>2500000</v>
      </c>
      <c r="D2704" s="90" t="s">
        <v>374</v>
      </c>
      <c r="E2704" s="90" t="s">
        <v>68</v>
      </c>
      <c r="F2704" s="90" t="s">
        <v>375</v>
      </c>
      <c r="G2704" s="90" t="s">
        <v>376</v>
      </c>
      <c r="H2704" s="90">
        <v>0.59</v>
      </c>
      <c r="I2704" s="90">
        <v>0.64</v>
      </c>
      <c r="J2704" s="90" t="s">
        <v>244</v>
      </c>
      <c r="K2704" s="90">
        <v>0.28173454097159001</v>
      </c>
      <c r="L2704" s="90">
        <v>3757.7721566750201</v>
      </c>
      <c r="M2704" s="90">
        <v>9.6111683812555793</v>
      </c>
      <c r="N2704" s="90">
        <v>1.43536160021609</v>
      </c>
      <c r="O2704" s="90">
        <v>2.70779811209376</v>
      </c>
      <c r="P2704" s="90">
        <v>0.40439094156513</v>
      </c>
      <c r="Q2704" s="90">
        <v>1058.6942136366799</v>
      </c>
      <c r="R2704" s="90">
        <v>8310</v>
      </c>
      <c r="S2704" s="90" t="s">
        <v>425</v>
      </c>
      <c r="T2704" s="90">
        <v>8310</v>
      </c>
      <c r="U2704" s="90" t="s">
        <v>378</v>
      </c>
      <c r="V2704" s="90" t="s">
        <v>244</v>
      </c>
      <c r="Z2704" s="90">
        <v>0</v>
      </c>
      <c r="AA2704" s="90">
        <v>1</v>
      </c>
      <c r="AB2704" s="90">
        <v>2.70779811209376</v>
      </c>
      <c r="AC2704" s="90">
        <v>0.40439094156513</v>
      </c>
      <c r="AD2704" s="90">
        <v>1058.6942136366799</v>
      </c>
      <c r="AF2704" s="90">
        <v>-1</v>
      </c>
      <c r="AG2704" s="90">
        <v>-1</v>
      </c>
      <c r="AH2704" s="90">
        <v>-1</v>
      </c>
      <c r="AI2704" s="90">
        <v>-1</v>
      </c>
      <c r="AJ2704" s="90">
        <v>0</v>
      </c>
      <c r="AM2704" s="90" t="s">
        <v>379</v>
      </c>
      <c r="AN2704" s="90">
        <v>-1</v>
      </c>
      <c r="AQ2704" s="90">
        <v>358</v>
      </c>
      <c r="AR2704" s="90" t="s">
        <v>422</v>
      </c>
      <c r="AS2704" s="90" t="s">
        <v>250</v>
      </c>
      <c r="AT2704" s="90" t="s">
        <v>244</v>
      </c>
      <c r="AU2704" s="90">
        <v>86.412649999999999</v>
      </c>
      <c r="AV2704" s="90">
        <v>141.907785453662</v>
      </c>
      <c r="AW2704" s="90">
        <v>1140.1392365428201</v>
      </c>
      <c r="AX2704" s="90">
        <v>0.85863277670000004</v>
      </c>
    </row>
    <row r="2705" spans="1:50" x14ac:dyDescent="0.25">
      <c r="A2705" s="102">
        <v>830000</v>
      </c>
      <c r="B2705" s="102">
        <v>2500000</v>
      </c>
      <c r="C2705" s="102">
        <v>2500000</v>
      </c>
      <c r="D2705" s="90" t="s">
        <v>374</v>
      </c>
      <c r="E2705" s="90" t="s">
        <v>68</v>
      </c>
      <c r="F2705" s="90" t="s">
        <v>375</v>
      </c>
      <c r="G2705" s="90" t="s">
        <v>376</v>
      </c>
      <c r="H2705" s="90">
        <v>0.59</v>
      </c>
      <c r="I2705" s="90">
        <v>0.64</v>
      </c>
      <c r="J2705" s="90" t="s">
        <v>244</v>
      </c>
      <c r="K2705" s="90">
        <v>0.12780966509623001</v>
      </c>
      <c r="L2705" s="90">
        <v>3768.9290736817502</v>
      </c>
      <c r="M2705" s="90">
        <v>10.2930538197543</v>
      </c>
      <c r="N2705" s="90">
        <v>1.9192293645148799</v>
      </c>
      <c r="O2705" s="90">
        <v>1.3155517615203201</v>
      </c>
      <c r="P2705" s="90">
        <v>0.2452960623215</v>
      </c>
      <c r="Q2705" s="90">
        <v>481.70556267872701</v>
      </c>
      <c r="R2705" s="90">
        <v>1300</v>
      </c>
      <c r="S2705" s="90" t="s">
        <v>387</v>
      </c>
      <c r="T2705" s="90">
        <v>1300</v>
      </c>
      <c r="U2705" s="90" t="s">
        <v>378</v>
      </c>
      <c r="V2705" s="90" t="s">
        <v>244</v>
      </c>
      <c r="Z2705" s="90">
        <v>0</v>
      </c>
      <c r="AA2705" s="90">
        <v>1</v>
      </c>
      <c r="AB2705" s="90">
        <v>1.3155517615203201</v>
      </c>
      <c r="AC2705" s="90">
        <v>0.2452960623215</v>
      </c>
      <c r="AD2705" s="90">
        <v>481.70556267872701</v>
      </c>
      <c r="AF2705" s="90">
        <v>-1</v>
      </c>
      <c r="AG2705" s="90">
        <v>-1</v>
      </c>
      <c r="AH2705" s="90">
        <v>-1</v>
      </c>
      <c r="AI2705" s="90">
        <v>-1</v>
      </c>
      <c r="AJ2705" s="90">
        <v>0</v>
      </c>
      <c r="AM2705" s="90" t="s">
        <v>379</v>
      </c>
      <c r="AN2705" s="90">
        <v>-1</v>
      </c>
      <c r="AQ2705" s="90">
        <v>358</v>
      </c>
      <c r="AR2705" s="90" t="s">
        <v>422</v>
      </c>
      <c r="AS2705" s="90" t="s">
        <v>250</v>
      </c>
      <c r="AT2705" s="90" t="s">
        <v>244</v>
      </c>
      <c r="AU2705" s="90">
        <v>86.412649999999999</v>
      </c>
      <c r="AV2705" s="90">
        <v>92.040486956171904</v>
      </c>
      <c r="AW2705" s="90">
        <v>517.22736403949204</v>
      </c>
      <c r="AX2705" s="90">
        <v>0.39067766640000001</v>
      </c>
    </row>
    <row r="2706" spans="1:50" x14ac:dyDescent="0.25">
      <c r="A2706" s="102">
        <v>830000</v>
      </c>
      <c r="B2706" s="102">
        <v>2500000</v>
      </c>
      <c r="C2706" s="102">
        <v>2500000</v>
      </c>
      <c r="D2706" s="90" t="s">
        <v>374</v>
      </c>
      <c r="E2706" s="90" t="s">
        <v>68</v>
      </c>
      <c r="F2706" s="90" t="s">
        <v>375</v>
      </c>
      <c r="G2706" s="90" t="s">
        <v>376</v>
      </c>
      <c r="H2706" s="90">
        <v>0.59</v>
      </c>
      <c r="I2706" s="90">
        <v>0.64</v>
      </c>
      <c r="J2706" s="90" t="s">
        <v>244</v>
      </c>
      <c r="K2706" s="90">
        <v>0.18621957301334</v>
      </c>
      <c r="L2706" s="90">
        <v>3768.9290736817502</v>
      </c>
      <c r="M2706" s="90">
        <v>10.2930538197543</v>
      </c>
      <c r="N2706" s="90">
        <v>1.9192293645148799</v>
      </c>
      <c r="O2706" s="90">
        <v>1.9167680873180699</v>
      </c>
      <c r="P2706" s="90">
        <v>0.35739807277463997</v>
      </c>
      <c r="Q2706" s="90">
        <v>701.84836281861203</v>
      </c>
      <c r="R2706" s="90">
        <v>1300</v>
      </c>
      <c r="S2706" s="90" t="s">
        <v>387</v>
      </c>
      <c r="T2706" s="90">
        <v>1300</v>
      </c>
      <c r="U2706" s="90" t="s">
        <v>378</v>
      </c>
      <c r="V2706" s="90" t="s">
        <v>244</v>
      </c>
      <c r="Z2706" s="90">
        <v>0</v>
      </c>
      <c r="AA2706" s="90">
        <v>1</v>
      </c>
      <c r="AB2706" s="90">
        <v>1.9167680873180699</v>
      </c>
      <c r="AC2706" s="90">
        <v>0.35739807277463997</v>
      </c>
      <c r="AD2706" s="90">
        <v>701.84836281861203</v>
      </c>
      <c r="AF2706" s="90">
        <v>-1</v>
      </c>
      <c r="AG2706" s="90">
        <v>-1</v>
      </c>
      <c r="AH2706" s="90">
        <v>-1</v>
      </c>
      <c r="AI2706" s="90">
        <v>-1</v>
      </c>
      <c r="AJ2706" s="90">
        <v>0</v>
      </c>
      <c r="AM2706" s="90" t="s">
        <v>379</v>
      </c>
      <c r="AN2706" s="90">
        <v>-1</v>
      </c>
      <c r="AQ2706" s="90">
        <v>358</v>
      </c>
      <c r="AR2706" s="90" t="s">
        <v>422</v>
      </c>
      <c r="AS2706" s="90" t="s">
        <v>250</v>
      </c>
      <c r="AT2706" s="90" t="s">
        <v>244</v>
      </c>
      <c r="AU2706" s="90">
        <v>86.412649999999999</v>
      </c>
      <c r="AV2706" s="90">
        <v>110.451253195853</v>
      </c>
      <c r="AW2706" s="90">
        <v>753.603875025658</v>
      </c>
      <c r="AX2706" s="90">
        <v>0.56922008339999997</v>
      </c>
    </row>
    <row r="2707" spans="1:50" x14ac:dyDescent="0.25">
      <c r="A2707" s="102">
        <v>830000</v>
      </c>
      <c r="B2707" s="102">
        <v>2500000</v>
      </c>
      <c r="C2707" s="102">
        <v>2500000</v>
      </c>
      <c r="D2707" s="90" t="s">
        <v>374</v>
      </c>
      <c r="E2707" s="90" t="s">
        <v>68</v>
      </c>
      <c r="F2707" s="90" t="s">
        <v>375</v>
      </c>
      <c r="G2707" s="90" t="s">
        <v>376</v>
      </c>
      <c r="H2707" s="90">
        <v>0.59</v>
      </c>
      <c r="I2707" s="90">
        <v>0.64</v>
      </c>
      <c r="J2707" s="90" t="s">
        <v>244</v>
      </c>
      <c r="K2707" s="90">
        <v>0.30373421537422002</v>
      </c>
      <c r="L2707" s="90">
        <v>3768.9290736817502</v>
      </c>
      <c r="M2707" s="90">
        <v>10.2930538197543</v>
      </c>
      <c r="N2707" s="90">
        <v>1.9192293645148799</v>
      </c>
      <c r="O2707" s="90">
        <v>3.1263526257477099</v>
      </c>
      <c r="P2707" s="90">
        <v>0.58293562515409003</v>
      </c>
      <c r="Q2707" s="90">
        <v>1144.75271499581</v>
      </c>
      <c r="R2707" s="90">
        <v>1300</v>
      </c>
      <c r="S2707" s="90" t="s">
        <v>387</v>
      </c>
      <c r="T2707" s="90">
        <v>1300</v>
      </c>
      <c r="U2707" s="90" t="s">
        <v>378</v>
      </c>
      <c r="V2707" s="90" t="s">
        <v>244</v>
      </c>
      <c r="Z2707" s="90">
        <v>0</v>
      </c>
      <c r="AA2707" s="90">
        <v>1</v>
      </c>
      <c r="AB2707" s="90">
        <v>3.1263526257477099</v>
      </c>
      <c r="AC2707" s="90">
        <v>0.58293562515409003</v>
      </c>
      <c r="AD2707" s="90">
        <v>1144.75271499581</v>
      </c>
      <c r="AF2707" s="90">
        <v>-1</v>
      </c>
      <c r="AG2707" s="90">
        <v>-1</v>
      </c>
      <c r="AH2707" s="90">
        <v>-1</v>
      </c>
      <c r="AI2707" s="90">
        <v>-1</v>
      </c>
      <c r="AJ2707" s="90">
        <v>0</v>
      </c>
      <c r="AM2707" s="90" t="s">
        <v>379</v>
      </c>
      <c r="AN2707" s="90">
        <v>-1</v>
      </c>
      <c r="AQ2707" s="90">
        <v>358</v>
      </c>
      <c r="AR2707" s="90" t="s">
        <v>422</v>
      </c>
      <c r="AS2707" s="90" t="s">
        <v>250</v>
      </c>
      <c r="AT2707" s="90" t="s">
        <v>244</v>
      </c>
      <c r="AU2707" s="90">
        <v>86.412649999999999</v>
      </c>
      <c r="AV2707" s="90">
        <v>149.28396219968201</v>
      </c>
      <c r="AW2707" s="90">
        <v>1229.16876018979</v>
      </c>
      <c r="AX2707" s="90">
        <v>0.92842880370000003</v>
      </c>
    </row>
    <row r="2708" spans="1:50" x14ac:dyDescent="0.25">
      <c r="A2708" s="102">
        <v>830000</v>
      </c>
      <c r="B2708" s="102">
        <v>2500000</v>
      </c>
      <c r="C2708" s="102">
        <v>2500000</v>
      </c>
      <c r="D2708" s="90" t="s">
        <v>374</v>
      </c>
      <c r="E2708" s="90" t="s">
        <v>68</v>
      </c>
      <c r="F2708" s="90" t="s">
        <v>375</v>
      </c>
      <c r="G2708" s="90" t="s">
        <v>376</v>
      </c>
      <c r="H2708" s="90">
        <v>0.59</v>
      </c>
      <c r="I2708" s="90">
        <v>0.64</v>
      </c>
      <c r="J2708" s="90" t="s">
        <v>244</v>
      </c>
      <c r="K2708" s="90">
        <v>0.15840570435557999</v>
      </c>
      <c r="L2708" s="90">
        <v>3839.1368770363501</v>
      </c>
      <c r="M2708" s="90">
        <v>10.3288039676721</v>
      </c>
      <c r="N2708" s="90">
        <v>1.37819170786324</v>
      </c>
      <c r="O2708" s="90">
        <v>1.63614146764983</v>
      </c>
      <c r="P2708" s="90">
        <v>0.2183134282211</v>
      </c>
      <c r="Q2708" s="90">
        <v>608.14118112443202</v>
      </c>
      <c r="R2708" s="90">
        <v>1400</v>
      </c>
      <c r="S2708" s="90" t="s">
        <v>324</v>
      </c>
      <c r="T2708" s="90">
        <v>1400</v>
      </c>
      <c r="U2708" s="90" t="s">
        <v>378</v>
      </c>
      <c r="V2708" s="90" t="s">
        <v>244</v>
      </c>
      <c r="Z2708" s="90">
        <v>0</v>
      </c>
      <c r="AA2708" s="90">
        <v>1</v>
      </c>
      <c r="AB2708" s="90">
        <v>1.63614146764983</v>
      </c>
      <c r="AC2708" s="90">
        <v>0.2183134282211</v>
      </c>
      <c r="AD2708" s="90">
        <v>608.14118112443202</v>
      </c>
      <c r="AF2708" s="90">
        <v>-1</v>
      </c>
      <c r="AG2708" s="90">
        <v>-1</v>
      </c>
      <c r="AH2708" s="90">
        <v>-1</v>
      </c>
      <c r="AI2708" s="90">
        <v>-1</v>
      </c>
      <c r="AJ2708" s="90">
        <v>0</v>
      </c>
      <c r="AM2708" s="90" t="s">
        <v>379</v>
      </c>
      <c r="AN2708" s="90">
        <v>-1</v>
      </c>
      <c r="AQ2708" s="90">
        <v>358</v>
      </c>
      <c r="AR2708" s="90" t="s">
        <v>422</v>
      </c>
      <c r="AS2708" s="90" t="s">
        <v>250</v>
      </c>
      <c r="AT2708" s="90" t="s">
        <v>244</v>
      </c>
      <c r="AU2708" s="90">
        <v>86.412649999999999</v>
      </c>
      <c r="AV2708" s="90">
        <v>184.21224683656001</v>
      </c>
      <c r="AW2708" s="90">
        <v>641.04514201618201</v>
      </c>
      <c r="AX2708" s="90">
        <v>0.49322074710000002</v>
      </c>
    </row>
    <row r="2709" spans="1:50" x14ac:dyDescent="0.25">
      <c r="A2709" s="102">
        <v>830000</v>
      </c>
      <c r="B2709" s="102">
        <v>2500000</v>
      </c>
      <c r="C2709" s="102">
        <v>2500000</v>
      </c>
      <c r="D2709" s="90" t="s">
        <v>374</v>
      </c>
      <c r="E2709" s="90" t="s">
        <v>68</v>
      </c>
      <c r="F2709" s="90" t="s">
        <v>375</v>
      </c>
      <c r="G2709" s="90" t="s">
        <v>376</v>
      </c>
      <c r="H2709" s="90">
        <v>0.59</v>
      </c>
      <c r="I2709" s="90">
        <v>0.64</v>
      </c>
      <c r="J2709" s="90" t="s">
        <v>381</v>
      </c>
      <c r="K2709" s="90">
        <v>9.2410114437890004E-2</v>
      </c>
      <c r="L2709" s="90">
        <v>3839.1368770363501</v>
      </c>
      <c r="M2709" s="90">
        <v>10.3288039676721</v>
      </c>
      <c r="N2709" s="90">
        <v>1.37819170786324</v>
      </c>
      <c r="O2709" s="90">
        <v>0.95448595665914004</v>
      </c>
      <c r="P2709" s="90">
        <v>0.12735885344098999</v>
      </c>
      <c r="Q2709" s="90">
        <v>354.77507814966401</v>
      </c>
      <c r="R2709" s="90">
        <v>1400</v>
      </c>
      <c r="S2709" s="90" t="s">
        <v>324</v>
      </c>
      <c r="T2709" s="90">
        <v>1400</v>
      </c>
      <c r="U2709" s="90" t="s">
        <v>382</v>
      </c>
      <c r="V2709" s="90" t="s">
        <v>381</v>
      </c>
      <c r="Z2709" s="90">
        <v>0</v>
      </c>
      <c r="AA2709" s="90">
        <v>1</v>
      </c>
      <c r="AB2709" s="90">
        <v>0.95448595665914004</v>
      </c>
      <c r="AC2709" s="90">
        <v>0.12735885344098999</v>
      </c>
      <c r="AD2709" s="90">
        <v>354.77507814966498</v>
      </c>
      <c r="AF2709" s="90">
        <v>-1</v>
      </c>
      <c r="AG2709" s="90">
        <v>-1</v>
      </c>
      <c r="AH2709" s="90">
        <v>-1</v>
      </c>
      <c r="AI2709" s="90">
        <v>-1</v>
      </c>
      <c r="AJ2709" s="90">
        <v>0</v>
      </c>
      <c r="AM2709" s="90" t="s">
        <v>379</v>
      </c>
      <c r="AN2709" s="90">
        <v>-1</v>
      </c>
      <c r="AQ2709" s="90">
        <v>358</v>
      </c>
      <c r="AR2709" s="90" t="s">
        <v>422</v>
      </c>
      <c r="AS2709" s="90" t="s">
        <v>250</v>
      </c>
      <c r="AT2709" s="90" t="s">
        <v>244</v>
      </c>
      <c r="AU2709" s="90">
        <v>86.412649999999999</v>
      </c>
      <c r="AV2709" s="90">
        <v>116.765860999338</v>
      </c>
      <c r="AW2709" s="90">
        <v>373.97046510770701</v>
      </c>
      <c r="AX2709" s="90">
        <v>0.28773323449999999</v>
      </c>
    </row>
    <row r="2710" spans="1:50" x14ac:dyDescent="0.25">
      <c r="A2710" s="102">
        <v>830000</v>
      </c>
      <c r="B2710" s="102">
        <v>2500000</v>
      </c>
      <c r="C2710" s="102">
        <v>2500000</v>
      </c>
      <c r="D2710" s="90" t="s">
        <v>374</v>
      </c>
      <c r="E2710" s="90" t="s">
        <v>68</v>
      </c>
      <c r="F2710" s="90" t="s">
        <v>375</v>
      </c>
      <c r="G2710" s="90" t="s">
        <v>376</v>
      </c>
      <c r="H2710" s="90">
        <v>0.59</v>
      </c>
      <c r="I2710" s="90">
        <v>0.64</v>
      </c>
      <c r="J2710" s="90" t="s">
        <v>244</v>
      </c>
      <c r="K2710" s="90">
        <v>9.4258688367820004E-2</v>
      </c>
      <c r="L2710" s="90">
        <v>3839.1368770363501</v>
      </c>
      <c r="M2710" s="90">
        <v>10.3288039676721</v>
      </c>
      <c r="N2710" s="90">
        <v>1.37819170786324</v>
      </c>
      <c r="O2710" s="90">
        <v>0.97357951440112001</v>
      </c>
      <c r="P2710" s="90">
        <v>0.12990654270259</v>
      </c>
      <c r="Q2710" s="90">
        <v>361.87200649397801</v>
      </c>
      <c r="R2710" s="90">
        <v>1410</v>
      </c>
      <c r="S2710" s="90" t="s">
        <v>325</v>
      </c>
      <c r="T2710" s="90">
        <v>1410</v>
      </c>
      <c r="U2710" s="90" t="s">
        <v>378</v>
      </c>
      <c r="V2710" s="90" t="s">
        <v>244</v>
      </c>
      <c r="Z2710" s="90">
        <v>0</v>
      </c>
      <c r="AA2710" s="90">
        <v>1</v>
      </c>
      <c r="AB2710" s="90">
        <v>0.97357951440112001</v>
      </c>
      <c r="AC2710" s="90">
        <v>0.12990654270259</v>
      </c>
      <c r="AD2710" s="90">
        <v>361.87200649397801</v>
      </c>
      <c r="AF2710" s="90">
        <v>-1</v>
      </c>
      <c r="AG2710" s="90">
        <v>-1</v>
      </c>
      <c r="AH2710" s="90">
        <v>-1</v>
      </c>
      <c r="AI2710" s="90">
        <v>-1</v>
      </c>
      <c r="AJ2710" s="90">
        <v>0</v>
      </c>
      <c r="AM2710" s="90" t="s">
        <v>379</v>
      </c>
      <c r="AN2710" s="90">
        <v>-1</v>
      </c>
      <c r="AQ2710" s="90">
        <v>358</v>
      </c>
      <c r="AR2710" s="90" t="s">
        <v>422</v>
      </c>
      <c r="AS2710" s="90" t="s">
        <v>250</v>
      </c>
      <c r="AT2710" s="90" t="s">
        <v>244</v>
      </c>
      <c r="AU2710" s="90">
        <v>86.412649999999999</v>
      </c>
      <c r="AV2710" s="90">
        <v>98.193895459161197</v>
      </c>
      <c r="AW2710" s="90">
        <v>381.45137838831602</v>
      </c>
      <c r="AX2710" s="90">
        <v>0.2934890564</v>
      </c>
    </row>
    <row r="2711" spans="1:50" x14ac:dyDescent="0.25">
      <c r="A2711" s="102">
        <v>830000</v>
      </c>
      <c r="B2711" s="102">
        <v>2500000</v>
      </c>
      <c r="C2711" s="102">
        <v>2500000</v>
      </c>
      <c r="D2711" s="90" t="s">
        <v>374</v>
      </c>
      <c r="E2711" s="90" t="s">
        <v>68</v>
      </c>
      <c r="F2711" s="90" t="s">
        <v>375</v>
      </c>
      <c r="G2711" s="90" t="s">
        <v>376</v>
      </c>
      <c r="H2711" s="90">
        <v>0.59</v>
      </c>
      <c r="I2711" s="90">
        <v>0.64</v>
      </c>
      <c r="J2711" s="90" t="s">
        <v>244</v>
      </c>
      <c r="K2711" s="90">
        <v>0.27268894643757002</v>
      </c>
      <c r="L2711" s="90">
        <v>3839.1368770363501</v>
      </c>
      <c r="M2711" s="90">
        <v>10.3288039676721</v>
      </c>
      <c r="N2711" s="90">
        <v>1.37819170786324</v>
      </c>
      <c r="O2711" s="90">
        <v>2.8165506719047801</v>
      </c>
      <c r="P2711" s="90">
        <v>0.37581764480622998</v>
      </c>
      <c r="Q2711" s="90">
        <v>1046.89019022869</v>
      </c>
      <c r="R2711" s="90">
        <v>1410</v>
      </c>
      <c r="S2711" s="90" t="s">
        <v>325</v>
      </c>
      <c r="T2711" s="90">
        <v>1410</v>
      </c>
      <c r="U2711" s="90" t="s">
        <v>378</v>
      </c>
      <c r="V2711" s="90" t="s">
        <v>244</v>
      </c>
      <c r="Z2711" s="90">
        <v>0</v>
      </c>
      <c r="AA2711" s="90">
        <v>1</v>
      </c>
      <c r="AB2711" s="90">
        <v>2.8165506719047801</v>
      </c>
      <c r="AC2711" s="90">
        <v>0.37581764480622998</v>
      </c>
      <c r="AD2711" s="90">
        <v>1046.89019022869</v>
      </c>
      <c r="AF2711" s="90">
        <v>-1</v>
      </c>
      <c r="AG2711" s="90">
        <v>-1</v>
      </c>
      <c r="AH2711" s="90">
        <v>-1</v>
      </c>
      <c r="AI2711" s="90">
        <v>-1</v>
      </c>
      <c r="AJ2711" s="90">
        <v>0</v>
      </c>
      <c r="AM2711" s="90" t="s">
        <v>379</v>
      </c>
      <c r="AN2711" s="90">
        <v>-1</v>
      </c>
      <c r="AQ2711" s="90">
        <v>358</v>
      </c>
      <c r="AR2711" s="90" t="s">
        <v>422</v>
      </c>
      <c r="AS2711" s="90" t="s">
        <v>250</v>
      </c>
      <c r="AT2711" s="90" t="s">
        <v>244</v>
      </c>
      <c r="AU2711" s="90">
        <v>86.412649999999999</v>
      </c>
      <c r="AV2711" s="90">
        <v>138.12516858343099</v>
      </c>
      <c r="AW2711" s="90">
        <v>1103.5330142083899</v>
      </c>
      <c r="AX2711" s="90">
        <v>0.8490593595</v>
      </c>
    </row>
    <row r="2712" spans="1:50" x14ac:dyDescent="0.25">
      <c r="A2712" s="102">
        <v>830000</v>
      </c>
      <c r="B2712" s="102">
        <v>2500000</v>
      </c>
      <c r="C2712" s="102">
        <v>2500000</v>
      </c>
      <c r="D2712" s="90" t="s">
        <v>374</v>
      </c>
      <c r="E2712" s="90" t="s">
        <v>68</v>
      </c>
      <c r="F2712" s="90" t="s">
        <v>375</v>
      </c>
      <c r="G2712" s="90" t="s">
        <v>376</v>
      </c>
      <c r="H2712" s="90">
        <v>0.59</v>
      </c>
      <c r="I2712" s="90">
        <v>0.64</v>
      </c>
      <c r="J2712" s="90" t="s">
        <v>244</v>
      </c>
      <c r="K2712" s="90">
        <v>0.15779700901586999</v>
      </c>
      <c r="L2712" s="90">
        <v>3741.3885173263602</v>
      </c>
      <c r="M2712" s="90">
        <v>10.171654278638099</v>
      </c>
      <c r="N2712" s="90">
        <v>1.40566575626124</v>
      </c>
      <c r="O2712" s="90">
        <v>1.6050566219125899</v>
      </c>
      <c r="P2712" s="90">
        <v>0.22180985201405001</v>
      </c>
      <c r="Q2712" s="90">
        <v>590.37991760042803</v>
      </c>
      <c r="R2712" s="90">
        <v>1200</v>
      </c>
      <c r="S2712" s="90" t="s">
        <v>384</v>
      </c>
      <c r="T2712" s="90">
        <v>1200</v>
      </c>
      <c r="U2712" s="90" t="s">
        <v>378</v>
      </c>
      <c r="V2712" s="90" t="s">
        <v>244</v>
      </c>
      <c r="Z2712" s="90">
        <v>0</v>
      </c>
      <c r="AA2712" s="90">
        <v>1</v>
      </c>
      <c r="AB2712" s="90">
        <v>1.6050566219125899</v>
      </c>
      <c r="AC2712" s="90">
        <v>0.22180985201405001</v>
      </c>
      <c r="AD2712" s="90">
        <v>590.37991760042803</v>
      </c>
      <c r="AF2712" s="90">
        <v>-1</v>
      </c>
      <c r="AG2712" s="90">
        <v>-1</v>
      </c>
      <c r="AH2712" s="90">
        <v>-1</v>
      </c>
      <c r="AI2712" s="90">
        <v>-1</v>
      </c>
      <c r="AJ2712" s="90">
        <v>0</v>
      </c>
      <c r="AM2712" s="90" t="s">
        <v>379</v>
      </c>
      <c r="AN2712" s="90">
        <v>-1</v>
      </c>
      <c r="AQ2712" s="90">
        <v>358</v>
      </c>
      <c r="AR2712" s="90" t="s">
        <v>422</v>
      </c>
      <c r="AS2712" s="90" t="s">
        <v>250</v>
      </c>
      <c r="AT2712" s="90" t="s">
        <v>244</v>
      </c>
      <c r="AU2712" s="90">
        <v>86.412649999999999</v>
      </c>
      <c r="AV2712" s="90">
        <v>125.57466155615499</v>
      </c>
      <c r="AW2712" s="90">
        <v>638.58183937139199</v>
      </c>
      <c r="AX2712" s="90">
        <v>0.4788158294</v>
      </c>
    </row>
    <row r="2713" spans="1:50" x14ac:dyDescent="0.25">
      <c r="A2713" s="102">
        <v>830000</v>
      </c>
      <c r="B2713" s="102">
        <v>2500000</v>
      </c>
      <c r="C2713" s="102">
        <v>2500000</v>
      </c>
      <c r="D2713" s="90" t="s">
        <v>374</v>
      </c>
      <c r="E2713" s="90" t="s">
        <v>68</v>
      </c>
      <c r="F2713" s="90" t="s">
        <v>375</v>
      </c>
      <c r="G2713" s="90" t="s">
        <v>376</v>
      </c>
      <c r="H2713" s="90">
        <v>0.59</v>
      </c>
      <c r="I2713" s="90">
        <v>0.64</v>
      </c>
      <c r="J2713" s="90" t="s">
        <v>244</v>
      </c>
      <c r="K2713" s="90">
        <v>0.15397065290313999</v>
      </c>
      <c r="L2713" s="90">
        <v>3741.3885173263602</v>
      </c>
      <c r="M2713" s="90">
        <v>10.171654278638099</v>
      </c>
      <c r="N2713" s="90">
        <v>1.40566575626124</v>
      </c>
      <c r="O2713" s="90">
        <v>1.5661362503869301</v>
      </c>
      <c r="P2713" s="90">
        <v>0.21643127425513001</v>
      </c>
      <c r="Q2713" s="90">
        <v>576.06403277705397</v>
      </c>
      <c r="R2713" s="90">
        <v>1400</v>
      </c>
      <c r="S2713" s="90" t="s">
        <v>324</v>
      </c>
      <c r="T2713" s="90">
        <v>1400</v>
      </c>
      <c r="U2713" s="90" t="s">
        <v>378</v>
      </c>
      <c r="V2713" s="90" t="s">
        <v>244</v>
      </c>
      <c r="Z2713" s="90">
        <v>0</v>
      </c>
      <c r="AA2713" s="90">
        <v>1</v>
      </c>
      <c r="AB2713" s="90">
        <v>1.5661362503869301</v>
      </c>
      <c r="AC2713" s="90">
        <v>0.21643127425513001</v>
      </c>
      <c r="AD2713" s="90">
        <v>576.06403277705397</v>
      </c>
      <c r="AF2713" s="90">
        <v>-1</v>
      </c>
      <c r="AG2713" s="90">
        <v>-1</v>
      </c>
      <c r="AH2713" s="90">
        <v>-1</v>
      </c>
      <c r="AI2713" s="90">
        <v>-1</v>
      </c>
      <c r="AJ2713" s="90">
        <v>0</v>
      </c>
      <c r="AM2713" s="90" t="s">
        <v>379</v>
      </c>
      <c r="AN2713" s="90">
        <v>-1</v>
      </c>
      <c r="AQ2713" s="90">
        <v>358</v>
      </c>
      <c r="AR2713" s="90" t="s">
        <v>422</v>
      </c>
      <c r="AS2713" s="90" t="s">
        <v>250</v>
      </c>
      <c r="AT2713" s="90" t="s">
        <v>244</v>
      </c>
      <c r="AU2713" s="90">
        <v>86.412649999999999</v>
      </c>
      <c r="AV2713" s="90">
        <v>229.86385675189399</v>
      </c>
      <c r="AW2713" s="90">
        <v>623.09712556219699</v>
      </c>
      <c r="AX2713" s="90">
        <v>0.46720521720000002</v>
      </c>
    </row>
    <row r="2714" spans="1:50" x14ac:dyDescent="0.25">
      <c r="A2714" s="102">
        <v>830000</v>
      </c>
      <c r="B2714" s="102">
        <v>2500000</v>
      </c>
      <c r="C2714" s="102">
        <v>2500000</v>
      </c>
      <c r="D2714" s="90" t="s">
        <v>374</v>
      </c>
      <c r="E2714" s="90" t="s">
        <v>68</v>
      </c>
      <c r="F2714" s="90" t="s">
        <v>375</v>
      </c>
      <c r="G2714" s="90" t="s">
        <v>376</v>
      </c>
      <c r="H2714" s="90">
        <v>0.59</v>
      </c>
      <c r="I2714" s="90">
        <v>0.64</v>
      </c>
      <c r="J2714" s="90" t="s">
        <v>381</v>
      </c>
      <c r="K2714" s="90">
        <v>6.56659047635E-3</v>
      </c>
      <c r="L2714" s="90">
        <v>3741.3885173263602</v>
      </c>
      <c r="M2714" s="90">
        <v>10.171654278638099</v>
      </c>
      <c r="N2714" s="90">
        <v>1.40566575626124</v>
      </c>
      <c r="O2714" s="90">
        <v>6.6793088114870003E-2</v>
      </c>
      <c r="P2714" s="90">
        <v>9.2304313679999993E-3</v>
      </c>
      <c r="Q2714" s="90">
        <v>24.568166206215501</v>
      </c>
      <c r="R2714" s="90">
        <v>1400</v>
      </c>
      <c r="S2714" s="90" t="s">
        <v>324</v>
      </c>
      <c r="T2714" s="90">
        <v>1400</v>
      </c>
      <c r="U2714" s="90" t="s">
        <v>382</v>
      </c>
      <c r="V2714" s="90" t="s">
        <v>381</v>
      </c>
      <c r="Z2714" s="90">
        <v>0</v>
      </c>
      <c r="AA2714" s="90">
        <v>1</v>
      </c>
      <c r="AB2714" s="90">
        <v>6.6793088114870003E-2</v>
      </c>
      <c r="AC2714" s="90">
        <v>9.2304313679999993E-3</v>
      </c>
      <c r="AD2714" s="90">
        <v>24.568166206213899</v>
      </c>
      <c r="AF2714" s="90">
        <v>-1</v>
      </c>
      <c r="AG2714" s="90">
        <v>-1</v>
      </c>
      <c r="AH2714" s="90">
        <v>-1</v>
      </c>
      <c r="AI2714" s="90">
        <v>-1</v>
      </c>
      <c r="AJ2714" s="90">
        <v>0</v>
      </c>
      <c r="AM2714" s="90" t="s">
        <v>379</v>
      </c>
      <c r="AN2714" s="90">
        <v>-1</v>
      </c>
      <c r="AQ2714" s="90">
        <v>358</v>
      </c>
      <c r="AR2714" s="90" t="s">
        <v>422</v>
      </c>
      <c r="AS2714" s="90" t="s">
        <v>250</v>
      </c>
      <c r="AT2714" s="90" t="s">
        <v>244</v>
      </c>
      <c r="AU2714" s="90">
        <v>86.412649999999999</v>
      </c>
      <c r="AV2714" s="90">
        <v>102.806829977345</v>
      </c>
      <c r="AW2714" s="90">
        <v>26.574048842502101</v>
      </c>
      <c r="AX2714" s="90">
        <v>1.9925519999999999E-2</v>
      </c>
    </row>
    <row r="2715" spans="1:50" x14ac:dyDescent="0.25">
      <c r="A2715" s="102">
        <v>830000</v>
      </c>
      <c r="B2715" s="102">
        <v>2500000</v>
      </c>
      <c r="C2715" s="102">
        <v>2500000</v>
      </c>
      <c r="D2715" s="90" t="s">
        <v>374</v>
      </c>
      <c r="E2715" s="90" t="s">
        <v>68</v>
      </c>
      <c r="F2715" s="90" t="s">
        <v>375</v>
      </c>
      <c r="G2715" s="90" t="s">
        <v>376</v>
      </c>
      <c r="H2715" s="90">
        <v>0.59</v>
      </c>
      <c r="I2715" s="90">
        <v>0.64</v>
      </c>
      <c r="J2715" s="90" t="s">
        <v>244</v>
      </c>
      <c r="K2715" s="90">
        <v>8.172902380614E-2</v>
      </c>
      <c r="L2715" s="90">
        <v>3761.1340898818298</v>
      </c>
      <c r="M2715" s="90">
        <v>10.8169182187148</v>
      </c>
      <c r="N2715" s="90">
        <v>2.08371064325544</v>
      </c>
      <c r="O2715" s="90">
        <v>0.88405616660648001</v>
      </c>
      <c r="P2715" s="90">
        <v>0.17029963676773999</v>
      </c>
      <c r="Q2715" s="90">
        <v>307.39381757005901</v>
      </c>
      <c r="R2715" s="90">
        <v>1300</v>
      </c>
      <c r="S2715" s="90" t="s">
        <v>387</v>
      </c>
      <c r="T2715" s="90">
        <v>1300</v>
      </c>
      <c r="U2715" s="90" t="s">
        <v>378</v>
      </c>
      <c r="V2715" s="90" t="s">
        <v>244</v>
      </c>
      <c r="Z2715" s="90">
        <v>0</v>
      </c>
      <c r="AA2715" s="90">
        <v>1</v>
      </c>
      <c r="AB2715" s="90">
        <v>0.88405616660648001</v>
      </c>
      <c r="AC2715" s="90">
        <v>0.17029963676773999</v>
      </c>
      <c r="AD2715" s="90">
        <v>307.39381757005799</v>
      </c>
      <c r="AF2715" s="90">
        <v>-1</v>
      </c>
      <c r="AG2715" s="90">
        <v>-1</v>
      </c>
      <c r="AH2715" s="90">
        <v>-1</v>
      </c>
      <c r="AI2715" s="90">
        <v>-1</v>
      </c>
      <c r="AJ2715" s="90">
        <v>0</v>
      </c>
      <c r="AM2715" s="90" t="s">
        <v>379</v>
      </c>
      <c r="AN2715" s="90">
        <v>-1</v>
      </c>
      <c r="AQ2715" s="90">
        <v>358</v>
      </c>
      <c r="AR2715" s="90" t="s">
        <v>422</v>
      </c>
      <c r="AS2715" s="90" t="s">
        <v>250</v>
      </c>
      <c r="AT2715" s="90" t="s">
        <v>244</v>
      </c>
      <c r="AU2715" s="90">
        <v>86.412649999999999</v>
      </c>
      <c r="AV2715" s="90">
        <v>90.878215003054905</v>
      </c>
      <c r="AW2715" s="90">
        <v>330.74562488638298</v>
      </c>
      <c r="AX2715" s="90">
        <v>0.24930561039999999</v>
      </c>
    </row>
    <row r="2716" spans="1:50" x14ac:dyDescent="0.25">
      <c r="A2716" s="102">
        <v>830000</v>
      </c>
      <c r="B2716" s="102">
        <v>2500000</v>
      </c>
      <c r="C2716" s="102">
        <v>2500000</v>
      </c>
      <c r="D2716" s="90" t="s">
        <v>374</v>
      </c>
      <c r="E2716" s="90" t="s">
        <v>68</v>
      </c>
      <c r="F2716" s="90" t="s">
        <v>375</v>
      </c>
      <c r="G2716" s="90" t="s">
        <v>376</v>
      </c>
      <c r="H2716" s="90">
        <v>0.59</v>
      </c>
      <c r="I2716" s="90">
        <v>0.64</v>
      </c>
      <c r="J2716" s="90" t="s">
        <v>244</v>
      </c>
      <c r="K2716" s="90">
        <v>2.870195284872E-2</v>
      </c>
      <c r="L2716" s="90">
        <v>3761.1340898818298</v>
      </c>
      <c r="M2716" s="90">
        <v>10.8169182187148</v>
      </c>
      <c r="N2716" s="90">
        <v>2.08371064325544</v>
      </c>
      <c r="O2716" s="90">
        <v>0.31046667668203998</v>
      </c>
      <c r="P2716" s="90">
        <v>5.9806564633100003E-2</v>
      </c>
      <c r="Q2716" s="90">
        <v>107.951893305513</v>
      </c>
      <c r="R2716" s="90">
        <v>1330</v>
      </c>
      <c r="S2716" s="90" t="s">
        <v>397</v>
      </c>
      <c r="T2716" s="90">
        <v>1330</v>
      </c>
      <c r="U2716" s="90" t="s">
        <v>378</v>
      </c>
      <c r="V2716" s="90" t="s">
        <v>244</v>
      </c>
      <c r="Z2716" s="90">
        <v>0</v>
      </c>
      <c r="AA2716" s="90">
        <v>1</v>
      </c>
      <c r="AB2716" s="90">
        <v>0.31046667668203998</v>
      </c>
      <c r="AC2716" s="90">
        <v>5.9806564633100003E-2</v>
      </c>
      <c r="AD2716" s="90">
        <v>107.95189330551401</v>
      </c>
      <c r="AF2716" s="90">
        <v>-1</v>
      </c>
      <c r="AG2716" s="90">
        <v>-1</v>
      </c>
      <c r="AH2716" s="90">
        <v>-1</v>
      </c>
      <c r="AI2716" s="90">
        <v>-1</v>
      </c>
      <c r="AJ2716" s="90">
        <v>0</v>
      </c>
      <c r="AM2716" s="90" t="s">
        <v>379</v>
      </c>
      <c r="AN2716" s="90">
        <v>-1</v>
      </c>
      <c r="AQ2716" s="90">
        <v>358</v>
      </c>
      <c r="AR2716" s="90" t="s">
        <v>422</v>
      </c>
      <c r="AS2716" s="90" t="s">
        <v>250</v>
      </c>
      <c r="AT2716" s="90" t="s">
        <v>244</v>
      </c>
      <c r="AU2716" s="90">
        <v>86.412649999999999</v>
      </c>
      <c r="AV2716" s="90">
        <v>44.337477473794799</v>
      </c>
      <c r="AW2716" s="90">
        <v>116.152682221278</v>
      </c>
      <c r="AX2716" s="90">
        <v>8.7552224900000003E-2</v>
      </c>
    </row>
    <row r="2717" spans="1:50" x14ac:dyDescent="0.25">
      <c r="A2717" s="102">
        <v>830000</v>
      </c>
      <c r="B2717" s="102">
        <v>2500000</v>
      </c>
      <c r="C2717" s="102">
        <v>2500000</v>
      </c>
      <c r="D2717" s="90" t="s">
        <v>374</v>
      </c>
      <c r="E2717" s="90" t="s">
        <v>68</v>
      </c>
      <c r="F2717" s="90" t="s">
        <v>375</v>
      </c>
      <c r="G2717" s="90" t="s">
        <v>376</v>
      </c>
      <c r="H2717" s="90">
        <v>0.59</v>
      </c>
      <c r="I2717" s="90">
        <v>0.64</v>
      </c>
      <c r="J2717" s="90" t="s">
        <v>244</v>
      </c>
      <c r="K2717" s="90">
        <v>0.50733247694399997</v>
      </c>
      <c r="L2717" s="90">
        <v>3761.1340898818298</v>
      </c>
      <c r="M2717" s="90">
        <v>10.8169182187148</v>
      </c>
      <c r="N2717" s="90">
        <v>2.08371064325544</v>
      </c>
      <c r="O2717" s="90">
        <v>5.4877739128013197</v>
      </c>
      <c r="P2717" s="90">
        <v>1.05713408187737</v>
      </c>
      <c r="Q2717" s="90">
        <v>1908.14547393828</v>
      </c>
      <c r="R2717" s="90">
        <v>1300</v>
      </c>
      <c r="S2717" s="90" t="s">
        <v>387</v>
      </c>
      <c r="T2717" s="90">
        <v>1300</v>
      </c>
      <c r="U2717" s="90" t="s">
        <v>378</v>
      </c>
      <c r="V2717" s="90" t="s">
        <v>244</v>
      </c>
      <c r="Z2717" s="90">
        <v>0</v>
      </c>
      <c r="AA2717" s="90">
        <v>1</v>
      </c>
      <c r="AB2717" s="90">
        <v>5.4877739128013197</v>
      </c>
      <c r="AC2717" s="90">
        <v>1.05713408187737</v>
      </c>
      <c r="AD2717" s="90">
        <v>1908.14547393828</v>
      </c>
      <c r="AF2717" s="90">
        <v>-1</v>
      </c>
      <c r="AG2717" s="90">
        <v>-1</v>
      </c>
      <c r="AH2717" s="90">
        <v>-1</v>
      </c>
      <c r="AI2717" s="90">
        <v>-1</v>
      </c>
      <c r="AJ2717" s="90">
        <v>0</v>
      </c>
      <c r="AM2717" s="90" t="s">
        <v>379</v>
      </c>
      <c r="AN2717" s="90">
        <v>-1</v>
      </c>
      <c r="AQ2717" s="90">
        <v>358</v>
      </c>
      <c r="AR2717" s="90" t="s">
        <v>422</v>
      </c>
      <c r="AS2717" s="90" t="s">
        <v>250</v>
      </c>
      <c r="AT2717" s="90" t="s">
        <v>244</v>
      </c>
      <c r="AU2717" s="90">
        <v>86.412649999999999</v>
      </c>
      <c r="AV2717" s="90">
        <v>182.138785580285</v>
      </c>
      <c r="AW2717" s="90">
        <v>2053.10169261294</v>
      </c>
      <c r="AX2717" s="90">
        <v>1.5475632392000001</v>
      </c>
    </row>
    <row r="2718" spans="1:50" x14ac:dyDescent="0.25">
      <c r="A2718" s="102">
        <v>830000</v>
      </c>
      <c r="B2718" s="102">
        <v>2500000</v>
      </c>
      <c r="C2718" s="102">
        <v>2500000</v>
      </c>
      <c r="D2718" s="90" t="s">
        <v>374</v>
      </c>
      <c r="E2718" s="90" t="s">
        <v>68</v>
      </c>
      <c r="F2718" s="90" t="s">
        <v>375</v>
      </c>
      <c r="G2718" s="90" t="s">
        <v>376</v>
      </c>
      <c r="H2718" s="90">
        <v>0.59</v>
      </c>
      <c r="I2718" s="90">
        <v>0.64</v>
      </c>
      <c r="J2718" s="90" t="s">
        <v>244</v>
      </c>
      <c r="K2718" s="90">
        <v>0.23637978287538999</v>
      </c>
      <c r="L2718" s="90">
        <v>3786.9317971546002</v>
      </c>
      <c r="M2718" s="90">
        <v>9.2610008556406207</v>
      </c>
      <c r="N2718" s="90">
        <v>1.5943031522110001</v>
      </c>
      <c r="O2718" s="90">
        <v>2.1891133714651798</v>
      </c>
      <c r="P2718" s="90">
        <v>0.37686103295718998</v>
      </c>
      <c r="Q2718" s="90">
        <v>895.15411597533705</v>
      </c>
      <c r="R2718" s="90">
        <v>1300</v>
      </c>
      <c r="S2718" s="90" t="s">
        <v>387</v>
      </c>
      <c r="T2718" s="90">
        <v>1300</v>
      </c>
      <c r="U2718" s="90" t="s">
        <v>378</v>
      </c>
      <c r="V2718" s="90" t="s">
        <v>244</v>
      </c>
      <c r="Z2718" s="90">
        <v>0</v>
      </c>
      <c r="AA2718" s="90">
        <v>1</v>
      </c>
      <c r="AB2718" s="90">
        <v>2.1891133714651798</v>
      </c>
      <c r="AC2718" s="90">
        <v>0.37686103295718998</v>
      </c>
      <c r="AD2718" s="90">
        <v>895.15411597533705</v>
      </c>
      <c r="AF2718" s="90">
        <v>-1</v>
      </c>
      <c r="AG2718" s="90">
        <v>-1</v>
      </c>
      <c r="AH2718" s="90">
        <v>-1</v>
      </c>
      <c r="AI2718" s="90">
        <v>-1</v>
      </c>
      <c r="AJ2718" s="90">
        <v>0</v>
      </c>
      <c r="AM2718" s="90" t="s">
        <v>379</v>
      </c>
      <c r="AN2718" s="90">
        <v>-1</v>
      </c>
      <c r="AQ2718" s="90">
        <v>358</v>
      </c>
      <c r="AR2718" s="90" t="s">
        <v>422</v>
      </c>
      <c r="AS2718" s="90" t="s">
        <v>250</v>
      </c>
      <c r="AT2718" s="90" t="s">
        <v>244</v>
      </c>
      <c r="AU2718" s="90">
        <v>86.412649999999999</v>
      </c>
      <c r="AV2718" s="90">
        <v>138.401489498161</v>
      </c>
      <c r="AW2718" s="90">
        <v>956.59504245481605</v>
      </c>
      <c r="AX2718" s="90">
        <v>0.72599684990000002</v>
      </c>
    </row>
    <row r="2719" spans="1:50" x14ac:dyDescent="0.25">
      <c r="A2719" s="102">
        <v>830000</v>
      </c>
      <c r="B2719" s="102">
        <v>2500000</v>
      </c>
      <c r="C2719" s="102">
        <v>2500000</v>
      </c>
      <c r="D2719" s="90" t="s">
        <v>374</v>
      </c>
      <c r="E2719" s="90" t="s">
        <v>68</v>
      </c>
      <c r="F2719" s="90" t="s">
        <v>375</v>
      </c>
      <c r="G2719" s="90" t="s">
        <v>376</v>
      </c>
      <c r="H2719" s="90">
        <v>0.59</v>
      </c>
      <c r="I2719" s="90">
        <v>0.64</v>
      </c>
      <c r="J2719" s="90" t="s">
        <v>244</v>
      </c>
      <c r="K2719" s="90">
        <v>0.38138367072347001</v>
      </c>
      <c r="L2719" s="90">
        <v>3786.9317971546002</v>
      </c>
      <c r="M2719" s="90">
        <v>9.2610008556406207</v>
      </c>
      <c r="N2719" s="90">
        <v>1.5943031522110001</v>
      </c>
      <c r="O2719" s="90">
        <v>3.5319945008974698</v>
      </c>
      <c r="P2719" s="90">
        <v>0.60804118843624</v>
      </c>
      <c r="Q2719" s="90">
        <v>1444.27394957827</v>
      </c>
      <c r="R2719" s="90">
        <v>1300</v>
      </c>
      <c r="S2719" s="90" t="s">
        <v>387</v>
      </c>
      <c r="T2719" s="90">
        <v>1300</v>
      </c>
      <c r="U2719" s="90" t="s">
        <v>378</v>
      </c>
      <c r="V2719" s="90" t="s">
        <v>244</v>
      </c>
      <c r="Z2719" s="90">
        <v>0</v>
      </c>
      <c r="AA2719" s="90">
        <v>1</v>
      </c>
      <c r="AB2719" s="90">
        <v>3.5319945008974698</v>
      </c>
      <c r="AC2719" s="90">
        <v>0.60804118843624</v>
      </c>
      <c r="AD2719" s="90">
        <v>1444.27394957827</v>
      </c>
      <c r="AF2719" s="90">
        <v>-1</v>
      </c>
      <c r="AG2719" s="90">
        <v>-1</v>
      </c>
      <c r="AH2719" s="90">
        <v>-1</v>
      </c>
      <c r="AI2719" s="90">
        <v>-1</v>
      </c>
      <c r="AJ2719" s="90">
        <v>0</v>
      </c>
      <c r="AM2719" s="90" t="s">
        <v>379</v>
      </c>
      <c r="AN2719" s="90">
        <v>-1</v>
      </c>
      <c r="AQ2719" s="90">
        <v>358</v>
      </c>
      <c r="AR2719" s="90" t="s">
        <v>422</v>
      </c>
      <c r="AS2719" s="90" t="s">
        <v>250</v>
      </c>
      <c r="AT2719" s="90" t="s">
        <v>244</v>
      </c>
      <c r="AU2719" s="90">
        <v>86.412649999999999</v>
      </c>
      <c r="AV2719" s="90">
        <v>161.87388608797599</v>
      </c>
      <c r="AW2719" s="90">
        <v>1543.40495726578</v>
      </c>
      <c r="AX2719" s="90">
        <v>1.171349513</v>
      </c>
    </row>
    <row r="2720" spans="1:50" x14ac:dyDescent="0.25">
      <c r="A2720" s="102">
        <v>830000</v>
      </c>
      <c r="B2720" s="102">
        <v>2500000</v>
      </c>
      <c r="C2720" s="102">
        <v>2500000</v>
      </c>
      <c r="D2720" s="90" t="s">
        <v>374</v>
      </c>
      <c r="E2720" s="90" t="s">
        <v>68</v>
      </c>
      <c r="F2720" s="90" t="s">
        <v>375</v>
      </c>
      <c r="G2720" s="90" t="s">
        <v>376</v>
      </c>
      <c r="H2720" s="90">
        <v>0.59</v>
      </c>
      <c r="I2720" s="90">
        <v>0.64</v>
      </c>
      <c r="J2720" s="90" t="s">
        <v>381</v>
      </c>
      <c r="K2720" s="90">
        <v>2.0283335137699999E-3</v>
      </c>
      <c r="L2720" s="90">
        <v>3760.7362740979902</v>
      </c>
      <c r="M2720" s="90">
        <v>10.8111758448171</v>
      </c>
      <c r="N2720" s="90">
        <v>2.0812306110549299</v>
      </c>
      <c r="O2720" s="90">
        <v>2.1928670289370001E-2</v>
      </c>
      <c r="P2720" s="90">
        <v>4.2214297983000004E-3</v>
      </c>
      <c r="Q2720" s="90">
        <v>7.6280274212297998</v>
      </c>
      <c r="R2720" s="90">
        <v>1200</v>
      </c>
      <c r="S2720" s="90" t="s">
        <v>384</v>
      </c>
      <c r="T2720" s="90">
        <v>1200</v>
      </c>
      <c r="U2720" s="90" t="s">
        <v>382</v>
      </c>
      <c r="V2720" s="90" t="s">
        <v>381</v>
      </c>
      <c r="Z2720" s="90">
        <v>0</v>
      </c>
      <c r="AA2720" s="90">
        <v>1</v>
      </c>
      <c r="AB2720" s="90">
        <v>2.1928670289370001E-2</v>
      </c>
      <c r="AC2720" s="90">
        <v>4.2214297983000004E-3</v>
      </c>
      <c r="AD2720" s="90">
        <v>7.6280274212302501</v>
      </c>
      <c r="AF2720" s="90">
        <v>-1</v>
      </c>
      <c r="AG2720" s="90">
        <v>-1</v>
      </c>
      <c r="AH2720" s="90">
        <v>-1</v>
      </c>
      <c r="AI2720" s="90">
        <v>-1</v>
      </c>
      <c r="AJ2720" s="90">
        <v>0</v>
      </c>
      <c r="AM2720" s="90" t="s">
        <v>379</v>
      </c>
      <c r="AN2720" s="90">
        <v>-1</v>
      </c>
      <c r="AQ2720" s="90">
        <v>358</v>
      </c>
      <c r="AR2720" s="90" t="s">
        <v>422</v>
      </c>
      <c r="AS2720" s="90" t="s">
        <v>250</v>
      </c>
      <c r="AT2720" s="90" t="s">
        <v>244</v>
      </c>
      <c r="AU2720" s="90">
        <v>86.412649999999999</v>
      </c>
      <c r="AV2720" s="90">
        <v>31.665402563653601</v>
      </c>
      <c r="AW2720" s="90">
        <v>8.20837450699808</v>
      </c>
      <c r="AX2720" s="90">
        <v>6.1865590999999999E-3</v>
      </c>
    </row>
    <row r="2721" spans="1:50" x14ac:dyDescent="0.25">
      <c r="A2721" s="102">
        <v>830000</v>
      </c>
      <c r="B2721" s="102">
        <v>2500000</v>
      </c>
      <c r="C2721" s="102">
        <v>2500000</v>
      </c>
      <c r="D2721" s="90" t="s">
        <v>374</v>
      </c>
      <c r="E2721" s="90" t="s">
        <v>68</v>
      </c>
      <c r="F2721" s="90" t="s">
        <v>375</v>
      </c>
      <c r="G2721" s="90" t="s">
        <v>376</v>
      </c>
      <c r="H2721" s="90">
        <v>0.59</v>
      </c>
      <c r="I2721" s="90">
        <v>0.64</v>
      </c>
      <c r="J2721" s="90" t="s">
        <v>244</v>
      </c>
      <c r="K2721" s="90">
        <v>1.8651121361390001E-2</v>
      </c>
      <c r="L2721" s="90">
        <v>3760.7362740979902</v>
      </c>
      <c r="M2721" s="90">
        <v>10.8111758448171</v>
      </c>
      <c r="N2721" s="90">
        <v>2.0812306110549299</v>
      </c>
      <c r="O2721" s="90">
        <v>0.20164055274109</v>
      </c>
      <c r="P2721" s="90">
        <v>3.8817284707840002E-2</v>
      </c>
      <c r="Q2721" s="90">
        <v>70.141948656413405</v>
      </c>
      <c r="R2721" s="90">
        <v>1300</v>
      </c>
      <c r="S2721" s="90" t="s">
        <v>387</v>
      </c>
      <c r="T2721" s="90">
        <v>1300</v>
      </c>
      <c r="U2721" s="90" t="s">
        <v>378</v>
      </c>
      <c r="V2721" s="90" t="s">
        <v>244</v>
      </c>
      <c r="Z2721" s="90">
        <v>0</v>
      </c>
      <c r="AA2721" s="90">
        <v>1</v>
      </c>
      <c r="AB2721" s="90">
        <v>0.20164055274109</v>
      </c>
      <c r="AC2721" s="90">
        <v>3.8817284707840002E-2</v>
      </c>
      <c r="AD2721" s="90">
        <v>70.141948656414499</v>
      </c>
      <c r="AF2721" s="90">
        <v>-1</v>
      </c>
      <c r="AG2721" s="90">
        <v>-1</v>
      </c>
      <c r="AH2721" s="90">
        <v>-1</v>
      </c>
      <c r="AI2721" s="90">
        <v>-1</v>
      </c>
      <c r="AJ2721" s="90">
        <v>0</v>
      </c>
      <c r="AM2721" s="90" t="s">
        <v>379</v>
      </c>
      <c r="AN2721" s="90">
        <v>-1</v>
      </c>
      <c r="AQ2721" s="90">
        <v>358</v>
      </c>
      <c r="AR2721" s="90" t="s">
        <v>422</v>
      </c>
      <c r="AS2721" s="90" t="s">
        <v>250</v>
      </c>
      <c r="AT2721" s="90" t="s">
        <v>244</v>
      </c>
      <c r="AU2721" s="90">
        <v>86.412649999999999</v>
      </c>
      <c r="AV2721" s="90">
        <v>176.70175655453801</v>
      </c>
      <c r="AW2721" s="90">
        <v>75.478410266336496</v>
      </c>
      <c r="AX2721" s="90">
        <v>5.6887225200000002E-2</v>
      </c>
    </row>
    <row r="2722" spans="1:50" x14ac:dyDescent="0.25">
      <c r="A2722" s="102">
        <v>830000</v>
      </c>
      <c r="B2722" s="102">
        <v>2500000</v>
      </c>
      <c r="C2722" s="102">
        <v>2500000</v>
      </c>
      <c r="D2722" s="90" t="s">
        <v>374</v>
      </c>
      <c r="E2722" s="90" t="s">
        <v>68</v>
      </c>
      <c r="F2722" s="90" t="s">
        <v>375</v>
      </c>
      <c r="G2722" s="90" t="s">
        <v>376</v>
      </c>
      <c r="H2722" s="90">
        <v>0.59</v>
      </c>
      <c r="I2722" s="90">
        <v>0.64</v>
      </c>
      <c r="J2722" s="90" t="s">
        <v>381</v>
      </c>
      <c r="K2722" s="90">
        <v>0.15420229551931999</v>
      </c>
      <c r="L2722" s="90">
        <v>3760.7362740979902</v>
      </c>
      <c r="M2722" s="90">
        <v>10.8111758448171</v>
      </c>
      <c r="N2722" s="90">
        <v>2.0812306110549299</v>
      </c>
      <c r="O2722" s="90">
        <v>1.6671081325339201</v>
      </c>
      <c r="P2722" s="90">
        <v>0.32093053772975999</v>
      </c>
      <c r="Q2722" s="90">
        <v>579.91416630871902</v>
      </c>
      <c r="R2722" s="90">
        <v>1300</v>
      </c>
      <c r="S2722" s="90" t="s">
        <v>387</v>
      </c>
      <c r="T2722" s="90">
        <v>1300</v>
      </c>
      <c r="U2722" s="90" t="s">
        <v>382</v>
      </c>
      <c r="V2722" s="90" t="s">
        <v>381</v>
      </c>
      <c r="Z2722" s="90">
        <v>0</v>
      </c>
      <c r="AA2722" s="90">
        <v>1</v>
      </c>
      <c r="AB2722" s="90">
        <v>1.6671081325339201</v>
      </c>
      <c r="AC2722" s="90">
        <v>0.32093053772975999</v>
      </c>
      <c r="AD2722" s="90">
        <v>579.91416630871902</v>
      </c>
      <c r="AF2722" s="90">
        <v>-1</v>
      </c>
      <c r="AG2722" s="90">
        <v>-1</v>
      </c>
      <c r="AH2722" s="90">
        <v>-1</v>
      </c>
      <c r="AI2722" s="90">
        <v>-1</v>
      </c>
      <c r="AJ2722" s="90">
        <v>0</v>
      </c>
      <c r="AM2722" s="90" t="s">
        <v>379</v>
      </c>
      <c r="AN2722" s="90">
        <v>-1</v>
      </c>
      <c r="AQ2722" s="90">
        <v>358</v>
      </c>
      <c r="AR2722" s="90" t="s">
        <v>422</v>
      </c>
      <c r="AS2722" s="90" t="s">
        <v>250</v>
      </c>
      <c r="AT2722" s="90" t="s">
        <v>244</v>
      </c>
      <c r="AU2722" s="90">
        <v>86.412649999999999</v>
      </c>
      <c r="AV2722" s="90">
        <v>124.597203623746</v>
      </c>
      <c r="AW2722" s="90">
        <v>624.03454997122003</v>
      </c>
      <c r="AX2722" s="90">
        <v>0.470327791</v>
      </c>
    </row>
    <row r="2723" spans="1:50" x14ac:dyDescent="0.25">
      <c r="A2723" s="102">
        <v>830000</v>
      </c>
      <c r="B2723" s="102">
        <v>2500000</v>
      </c>
      <c r="C2723" s="102">
        <v>2500000</v>
      </c>
      <c r="D2723" s="90" t="s">
        <v>374</v>
      </c>
      <c r="E2723" s="90" t="s">
        <v>68</v>
      </c>
      <c r="F2723" s="90" t="s">
        <v>375</v>
      </c>
      <c r="G2723" s="90" t="s">
        <v>376</v>
      </c>
      <c r="H2723" s="90">
        <v>0.59</v>
      </c>
      <c r="I2723" s="90">
        <v>0.64</v>
      </c>
      <c r="J2723" s="90" t="s">
        <v>244</v>
      </c>
      <c r="K2723" s="90">
        <v>1.585349460491E-2</v>
      </c>
      <c r="L2723" s="90">
        <v>3760.7362740979902</v>
      </c>
      <c r="M2723" s="90">
        <v>10.8111758448171</v>
      </c>
      <c r="N2723" s="90">
        <v>2.0812306110549299</v>
      </c>
      <c r="O2723" s="90">
        <v>0.17139491792862999</v>
      </c>
      <c r="P2723" s="90">
        <v>3.2994778263950003E-2</v>
      </c>
      <c r="Q2723" s="90">
        <v>59.620812231935702</v>
      </c>
      <c r="R2723" s="90">
        <v>1300</v>
      </c>
      <c r="S2723" s="90" t="s">
        <v>387</v>
      </c>
      <c r="T2723" s="90">
        <v>1300</v>
      </c>
      <c r="U2723" s="90" t="s">
        <v>378</v>
      </c>
      <c r="V2723" s="90" t="s">
        <v>244</v>
      </c>
      <c r="Z2723" s="90">
        <v>0</v>
      </c>
      <c r="AA2723" s="90">
        <v>1</v>
      </c>
      <c r="AB2723" s="90">
        <v>0.17139491792862999</v>
      </c>
      <c r="AC2723" s="90">
        <v>3.2994778263950003E-2</v>
      </c>
      <c r="AD2723" s="90">
        <v>59.620812231934501</v>
      </c>
      <c r="AF2723" s="90">
        <v>-1</v>
      </c>
      <c r="AG2723" s="90">
        <v>-1</v>
      </c>
      <c r="AH2723" s="90">
        <v>-1</v>
      </c>
      <c r="AI2723" s="90">
        <v>-1</v>
      </c>
      <c r="AJ2723" s="90">
        <v>0</v>
      </c>
      <c r="AM2723" s="90" t="s">
        <v>379</v>
      </c>
      <c r="AN2723" s="90">
        <v>-1</v>
      </c>
      <c r="AQ2723" s="90">
        <v>358</v>
      </c>
      <c r="AR2723" s="90" t="s">
        <v>422</v>
      </c>
      <c r="AS2723" s="90" t="s">
        <v>250</v>
      </c>
      <c r="AT2723" s="90" t="s">
        <v>244</v>
      </c>
      <c r="AU2723" s="90">
        <v>86.412649999999999</v>
      </c>
      <c r="AV2723" s="90">
        <v>74.759120456440897</v>
      </c>
      <c r="AW2723" s="90">
        <v>64.156816459398797</v>
      </c>
      <c r="AX2723" s="90">
        <v>4.8354267800000003E-2</v>
      </c>
    </row>
    <row r="2724" spans="1:50" x14ac:dyDescent="0.25">
      <c r="A2724" s="102">
        <v>830000</v>
      </c>
      <c r="B2724" s="102">
        <v>2500000</v>
      </c>
      <c r="C2724" s="102">
        <v>2500000</v>
      </c>
      <c r="D2724" s="90" t="s">
        <v>374</v>
      </c>
      <c r="E2724" s="90" t="s">
        <v>68</v>
      </c>
      <c r="F2724" s="90" t="s">
        <v>375</v>
      </c>
      <c r="G2724" s="90" t="s">
        <v>376</v>
      </c>
      <c r="H2724" s="90">
        <v>0.59</v>
      </c>
      <c r="I2724" s="90">
        <v>0.64</v>
      </c>
      <c r="J2724" s="90" t="s">
        <v>244</v>
      </c>
      <c r="K2724" s="90">
        <v>0.42702820866849001</v>
      </c>
      <c r="L2724" s="90">
        <v>3760.7362740979902</v>
      </c>
      <c r="M2724" s="90">
        <v>10.8111758448171</v>
      </c>
      <c r="N2724" s="90">
        <v>2.0812306110549299</v>
      </c>
      <c r="O2724" s="90">
        <v>4.6166770546123104</v>
      </c>
      <c r="P2724" s="90">
        <v>0.88874417966481001</v>
      </c>
      <c r="Q2724" s="90">
        <v>1605.9404744026699</v>
      </c>
      <c r="R2724" s="90">
        <v>1300</v>
      </c>
      <c r="S2724" s="90" t="s">
        <v>387</v>
      </c>
      <c r="T2724" s="90">
        <v>1300</v>
      </c>
      <c r="U2724" s="90" t="s">
        <v>378</v>
      </c>
      <c r="V2724" s="90" t="s">
        <v>244</v>
      </c>
      <c r="Z2724" s="90">
        <v>0</v>
      </c>
      <c r="AA2724" s="90">
        <v>1</v>
      </c>
      <c r="AB2724" s="90">
        <v>4.6166770546123104</v>
      </c>
      <c r="AC2724" s="90">
        <v>0.88874417966481001</v>
      </c>
      <c r="AD2724" s="90">
        <v>1605.9404744026699</v>
      </c>
      <c r="AF2724" s="90">
        <v>-1</v>
      </c>
      <c r="AG2724" s="90">
        <v>-1</v>
      </c>
      <c r="AH2724" s="90">
        <v>-1</v>
      </c>
      <c r="AI2724" s="90">
        <v>-1</v>
      </c>
      <c r="AJ2724" s="90">
        <v>0</v>
      </c>
      <c r="AM2724" s="90" t="s">
        <v>379</v>
      </c>
      <c r="AN2724" s="90">
        <v>-1</v>
      </c>
      <c r="AQ2724" s="90">
        <v>358</v>
      </c>
      <c r="AR2724" s="90" t="s">
        <v>422</v>
      </c>
      <c r="AS2724" s="90" t="s">
        <v>250</v>
      </c>
      <c r="AT2724" s="90" t="s">
        <v>244</v>
      </c>
      <c r="AU2724" s="90">
        <v>86.412649999999999</v>
      </c>
      <c r="AV2724" s="90">
        <v>167.364948556527</v>
      </c>
      <c r="AW2724" s="90">
        <v>1728.12184879604</v>
      </c>
      <c r="AX2724" s="90">
        <v>1.3024659160000001</v>
      </c>
    </row>
    <row r="2725" spans="1:50" x14ac:dyDescent="0.25">
      <c r="A2725" s="102">
        <v>830000</v>
      </c>
      <c r="B2725" s="102">
        <v>2500000</v>
      </c>
      <c r="C2725" s="102">
        <v>2500000</v>
      </c>
      <c r="D2725" s="90" t="s">
        <v>374</v>
      </c>
      <c r="E2725" s="90" t="s">
        <v>68</v>
      </c>
      <c r="F2725" s="90" t="s">
        <v>375</v>
      </c>
      <c r="G2725" s="90" t="s">
        <v>376</v>
      </c>
      <c r="H2725" s="90">
        <v>0.59</v>
      </c>
      <c r="I2725" s="90">
        <v>0.64</v>
      </c>
      <c r="J2725" s="90" t="s">
        <v>244</v>
      </c>
      <c r="K2725" s="90">
        <v>7.2387109944350006E-2</v>
      </c>
      <c r="L2725" s="90">
        <v>3753.1660784238502</v>
      </c>
      <c r="M2725" s="90">
        <v>10.082496211654099</v>
      </c>
      <c r="N2725" s="90">
        <v>1.8413282539161999</v>
      </c>
      <c r="O2725" s="90">
        <v>0.72984276178651997</v>
      </c>
      <c r="P2725" s="90">
        <v>0.13328843075987001</v>
      </c>
      <c r="Q2725" s="90">
        <v>271.68084555828</v>
      </c>
      <c r="R2725" s="90">
        <v>1100</v>
      </c>
      <c r="S2725" s="90" t="s">
        <v>424</v>
      </c>
      <c r="T2725" s="90">
        <v>1100</v>
      </c>
      <c r="U2725" s="90" t="s">
        <v>378</v>
      </c>
      <c r="V2725" s="90" t="s">
        <v>244</v>
      </c>
      <c r="Z2725" s="90">
        <v>0</v>
      </c>
      <c r="AA2725" s="90">
        <v>1</v>
      </c>
      <c r="AB2725" s="90">
        <v>0.72984276178651997</v>
      </c>
      <c r="AC2725" s="90">
        <v>0.13328843075987001</v>
      </c>
      <c r="AD2725" s="90">
        <v>271.68084555827801</v>
      </c>
      <c r="AF2725" s="90">
        <v>-1</v>
      </c>
      <c r="AG2725" s="90">
        <v>-1</v>
      </c>
      <c r="AH2725" s="90">
        <v>-1</v>
      </c>
      <c r="AI2725" s="90">
        <v>-1</v>
      </c>
      <c r="AJ2725" s="90">
        <v>0</v>
      </c>
      <c r="AM2725" s="90" t="s">
        <v>379</v>
      </c>
      <c r="AN2725" s="90">
        <v>-1</v>
      </c>
      <c r="AQ2725" s="90">
        <v>358</v>
      </c>
      <c r="AR2725" s="90" t="s">
        <v>422</v>
      </c>
      <c r="AS2725" s="90" t="s">
        <v>250</v>
      </c>
      <c r="AT2725" s="90" t="s">
        <v>244</v>
      </c>
      <c r="AU2725" s="90">
        <v>86.412649999999999</v>
      </c>
      <c r="AV2725" s="90">
        <v>116.622544496012</v>
      </c>
      <c r="AW2725" s="90">
        <v>292.940240777273</v>
      </c>
      <c r="AX2725" s="90">
        <v>0.22034131840000001</v>
      </c>
    </row>
    <row r="2726" spans="1:50" x14ac:dyDescent="0.25">
      <c r="A2726" s="102">
        <v>830000</v>
      </c>
      <c r="B2726" s="102">
        <v>2500000</v>
      </c>
      <c r="C2726" s="102">
        <v>2500000</v>
      </c>
      <c r="D2726" s="90" t="s">
        <v>374</v>
      </c>
      <c r="E2726" s="90" t="s">
        <v>68</v>
      </c>
      <c r="F2726" s="90" t="s">
        <v>375</v>
      </c>
      <c r="G2726" s="90" t="s">
        <v>376</v>
      </c>
      <c r="H2726" s="90">
        <v>0.59</v>
      </c>
      <c r="I2726" s="90">
        <v>0.64</v>
      </c>
      <c r="J2726" s="90" t="s">
        <v>244</v>
      </c>
      <c r="K2726" s="90">
        <v>0.22609547737825</v>
      </c>
      <c r="L2726" s="90">
        <v>3753.1660784238502</v>
      </c>
      <c r="M2726" s="90">
        <v>10.082496211654099</v>
      </c>
      <c r="N2726" s="90">
        <v>1.8413282539161999</v>
      </c>
      <c r="O2726" s="90">
        <v>2.27960679413835</v>
      </c>
      <c r="P2726" s="90">
        <v>0.41631599057924001</v>
      </c>
      <c r="Q2726" s="90">
        <v>848.57387618109703</v>
      </c>
      <c r="R2726" s="90">
        <v>1300</v>
      </c>
      <c r="S2726" s="90" t="s">
        <v>387</v>
      </c>
      <c r="T2726" s="90">
        <v>1300</v>
      </c>
      <c r="U2726" s="90" t="s">
        <v>378</v>
      </c>
      <c r="V2726" s="90" t="s">
        <v>244</v>
      </c>
      <c r="Z2726" s="90">
        <v>0</v>
      </c>
      <c r="AA2726" s="90">
        <v>1</v>
      </c>
      <c r="AB2726" s="90">
        <v>2.27960679413835</v>
      </c>
      <c r="AC2726" s="90">
        <v>0.41631599057924001</v>
      </c>
      <c r="AD2726" s="90">
        <v>848.57387618109703</v>
      </c>
      <c r="AF2726" s="90">
        <v>-1</v>
      </c>
      <c r="AG2726" s="90">
        <v>-1</v>
      </c>
      <c r="AH2726" s="90">
        <v>-1</v>
      </c>
      <c r="AI2726" s="90">
        <v>-1</v>
      </c>
      <c r="AJ2726" s="90">
        <v>0</v>
      </c>
      <c r="AM2726" s="90" t="s">
        <v>379</v>
      </c>
      <c r="AN2726" s="90">
        <v>-1</v>
      </c>
      <c r="AQ2726" s="90">
        <v>358</v>
      </c>
      <c r="AR2726" s="90" t="s">
        <v>422</v>
      </c>
      <c r="AS2726" s="90" t="s">
        <v>250</v>
      </c>
      <c r="AT2726" s="90" t="s">
        <v>244</v>
      </c>
      <c r="AU2726" s="90">
        <v>86.412649999999999</v>
      </c>
      <c r="AV2726" s="90">
        <v>272.74862615259701</v>
      </c>
      <c r="AW2726" s="90">
        <v>914.97593470376398</v>
      </c>
      <c r="AX2726" s="90">
        <v>0.68821887770000001</v>
      </c>
    </row>
    <row r="2727" spans="1:50" x14ac:dyDescent="0.25">
      <c r="A2727" s="102">
        <v>830000</v>
      </c>
      <c r="B2727" s="102">
        <v>2500000</v>
      </c>
      <c r="C2727" s="102">
        <v>2500000</v>
      </c>
      <c r="D2727" s="90" t="s">
        <v>374</v>
      </c>
      <c r="E2727" s="90" t="s">
        <v>68</v>
      </c>
      <c r="F2727" s="90" t="s">
        <v>375</v>
      </c>
      <c r="G2727" s="90" t="s">
        <v>376</v>
      </c>
      <c r="H2727" s="90">
        <v>0.59</v>
      </c>
      <c r="I2727" s="90">
        <v>0.64</v>
      </c>
      <c r="J2727" s="90" t="s">
        <v>381</v>
      </c>
      <c r="K2727" s="90">
        <v>2.612725230639E-2</v>
      </c>
      <c r="L2727" s="90">
        <v>3753.1660784238502</v>
      </c>
      <c r="M2727" s="90">
        <v>10.082496211654099</v>
      </c>
      <c r="N2727" s="90">
        <v>1.8413282539161999</v>
      </c>
      <c r="O2727" s="90">
        <v>0.26342792240010998</v>
      </c>
      <c r="P2727" s="90">
        <v>4.8108847868949998E-2</v>
      </c>
      <c r="Q2727" s="90">
        <v>98.0599170787644</v>
      </c>
      <c r="R2727" s="90">
        <v>1300</v>
      </c>
      <c r="S2727" s="90" t="s">
        <v>387</v>
      </c>
      <c r="T2727" s="90">
        <v>1300</v>
      </c>
      <c r="U2727" s="90" t="s">
        <v>382</v>
      </c>
      <c r="V2727" s="90" t="s">
        <v>381</v>
      </c>
      <c r="Z2727" s="90">
        <v>0</v>
      </c>
      <c r="AA2727" s="90">
        <v>1</v>
      </c>
      <c r="AB2727" s="90">
        <v>0.26342792240010998</v>
      </c>
      <c r="AC2727" s="90">
        <v>4.8108847868949998E-2</v>
      </c>
      <c r="AD2727" s="90">
        <v>98.059917078764798</v>
      </c>
      <c r="AF2727" s="90">
        <v>-1</v>
      </c>
      <c r="AG2727" s="90">
        <v>-1</v>
      </c>
      <c r="AH2727" s="90">
        <v>-1</v>
      </c>
      <c r="AI2727" s="90">
        <v>-1</v>
      </c>
      <c r="AJ2727" s="90">
        <v>0</v>
      </c>
      <c r="AM2727" s="90" t="s">
        <v>379</v>
      </c>
      <c r="AN2727" s="90">
        <v>-1</v>
      </c>
      <c r="AQ2727" s="90">
        <v>358</v>
      </c>
      <c r="AR2727" s="90" t="s">
        <v>422</v>
      </c>
      <c r="AS2727" s="90" t="s">
        <v>250</v>
      </c>
      <c r="AT2727" s="90" t="s">
        <v>244</v>
      </c>
      <c r="AU2727" s="90">
        <v>86.412649999999999</v>
      </c>
      <c r="AV2727" s="90">
        <v>104.355885445627</v>
      </c>
      <c r="AW2727" s="90">
        <v>105.73323879578</v>
      </c>
      <c r="AX2727" s="90">
        <v>7.9529535299999995E-2</v>
      </c>
    </row>
    <row r="2728" spans="1:50" x14ac:dyDescent="0.25">
      <c r="A2728" s="102">
        <v>830000</v>
      </c>
      <c r="B2728" s="102">
        <v>2500000</v>
      </c>
      <c r="C2728" s="102">
        <v>2500000</v>
      </c>
      <c r="D2728" s="90" t="s">
        <v>374</v>
      </c>
      <c r="E2728" s="90" t="s">
        <v>68</v>
      </c>
      <c r="F2728" s="90" t="s">
        <v>375</v>
      </c>
      <c r="G2728" s="90" t="s">
        <v>376</v>
      </c>
      <c r="H2728" s="90">
        <v>0.59</v>
      </c>
      <c r="I2728" s="90">
        <v>0.64</v>
      </c>
      <c r="J2728" s="90" t="s">
        <v>244</v>
      </c>
      <c r="K2728" s="90">
        <v>2.727131704148E-2</v>
      </c>
      <c r="L2728" s="90">
        <v>3753.1660784238502</v>
      </c>
      <c r="M2728" s="90">
        <v>10.082496211654099</v>
      </c>
      <c r="N2728" s="90">
        <v>1.8413282539161999</v>
      </c>
      <c r="O2728" s="90">
        <v>0.27496295075761001</v>
      </c>
      <c r="P2728" s="90">
        <v>5.0215446589989998E-2</v>
      </c>
      <c r="Q2728" s="90">
        <v>102.35378203405099</v>
      </c>
      <c r="R2728" s="90">
        <v>1210</v>
      </c>
      <c r="S2728" s="90" t="s">
        <v>385</v>
      </c>
      <c r="T2728" s="90">
        <v>1210</v>
      </c>
      <c r="U2728" s="90" t="s">
        <v>378</v>
      </c>
      <c r="V2728" s="90" t="s">
        <v>244</v>
      </c>
      <c r="Z2728" s="90">
        <v>0</v>
      </c>
      <c r="AA2728" s="90">
        <v>1</v>
      </c>
      <c r="AB2728" s="90">
        <v>0.27496295075761001</v>
      </c>
      <c r="AC2728" s="90">
        <v>5.0215446589989998E-2</v>
      </c>
      <c r="AD2728" s="90">
        <v>102.35378203405099</v>
      </c>
      <c r="AF2728" s="90">
        <v>-1</v>
      </c>
      <c r="AG2728" s="90">
        <v>-1</v>
      </c>
      <c r="AH2728" s="90">
        <v>-1</v>
      </c>
      <c r="AI2728" s="90">
        <v>-1</v>
      </c>
      <c r="AJ2728" s="90">
        <v>0</v>
      </c>
      <c r="AM2728" s="90" t="s">
        <v>379</v>
      </c>
      <c r="AN2728" s="90">
        <v>-1</v>
      </c>
      <c r="AQ2728" s="90">
        <v>358</v>
      </c>
      <c r="AR2728" s="90" t="s">
        <v>422</v>
      </c>
      <c r="AS2728" s="90" t="s">
        <v>250</v>
      </c>
      <c r="AT2728" s="90" t="s">
        <v>244</v>
      </c>
      <c r="AU2728" s="90">
        <v>86.412649999999999</v>
      </c>
      <c r="AV2728" s="90">
        <v>82.197630304517901</v>
      </c>
      <c r="AW2728" s="90">
        <v>110.36310451664799</v>
      </c>
      <c r="AX2728" s="90">
        <v>8.3011988699999997E-2</v>
      </c>
    </row>
    <row r="2729" spans="1:50" x14ac:dyDescent="0.25">
      <c r="A2729" s="102">
        <v>830000</v>
      </c>
      <c r="B2729" s="102">
        <v>2500000</v>
      </c>
      <c r="C2729" s="102">
        <v>2500000</v>
      </c>
      <c r="D2729" s="90" t="s">
        <v>374</v>
      </c>
      <c r="E2729" s="90" t="s">
        <v>68</v>
      </c>
      <c r="F2729" s="90" t="s">
        <v>375</v>
      </c>
      <c r="G2729" s="90" t="s">
        <v>376</v>
      </c>
      <c r="H2729" s="90">
        <v>0.59</v>
      </c>
      <c r="I2729" s="90">
        <v>0.64</v>
      </c>
      <c r="J2729" s="90" t="s">
        <v>244</v>
      </c>
      <c r="K2729" s="90">
        <v>2.8982375225499999E-3</v>
      </c>
      <c r="L2729" s="90">
        <v>3753.1660784238502</v>
      </c>
      <c r="M2729" s="90">
        <v>10.082496211654099</v>
      </c>
      <c r="N2729" s="90">
        <v>1.8413282539161999</v>
      </c>
      <c r="O2729" s="90">
        <v>2.9221468841599998E-2</v>
      </c>
      <c r="P2729" s="90">
        <v>5.33660663683E-3</v>
      </c>
      <c r="Q2729" s="90">
        <v>10.8775667568573</v>
      </c>
      <c r="R2729" s="90">
        <v>1210</v>
      </c>
      <c r="S2729" s="90" t="s">
        <v>385</v>
      </c>
      <c r="T2729" s="90">
        <v>1210</v>
      </c>
      <c r="U2729" s="90" t="s">
        <v>378</v>
      </c>
      <c r="V2729" s="90" t="s">
        <v>244</v>
      </c>
      <c r="Z2729" s="90">
        <v>0</v>
      </c>
      <c r="AA2729" s="90">
        <v>1</v>
      </c>
      <c r="AB2729" s="90">
        <v>2.9221468841599998E-2</v>
      </c>
      <c r="AC2729" s="90">
        <v>5.33660663683E-3</v>
      </c>
      <c r="AD2729" s="90">
        <v>10.8775667568584</v>
      </c>
      <c r="AF2729" s="90">
        <v>-1</v>
      </c>
      <c r="AG2729" s="90">
        <v>-1</v>
      </c>
      <c r="AH2729" s="90">
        <v>-1</v>
      </c>
      <c r="AI2729" s="90">
        <v>-1</v>
      </c>
      <c r="AJ2729" s="90">
        <v>0</v>
      </c>
      <c r="AM2729" s="90" t="s">
        <v>379</v>
      </c>
      <c r="AN2729" s="90">
        <v>-1</v>
      </c>
      <c r="AQ2729" s="90">
        <v>358</v>
      </c>
      <c r="AR2729" s="90" t="s">
        <v>422</v>
      </c>
      <c r="AS2729" s="90" t="s">
        <v>250</v>
      </c>
      <c r="AT2729" s="90" t="s">
        <v>244</v>
      </c>
      <c r="AU2729" s="90">
        <v>86.412649999999999</v>
      </c>
      <c r="AV2729" s="90">
        <v>13.866423500180399</v>
      </c>
      <c r="AW2729" s="90">
        <v>11.7287511317813</v>
      </c>
      <c r="AX2729" s="90">
        <v>8.8220330999999996E-3</v>
      </c>
    </row>
    <row r="2730" spans="1:50" x14ac:dyDescent="0.25">
      <c r="A2730" s="102">
        <v>830000</v>
      </c>
      <c r="B2730" s="102">
        <v>2500000</v>
      </c>
      <c r="C2730" s="102">
        <v>2500000</v>
      </c>
      <c r="D2730" s="90" t="s">
        <v>374</v>
      </c>
      <c r="E2730" s="90" t="s">
        <v>68</v>
      </c>
      <c r="F2730" s="90" t="s">
        <v>375</v>
      </c>
      <c r="G2730" s="90" t="s">
        <v>376</v>
      </c>
      <c r="H2730" s="90">
        <v>0.59</v>
      </c>
      <c r="I2730" s="90">
        <v>0.64</v>
      </c>
      <c r="J2730" s="90" t="s">
        <v>244</v>
      </c>
      <c r="K2730" s="90">
        <v>0.17598019609844001</v>
      </c>
      <c r="L2730" s="90">
        <v>3753.1660784238502</v>
      </c>
      <c r="M2730" s="90">
        <v>10.082496211654099</v>
      </c>
      <c r="N2730" s="90">
        <v>1.8413282539161999</v>
      </c>
      <c r="O2730" s="90">
        <v>1.7743196604886999</v>
      </c>
      <c r="P2730" s="90">
        <v>0.32403730720577001</v>
      </c>
      <c r="Q2730" s="90">
        <v>660.48290247105103</v>
      </c>
      <c r="R2730" s="90">
        <v>1300</v>
      </c>
      <c r="S2730" s="90" t="s">
        <v>387</v>
      </c>
      <c r="T2730" s="90">
        <v>1300</v>
      </c>
      <c r="U2730" s="90" t="s">
        <v>378</v>
      </c>
      <c r="V2730" s="90" t="s">
        <v>244</v>
      </c>
      <c r="Z2730" s="90">
        <v>0</v>
      </c>
      <c r="AA2730" s="90">
        <v>1</v>
      </c>
      <c r="AB2730" s="90">
        <v>1.7743196604886999</v>
      </c>
      <c r="AC2730" s="90">
        <v>0.32403730720577001</v>
      </c>
      <c r="AD2730" s="90">
        <v>660.48290247105103</v>
      </c>
      <c r="AF2730" s="90">
        <v>-1</v>
      </c>
      <c r="AG2730" s="90">
        <v>-1</v>
      </c>
      <c r="AH2730" s="90">
        <v>-1</v>
      </c>
      <c r="AI2730" s="90">
        <v>-1</v>
      </c>
      <c r="AJ2730" s="90">
        <v>0</v>
      </c>
      <c r="AM2730" s="90" t="s">
        <v>379</v>
      </c>
      <c r="AN2730" s="90">
        <v>-1</v>
      </c>
      <c r="AQ2730" s="90">
        <v>358</v>
      </c>
      <c r="AR2730" s="90" t="s">
        <v>422</v>
      </c>
      <c r="AS2730" s="90" t="s">
        <v>250</v>
      </c>
      <c r="AT2730" s="90" t="s">
        <v>244</v>
      </c>
      <c r="AU2730" s="90">
        <v>86.412649999999999</v>
      </c>
      <c r="AV2730" s="90">
        <v>107.752942989622</v>
      </c>
      <c r="AW2730" s="90">
        <v>712.16658679618899</v>
      </c>
      <c r="AX2730" s="90">
        <v>0.53567145370000002</v>
      </c>
    </row>
    <row r="2731" spans="1:50" x14ac:dyDescent="0.25">
      <c r="A2731" s="102">
        <v>830000</v>
      </c>
      <c r="B2731" s="102">
        <v>2500000</v>
      </c>
      <c r="C2731" s="102">
        <v>2500000</v>
      </c>
      <c r="D2731" s="90" t="s">
        <v>374</v>
      </c>
      <c r="E2731" s="90" t="s">
        <v>68</v>
      </c>
      <c r="F2731" s="90" t="s">
        <v>375</v>
      </c>
      <c r="G2731" s="90" t="s">
        <v>376</v>
      </c>
      <c r="H2731" s="90">
        <v>0.59</v>
      </c>
      <c r="I2731" s="90">
        <v>0.64</v>
      </c>
      <c r="J2731" s="90" t="s">
        <v>244</v>
      </c>
      <c r="K2731" s="90">
        <v>5.2435625703030002E-2</v>
      </c>
      <c r="L2731" s="90">
        <v>3753.1660784238502</v>
      </c>
      <c r="M2731" s="90">
        <v>10.082496211654099</v>
      </c>
      <c r="N2731" s="90">
        <v>1.8413282539161999</v>
      </c>
      <c r="O2731" s="90">
        <v>0.52868199750657996</v>
      </c>
      <c r="P2731" s="90">
        <v>9.6551199118769998E-2</v>
      </c>
      <c r="Q2731" s="90">
        <v>196.799611689568</v>
      </c>
      <c r="R2731" s="90">
        <v>1300</v>
      </c>
      <c r="S2731" s="90" t="s">
        <v>387</v>
      </c>
      <c r="T2731" s="90">
        <v>1300</v>
      </c>
      <c r="U2731" s="90" t="s">
        <v>378</v>
      </c>
      <c r="V2731" s="90" t="s">
        <v>244</v>
      </c>
      <c r="Z2731" s="90">
        <v>0</v>
      </c>
      <c r="AA2731" s="90">
        <v>1</v>
      </c>
      <c r="AB2731" s="90">
        <v>0.52868199750657996</v>
      </c>
      <c r="AC2731" s="90">
        <v>9.6551199118769998E-2</v>
      </c>
      <c r="AD2731" s="90">
        <v>196.79961168956899</v>
      </c>
      <c r="AF2731" s="90">
        <v>-1</v>
      </c>
      <c r="AG2731" s="90">
        <v>-1</v>
      </c>
      <c r="AH2731" s="90">
        <v>-1</v>
      </c>
      <c r="AI2731" s="90">
        <v>-1</v>
      </c>
      <c r="AJ2731" s="90">
        <v>0</v>
      </c>
      <c r="AM2731" s="90" t="s">
        <v>379</v>
      </c>
      <c r="AN2731" s="90">
        <v>-1</v>
      </c>
      <c r="AQ2731" s="90">
        <v>358</v>
      </c>
      <c r="AR2731" s="90" t="s">
        <v>422</v>
      </c>
      <c r="AS2731" s="90" t="s">
        <v>250</v>
      </c>
      <c r="AT2731" s="90" t="s">
        <v>244</v>
      </c>
      <c r="AU2731" s="90">
        <v>86.412649999999999</v>
      </c>
      <c r="AV2731" s="90">
        <v>66.535647238257795</v>
      </c>
      <c r="AW2731" s="90">
        <v>212.19944863889901</v>
      </c>
      <c r="AX2731" s="90">
        <v>0.15961039069999999</v>
      </c>
    </row>
    <row r="2732" spans="1:50" x14ac:dyDescent="0.25">
      <c r="A2732" s="102">
        <v>830000</v>
      </c>
      <c r="B2732" s="102">
        <v>2500000</v>
      </c>
      <c r="C2732" s="102">
        <v>2500000</v>
      </c>
      <c r="D2732" s="90" t="s">
        <v>374</v>
      </c>
      <c r="E2732" s="90" t="s">
        <v>68</v>
      </c>
      <c r="F2732" s="90" t="s">
        <v>375</v>
      </c>
      <c r="G2732" s="90" t="s">
        <v>376</v>
      </c>
      <c r="H2732" s="90">
        <v>0.59</v>
      </c>
      <c r="I2732" s="90">
        <v>0.64</v>
      </c>
      <c r="J2732" s="90" t="s">
        <v>244</v>
      </c>
      <c r="K2732" s="90">
        <v>1.48251143809E-3</v>
      </c>
      <c r="L2732" s="90">
        <v>2118.7195307829902</v>
      </c>
      <c r="M2732" s="90">
        <v>5.9069963952792301</v>
      </c>
      <c r="N2732" s="90">
        <v>0.82498997657880002</v>
      </c>
      <c r="O2732" s="90">
        <v>8.7571897207699995E-3</v>
      </c>
      <c r="P2732" s="90">
        <v>1.22305707658E-3</v>
      </c>
      <c r="Q2732" s="90">
        <v>3.1410259384947099</v>
      </c>
      <c r="R2732" s="90">
        <v>1400</v>
      </c>
      <c r="S2732" s="90" t="s">
        <v>324</v>
      </c>
      <c r="T2732" s="90">
        <v>1400</v>
      </c>
      <c r="U2732" s="90" t="s">
        <v>378</v>
      </c>
      <c r="V2732" s="90" t="s">
        <v>244</v>
      </c>
      <c r="Z2732" s="90">
        <v>0</v>
      </c>
      <c r="AA2732" s="90">
        <v>1</v>
      </c>
      <c r="AB2732" s="90">
        <v>8.7571897207699995E-3</v>
      </c>
      <c r="AC2732" s="90">
        <v>1.22305707658E-3</v>
      </c>
      <c r="AD2732" s="90">
        <v>295.06999400661601</v>
      </c>
      <c r="AF2732" s="90">
        <v>-1</v>
      </c>
      <c r="AG2732" s="90">
        <v>-1</v>
      </c>
      <c r="AH2732" s="90">
        <v>-1</v>
      </c>
      <c r="AI2732" s="90">
        <v>-1</v>
      </c>
      <c r="AJ2732" s="90">
        <v>0</v>
      </c>
      <c r="AM2732" s="90" t="s">
        <v>379</v>
      </c>
      <c r="AN2732" s="90">
        <v>-1</v>
      </c>
      <c r="AQ2732" s="90">
        <v>358</v>
      </c>
      <c r="AR2732" s="90" t="s">
        <v>422</v>
      </c>
      <c r="AS2732" s="90" t="s">
        <v>250</v>
      </c>
      <c r="AT2732" s="90" t="s">
        <v>244</v>
      </c>
      <c r="AU2732" s="90">
        <v>86.412649999999999</v>
      </c>
      <c r="AV2732" s="90">
        <v>45.006551054081697</v>
      </c>
      <c r="AW2732" s="90">
        <v>5.9995109345246398</v>
      </c>
      <c r="AX2732" s="90">
        <v>0.2393106196</v>
      </c>
    </row>
    <row r="2733" spans="1:50" x14ac:dyDescent="0.25">
      <c r="A2733" s="102">
        <v>830000</v>
      </c>
      <c r="B2733" s="102">
        <v>2500000</v>
      </c>
      <c r="C2733" s="102">
        <v>2500000</v>
      </c>
      <c r="D2733" s="90" t="s">
        <v>374</v>
      </c>
      <c r="E2733" s="90" t="s">
        <v>68</v>
      </c>
      <c r="F2733" s="90" t="s">
        <v>375</v>
      </c>
      <c r="G2733" s="90" t="s">
        <v>376</v>
      </c>
      <c r="H2733" s="90">
        <v>0.59</v>
      </c>
      <c r="I2733" s="90">
        <v>0.64</v>
      </c>
      <c r="J2733" s="90" t="s">
        <v>244</v>
      </c>
      <c r="K2733" s="90">
        <v>0.15866216209785</v>
      </c>
      <c r="L2733" s="90">
        <v>3755.1211538218799</v>
      </c>
      <c r="M2733" s="90">
        <v>10.62902704685</v>
      </c>
      <c r="N2733" s="90">
        <v>1.99420816613556</v>
      </c>
      <c r="O2733" s="90">
        <v>1.68642441224981</v>
      </c>
      <c r="P2733" s="90">
        <v>0.31640537931225998</v>
      </c>
      <c r="Q2733" s="90">
        <v>595.79564120477198</v>
      </c>
      <c r="R2733" s="90">
        <v>1300</v>
      </c>
      <c r="S2733" s="90" t="s">
        <v>387</v>
      </c>
      <c r="T2733" s="90">
        <v>1300</v>
      </c>
      <c r="U2733" s="90" t="s">
        <v>378</v>
      </c>
      <c r="V2733" s="90" t="s">
        <v>244</v>
      </c>
      <c r="Z2733" s="90">
        <v>0</v>
      </c>
      <c r="AA2733" s="90">
        <v>1</v>
      </c>
      <c r="AB2733" s="90">
        <v>1.68642441224981</v>
      </c>
      <c r="AC2733" s="90">
        <v>0.31640537931225998</v>
      </c>
      <c r="AD2733" s="90">
        <v>595.79564120476903</v>
      </c>
      <c r="AF2733" s="90">
        <v>-1</v>
      </c>
      <c r="AG2733" s="90">
        <v>-1</v>
      </c>
      <c r="AH2733" s="90">
        <v>-1</v>
      </c>
      <c r="AI2733" s="90">
        <v>-1</v>
      </c>
      <c r="AJ2733" s="90">
        <v>0</v>
      </c>
      <c r="AM2733" s="90" t="s">
        <v>379</v>
      </c>
      <c r="AN2733" s="90">
        <v>-1</v>
      </c>
      <c r="AQ2733" s="90">
        <v>358</v>
      </c>
      <c r="AR2733" s="90" t="s">
        <v>422</v>
      </c>
      <c r="AS2733" s="90" t="s">
        <v>250</v>
      </c>
      <c r="AT2733" s="90" t="s">
        <v>244</v>
      </c>
      <c r="AU2733" s="90">
        <v>86.412649999999999</v>
      </c>
      <c r="AV2733" s="90">
        <v>114.632662580938</v>
      </c>
      <c r="AW2733" s="90">
        <v>642.08298967757196</v>
      </c>
      <c r="AX2733" s="90">
        <v>0.48320814369999998</v>
      </c>
    </row>
    <row r="2734" spans="1:50" x14ac:dyDescent="0.25">
      <c r="A2734" s="102">
        <v>830000</v>
      </c>
      <c r="B2734" s="102">
        <v>2500000</v>
      </c>
      <c r="C2734" s="102">
        <v>2500000</v>
      </c>
      <c r="D2734" s="90" t="s">
        <v>374</v>
      </c>
      <c r="E2734" s="90" t="s">
        <v>68</v>
      </c>
      <c r="F2734" s="90" t="s">
        <v>375</v>
      </c>
      <c r="G2734" s="90" t="s">
        <v>376</v>
      </c>
      <c r="H2734" s="90">
        <v>0.59</v>
      </c>
      <c r="I2734" s="90">
        <v>0.64</v>
      </c>
      <c r="J2734" s="90" t="s">
        <v>244</v>
      </c>
      <c r="K2734" s="90">
        <v>1.6712540086600001E-3</v>
      </c>
      <c r="L2734" s="90">
        <v>3755.1211538218799</v>
      </c>
      <c r="M2734" s="90">
        <v>10.62902704685</v>
      </c>
      <c r="N2734" s="90">
        <v>1.99420816613556</v>
      </c>
      <c r="O2734" s="90">
        <v>1.776380406022E-2</v>
      </c>
      <c r="P2734" s="90">
        <v>3.3328283917599998E-3</v>
      </c>
      <c r="Q2734" s="90">
        <v>6.2757612813363002</v>
      </c>
      <c r="R2734" s="90">
        <v>1400</v>
      </c>
      <c r="S2734" s="90" t="s">
        <v>324</v>
      </c>
      <c r="T2734" s="90">
        <v>1400</v>
      </c>
      <c r="U2734" s="90" t="s">
        <v>378</v>
      </c>
      <c r="V2734" s="90" t="s">
        <v>244</v>
      </c>
      <c r="Z2734" s="90">
        <v>0</v>
      </c>
      <c r="AA2734" s="90">
        <v>1</v>
      </c>
      <c r="AB2734" s="90">
        <v>1.776380406022E-2</v>
      </c>
      <c r="AC2734" s="90">
        <v>3.3328283917599998E-3</v>
      </c>
      <c r="AD2734" s="90">
        <v>7.1026798291672204</v>
      </c>
      <c r="AF2734" s="90">
        <v>-1</v>
      </c>
      <c r="AG2734" s="90">
        <v>-1</v>
      </c>
      <c r="AH2734" s="90">
        <v>-1</v>
      </c>
      <c r="AI2734" s="90">
        <v>-1</v>
      </c>
      <c r="AJ2734" s="90">
        <v>0</v>
      </c>
      <c r="AM2734" s="90" t="s">
        <v>379</v>
      </c>
      <c r="AN2734" s="90">
        <v>-1</v>
      </c>
      <c r="AQ2734" s="90">
        <v>358</v>
      </c>
      <c r="AR2734" s="90" t="s">
        <v>422</v>
      </c>
      <c r="AS2734" s="90" t="s">
        <v>250</v>
      </c>
      <c r="AT2734" s="90" t="s">
        <v>244</v>
      </c>
      <c r="AU2734" s="90">
        <v>86.412649999999999</v>
      </c>
      <c r="AV2734" s="90">
        <v>13.6811695961377</v>
      </c>
      <c r="AW2734" s="90">
        <v>6.76332501841385</v>
      </c>
      <c r="AX2734" s="90">
        <v>5.7604865000000002E-3</v>
      </c>
    </row>
    <row r="2735" spans="1:50" x14ac:dyDescent="0.25">
      <c r="A2735" s="102">
        <v>830000</v>
      </c>
      <c r="B2735" s="102">
        <v>2500000</v>
      </c>
      <c r="C2735" s="102">
        <v>2500000</v>
      </c>
      <c r="D2735" s="90" t="s">
        <v>374</v>
      </c>
      <c r="E2735" s="90" t="s">
        <v>68</v>
      </c>
      <c r="F2735" s="90" t="s">
        <v>375</v>
      </c>
      <c r="G2735" s="90" t="s">
        <v>376</v>
      </c>
      <c r="H2735" s="90">
        <v>0.59</v>
      </c>
      <c r="I2735" s="90">
        <v>0.64</v>
      </c>
      <c r="J2735" s="90" t="s">
        <v>244</v>
      </c>
      <c r="K2735" s="90">
        <v>0.23938744005717</v>
      </c>
      <c r="L2735" s="90">
        <v>3755.1211538218799</v>
      </c>
      <c r="M2735" s="90">
        <v>10.62902704685</v>
      </c>
      <c r="N2735" s="90">
        <v>1.99420816613556</v>
      </c>
      <c r="O2735" s="90">
        <v>2.5444555750439299</v>
      </c>
      <c r="P2735" s="90">
        <v>0.47738838783231002</v>
      </c>
      <c r="Q2735" s="90">
        <v>898.928840117974</v>
      </c>
      <c r="R2735" s="90">
        <v>1300</v>
      </c>
      <c r="S2735" s="90" t="s">
        <v>387</v>
      </c>
      <c r="T2735" s="90">
        <v>1300</v>
      </c>
      <c r="U2735" s="90" t="s">
        <v>378</v>
      </c>
      <c r="V2735" s="90" t="s">
        <v>244</v>
      </c>
      <c r="Z2735" s="90">
        <v>0</v>
      </c>
      <c r="AA2735" s="90">
        <v>1</v>
      </c>
      <c r="AB2735" s="90">
        <v>2.5444555750439299</v>
      </c>
      <c r="AC2735" s="90">
        <v>0.47738838783231002</v>
      </c>
      <c r="AD2735" s="90">
        <v>957.54819296360904</v>
      </c>
      <c r="AF2735" s="90">
        <v>-1</v>
      </c>
      <c r="AG2735" s="90">
        <v>-1</v>
      </c>
      <c r="AH2735" s="90">
        <v>-1</v>
      </c>
      <c r="AI2735" s="90">
        <v>-1</v>
      </c>
      <c r="AJ2735" s="90">
        <v>0</v>
      </c>
      <c r="AM2735" s="90" t="s">
        <v>379</v>
      </c>
      <c r="AN2735" s="90">
        <v>-1</v>
      </c>
      <c r="AQ2735" s="90">
        <v>358</v>
      </c>
      <c r="AR2735" s="90" t="s">
        <v>422</v>
      </c>
      <c r="AS2735" s="90" t="s">
        <v>250</v>
      </c>
      <c r="AT2735" s="90" t="s">
        <v>244</v>
      </c>
      <c r="AU2735" s="90">
        <v>86.412649999999999</v>
      </c>
      <c r="AV2735" s="90">
        <v>195.303182101902</v>
      </c>
      <c r="AW2735" s="90">
        <v>968.76659923728096</v>
      </c>
      <c r="AX2735" s="90">
        <v>0.77660031870000001</v>
      </c>
    </row>
    <row r="2736" spans="1:50" x14ac:dyDescent="0.25">
      <c r="A2736" s="102">
        <v>830000</v>
      </c>
      <c r="B2736" s="102">
        <v>2500000</v>
      </c>
      <c r="C2736" s="102">
        <v>2500000</v>
      </c>
      <c r="D2736" s="90" t="s">
        <v>374</v>
      </c>
      <c r="E2736" s="90" t="s">
        <v>68</v>
      </c>
      <c r="F2736" s="90" t="s">
        <v>375</v>
      </c>
      <c r="G2736" s="90" t="s">
        <v>376</v>
      </c>
      <c r="H2736" s="90">
        <v>0.59</v>
      </c>
      <c r="I2736" s="90">
        <v>0.64</v>
      </c>
      <c r="J2736" s="90" t="s">
        <v>244</v>
      </c>
      <c r="K2736" s="90">
        <v>0.12718813590399</v>
      </c>
      <c r="L2736" s="90">
        <v>3755.1211538218799</v>
      </c>
      <c r="M2736" s="90">
        <v>10.62902704685</v>
      </c>
      <c r="N2736" s="90">
        <v>1.99420816613556</v>
      </c>
      <c r="O2736" s="90">
        <v>1.35188613656203</v>
      </c>
      <c r="P2736" s="90">
        <v>0.25363961925530998</v>
      </c>
      <c r="Q2736" s="90">
        <v>477.60685964827599</v>
      </c>
      <c r="R2736" s="90">
        <v>1330</v>
      </c>
      <c r="S2736" s="90" t="s">
        <v>397</v>
      </c>
      <c r="T2736" s="90">
        <v>1330</v>
      </c>
      <c r="U2736" s="90" t="s">
        <v>378</v>
      </c>
      <c r="V2736" s="90" t="s">
        <v>244</v>
      </c>
      <c r="Z2736" s="90">
        <v>0</v>
      </c>
      <c r="AA2736" s="90">
        <v>1</v>
      </c>
      <c r="AB2736" s="90">
        <v>1.35188613656203</v>
      </c>
      <c r="AC2736" s="90">
        <v>0.25363961925530998</v>
      </c>
      <c r="AD2736" s="90">
        <v>477.60685964827599</v>
      </c>
      <c r="AF2736" s="90">
        <v>-1</v>
      </c>
      <c r="AG2736" s="90">
        <v>-1</v>
      </c>
      <c r="AH2736" s="90">
        <v>-1</v>
      </c>
      <c r="AI2736" s="90">
        <v>-1</v>
      </c>
      <c r="AJ2736" s="90">
        <v>0</v>
      </c>
      <c r="AM2736" s="90" t="s">
        <v>379</v>
      </c>
      <c r="AN2736" s="90">
        <v>-1</v>
      </c>
      <c r="AQ2736" s="90">
        <v>358</v>
      </c>
      <c r="AR2736" s="90" t="s">
        <v>422</v>
      </c>
      <c r="AS2736" s="90" t="s">
        <v>250</v>
      </c>
      <c r="AT2736" s="90" t="s">
        <v>244</v>
      </c>
      <c r="AU2736" s="90">
        <v>86.412649999999999</v>
      </c>
      <c r="AV2736" s="90">
        <v>108.09888163066699</v>
      </c>
      <c r="AW2736" s="90">
        <v>514.71212463617701</v>
      </c>
      <c r="AX2736" s="90">
        <v>0.38735349530000002</v>
      </c>
    </row>
    <row r="2737" spans="1:50" x14ac:dyDescent="0.25">
      <c r="A2737" s="102">
        <v>830000</v>
      </c>
      <c r="B2737" s="102">
        <v>2500000</v>
      </c>
      <c r="C2737" s="102">
        <v>2500000</v>
      </c>
      <c r="D2737" s="90" t="s">
        <v>374</v>
      </c>
      <c r="E2737" s="90" t="s">
        <v>68</v>
      </c>
      <c r="F2737" s="90" t="s">
        <v>375</v>
      </c>
      <c r="G2737" s="90" t="s">
        <v>376</v>
      </c>
      <c r="H2737" s="90">
        <v>0.59</v>
      </c>
      <c r="I2737" s="90">
        <v>0.64</v>
      </c>
      <c r="J2737" s="90" t="s">
        <v>244</v>
      </c>
      <c r="K2737" s="90">
        <v>7.5023741596470003E-2</v>
      </c>
      <c r="L2737" s="90">
        <v>3755.1211538218799</v>
      </c>
      <c r="M2737" s="90">
        <v>10.62902704685</v>
      </c>
      <c r="N2737" s="90">
        <v>1.99420816613556</v>
      </c>
      <c r="O2737" s="90">
        <v>0.79742937858481</v>
      </c>
      <c r="P2737" s="90">
        <v>0.14961295814573</v>
      </c>
      <c r="Q2737" s="90">
        <v>281.72323910778601</v>
      </c>
      <c r="R2737" s="90">
        <v>1210</v>
      </c>
      <c r="S2737" s="90" t="s">
        <v>385</v>
      </c>
      <c r="T2737" s="90">
        <v>1210</v>
      </c>
      <c r="U2737" s="90" t="s">
        <v>378</v>
      </c>
      <c r="V2737" s="90" t="s">
        <v>244</v>
      </c>
      <c r="Z2737" s="90">
        <v>0</v>
      </c>
      <c r="AA2737" s="90">
        <v>1</v>
      </c>
      <c r="AB2737" s="90">
        <v>0.79742937858481</v>
      </c>
      <c r="AC2737" s="90">
        <v>0.14961295814573</v>
      </c>
      <c r="AD2737" s="90">
        <v>281.723239107788</v>
      </c>
      <c r="AF2737" s="90">
        <v>-1</v>
      </c>
      <c r="AG2737" s="90">
        <v>-1</v>
      </c>
      <c r="AH2737" s="90">
        <v>-1</v>
      </c>
      <c r="AI2737" s="90">
        <v>-1</v>
      </c>
      <c r="AJ2737" s="90">
        <v>0</v>
      </c>
      <c r="AM2737" s="90" t="s">
        <v>379</v>
      </c>
      <c r="AN2737" s="90">
        <v>-1</v>
      </c>
      <c r="AQ2737" s="90">
        <v>358</v>
      </c>
      <c r="AR2737" s="90" t="s">
        <v>422</v>
      </c>
      <c r="AS2737" s="90" t="s">
        <v>250</v>
      </c>
      <c r="AT2737" s="90" t="s">
        <v>244</v>
      </c>
      <c r="AU2737" s="90">
        <v>86.412649999999999</v>
      </c>
      <c r="AV2737" s="90">
        <v>101.124614961558</v>
      </c>
      <c r="AW2737" s="90">
        <v>303.61031051216997</v>
      </c>
      <c r="AX2737" s="90">
        <v>0.22848600090000001</v>
      </c>
    </row>
    <row r="2738" spans="1:50" x14ac:dyDescent="0.25">
      <c r="A2738" s="102">
        <v>830000</v>
      </c>
      <c r="B2738" s="102">
        <v>2500000</v>
      </c>
      <c r="C2738" s="102">
        <v>2500000</v>
      </c>
      <c r="D2738" s="90" t="s">
        <v>374</v>
      </c>
      <c r="E2738" s="90" t="s">
        <v>68</v>
      </c>
      <c r="F2738" s="90" t="s">
        <v>375</v>
      </c>
      <c r="G2738" s="90" t="s">
        <v>376</v>
      </c>
      <c r="H2738" s="90">
        <v>0.59</v>
      </c>
      <c r="I2738" s="90">
        <v>0.64</v>
      </c>
      <c r="J2738" s="90" t="s">
        <v>244</v>
      </c>
      <c r="K2738" s="90">
        <v>0.24792433734131</v>
      </c>
      <c r="L2738" s="90">
        <v>3759.5042782194901</v>
      </c>
      <c r="M2738" s="90">
        <v>7.9930859852977703</v>
      </c>
      <c r="N2738" s="90">
        <v>1.17370814340202</v>
      </c>
      <c r="O2738" s="90">
        <v>1.9816805462171201</v>
      </c>
      <c r="P2738" s="90">
        <v>0.29099081368504998</v>
      </c>
      <c r="Q2738" s="90">
        <v>932.07260690941803</v>
      </c>
      <c r="R2738" s="90">
        <v>1390</v>
      </c>
      <c r="S2738" s="90" t="s">
        <v>402</v>
      </c>
      <c r="T2738" s="90">
        <v>1390</v>
      </c>
      <c r="U2738" s="90" t="s">
        <v>378</v>
      </c>
      <c r="V2738" s="90" t="s">
        <v>244</v>
      </c>
      <c r="Z2738" s="90">
        <v>0</v>
      </c>
      <c r="AA2738" s="90">
        <v>1</v>
      </c>
      <c r="AB2738" s="90">
        <v>1.9816805462171201</v>
      </c>
      <c r="AC2738" s="90">
        <v>0.29099081368504998</v>
      </c>
      <c r="AD2738" s="90">
        <v>941.22325189261403</v>
      </c>
      <c r="AF2738" s="90">
        <v>-1</v>
      </c>
      <c r="AG2738" s="90">
        <v>-1</v>
      </c>
      <c r="AH2738" s="90">
        <v>-1</v>
      </c>
      <c r="AI2738" s="90">
        <v>-1</v>
      </c>
      <c r="AJ2738" s="90">
        <v>0</v>
      </c>
      <c r="AM2738" s="90" t="s">
        <v>379</v>
      </c>
      <c r="AN2738" s="90">
        <v>-1</v>
      </c>
      <c r="AQ2738" s="90">
        <v>358</v>
      </c>
      <c r="AR2738" s="90" t="s">
        <v>422</v>
      </c>
      <c r="AS2738" s="90" t="s">
        <v>250</v>
      </c>
      <c r="AT2738" s="90" t="s">
        <v>244</v>
      </c>
      <c r="AU2738" s="90">
        <v>86.412649999999999</v>
      </c>
      <c r="AV2738" s="90">
        <v>133.58577967218599</v>
      </c>
      <c r="AW2738" s="90">
        <v>1003.31419683897</v>
      </c>
      <c r="AX2738" s="90">
        <v>0.76336030160000001</v>
      </c>
    </row>
    <row r="2739" spans="1:50" x14ac:dyDescent="0.25">
      <c r="A2739" s="102">
        <v>830000</v>
      </c>
      <c r="B2739" s="102">
        <v>2500000</v>
      </c>
      <c r="C2739" s="102">
        <v>2500000</v>
      </c>
      <c r="D2739" s="90" t="s">
        <v>374</v>
      </c>
      <c r="E2739" s="90" t="s">
        <v>68</v>
      </c>
      <c r="F2739" s="90" t="s">
        <v>375</v>
      </c>
      <c r="G2739" s="90" t="s">
        <v>376</v>
      </c>
      <c r="H2739" s="90">
        <v>0.59</v>
      </c>
      <c r="I2739" s="90">
        <v>0.64</v>
      </c>
      <c r="J2739" s="90" t="s">
        <v>244</v>
      </c>
      <c r="K2739" s="90">
        <v>4.0157922189270001E-2</v>
      </c>
      <c r="L2739" s="90">
        <v>3759.5042782194901</v>
      </c>
      <c r="M2739" s="90">
        <v>7.9930859852977703</v>
      </c>
      <c r="N2739" s="90">
        <v>1.17370814340202</v>
      </c>
      <c r="O2739" s="90">
        <v>0.32098572504973</v>
      </c>
      <c r="P2739" s="90">
        <v>4.7133680295650002E-2</v>
      </c>
      <c r="Q2739" s="90">
        <v>150.97388027496601</v>
      </c>
      <c r="R2739" s="90">
        <v>1210</v>
      </c>
      <c r="S2739" s="90" t="s">
        <v>385</v>
      </c>
      <c r="T2739" s="90">
        <v>1210</v>
      </c>
      <c r="U2739" s="90" t="s">
        <v>378</v>
      </c>
      <c r="V2739" s="90" t="s">
        <v>244</v>
      </c>
      <c r="Z2739" s="90">
        <v>0</v>
      </c>
      <c r="AA2739" s="90">
        <v>1</v>
      </c>
      <c r="AB2739" s="90">
        <v>0.32098572504973</v>
      </c>
      <c r="AC2739" s="90">
        <v>4.7133680295650002E-2</v>
      </c>
      <c r="AD2739" s="90">
        <v>150.973880274967</v>
      </c>
      <c r="AF2739" s="90">
        <v>-1</v>
      </c>
      <c r="AG2739" s="90">
        <v>-1</v>
      </c>
      <c r="AH2739" s="90">
        <v>-1</v>
      </c>
      <c r="AI2739" s="90">
        <v>-1</v>
      </c>
      <c r="AJ2739" s="90">
        <v>0</v>
      </c>
      <c r="AM2739" s="90" t="s">
        <v>379</v>
      </c>
      <c r="AN2739" s="90">
        <v>-1</v>
      </c>
      <c r="AQ2739" s="90">
        <v>358</v>
      </c>
      <c r="AR2739" s="90" t="s">
        <v>422</v>
      </c>
      <c r="AS2739" s="90" t="s">
        <v>250</v>
      </c>
      <c r="AT2739" s="90" t="s">
        <v>244</v>
      </c>
      <c r="AU2739" s="90">
        <v>86.412649999999999</v>
      </c>
      <c r="AV2739" s="90">
        <v>65.453450896459799</v>
      </c>
      <c r="AW2739" s="90">
        <v>162.51334532188801</v>
      </c>
      <c r="AX2739" s="90">
        <v>0.12244434730000001</v>
      </c>
    </row>
    <row r="2740" spans="1:50" x14ac:dyDescent="0.25">
      <c r="A2740" s="102">
        <v>830000</v>
      </c>
      <c r="B2740" s="102">
        <v>2500000</v>
      </c>
      <c r="C2740" s="102">
        <v>2500000</v>
      </c>
      <c r="D2740" s="90" t="s">
        <v>374</v>
      </c>
      <c r="E2740" s="90" t="s">
        <v>68</v>
      </c>
      <c r="F2740" s="90" t="s">
        <v>375</v>
      </c>
      <c r="G2740" s="90" t="s">
        <v>376</v>
      </c>
      <c r="H2740" s="90">
        <v>0.59</v>
      </c>
      <c r="I2740" s="90">
        <v>0.64</v>
      </c>
      <c r="J2740" s="90" t="s">
        <v>244</v>
      </c>
      <c r="K2740" s="90">
        <v>9.4586869510149996E-2</v>
      </c>
      <c r="L2740" s="90">
        <v>3759.5042782194901</v>
      </c>
      <c r="M2740" s="90">
        <v>7.9930859852977703</v>
      </c>
      <c r="N2740" s="90">
        <v>1.17370814340202</v>
      </c>
      <c r="O2740" s="90">
        <v>0.7560409810748</v>
      </c>
      <c r="P2740" s="90">
        <v>0.11101737900297</v>
      </c>
      <c r="Q2740" s="90">
        <v>355.59974058681303</v>
      </c>
      <c r="R2740" s="90">
        <v>1210</v>
      </c>
      <c r="S2740" s="90" t="s">
        <v>385</v>
      </c>
      <c r="T2740" s="90">
        <v>1210</v>
      </c>
      <c r="U2740" s="90" t="s">
        <v>378</v>
      </c>
      <c r="V2740" s="90" t="s">
        <v>244</v>
      </c>
      <c r="Z2740" s="90">
        <v>0</v>
      </c>
      <c r="AA2740" s="90">
        <v>1</v>
      </c>
      <c r="AB2740" s="90">
        <v>0.7560409810748</v>
      </c>
      <c r="AC2740" s="90">
        <v>0.11101737900297</v>
      </c>
      <c r="AD2740" s="90">
        <v>365.30709740207402</v>
      </c>
      <c r="AF2740" s="90">
        <v>-1</v>
      </c>
      <c r="AG2740" s="90">
        <v>-1</v>
      </c>
      <c r="AH2740" s="90">
        <v>-1</v>
      </c>
      <c r="AI2740" s="90">
        <v>-1</v>
      </c>
      <c r="AJ2740" s="90">
        <v>0</v>
      </c>
      <c r="AM2740" s="90" t="s">
        <v>379</v>
      </c>
      <c r="AN2740" s="90">
        <v>-1</v>
      </c>
      <c r="AQ2740" s="90">
        <v>358</v>
      </c>
      <c r="AR2740" s="90" t="s">
        <v>422</v>
      </c>
      <c r="AS2740" s="90" t="s">
        <v>250</v>
      </c>
      <c r="AT2740" s="90" t="s">
        <v>244</v>
      </c>
      <c r="AU2740" s="90">
        <v>86.412649999999999</v>
      </c>
      <c r="AV2740" s="90">
        <v>87.194689299680505</v>
      </c>
      <c r="AW2740" s="90">
        <v>382.77948035187501</v>
      </c>
      <c r="AX2740" s="90">
        <v>0.29627501820000002</v>
      </c>
    </row>
    <row r="2741" spans="1:50" x14ac:dyDescent="0.25">
      <c r="A2741" s="102">
        <v>830000</v>
      </c>
      <c r="B2741" s="102">
        <v>2500000</v>
      </c>
      <c r="C2741" s="102">
        <v>2500000</v>
      </c>
      <c r="D2741" s="90" t="s">
        <v>374</v>
      </c>
      <c r="E2741" s="90" t="s">
        <v>68</v>
      </c>
      <c r="F2741" s="90" t="s">
        <v>375</v>
      </c>
      <c r="G2741" s="90" t="s">
        <v>376</v>
      </c>
      <c r="H2741" s="90">
        <v>0.59</v>
      </c>
      <c r="I2741" s="90">
        <v>0.64</v>
      </c>
      <c r="J2741" s="90" t="s">
        <v>244</v>
      </c>
      <c r="K2741" s="90">
        <v>7.4425667788299999E-3</v>
      </c>
      <c r="L2741" s="90">
        <v>3759.5042782194901</v>
      </c>
      <c r="M2741" s="90">
        <v>7.9930859852977703</v>
      </c>
      <c r="N2741" s="90">
        <v>1.17370814340202</v>
      </c>
      <c r="O2741" s="90">
        <v>5.9489076214580001E-2</v>
      </c>
      <c r="P2741" s="90">
        <v>8.7354012361299995E-3</v>
      </c>
      <c r="Q2741" s="90">
        <v>27.980361645979499</v>
      </c>
      <c r="R2741" s="90">
        <v>1210</v>
      </c>
      <c r="S2741" s="90" t="s">
        <v>385</v>
      </c>
      <c r="T2741" s="90">
        <v>1210</v>
      </c>
      <c r="U2741" s="90" t="s">
        <v>378</v>
      </c>
      <c r="V2741" s="90" t="s">
        <v>244</v>
      </c>
      <c r="Z2741" s="90">
        <v>0</v>
      </c>
      <c r="AA2741" s="90">
        <v>1</v>
      </c>
      <c r="AB2741" s="90">
        <v>5.9489076214580001E-2</v>
      </c>
      <c r="AC2741" s="90">
        <v>8.7354012361299995E-3</v>
      </c>
      <c r="AD2741" s="90">
        <v>47.637136485802003</v>
      </c>
      <c r="AF2741" s="90">
        <v>-1</v>
      </c>
      <c r="AG2741" s="90">
        <v>-1</v>
      </c>
      <c r="AH2741" s="90">
        <v>-1</v>
      </c>
      <c r="AI2741" s="90">
        <v>-1</v>
      </c>
      <c r="AJ2741" s="90">
        <v>0</v>
      </c>
      <c r="AM2741" s="90" t="s">
        <v>379</v>
      </c>
      <c r="AN2741" s="90">
        <v>-1</v>
      </c>
      <c r="AQ2741" s="90">
        <v>358</v>
      </c>
      <c r="AR2741" s="90" t="s">
        <v>422</v>
      </c>
      <c r="AS2741" s="90" t="s">
        <v>250</v>
      </c>
      <c r="AT2741" s="90" t="s">
        <v>244</v>
      </c>
      <c r="AU2741" s="90">
        <v>86.412649999999999</v>
      </c>
      <c r="AV2741" s="90">
        <v>41.634283573808801</v>
      </c>
      <c r="AW2741" s="90">
        <v>30.118999168086901</v>
      </c>
      <c r="AX2741" s="90">
        <v>3.8635147199999997E-2</v>
      </c>
    </row>
    <row r="2742" spans="1:50" x14ac:dyDescent="0.25">
      <c r="A2742" s="102">
        <v>830000</v>
      </c>
      <c r="B2742" s="102">
        <v>2500000</v>
      </c>
      <c r="C2742" s="102">
        <v>2500000</v>
      </c>
      <c r="D2742" s="90" t="s">
        <v>374</v>
      </c>
      <c r="E2742" s="90" t="s">
        <v>68</v>
      </c>
      <c r="F2742" s="90" t="s">
        <v>375</v>
      </c>
      <c r="G2742" s="90" t="s">
        <v>376</v>
      </c>
      <c r="H2742" s="90">
        <v>0.59</v>
      </c>
      <c r="I2742" s="90">
        <v>0.64</v>
      </c>
      <c r="J2742" s="90" t="s">
        <v>244</v>
      </c>
      <c r="K2742" s="90">
        <v>9.3542802282780002E-2</v>
      </c>
      <c r="L2742" s="90">
        <v>3759.5042782194901</v>
      </c>
      <c r="M2742" s="90">
        <v>7.9930859852977703</v>
      </c>
      <c r="N2742" s="90">
        <v>1.17370814340202</v>
      </c>
      <c r="O2742" s="90">
        <v>0.74769566195200998</v>
      </c>
      <c r="P2742" s="90">
        <v>0.10979194879595</v>
      </c>
      <c r="Q2742" s="90">
        <v>351.67456537877399</v>
      </c>
      <c r="R2742" s="90">
        <v>1210</v>
      </c>
      <c r="S2742" s="90" t="s">
        <v>385</v>
      </c>
      <c r="T2742" s="90">
        <v>1210</v>
      </c>
      <c r="U2742" s="90" t="s">
        <v>378</v>
      </c>
      <c r="V2742" s="90" t="s">
        <v>244</v>
      </c>
      <c r="Z2742" s="90">
        <v>0</v>
      </c>
      <c r="AA2742" s="90">
        <v>1</v>
      </c>
      <c r="AB2742" s="90">
        <v>0.74769566195200998</v>
      </c>
      <c r="AC2742" s="90">
        <v>0.10979194879595</v>
      </c>
      <c r="AD2742" s="90">
        <v>351.67456537877501</v>
      </c>
      <c r="AF2742" s="90">
        <v>-1</v>
      </c>
      <c r="AG2742" s="90">
        <v>-1</v>
      </c>
      <c r="AH2742" s="90">
        <v>-1</v>
      </c>
      <c r="AI2742" s="90">
        <v>-1</v>
      </c>
      <c r="AJ2742" s="90">
        <v>0</v>
      </c>
      <c r="AM2742" s="90" t="s">
        <v>379</v>
      </c>
      <c r="AN2742" s="90">
        <v>-1</v>
      </c>
      <c r="AQ2742" s="90">
        <v>358</v>
      </c>
      <c r="AR2742" s="90" t="s">
        <v>422</v>
      </c>
      <c r="AS2742" s="90" t="s">
        <v>250</v>
      </c>
      <c r="AT2742" s="90" t="s">
        <v>244</v>
      </c>
      <c r="AU2742" s="90">
        <v>86.412649999999999</v>
      </c>
      <c r="AV2742" s="90">
        <v>88.282408099875298</v>
      </c>
      <c r="AW2742" s="90">
        <v>378.55429018738698</v>
      </c>
      <c r="AX2742" s="90">
        <v>0.2852186256</v>
      </c>
    </row>
    <row r="2743" spans="1:50" x14ac:dyDescent="0.25">
      <c r="A2743" s="102">
        <v>830000</v>
      </c>
      <c r="B2743" s="102">
        <v>2500000</v>
      </c>
      <c r="C2743" s="102">
        <v>2500000</v>
      </c>
      <c r="D2743" s="90" t="s">
        <v>374</v>
      </c>
      <c r="E2743" s="90" t="s">
        <v>68</v>
      </c>
      <c r="F2743" s="90" t="s">
        <v>375</v>
      </c>
      <c r="G2743" s="90" t="s">
        <v>376</v>
      </c>
      <c r="H2743" s="90">
        <v>0.59</v>
      </c>
      <c r="I2743" s="90">
        <v>0.64</v>
      </c>
      <c r="J2743" s="90" t="s">
        <v>244</v>
      </c>
      <c r="K2743" s="90">
        <v>9.2069937712020003E-2</v>
      </c>
      <c r="L2743" s="90">
        <v>3759.5042782194901</v>
      </c>
      <c r="M2743" s="90">
        <v>7.9930859852977703</v>
      </c>
      <c r="N2743" s="90">
        <v>1.17370814340202</v>
      </c>
      <c r="O2743" s="90">
        <v>0.73592292879320997</v>
      </c>
      <c r="P2743" s="90">
        <v>0.10806323565511</v>
      </c>
      <c r="Q2743" s="90">
        <v>346.13732472375301</v>
      </c>
      <c r="R2743" s="90">
        <v>1210</v>
      </c>
      <c r="S2743" s="90" t="s">
        <v>385</v>
      </c>
      <c r="T2743" s="90">
        <v>1210</v>
      </c>
      <c r="U2743" s="90" t="s">
        <v>378</v>
      </c>
      <c r="V2743" s="90" t="s">
        <v>244</v>
      </c>
      <c r="Z2743" s="90">
        <v>0</v>
      </c>
      <c r="AA2743" s="90">
        <v>1</v>
      </c>
      <c r="AB2743" s="90">
        <v>0.73592292879320997</v>
      </c>
      <c r="AC2743" s="90">
        <v>0.10806323565511</v>
      </c>
      <c r="AD2743" s="90">
        <v>346.13732472375398</v>
      </c>
      <c r="AF2743" s="90">
        <v>-1</v>
      </c>
      <c r="AG2743" s="90">
        <v>-1</v>
      </c>
      <c r="AH2743" s="90">
        <v>-1</v>
      </c>
      <c r="AI2743" s="90">
        <v>-1</v>
      </c>
      <c r="AJ2743" s="90">
        <v>0</v>
      </c>
      <c r="AM2743" s="90" t="s">
        <v>379</v>
      </c>
      <c r="AN2743" s="90">
        <v>-1</v>
      </c>
      <c r="AQ2743" s="90">
        <v>358</v>
      </c>
      <c r="AR2743" s="90" t="s">
        <v>422</v>
      </c>
      <c r="AS2743" s="90" t="s">
        <v>250</v>
      </c>
      <c r="AT2743" s="90" t="s">
        <v>244</v>
      </c>
      <c r="AU2743" s="90">
        <v>86.412649999999999</v>
      </c>
      <c r="AV2743" s="90">
        <v>87.387361029593293</v>
      </c>
      <c r="AW2743" s="90">
        <v>372.59381873987002</v>
      </c>
      <c r="AX2743" s="90">
        <v>0.28072775729999999</v>
      </c>
    </row>
    <row r="2744" spans="1:50" x14ac:dyDescent="0.25">
      <c r="A2744" s="102">
        <v>830000</v>
      </c>
      <c r="B2744" s="102">
        <v>2500000</v>
      </c>
      <c r="C2744" s="102">
        <v>2500000</v>
      </c>
      <c r="D2744" s="90" t="s">
        <v>374</v>
      </c>
      <c r="E2744" s="90" t="s">
        <v>68</v>
      </c>
      <c r="F2744" s="90" t="s">
        <v>375</v>
      </c>
      <c r="G2744" s="90" t="s">
        <v>376</v>
      </c>
      <c r="H2744" s="90">
        <v>0.59</v>
      </c>
      <c r="I2744" s="90">
        <v>0.64</v>
      </c>
      <c r="J2744" s="90" t="s">
        <v>244</v>
      </c>
      <c r="K2744" s="90">
        <v>3.1794375485519999E-2</v>
      </c>
      <c r="L2744" s="90">
        <v>3759.5042782194901</v>
      </c>
      <c r="M2744" s="90">
        <v>7.9930859852977703</v>
      </c>
      <c r="N2744" s="90">
        <v>1.17370814340202</v>
      </c>
      <c r="O2744" s="90">
        <v>0.25413517710463002</v>
      </c>
      <c r="P2744" s="90">
        <v>3.731731742174E-2</v>
      </c>
      <c r="Q2744" s="90">
        <v>119.53109066114401</v>
      </c>
      <c r="R2744" s="90">
        <v>1210</v>
      </c>
      <c r="S2744" s="90" t="s">
        <v>385</v>
      </c>
      <c r="T2744" s="90">
        <v>1210</v>
      </c>
      <c r="U2744" s="90" t="s">
        <v>378</v>
      </c>
      <c r="V2744" s="90" t="s">
        <v>244</v>
      </c>
      <c r="Z2744" s="90">
        <v>0</v>
      </c>
      <c r="AA2744" s="90">
        <v>1</v>
      </c>
      <c r="AB2744" s="90">
        <v>0.25413517710463002</v>
      </c>
      <c r="AC2744" s="90">
        <v>3.731731742174E-2</v>
      </c>
      <c r="AD2744" s="90">
        <v>119.531090661142</v>
      </c>
      <c r="AF2744" s="90">
        <v>-1</v>
      </c>
      <c r="AG2744" s="90">
        <v>-1</v>
      </c>
      <c r="AH2744" s="90">
        <v>-1</v>
      </c>
      <c r="AI2744" s="90">
        <v>-1</v>
      </c>
      <c r="AJ2744" s="90">
        <v>0</v>
      </c>
      <c r="AM2744" s="90" t="s">
        <v>379</v>
      </c>
      <c r="AN2744" s="90">
        <v>-1</v>
      </c>
      <c r="AQ2744" s="90">
        <v>358</v>
      </c>
      <c r="AR2744" s="90" t="s">
        <v>422</v>
      </c>
      <c r="AS2744" s="90" t="s">
        <v>250</v>
      </c>
      <c r="AT2744" s="90" t="s">
        <v>244</v>
      </c>
      <c r="AU2744" s="90">
        <v>86.412649999999999</v>
      </c>
      <c r="AV2744" s="90">
        <v>58.098489966091897</v>
      </c>
      <c r="AW2744" s="90">
        <v>128.66727262978799</v>
      </c>
      <c r="AX2744" s="90">
        <v>9.6943301400000001E-2</v>
      </c>
    </row>
    <row r="2745" spans="1:50" x14ac:dyDescent="0.25">
      <c r="A2745" s="102">
        <v>830000</v>
      </c>
      <c r="B2745" s="102">
        <v>2500000</v>
      </c>
      <c r="C2745" s="102">
        <v>2500000</v>
      </c>
      <c r="D2745" s="90" t="s">
        <v>374</v>
      </c>
      <c r="E2745" s="90" t="s">
        <v>68</v>
      </c>
      <c r="F2745" s="90" t="s">
        <v>375</v>
      </c>
      <c r="G2745" s="90" t="s">
        <v>376</v>
      </c>
      <c r="H2745" s="90">
        <v>0.59</v>
      </c>
      <c r="I2745" s="90">
        <v>0.64</v>
      </c>
      <c r="J2745" s="90" t="s">
        <v>244</v>
      </c>
      <c r="K2745" s="90">
        <v>0.23948209435546999</v>
      </c>
      <c r="L2745" s="90">
        <v>3746.1884029951998</v>
      </c>
      <c r="M2745" s="90">
        <v>9.9616729857328892</v>
      </c>
      <c r="N2745" s="90">
        <v>1.3204131774750001</v>
      </c>
      <c r="O2745" s="90">
        <v>2.3856423099076198</v>
      </c>
      <c r="P2745" s="90">
        <v>0.31621531315626999</v>
      </c>
      <c r="Q2745" s="90">
        <v>897.145044599465</v>
      </c>
      <c r="R2745" s="90">
        <v>1400</v>
      </c>
      <c r="S2745" s="90" t="s">
        <v>324</v>
      </c>
      <c r="T2745" s="90">
        <v>1400</v>
      </c>
      <c r="U2745" s="90" t="s">
        <v>378</v>
      </c>
      <c r="V2745" s="90" t="s">
        <v>244</v>
      </c>
      <c r="Z2745" s="90">
        <v>0</v>
      </c>
      <c r="AA2745" s="90">
        <v>1</v>
      </c>
      <c r="AB2745" s="90">
        <v>2.3856423099076198</v>
      </c>
      <c r="AC2745" s="90">
        <v>0.31621531315626999</v>
      </c>
      <c r="AD2745" s="90">
        <v>897.145044599465</v>
      </c>
      <c r="AF2745" s="90">
        <v>-1</v>
      </c>
      <c r="AG2745" s="90">
        <v>-1</v>
      </c>
      <c r="AH2745" s="90">
        <v>-1</v>
      </c>
      <c r="AI2745" s="90">
        <v>-1</v>
      </c>
      <c r="AJ2745" s="90">
        <v>0</v>
      </c>
      <c r="AM2745" s="90" t="s">
        <v>379</v>
      </c>
      <c r="AN2745" s="90">
        <v>-1</v>
      </c>
      <c r="AQ2745" s="90">
        <v>358</v>
      </c>
      <c r="AR2745" s="90" t="s">
        <v>422</v>
      </c>
      <c r="AS2745" s="90" t="s">
        <v>250</v>
      </c>
      <c r="AT2745" s="90" t="s">
        <v>244</v>
      </c>
      <c r="AU2745" s="90">
        <v>86.412649999999999</v>
      </c>
      <c r="AV2745" s="90">
        <v>170.555272741989</v>
      </c>
      <c r="AW2745" s="90">
        <v>969.14965159223505</v>
      </c>
      <c r="AX2745" s="90">
        <v>0.72761155280000001</v>
      </c>
    </row>
    <row r="2746" spans="1:50" x14ac:dyDescent="0.25">
      <c r="A2746" s="102">
        <v>830000</v>
      </c>
      <c r="B2746" s="102">
        <v>2500000</v>
      </c>
      <c r="C2746" s="102">
        <v>2500000</v>
      </c>
      <c r="D2746" s="90" t="s">
        <v>374</v>
      </c>
      <c r="E2746" s="90" t="s">
        <v>68</v>
      </c>
      <c r="F2746" s="90" t="s">
        <v>375</v>
      </c>
      <c r="G2746" s="90" t="s">
        <v>376</v>
      </c>
      <c r="H2746" s="90">
        <v>0.59</v>
      </c>
      <c r="I2746" s="90">
        <v>0.64</v>
      </c>
      <c r="J2746" s="90" t="s">
        <v>244</v>
      </c>
      <c r="K2746" s="90">
        <v>1.4108065114779999E-2</v>
      </c>
      <c r="L2746" s="90">
        <v>3746.1884029951998</v>
      </c>
      <c r="M2746" s="90">
        <v>9.9616729857328892</v>
      </c>
      <c r="N2746" s="90">
        <v>1.3204131774750001</v>
      </c>
      <c r="O2746" s="90">
        <v>0.14053993113485999</v>
      </c>
      <c r="P2746" s="90">
        <v>1.8628475086230001E-2</v>
      </c>
      <c r="Q2746" s="90">
        <v>52.851469921689997</v>
      </c>
      <c r="R2746" s="90">
        <v>1410</v>
      </c>
      <c r="S2746" s="90" t="s">
        <v>325</v>
      </c>
      <c r="T2746" s="90">
        <v>1410</v>
      </c>
      <c r="U2746" s="90" t="s">
        <v>378</v>
      </c>
      <c r="V2746" s="90" t="s">
        <v>244</v>
      </c>
      <c r="Z2746" s="90">
        <v>0</v>
      </c>
      <c r="AA2746" s="90">
        <v>1</v>
      </c>
      <c r="AB2746" s="90">
        <v>0.14053993113485999</v>
      </c>
      <c r="AC2746" s="90">
        <v>1.8628475086230001E-2</v>
      </c>
      <c r="AD2746" s="90">
        <v>52.851469921690402</v>
      </c>
      <c r="AF2746" s="90">
        <v>-1</v>
      </c>
      <c r="AG2746" s="90">
        <v>-1</v>
      </c>
      <c r="AH2746" s="90">
        <v>-1</v>
      </c>
      <c r="AI2746" s="90">
        <v>-1</v>
      </c>
      <c r="AJ2746" s="90">
        <v>0</v>
      </c>
      <c r="AM2746" s="90" t="s">
        <v>379</v>
      </c>
      <c r="AN2746" s="90">
        <v>-1</v>
      </c>
      <c r="AQ2746" s="90">
        <v>358</v>
      </c>
      <c r="AR2746" s="90" t="s">
        <v>422</v>
      </c>
      <c r="AS2746" s="90" t="s">
        <v>250</v>
      </c>
      <c r="AT2746" s="90" t="s">
        <v>244</v>
      </c>
      <c r="AU2746" s="90">
        <v>86.412649999999999</v>
      </c>
      <c r="AV2746" s="90">
        <v>33.600075653151897</v>
      </c>
      <c r="AW2746" s="90">
        <v>57.093313917385203</v>
      </c>
      <c r="AX2746" s="90">
        <v>4.2864128100000003E-2</v>
      </c>
    </row>
    <row r="2747" spans="1:50" x14ac:dyDescent="0.25">
      <c r="A2747" s="102">
        <v>830000</v>
      </c>
      <c r="B2747" s="102">
        <v>2500000</v>
      </c>
      <c r="C2747" s="102">
        <v>2500000</v>
      </c>
      <c r="D2747" s="90" t="s">
        <v>374</v>
      </c>
      <c r="E2747" s="90" t="s">
        <v>68</v>
      </c>
      <c r="F2747" s="90" t="s">
        <v>375</v>
      </c>
      <c r="G2747" s="90" t="s">
        <v>376</v>
      </c>
      <c r="H2747" s="90">
        <v>0.59</v>
      </c>
      <c r="I2747" s="90">
        <v>0.64</v>
      </c>
      <c r="J2747" s="90" t="s">
        <v>244</v>
      </c>
      <c r="K2747" s="90">
        <v>8.7121111898539993E-2</v>
      </c>
      <c r="L2747" s="90">
        <v>3746.1884029951998</v>
      </c>
      <c r="M2747" s="90">
        <v>9.9616729857328892</v>
      </c>
      <c r="N2747" s="90">
        <v>1.3204131774750001</v>
      </c>
      <c r="O2747" s="90">
        <v>0.86787202688675003</v>
      </c>
      <c r="P2747" s="90">
        <v>0.11503586418711</v>
      </c>
      <c r="Q2747" s="90">
        <v>326.37209905037997</v>
      </c>
      <c r="R2747" s="90">
        <v>1410</v>
      </c>
      <c r="S2747" s="90" t="s">
        <v>325</v>
      </c>
      <c r="T2747" s="90">
        <v>1410</v>
      </c>
      <c r="U2747" s="90" t="s">
        <v>378</v>
      </c>
      <c r="V2747" s="90" t="s">
        <v>244</v>
      </c>
      <c r="Z2747" s="90">
        <v>0</v>
      </c>
      <c r="AA2747" s="90">
        <v>1</v>
      </c>
      <c r="AB2747" s="90">
        <v>0.86787202688675003</v>
      </c>
      <c r="AC2747" s="90">
        <v>0.11503586418711</v>
      </c>
      <c r="AD2747" s="90">
        <v>326.37209905038202</v>
      </c>
      <c r="AF2747" s="90">
        <v>-1</v>
      </c>
      <c r="AG2747" s="90">
        <v>-1</v>
      </c>
      <c r="AH2747" s="90">
        <v>-1</v>
      </c>
      <c r="AI2747" s="90">
        <v>-1</v>
      </c>
      <c r="AJ2747" s="90">
        <v>0</v>
      </c>
      <c r="AM2747" s="90" t="s">
        <v>379</v>
      </c>
      <c r="AN2747" s="90">
        <v>-1</v>
      </c>
      <c r="AQ2747" s="90">
        <v>358</v>
      </c>
      <c r="AR2747" s="90" t="s">
        <v>422</v>
      </c>
      <c r="AS2747" s="90" t="s">
        <v>250</v>
      </c>
      <c r="AT2747" s="90" t="s">
        <v>244</v>
      </c>
      <c r="AU2747" s="90">
        <v>86.412649999999999</v>
      </c>
      <c r="AV2747" s="90">
        <v>83.958425790020002</v>
      </c>
      <c r="AW2747" s="90">
        <v>352.56663121326102</v>
      </c>
      <c r="AX2747" s="90">
        <v>0.2646975661</v>
      </c>
    </row>
    <row r="2748" spans="1:50" x14ac:dyDescent="0.25">
      <c r="A2748" s="102">
        <v>830000</v>
      </c>
      <c r="B2748" s="102">
        <v>2500000</v>
      </c>
      <c r="C2748" s="102">
        <v>2500000</v>
      </c>
      <c r="D2748" s="90" t="s">
        <v>374</v>
      </c>
      <c r="E2748" s="90" t="s">
        <v>68</v>
      </c>
      <c r="F2748" s="90" t="s">
        <v>375</v>
      </c>
      <c r="G2748" s="90" t="s">
        <v>376</v>
      </c>
      <c r="H2748" s="90">
        <v>0.59</v>
      </c>
      <c r="I2748" s="90">
        <v>0.64</v>
      </c>
      <c r="J2748" s="90" t="s">
        <v>244</v>
      </c>
      <c r="K2748" s="90">
        <v>3.6966051881099998E-2</v>
      </c>
      <c r="L2748" s="90">
        <v>3719.8291715037299</v>
      </c>
      <c r="M2748" s="90">
        <v>9.6297063441024395</v>
      </c>
      <c r="N2748" s="90">
        <v>1.5388779776822801</v>
      </c>
      <c r="O2748" s="90">
        <v>0.35597222431584002</v>
      </c>
      <c r="P2748" s="90">
        <v>5.6886243161679999E-2</v>
      </c>
      <c r="Q2748" s="90">
        <v>137.50739814263599</v>
      </c>
      <c r="R2748" s="90">
        <v>1200</v>
      </c>
      <c r="S2748" s="90" t="s">
        <v>384</v>
      </c>
      <c r="T2748" s="90">
        <v>1200</v>
      </c>
      <c r="U2748" s="90" t="s">
        <v>378</v>
      </c>
      <c r="V2748" s="90" t="s">
        <v>244</v>
      </c>
      <c r="Z2748" s="90">
        <v>0</v>
      </c>
      <c r="AA2748" s="90">
        <v>1</v>
      </c>
      <c r="AB2748" s="90">
        <v>0.35597222431584002</v>
      </c>
      <c r="AC2748" s="90">
        <v>5.6886243161679999E-2</v>
      </c>
      <c r="AD2748" s="90">
        <v>137.507398142635</v>
      </c>
      <c r="AF2748" s="90">
        <v>-1</v>
      </c>
      <c r="AG2748" s="90">
        <v>-1</v>
      </c>
      <c r="AH2748" s="90">
        <v>-1</v>
      </c>
      <c r="AI2748" s="90">
        <v>-1</v>
      </c>
      <c r="AJ2748" s="90">
        <v>0</v>
      </c>
      <c r="AM2748" s="90" t="s">
        <v>379</v>
      </c>
      <c r="AN2748" s="90">
        <v>-1</v>
      </c>
      <c r="AQ2748" s="90">
        <v>358</v>
      </c>
      <c r="AR2748" s="90" t="s">
        <v>422</v>
      </c>
      <c r="AS2748" s="90" t="s">
        <v>250</v>
      </c>
      <c r="AT2748" s="90" t="s">
        <v>244</v>
      </c>
      <c r="AU2748" s="90">
        <v>86.412649999999999</v>
      </c>
      <c r="AV2748" s="90">
        <v>83.617194751125993</v>
      </c>
      <c r="AW2748" s="90">
        <v>149.59630446579999</v>
      </c>
      <c r="AX2748" s="90">
        <v>0.1115226262</v>
      </c>
    </row>
    <row r="2749" spans="1:50" x14ac:dyDescent="0.25">
      <c r="A2749" s="102">
        <v>830000</v>
      </c>
      <c r="B2749" s="102">
        <v>2500000</v>
      </c>
      <c r="C2749" s="102">
        <v>2500000</v>
      </c>
      <c r="D2749" s="90" t="s">
        <v>374</v>
      </c>
      <c r="E2749" s="90" t="s">
        <v>68</v>
      </c>
      <c r="F2749" s="90" t="s">
        <v>375</v>
      </c>
      <c r="G2749" s="90" t="s">
        <v>376</v>
      </c>
      <c r="H2749" s="90">
        <v>0.59</v>
      </c>
      <c r="I2749" s="90">
        <v>0.64</v>
      </c>
      <c r="J2749" s="90" t="s">
        <v>244</v>
      </c>
      <c r="K2749" s="90">
        <v>1.5074117668339999E-2</v>
      </c>
      <c r="L2749" s="90">
        <v>3719.8291715037299</v>
      </c>
      <c r="M2749" s="90">
        <v>9.6297063441024395</v>
      </c>
      <c r="N2749" s="90">
        <v>1.5388779776822801</v>
      </c>
      <c r="O2749" s="90">
        <v>0.14515932654256999</v>
      </c>
      <c r="P2749" s="90">
        <v>2.31972277128E-2</v>
      </c>
      <c r="Q2749" s="90">
        <v>56.073142637374602</v>
      </c>
      <c r="R2749" s="90">
        <v>1300</v>
      </c>
      <c r="S2749" s="90" t="s">
        <v>387</v>
      </c>
      <c r="T2749" s="90">
        <v>1300</v>
      </c>
      <c r="U2749" s="90" t="s">
        <v>378</v>
      </c>
      <c r="V2749" s="90" t="s">
        <v>244</v>
      </c>
      <c r="Z2749" s="90">
        <v>0</v>
      </c>
      <c r="AA2749" s="90">
        <v>1</v>
      </c>
      <c r="AB2749" s="90">
        <v>0.14515932654256999</v>
      </c>
      <c r="AC2749" s="90">
        <v>2.31972277128E-2</v>
      </c>
      <c r="AD2749" s="90">
        <v>56.073142637375398</v>
      </c>
      <c r="AF2749" s="90">
        <v>-1</v>
      </c>
      <c r="AG2749" s="90">
        <v>-1</v>
      </c>
      <c r="AH2749" s="90">
        <v>-1</v>
      </c>
      <c r="AI2749" s="90">
        <v>-1</v>
      </c>
      <c r="AJ2749" s="90">
        <v>0</v>
      </c>
      <c r="AM2749" s="90" t="s">
        <v>379</v>
      </c>
      <c r="AN2749" s="90">
        <v>-1</v>
      </c>
      <c r="AQ2749" s="90">
        <v>358</v>
      </c>
      <c r="AR2749" s="90" t="s">
        <v>422</v>
      </c>
      <c r="AS2749" s="90" t="s">
        <v>250</v>
      </c>
      <c r="AT2749" s="90" t="s">
        <v>244</v>
      </c>
      <c r="AU2749" s="90">
        <v>86.412649999999999</v>
      </c>
      <c r="AV2749" s="90">
        <v>34.368867173152204</v>
      </c>
      <c r="AW2749" s="90">
        <v>61.002789898139802</v>
      </c>
      <c r="AX2749" s="90">
        <v>4.54770013E-2</v>
      </c>
    </row>
    <row r="2750" spans="1:50" x14ac:dyDescent="0.25">
      <c r="A2750" s="102">
        <v>830000</v>
      </c>
      <c r="B2750" s="102">
        <v>2500000</v>
      </c>
      <c r="C2750" s="102">
        <v>2500000</v>
      </c>
      <c r="D2750" s="90" t="s">
        <v>374</v>
      </c>
      <c r="E2750" s="90" t="s">
        <v>68</v>
      </c>
      <c r="F2750" s="90" t="s">
        <v>375</v>
      </c>
      <c r="G2750" s="90" t="s">
        <v>376</v>
      </c>
      <c r="H2750" s="90">
        <v>0.59</v>
      </c>
      <c r="I2750" s="90">
        <v>0.64</v>
      </c>
      <c r="J2750" s="90" t="s">
        <v>244</v>
      </c>
      <c r="K2750" s="90">
        <v>0.1766787259623</v>
      </c>
      <c r="L2750" s="90">
        <v>3719.8291715037299</v>
      </c>
      <c r="M2750" s="90">
        <v>9.6297063441024395</v>
      </c>
      <c r="N2750" s="90">
        <v>1.5388779776822801</v>
      </c>
      <c r="O2750" s="90">
        <v>1.70136424826717</v>
      </c>
      <c r="P2750" s="90">
        <v>0.27188700050835002</v>
      </c>
      <c r="Q2750" s="90">
        <v>657.21467881870603</v>
      </c>
      <c r="R2750" s="90">
        <v>1210</v>
      </c>
      <c r="S2750" s="90" t="s">
        <v>385</v>
      </c>
      <c r="T2750" s="90">
        <v>1210</v>
      </c>
      <c r="U2750" s="90" t="s">
        <v>378</v>
      </c>
      <c r="V2750" s="90" t="s">
        <v>244</v>
      </c>
      <c r="Z2750" s="90">
        <v>0</v>
      </c>
      <c r="AA2750" s="90">
        <v>1</v>
      </c>
      <c r="AB2750" s="90">
        <v>1.70136424826717</v>
      </c>
      <c r="AC2750" s="90">
        <v>0.27188700050835002</v>
      </c>
      <c r="AD2750" s="90">
        <v>657.21467881870603</v>
      </c>
      <c r="AF2750" s="90">
        <v>-1</v>
      </c>
      <c r="AG2750" s="90">
        <v>-1</v>
      </c>
      <c r="AH2750" s="90">
        <v>-1</v>
      </c>
      <c r="AI2750" s="90">
        <v>-1</v>
      </c>
      <c r="AJ2750" s="90">
        <v>0</v>
      </c>
      <c r="AM2750" s="90" t="s">
        <v>379</v>
      </c>
      <c r="AN2750" s="90">
        <v>-1</v>
      </c>
      <c r="AQ2750" s="90">
        <v>358</v>
      </c>
      <c r="AR2750" s="90" t="s">
        <v>422</v>
      </c>
      <c r="AS2750" s="90" t="s">
        <v>250</v>
      </c>
      <c r="AT2750" s="90" t="s">
        <v>244</v>
      </c>
      <c r="AU2750" s="90">
        <v>86.412649999999999</v>
      </c>
      <c r="AV2750" s="90">
        <v>112.820634824626</v>
      </c>
      <c r="AW2750" s="90">
        <v>714.99343686201701</v>
      </c>
      <c r="AX2750" s="90">
        <v>0.53302082630000003</v>
      </c>
    </row>
    <row r="2751" spans="1:50" x14ac:dyDescent="0.25">
      <c r="A2751" s="102">
        <v>830000</v>
      </c>
      <c r="B2751" s="102">
        <v>2500000</v>
      </c>
      <c r="C2751" s="102">
        <v>2500000</v>
      </c>
      <c r="D2751" s="90" t="s">
        <v>374</v>
      </c>
      <c r="E2751" s="90" t="s">
        <v>68</v>
      </c>
      <c r="F2751" s="90" t="s">
        <v>375</v>
      </c>
      <c r="G2751" s="90" t="s">
        <v>376</v>
      </c>
      <c r="H2751" s="90">
        <v>0.59</v>
      </c>
      <c r="I2751" s="90">
        <v>0.64</v>
      </c>
      <c r="J2751" s="90" t="s">
        <v>244</v>
      </c>
      <c r="K2751" s="90">
        <v>7.0412318284280004E-2</v>
      </c>
      <c r="L2751" s="90">
        <v>3719.8291715037299</v>
      </c>
      <c r="M2751" s="90">
        <v>9.6297063441024395</v>
      </c>
      <c r="N2751" s="90">
        <v>1.5388779776822801</v>
      </c>
      <c r="O2751" s="90">
        <v>0.67804994808513996</v>
      </c>
      <c r="P2751" s="90">
        <v>0.10835596596524</v>
      </c>
      <c r="Q2751" s="90">
        <v>261.92179558708801</v>
      </c>
      <c r="R2751" s="90">
        <v>1210</v>
      </c>
      <c r="S2751" s="90" t="s">
        <v>385</v>
      </c>
      <c r="T2751" s="90">
        <v>1210</v>
      </c>
      <c r="U2751" s="90" t="s">
        <v>378</v>
      </c>
      <c r="V2751" s="90" t="s">
        <v>244</v>
      </c>
      <c r="Z2751" s="90">
        <v>0</v>
      </c>
      <c r="AA2751" s="90">
        <v>1</v>
      </c>
      <c r="AB2751" s="90">
        <v>0.67804994808513996</v>
      </c>
      <c r="AC2751" s="90">
        <v>0.10835596596524</v>
      </c>
      <c r="AD2751" s="90">
        <v>261.92179558708898</v>
      </c>
      <c r="AF2751" s="90">
        <v>-1</v>
      </c>
      <c r="AG2751" s="90">
        <v>-1</v>
      </c>
      <c r="AH2751" s="90">
        <v>-1</v>
      </c>
      <c r="AI2751" s="90">
        <v>-1</v>
      </c>
      <c r="AJ2751" s="90">
        <v>0</v>
      </c>
      <c r="AM2751" s="90" t="s">
        <v>379</v>
      </c>
      <c r="AN2751" s="90">
        <v>-1</v>
      </c>
      <c r="AQ2751" s="90">
        <v>358</v>
      </c>
      <c r="AR2751" s="90" t="s">
        <v>422</v>
      </c>
      <c r="AS2751" s="90" t="s">
        <v>250</v>
      </c>
      <c r="AT2751" s="90" t="s">
        <v>244</v>
      </c>
      <c r="AU2751" s="90">
        <v>86.412649999999999</v>
      </c>
      <c r="AV2751" s="90">
        <v>88.2320985531058</v>
      </c>
      <c r="AW2751" s="90">
        <v>284.94854246483197</v>
      </c>
      <c r="AX2751" s="90">
        <v>0.212426436</v>
      </c>
    </row>
    <row r="2752" spans="1:50" x14ac:dyDescent="0.25">
      <c r="A2752" s="102">
        <v>830000</v>
      </c>
      <c r="B2752" s="102">
        <v>2500000</v>
      </c>
      <c r="C2752" s="102">
        <v>2500000</v>
      </c>
      <c r="D2752" s="90" t="s">
        <v>374</v>
      </c>
      <c r="E2752" s="90" t="s">
        <v>68</v>
      </c>
      <c r="F2752" s="90" t="s">
        <v>375</v>
      </c>
      <c r="G2752" s="90" t="s">
        <v>376</v>
      </c>
      <c r="H2752" s="90">
        <v>0.59</v>
      </c>
      <c r="I2752" s="90">
        <v>0.64</v>
      </c>
      <c r="J2752" s="90" t="s">
        <v>244</v>
      </c>
      <c r="K2752" s="90">
        <v>0.17991372844438999</v>
      </c>
      <c r="L2752" s="90">
        <v>3719.8291715037299</v>
      </c>
      <c r="M2752" s="90">
        <v>9.6297063441024395</v>
      </c>
      <c r="N2752" s="90">
        <v>1.5388779776822801</v>
      </c>
      <c r="O2752" s="90">
        <v>1.7325163721921</v>
      </c>
      <c r="P2752" s="90">
        <v>0.27686527458577997</v>
      </c>
      <c r="Q2752" s="90">
        <v>669.248335421457</v>
      </c>
      <c r="R2752" s="90">
        <v>1210</v>
      </c>
      <c r="S2752" s="90" t="s">
        <v>385</v>
      </c>
      <c r="T2752" s="90">
        <v>1210</v>
      </c>
      <c r="U2752" s="90" t="s">
        <v>378</v>
      </c>
      <c r="V2752" s="90" t="s">
        <v>244</v>
      </c>
      <c r="Z2752" s="90">
        <v>0</v>
      </c>
      <c r="AA2752" s="90">
        <v>1</v>
      </c>
      <c r="AB2752" s="90">
        <v>1.7325163721921</v>
      </c>
      <c r="AC2752" s="90">
        <v>0.27686527458577997</v>
      </c>
      <c r="AD2752" s="90">
        <v>669.248335421457</v>
      </c>
      <c r="AF2752" s="90">
        <v>-1</v>
      </c>
      <c r="AG2752" s="90">
        <v>-1</v>
      </c>
      <c r="AH2752" s="90">
        <v>-1</v>
      </c>
      <c r="AI2752" s="90">
        <v>-1</v>
      </c>
      <c r="AJ2752" s="90">
        <v>0</v>
      </c>
      <c r="AM2752" s="90" t="s">
        <v>379</v>
      </c>
      <c r="AN2752" s="90">
        <v>-1</v>
      </c>
      <c r="AQ2752" s="90">
        <v>358</v>
      </c>
      <c r="AR2752" s="90" t="s">
        <v>422</v>
      </c>
      <c r="AS2752" s="90" t="s">
        <v>250</v>
      </c>
      <c r="AT2752" s="90" t="s">
        <v>244</v>
      </c>
      <c r="AU2752" s="90">
        <v>86.412649999999999</v>
      </c>
      <c r="AV2752" s="90">
        <v>114.790472521681</v>
      </c>
      <c r="AW2752" s="90">
        <v>728.08502743312602</v>
      </c>
      <c r="AX2752" s="90">
        <v>0.54278048290000003</v>
      </c>
    </row>
    <row r="2753" spans="1:50" x14ac:dyDescent="0.25">
      <c r="A2753" s="102">
        <v>830000</v>
      </c>
      <c r="B2753" s="102">
        <v>2500000</v>
      </c>
      <c r="C2753" s="102">
        <v>2500000</v>
      </c>
      <c r="D2753" s="90" t="s">
        <v>374</v>
      </c>
      <c r="E2753" s="90" t="s">
        <v>68</v>
      </c>
      <c r="F2753" s="90" t="s">
        <v>375</v>
      </c>
      <c r="G2753" s="90" t="s">
        <v>376</v>
      </c>
      <c r="H2753" s="90">
        <v>0.59</v>
      </c>
      <c r="I2753" s="90">
        <v>0.64</v>
      </c>
      <c r="J2753" s="90" t="s">
        <v>244</v>
      </c>
      <c r="K2753" s="90">
        <v>0.13871851149652001</v>
      </c>
      <c r="L2753" s="90">
        <v>3719.8291715037299</v>
      </c>
      <c r="M2753" s="90">
        <v>9.6297063441024395</v>
      </c>
      <c r="N2753" s="90">
        <v>1.5388779776822801</v>
      </c>
      <c r="O2753" s="90">
        <v>1.3358185302025301</v>
      </c>
      <c r="P2753" s="90">
        <v>0.21347086243885999</v>
      </c>
      <c r="Q2753" s="90">
        <v>516.00916569234903</v>
      </c>
      <c r="R2753" s="90">
        <v>1340</v>
      </c>
      <c r="S2753" s="90" t="s">
        <v>407</v>
      </c>
      <c r="T2753" s="90">
        <v>1340</v>
      </c>
      <c r="U2753" s="90" t="s">
        <v>378</v>
      </c>
      <c r="V2753" s="90" t="s">
        <v>244</v>
      </c>
      <c r="Z2753" s="90">
        <v>0</v>
      </c>
      <c r="AA2753" s="90">
        <v>1</v>
      </c>
      <c r="AB2753" s="90">
        <v>1.3358185302025301</v>
      </c>
      <c r="AC2753" s="90">
        <v>0.21347086243885999</v>
      </c>
      <c r="AD2753" s="90">
        <v>516.00916569234903</v>
      </c>
      <c r="AF2753" s="90">
        <v>-1</v>
      </c>
      <c r="AG2753" s="90">
        <v>-1</v>
      </c>
      <c r="AH2753" s="90">
        <v>-1</v>
      </c>
      <c r="AI2753" s="90">
        <v>-1</v>
      </c>
      <c r="AJ2753" s="90">
        <v>0</v>
      </c>
      <c r="AM2753" s="90" t="s">
        <v>379</v>
      </c>
      <c r="AN2753" s="90">
        <v>-1</v>
      </c>
      <c r="AQ2753" s="90">
        <v>358</v>
      </c>
      <c r="AR2753" s="90" t="s">
        <v>422</v>
      </c>
      <c r="AS2753" s="90" t="s">
        <v>250</v>
      </c>
      <c r="AT2753" s="90" t="s">
        <v>244</v>
      </c>
      <c r="AU2753" s="90">
        <v>86.412649999999999</v>
      </c>
      <c r="AV2753" s="90">
        <v>114.98775244209899</v>
      </c>
      <c r="AW2753" s="90">
        <v>561.37389915548101</v>
      </c>
      <c r="AX2753" s="90">
        <v>0.41849891779999998</v>
      </c>
    </row>
    <row r="2754" spans="1:50" x14ac:dyDescent="0.25">
      <c r="A2754" s="102">
        <v>830000</v>
      </c>
      <c r="B2754" s="102">
        <v>2500000</v>
      </c>
      <c r="C2754" s="102">
        <v>2500000</v>
      </c>
      <c r="D2754" s="90" t="s">
        <v>374</v>
      </c>
      <c r="E2754" s="90" t="s">
        <v>68</v>
      </c>
      <c r="F2754" s="90" t="s">
        <v>375</v>
      </c>
      <c r="G2754" s="90" t="s">
        <v>376</v>
      </c>
      <c r="H2754" s="90">
        <v>0.59</v>
      </c>
      <c r="I2754" s="90">
        <v>0.64</v>
      </c>
      <c r="J2754" s="90" t="s">
        <v>244</v>
      </c>
      <c r="K2754" s="90">
        <v>8.2429328185089995E-2</v>
      </c>
      <c r="L2754" s="90">
        <v>3719.6066119578099</v>
      </c>
      <c r="M2754" s="90">
        <v>9.5925186870963799</v>
      </c>
      <c r="N2754" s="90">
        <v>1.5210001089639</v>
      </c>
      <c r="O2754" s="90">
        <v>0.79070487098036002</v>
      </c>
      <c r="P2754" s="90">
        <v>0.12537501715134999</v>
      </c>
      <c r="Q2754" s="90">
        <v>306.60467413653498</v>
      </c>
      <c r="R2754" s="90">
        <v>1200</v>
      </c>
      <c r="S2754" s="90" t="s">
        <v>384</v>
      </c>
      <c r="T2754" s="90">
        <v>1200</v>
      </c>
      <c r="U2754" s="90" t="s">
        <v>378</v>
      </c>
      <c r="V2754" s="90" t="s">
        <v>244</v>
      </c>
      <c r="Z2754" s="90">
        <v>0</v>
      </c>
      <c r="AA2754" s="90">
        <v>1</v>
      </c>
      <c r="AB2754" s="90">
        <v>0.79070487098036002</v>
      </c>
      <c r="AC2754" s="90">
        <v>0.12537501715134999</v>
      </c>
      <c r="AD2754" s="90">
        <v>306.60467413653299</v>
      </c>
      <c r="AF2754" s="90">
        <v>-1</v>
      </c>
      <c r="AG2754" s="90">
        <v>-1</v>
      </c>
      <c r="AH2754" s="90">
        <v>-1</v>
      </c>
      <c r="AI2754" s="90">
        <v>-1</v>
      </c>
      <c r="AJ2754" s="90">
        <v>0</v>
      </c>
      <c r="AM2754" s="90" t="s">
        <v>379</v>
      </c>
      <c r="AN2754" s="90">
        <v>-1</v>
      </c>
      <c r="AQ2754" s="90">
        <v>358</v>
      </c>
      <c r="AR2754" s="90" t="s">
        <v>422</v>
      </c>
      <c r="AS2754" s="90" t="s">
        <v>250</v>
      </c>
      <c r="AT2754" s="90" t="s">
        <v>244</v>
      </c>
      <c r="AU2754" s="90">
        <v>86.412649999999999</v>
      </c>
      <c r="AV2754" s="90">
        <v>113.427206249289</v>
      </c>
      <c r="AW2754" s="90">
        <v>333.57965615998302</v>
      </c>
      <c r="AX2754" s="90">
        <v>0.2486655914</v>
      </c>
    </row>
    <row r="2755" spans="1:50" x14ac:dyDescent="0.25">
      <c r="A2755" s="102">
        <v>830000</v>
      </c>
      <c r="B2755" s="102">
        <v>2500000</v>
      </c>
      <c r="C2755" s="102">
        <v>2500000</v>
      </c>
      <c r="D2755" s="90" t="s">
        <v>374</v>
      </c>
      <c r="E2755" s="90" t="s">
        <v>68</v>
      </c>
      <c r="F2755" s="90" t="s">
        <v>375</v>
      </c>
      <c r="G2755" s="90" t="s">
        <v>376</v>
      </c>
      <c r="H2755" s="90">
        <v>0.59</v>
      </c>
      <c r="I2755" s="90">
        <v>0.64</v>
      </c>
      <c r="J2755" s="90" t="s">
        <v>244</v>
      </c>
      <c r="K2755" s="90">
        <v>3.8179533367910003E-2</v>
      </c>
      <c r="L2755" s="90">
        <v>3719.6066119578099</v>
      </c>
      <c r="M2755" s="90">
        <v>9.5925186870963799</v>
      </c>
      <c r="N2755" s="90">
        <v>1.5210001089639</v>
      </c>
      <c r="O2755" s="90">
        <v>0.36623788729633</v>
      </c>
      <c r="P2755" s="90">
        <v>5.8071074412779998E-2</v>
      </c>
      <c r="Q2755" s="90">
        <v>142.012844756757</v>
      </c>
      <c r="R2755" s="90">
        <v>1300</v>
      </c>
      <c r="S2755" s="90" t="s">
        <v>387</v>
      </c>
      <c r="T2755" s="90">
        <v>1300</v>
      </c>
      <c r="U2755" s="90" t="s">
        <v>378</v>
      </c>
      <c r="V2755" s="90" t="s">
        <v>244</v>
      </c>
      <c r="Z2755" s="90">
        <v>0</v>
      </c>
      <c r="AA2755" s="90">
        <v>1</v>
      </c>
      <c r="AB2755" s="90">
        <v>0.36623788729633</v>
      </c>
      <c r="AC2755" s="90">
        <v>5.8071074412779998E-2</v>
      </c>
      <c r="AD2755" s="90">
        <v>142.012844756758</v>
      </c>
      <c r="AF2755" s="90">
        <v>-1</v>
      </c>
      <c r="AG2755" s="90">
        <v>-1</v>
      </c>
      <c r="AH2755" s="90">
        <v>-1</v>
      </c>
      <c r="AI2755" s="90">
        <v>-1</v>
      </c>
      <c r="AJ2755" s="90">
        <v>0</v>
      </c>
      <c r="AM2755" s="90" t="s">
        <v>379</v>
      </c>
      <c r="AN2755" s="90">
        <v>-1</v>
      </c>
      <c r="AQ2755" s="90">
        <v>358</v>
      </c>
      <c r="AR2755" s="90" t="s">
        <v>422</v>
      </c>
      <c r="AS2755" s="90" t="s">
        <v>250</v>
      </c>
      <c r="AT2755" s="90" t="s">
        <v>244</v>
      </c>
      <c r="AU2755" s="90">
        <v>86.412649999999999</v>
      </c>
      <c r="AV2755" s="90">
        <v>106.29251517493699</v>
      </c>
      <c r="AW2755" s="90">
        <v>154.50708981417901</v>
      </c>
      <c r="AX2755" s="90">
        <v>0.1151766786</v>
      </c>
    </row>
    <row r="2756" spans="1:50" x14ac:dyDescent="0.25">
      <c r="A2756" s="102">
        <v>830000</v>
      </c>
      <c r="B2756" s="102">
        <v>2500000</v>
      </c>
      <c r="C2756" s="102">
        <v>2500000</v>
      </c>
      <c r="D2756" s="90" t="s">
        <v>374</v>
      </c>
      <c r="E2756" s="90" t="s">
        <v>68</v>
      </c>
      <c r="F2756" s="90" t="s">
        <v>375</v>
      </c>
      <c r="G2756" s="90" t="s">
        <v>376</v>
      </c>
      <c r="H2756" s="90">
        <v>0.59</v>
      </c>
      <c r="I2756" s="90">
        <v>0.64</v>
      </c>
      <c r="J2756" s="90" t="s">
        <v>244</v>
      </c>
      <c r="K2756" s="90">
        <v>1.9109331399699999E-2</v>
      </c>
      <c r="L2756" s="90">
        <v>3719.6066119578099</v>
      </c>
      <c r="M2756" s="90">
        <v>9.5925186870963799</v>
      </c>
      <c r="N2756" s="90">
        <v>1.5210001089639</v>
      </c>
      <c r="O2756" s="90">
        <v>0.18330661854956001</v>
      </c>
      <c r="P2756" s="90">
        <v>2.9065295141170001E-2</v>
      </c>
      <c r="Q2756" s="90">
        <v>71.079195424428406</v>
      </c>
      <c r="R2756" s="90">
        <v>1210</v>
      </c>
      <c r="S2756" s="90" t="s">
        <v>385</v>
      </c>
      <c r="T2756" s="90">
        <v>1210</v>
      </c>
      <c r="U2756" s="90" t="s">
        <v>378</v>
      </c>
      <c r="V2756" s="90" t="s">
        <v>244</v>
      </c>
      <c r="Z2756" s="90">
        <v>0</v>
      </c>
      <c r="AA2756" s="90">
        <v>1</v>
      </c>
      <c r="AB2756" s="90">
        <v>0.18330661854956001</v>
      </c>
      <c r="AC2756" s="90">
        <v>2.9065295141170001E-2</v>
      </c>
      <c r="AD2756" s="90">
        <v>71.079195424427695</v>
      </c>
      <c r="AF2756" s="90">
        <v>-1</v>
      </c>
      <c r="AG2756" s="90">
        <v>-1</v>
      </c>
      <c r="AH2756" s="90">
        <v>-1</v>
      </c>
      <c r="AI2756" s="90">
        <v>-1</v>
      </c>
      <c r="AJ2756" s="90">
        <v>0</v>
      </c>
      <c r="AM2756" s="90" t="s">
        <v>379</v>
      </c>
      <c r="AN2756" s="90">
        <v>-1</v>
      </c>
      <c r="AQ2756" s="90">
        <v>358</v>
      </c>
      <c r="AR2756" s="90" t="s">
        <v>422</v>
      </c>
      <c r="AS2756" s="90" t="s">
        <v>250</v>
      </c>
      <c r="AT2756" s="90" t="s">
        <v>244</v>
      </c>
      <c r="AU2756" s="90">
        <v>86.412649999999999</v>
      </c>
      <c r="AV2756" s="90">
        <v>45.873057208014004</v>
      </c>
      <c r="AW2756" s="90">
        <v>77.332720502657196</v>
      </c>
      <c r="AX2756" s="90">
        <v>5.76473604E-2</v>
      </c>
    </row>
    <row r="2757" spans="1:50" x14ac:dyDescent="0.25">
      <c r="A2757" s="102">
        <v>830000</v>
      </c>
      <c r="B2757" s="102">
        <v>2500000</v>
      </c>
      <c r="C2757" s="102">
        <v>2500000</v>
      </c>
      <c r="D2757" s="90" t="s">
        <v>374</v>
      </c>
      <c r="E2757" s="90" t="s">
        <v>68</v>
      </c>
      <c r="F2757" s="90" t="s">
        <v>375</v>
      </c>
      <c r="G2757" s="90" t="s">
        <v>376</v>
      </c>
      <c r="H2757" s="90">
        <v>0.59</v>
      </c>
      <c r="I2757" s="90">
        <v>0.64</v>
      </c>
      <c r="J2757" s="90" t="s">
        <v>244</v>
      </c>
      <c r="K2757" s="90">
        <v>3.0221009203299998E-2</v>
      </c>
      <c r="L2757" s="90">
        <v>3719.6066119578099</v>
      </c>
      <c r="M2757" s="90">
        <v>9.5925186870963799</v>
      </c>
      <c r="N2757" s="90">
        <v>1.5210001089639</v>
      </c>
      <c r="O2757" s="90">
        <v>0.28989559552564997</v>
      </c>
      <c r="P2757" s="90">
        <v>4.5966158291229998E-2</v>
      </c>
      <c r="Q2757" s="90">
        <v>112.410265652666</v>
      </c>
      <c r="R2757" s="90">
        <v>1210</v>
      </c>
      <c r="S2757" s="90" t="s">
        <v>385</v>
      </c>
      <c r="T2757" s="90">
        <v>1210</v>
      </c>
      <c r="U2757" s="90" t="s">
        <v>378</v>
      </c>
      <c r="V2757" s="90" t="s">
        <v>244</v>
      </c>
      <c r="Z2757" s="90">
        <v>0</v>
      </c>
      <c r="AA2757" s="90">
        <v>1</v>
      </c>
      <c r="AB2757" s="90">
        <v>0.28989559552564997</v>
      </c>
      <c r="AC2757" s="90">
        <v>4.5966158291229998E-2</v>
      </c>
      <c r="AD2757" s="90">
        <v>112.41026565266699</v>
      </c>
      <c r="AF2757" s="90">
        <v>-1</v>
      </c>
      <c r="AG2757" s="90">
        <v>-1</v>
      </c>
      <c r="AH2757" s="90">
        <v>-1</v>
      </c>
      <c r="AI2757" s="90">
        <v>-1</v>
      </c>
      <c r="AJ2757" s="90">
        <v>0</v>
      </c>
      <c r="AM2757" s="90" t="s">
        <v>379</v>
      </c>
      <c r="AN2757" s="90">
        <v>-1</v>
      </c>
      <c r="AQ2757" s="90">
        <v>358</v>
      </c>
      <c r="AR2757" s="90" t="s">
        <v>422</v>
      </c>
      <c r="AS2757" s="90" t="s">
        <v>250</v>
      </c>
      <c r="AT2757" s="90" t="s">
        <v>244</v>
      </c>
      <c r="AU2757" s="90">
        <v>86.412649999999999</v>
      </c>
      <c r="AV2757" s="90">
        <v>69.156521037756406</v>
      </c>
      <c r="AW2757" s="90">
        <v>122.300085185821</v>
      </c>
      <c r="AX2757" s="90">
        <v>9.1168098700000005E-2</v>
      </c>
    </row>
    <row r="2758" spans="1:50" x14ac:dyDescent="0.25">
      <c r="A2758" s="102">
        <v>830000</v>
      </c>
      <c r="B2758" s="102">
        <v>2500000</v>
      </c>
      <c r="C2758" s="102">
        <v>2500000</v>
      </c>
      <c r="D2758" s="90" t="s">
        <v>374</v>
      </c>
      <c r="E2758" s="90" t="s">
        <v>68</v>
      </c>
      <c r="F2758" s="90" t="s">
        <v>375</v>
      </c>
      <c r="G2758" s="90" t="s">
        <v>376</v>
      </c>
      <c r="H2758" s="90">
        <v>0.59</v>
      </c>
      <c r="I2758" s="90">
        <v>0.64</v>
      </c>
      <c r="J2758" s="90" t="s">
        <v>244</v>
      </c>
      <c r="K2758" s="90">
        <v>6.8609576631E-4</v>
      </c>
      <c r="L2758" s="90">
        <v>3719.6066119578099</v>
      </c>
      <c r="M2758" s="90">
        <v>9.5925186870963799</v>
      </c>
      <c r="N2758" s="90">
        <v>1.5210001089639</v>
      </c>
      <c r="O2758" s="90">
        <v>6.5813864594799999E-3</v>
      </c>
      <c r="P2758" s="90">
        <v>1.04355173532E-3</v>
      </c>
      <c r="Q2758" s="90">
        <v>2.5520063488103801</v>
      </c>
      <c r="R2758" s="90">
        <v>1210</v>
      </c>
      <c r="S2758" s="90" t="s">
        <v>385</v>
      </c>
      <c r="T2758" s="90">
        <v>1210</v>
      </c>
      <c r="U2758" s="90" t="s">
        <v>378</v>
      </c>
      <c r="V2758" s="90" t="s">
        <v>244</v>
      </c>
      <c r="Z2758" s="90">
        <v>0</v>
      </c>
      <c r="AA2758" s="90">
        <v>1</v>
      </c>
      <c r="AB2758" s="90">
        <v>6.5813864594799999E-3</v>
      </c>
      <c r="AC2758" s="90">
        <v>1.04355173532E-3</v>
      </c>
      <c r="AD2758" s="90">
        <v>2.5520063488098601</v>
      </c>
      <c r="AF2758" s="90">
        <v>-1</v>
      </c>
      <c r="AG2758" s="90">
        <v>-1</v>
      </c>
      <c r="AH2758" s="90">
        <v>-1</v>
      </c>
      <c r="AI2758" s="90">
        <v>-1</v>
      </c>
      <c r="AJ2758" s="90">
        <v>0</v>
      </c>
      <c r="AM2758" s="90" t="s">
        <v>379</v>
      </c>
      <c r="AN2758" s="90">
        <v>-1</v>
      </c>
      <c r="AQ2758" s="90">
        <v>358</v>
      </c>
      <c r="AR2758" s="90" t="s">
        <v>422</v>
      </c>
      <c r="AS2758" s="90" t="s">
        <v>250</v>
      </c>
      <c r="AT2758" s="90" t="s">
        <v>244</v>
      </c>
      <c r="AU2758" s="90">
        <v>86.412649999999999</v>
      </c>
      <c r="AV2758" s="90">
        <v>9.3360906219645692</v>
      </c>
      <c r="AW2758" s="90">
        <v>2.77653105828061</v>
      </c>
      <c r="AX2758" s="90">
        <v>2.0697536999999999E-3</v>
      </c>
    </row>
    <row r="2759" spans="1:50" x14ac:dyDescent="0.25">
      <c r="A2759" s="102">
        <v>840000</v>
      </c>
      <c r="B2759" s="102">
        <v>2400000</v>
      </c>
      <c r="C2759" s="102">
        <v>2400000</v>
      </c>
      <c r="D2759" s="90" t="s">
        <v>374</v>
      </c>
      <c r="E2759" s="90" t="s">
        <v>68</v>
      </c>
      <c r="F2759" s="90" t="s">
        <v>375</v>
      </c>
      <c r="G2759" s="90" t="s">
        <v>376</v>
      </c>
      <c r="H2759" s="90">
        <v>0.59</v>
      </c>
      <c r="I2759" s="90">
        <v>0.64</v>
      </c>
      <c r="J2759" s="90" t="s">
        <v>244</v>
      </c>
      <c r="K2759" s="90">
        <v>2.2724401480600002E-3</v>
      </c>
      <c r="L2759" s="90">
        <v>3768.66542927504</v>
      </c>
      <c r="M2759" s="90">
        <v>10.136910725021099</v>
      </c>
      <c r="N2759" s="90">
        <v>1.85697628508424</v>
      </c>
      <c r="O2759" s="90">
        <v>2.3035522908890001E-2</v>
      </c>
      <c r="P2759" s="90">
        <v>4.2198674642300003E-3</v>
      </c>
      <c r="Q2759" s="90">
        <v>8.5640666261129894</v>
      </c>
      <c r="R2759" s="90">
        <v>1300</v>
      </c>
      <c r="S2759" s="90" t="s">
        <v>387</v>
      </c>
      <c r="T2759" s="90">
        <v>1300</v>
      </c>
      <c r="U2759" s="90" t="s">
        <v>378</v>
      </c>
      <c r="V2759" s="90" t="s">
        <v>244</v>
      </c>
      <c r="Z2759" s="90">
        <v>0</v>
      </c>
      <c r="AA2759" s="90">
        <v>1</v>
      </c>
      <c r="AB2759" s="90">
        <v>2.3035522908890001E-2</v>
      </c>
      <c r="AC2759" s="90">
        <v>4.2198674642300003E-3</v>
      </c>
      <c r="AD2759" s="90">
        <v>31.873671295631599</v>
      </c>
      <c r="AF2759" s="90">
        <v>-1</v>
      </c>
      <c r="AG2759" s="90">
        <v>-1</v>
      </c>
      <c r="AH2759" s="90">
        <v>-1</v>
      </c>
      <c r="AI2759" s="90">
        <v>-1</v>
      </c>
      <c r="AJ2759" s="90">
        <v>0</v>
      </c>
      <c r="AM2759" s="90" t="s">
        <v>379</v>
      </c>
      <c r="AN2759" s="90">
        <v>-1</v>
      </c>
      <c r="AQ2759" s="90">
        <v>358</v>
      </c>
      <c r="AR2759" s="90" t="s">
        <v>422</v>
      </c>
      <c r="AS2759" s="90" t="s">
        <v>250</v>
      </c>
      <c r="AT2759" s="90" t="s">
        <v>244</v>
      </c>
      <c r="AU2759" s="90">
        <v>86.412649999999999</v>
      </c>
      <c r="AV2759" s="90">
        <v>33.282142329398397</v>
      </c>
      <c r="AW2759" s="90">
        <v>9.1962390077222693</v>
      </c>
      <c r="AX2759" s="90">
        <v>2.5850503899999999E-2</v>
      </c>
    </row>
    <row r="2760" spans="1:50" x14ac:dyDescent="0.25">
      <c r="A2760" s="102">
        <v>840000</v>
      </c>
      <c r="B2760" s="102">
        <v>2400000</v>
      </c>
      <c r="C2760" s="102">
        <v>2400000</v>
      </c>
      <c r="D2760" s="90" t="s">
        <v>374</v>
      </c>
      <c r="E2760" s="90" t="s">
        <v>68</v>
      </c>
      <c r="F2760" s="90" t="s">
        <v>375</v>
      </c>
      <c r="G2760" s="90" t="s">
        <v>376</v>
      </c>
      <c r="H2760" s="90">
        <v>0.59</v>
      </c>
      <c r="I2760" s="90">
        <v>0.64</v>
      </c>
      <c r="J2760" s="90" t="s">
        <v>381</v>
      </c>
      <c r="K2760" s="90">
        <v>2.9599119048439999E-2</v>
      </c>
      <c r="L2760" s="90">
        <v>3768.66542927504</v>
      </c>
      <c r="M2760" s="90">
        <v>10.136910725021099</v>
      </c>
      <c r="N2760" s="90">
        <v>1.85697628508424</v>
      </c>
      <c r="O2760" s="90">
        <v>0.30004362733336998</v>
      </c>
      <c r="P2760" s="90">
        <v>5.4964862132340003E-2</v>
      </c>
      <c r="Q2760" s="90">
        <v>111.54917669487401</v>
      </c>
      <c r="R2760" s="90">
        <v>1300</v>
      </c>
      <c r="S2760" s="90" t="s">
        <v>387</v>
      </c>
      <c r="T2760" s="90">
        <v>1300</v>
      </c>
      <c r="U2760" s="90" t="s">
        <v>382</v>
      </c>
      <c r="V2760" s="90" t="s">
        <v>381</v>
      </c>
      <c r="Z2760" s="90">
        <v>0</v>
      </c>
      <c r="AA2760" s="90">
        <v>1</v>
      </c>
      <c r="AB2760" s="90">
        <v>0.30004362733336998</v>
      </c>
      <c r="AC2760" s="90">
        <v>5.4964862132340003E-2</v>
      </c>
      <c r="AD2760" s="90">
        <v>892.55793943311301</v>
      </c>
      <c r="AF2760" s="90">
        <v>-1</v>
      </c>
      <c r="AG2760" s="90">
        <v>-1</v>
      </c>
      <c r="AH2760" s="90">
        <v>-1</v>
      </c>
      <c r="AI2760" s="90">
        <v>-1</v>
      </c>
      <c r="AJ2760" s="90">
        <v>0</v>
      </c>
      <c r="AM2760" s="90" t="s">
        <v>379</v>
      </c>
      <c r="AN2760" s="90">
        <v>-1</v>
      </c>
      <c r="AQ2760" s="90">
        <v>358</v>
      </c>
      <c r="AR2760" s="90" t="s">
        <v>422</v>
      </c>
      <c r="AS2760" s="90" t="s">
        <v>250</v>
      </c>
      <c r="AT2760" s="90" t="s">
        <v>244</v>
      </c>
      <c r="AU2760" s="90">
        <v>86.412649999999999</v>
      </c>
      <c r="AV2760" s="90">
        <v>46.429200273550599</v>
      </c>
      <c r="AW2760" s="90">
        <v>119.783385018587</v>
      </c>
      <c r="AX2760" s="90">
        <v>0.72389127289999999</v>
      </c>
    </row>
    <row r="2761" spans="1:50" x14ac:dyDescent="0.25">
      <c r="A2761" s="102">
        <v>840000</v>
      </c>
      <c r="B2761" s="102">
        <v>2400000</v>
      </c>
      <c r="C2761" s="102">
        <v>2400000</v>
      </c>
      <c r="D2761" s="90" t="s">
        <v>374</v>
      </c>
      <c r="E2761" s="90" t="s">
        <v>68</v>
      </c>
      <c r="F2761" s="90" t="s">
        <v>375</v>
      </c>
      <c r="G2761" s="90" t="s">
        <v>376</v>
      </c>
      <c r="H2761" s="90">
        <v>0.59</v>
      </c>
      <c r="I2761" s="90">
        <v>0.64</v>
      </c>
      <c r="J2761" s="90" t="s">
        <v>244</v>
      </c>
      <c r="K2761" s="90">
        <v>9.3101612208500006E-3</v>
      </c>
      <c r="L2761" s="90">
        <v>3768.66542927504</v>
      </c>
      <c r="M2761" s="90">
        <v>10.136910725021099</v>
      </c>
      <c r="N2761" s="90">
        <v>1.85697628508424</v>
      </c>
      <c r="O2761" s="90">
        <v>9.4376273131349997E-2</v>
      </c>
      <c r="P2761" s="90">
        <v>1.7288748597430001E-2</v>
      </c>
      <c r="Q2761" s="90">
        <v>35.0868827340095</v>
      </c>
      <c r="R2761" s="90">
        <v>1330</v>
      </c>
      <c r="S2761" s="90" t="s">
        <v>397</v>
      </c>
      <c r="T2761" s="90">
        <v>1330</v>
      </c>
      <c r="U2761" s="90" t="s">
        <v>378</v>
      </c>
      <c r="V2761" s="90" t="s">
        <v>244</v>
      </c>
      <c r="Z2761" s="90">
        <v>0</v>
      </c>
      <c r="AA2761" s="90">
        <v>1</v>
      </c>
      <c r="AB2761" s="90">
        <v>9.4376273131349997E-2</v>
      </c>
      <c r="AC2761" s="90">
        <v>1.7288748597430001E-2</v>
      </c>
      <c r="AD2761" s="90">
        <v>55.628547456845801</v>
      </c>
      <c r="AF2761" s="90">
        <v>-1</v>
      </c>
      <c r="AG2761" s="90">
        <v>-1</v>
      </c>
      <c r="AH2761" s="90">
        <v>-1</v>
      </c>
      <c r="AI2761" s="90">
        <v>-1</v>
      </c>
      <c r="AJ2761" s="90">
        <v>0</v>
      </c>
      <c r="AM2761" s="90" t="s">
        <v>379</v>
      </c>
      <c r="AN2761" s="90">
        <v>-1</v>
      </c>
      <c r="AQ2761" s="90">
        <v>358</v>
      </c>
      <c r="AR2761" s="90" t="s">
        <v>422</v>
      </c>
      <c r="AS2761" s="90" t="s">
        <v>250</v>
      </c>
      <c r="AT2761" s="90" t="s">
        <v>244</v>
      </c>
      <c r="AU2761" s="90">
        <v>86.412649999999999</v>
      </c>
      <c r="AV2761" s="90">
        <v>32.197813152389202</v>
      </c>
      <c r="AW2761" s="90">
        <v>37.676885730191003</v>
      </c>
      <c r="AX2761" s="90">
        <v>4.5116421300000001E-2</v>
      </c>
    </row>
    <row r="2762" spans="1:50" x14ac:dyDescent="0.25">
      <c r="A2762" s="102">
        <v>840000</v>
      </c>
      <c r="B2762" s="102">
        <v>2400000</v>
      </c>
      <c r="C2762" s="102">
        <v>2400000</v>
      </c>
      <c r="D2762" s="90" t="s">
        <v>374</v>
      </c>
      <c r="E2762" s="90" t="s">
        <v>68</v>
      </c>
      <c r="F2762" s="90" t="s">
        <v>375</v>
      </c>
      <c r="G2762" s="90" t="s">
        <v>376</v>
      </c>
      <c r="H2762" s="90">
        <v>0.59</v>
      </c>
      <c r="I2762" s="90">
        <v>0.64</v>
      </c>
      <c r="J2762" s="90" t="s">
        <v>244</v>
      </c>
      <c r="K2762" s="90">
        <v>7.8452065982189997E-2</v>
      </c>
      <c r="L2762" s="90">
        <v>3768.66542927504</v>
      </c>
      <c r="M2762" s="90">
        <v>10.136910725021099</v>
      </c>
      <c r="N2762" s="90">
        <v>1.85697628508424</v>
      </c>
      <c r="O2762" s="90">
        <v>0.79526158905501998</v>
      </c>
      <c r="P2762" s="90">
        <v>0.14568362604480001</v>
      </c>
      <c r="Q2762" s="90">
        <v>295.65958892231703</v>
      </c>
      <c r="R2762" s="90">
        <v>1330</v>
      </c>
      <c r="S2762" s="90" t="s">
        <v>397</v>
      </c>
      <c r="T2762" s="90">
        <v>1330</v>
      </c>
      <c r="U2762" s="90" t="s">
        <v>378</v>
      </c>
      <c r="V2762" s="90" t="s">
        <v>244</v>
      </c>
      <c r="Z2762" s="90">
        <v>0</v>
      </c>
      <c r="AA2762" s="90">
        <v>1</v>
      </c>
      <c r="AB2762" s="90">
        <v>0.79526158905501998</v>
      </c>
      <c r="AC2762" s="90">
        <v>0.14568362604480001</v>
      </c>
      <c r="AD2762" s="90">
        <v>493.10898689561498</v>
      </c>
      <c r="AF2762" s="90">
        <v>-1</v>
      </c>
      <c r="AG2762" s="90">
        <v>-1</v>
      </c>
      <c r="AH2762" s="90">
        <v>-1</v>
      </c>
      <c r="AI2762" s="90">
        <v>-1</v>
      </c>
      <c r="AJ2762" s="90">
        <v>0</v>
      </c>
      <c r="AM2762" s="90" t="s">
        <v>379</v>
      </c>
      <c r="AN2762" s="90">
        <v>-1</v>
      </c>
      <c r="AQ2762" s="90">
        <v>358</v>
      </c>
      <c r="AR2762" s="90" t="s">
        <v>422</v>
      </c>
      <c r="AS2762" s="90" t="s">
        <v>250</v>
      </c>
      <c r="AT2762" s="90" t="s">
        <v>244</v>
      </c>
      <c r="AU2762" s="90">
        <v>86.412649999999999</v>
      </c>
      <c r="AV2762" s="90">
        <v>81.193371589707795</v>
      </c>
      <c r="AW2762" s="90">
        <v>317.48424707061099</v>
      </c>
      <c r="AX2762" s="90">
        <v>0.39992618559999998</v>
      </c>
    </row>
    <row r="2763" spans="1:50" x14ac:dyDescent="0.25">
      <c r="A2763" s="102">
        <v>840000</v>
      </c>
      <c r="B2763" s="102">
        <v>2400000</v>
      </c>
      <c r="C2763" s="102">
        <v>2400000</v>
      </c>
      <c r="D2763" s="90" t="s">
        <v>374</v>
      </c>
      <c r="E2763" s="90" t="s">
        <v>68</v>
      </c>
      <c r="F2763" s="90" t="s">
        <v>375</v>
      </c>
      <c r="G2763" s="90" t="s">
        <v>376</v>
      </c>
      <c r="H2763" s="90">
        <v>0.59</v>
      </c>
      <c r="I2763" s="90">
        <v>0.64</v>
      </c>
      <c r="J2763" s="90" t="s">
        <v>244</v>
      </c>
      <c r="K2763" s="90">
        <v>0.26124667061640999</v>
      </c>
      <c r="L2763" s="90">
        <v>3777.7388730708099</v>
      </c>
      <c r="M2763" s="90">
        <v>9.8672962632328094</v>
      </c>
      <c r="N2763" s="90">
        <v>1.7833472465904301</v>
      </c>
      <c r="O2763" s="90">
        <v>2.5777982967553701</v>
      </c>
      <c r="P2763" s="90">
        <v>0.46589353072470002</v>
      </c>
      <c r="Q2763" s="90">
        <v>986.92170304796196</v>
      </c>
      <c r="R2763" s="90">
        <v>1390</v>
      </c>
      <c r="S2763" s="90" t="s">
        <v>402</v>
      </c>
      <c r="T2763" s="90">
        <v>1390</v>
      </c>
      <c r="U2763" s="90" t="s">
        <v>378</v>
      </c>
      <c r="V2763" s="90" t="s">
        <v>244</v>
      </c>
      <c r="Z2763" s="90">
        <v>0</v>
      </c>
      <c r="AA2763" s="90">
        <v>1</v>
      </c>
      <c r="AB2763" s="90">
        <v>2.5777982967553701</v>
      </c>
      <c r="AC2763" s="90">
        <v>0.46589353072470002</v>
      </c>
      <c r="AD2763" s="90">
        <v>986.92170304796196</v>
      </c>
      <c r="AF2763" s="90">
        <v>-1</v>
      </c>
      <c r="AG2763" s="90">
        <v>-1</v>
      </c>
      <c r="AH2763" s="90">
        <v>-1</v>
      </c>
      <c r="AI2763" s="90">
        <v>-1</v>
      </c>
      <c r="AJ2763" s="90">
        <v>0</v>
      </c>
      <c r="AM2763" s="90" t="s">
        <v>379</v>
      </c>
      <c r="AN2763" s="90">
        <v>-1</v>
      </c>
      <c r="AQ2763" s="90">
        <v>358</v>
      </c>
      <c r="AR2763" s="90" t="s">
        <v>422</v>
      </c>
      <c r="AS2763" s="90" t="s">
        <v>250</v>
      </c>
      <c r="AT2763" s="90" t="s">
        <v>244</v>
      </c>
      <c r="AU2763" s="90">
        <v>86.412649999999999</v>
      </c>
      <c r="AV2763" s="90">
        <v>132.72629733018701</v>
      </c>
      <c r="AW2763" s="90">
        <v>1057.2277668146601</v>
      </c>
      <c r="AX2763" s="90">
        <v>0.8004231168</v>
      </c>
    </row>
    <row r="2764" spans="1:50" x14ac:dyDescent="0.25">
      <c r="A2764" s="102">
        <v>840000</v>
      </c>
      <c r="B2764" s="102">
        <v>2400000</v>
      </c>
      <c r="C2764" s="102">
        <v>2400000</v>
      </c>
      <c r="D2764" s="90" t="s">
        <v>374</v>
      </c>
      <c r="E2764" s="90" t="s">
        <v>68</v>
      </c>
      <c r="F2764" s="90" t="s">
        <v>375</v>
      </c>
      <c r="G2764" s="90" t="s">
        <v>376</v>
      </c>
      <c r="H2764" s="90">
        <v>0.59</v>
      </c>
      <c r="I2764" s="90">
        <v>0.64</v>
      </c>
      <c r="J2764" s="90" t="s">
        <v>381</v>
      </c>
      <c r="K2764" s="90">
        <v>4.4396926809010001E-2</v>
      </c>
      <c r="L2764" s="90">
        <v>3777.7388730708099</v>
      </c>
      <c r="M2764" s="90">
        <v>9.8672962632328094</v>
      </c>
      <c r="N2764" s="90">
        <v>1.7833472465904301</v>
      </c>
      <c r="O2764" s="90">
        <v>0.43807763000159</v>
      </c>
      <c r="P2764" s="90">
        <v>7.9175137181930005E-2</v>
      </c>
      <c r="Q2764" s="90">
        <v>167.71999625128799</v>
      </c>
      <c r="R2764" s="90">
        <v>1390</v>
      </c>
      <c r="S2764" s="90" t="s">
        <v>402</v>
      </c>
      <c r="T2764" s="90">
        <v>1390</v>
      </c>
      <c r="U2764" s="90" t="s">
        <v>382</v>
      </c>
      <c r="V2764" s="90" t="s">
        <v>381</v>
      </c>
      <c r="Z2764" s="90">
        <v>0</v>
      </c>
      <c r="AA2764" s="90">
        <v>1</v>
      </c>
      <c r="AB2764" s="90">
        <v>0.43807763000159</v>
      </c>
      <c r="AC2764" s="90">
        <v>7.9175137181930005E-2</v>
      </c>
      <c r="AD2764" s="90">
        <v>167.71999625128799</v>
      </c>
      <c r="AF2764" s="90">
        <v>-1</v>
      </c>
      <c r="AG2764" s="90">
        <v>-1</v>
      </c>
      <c r="AH2764" s="90">
        <v>-1</v>
      </c>
      <c r="AI2764" s="90">
        <v>-1</v>
      </c>
      <c r="AJ2764" s="90">
        <v>0</v>
      </c>
      <c r="AM2764" s="90" t="s">
        <v>379</v>
      </c>
      <c r="AN2764" s="90">
        <v>-1</v>
      </c>
      <c r="AQ2764" s="90">
        <v>358</v>
      </c>
      <c r="AR2764" s="90" t="s">
        <v>422</v>
      </c>
      <c r="AS2764" s="90" t="s">
        <v>250</v>
      </c>
      <c r="AT2764" s="90" t="s">
        <v>244</v>
      </c>
      <c r="AU2764" s="90">
        <v>86.412649999999999</v>
      </c>
      <c r="AV2764" s="90">
        <v>87.974839537484996</v>
      </c>
      <c r="AW2764" s="90">
        <v>179.667988391877</v>
      </c>
      <c r="AX2764" s="90">
        <v>0.1360259499</v>
      </c>
    </row>
    <row r="2765" spans="1:50" x14ac:dyDescent="0.25">
      <c r="A2765" s="102">
        <v>840000</v>
      </c>
      <c r="B2765" s="102">
        <v>2400000</v>
      </c>
      <c r="C2765" s="102">
        <v>2400000</v>
      </c>
      <c r="D2765" s="90" t="s">
        <v>374</v>
      </c>
      <c r="E2765" s="90" t="s">
        <v>68</v>
      </c>
      <c r="F2765" s="90" t="s">
        <v>375</v>
      </c>
      <c r="G2765" s="90" t="s">
        <v>376</v>
      </c>
      <c r="H2765" s="90">
        <v>0.59</v>
      </c>
      <c r="I2765" s="90">
        <v>0.64</v>
      </c>
      <c r="J2765" s="90" t="s">
        <v>244</v>
      </c>
      <c r="K2765" s="90">
        <v>4.1664985347669999E-2</v>
      </c>
      <c r="L2765" s="90">
        <v>3777.7388730708099</v>
      </c>
      <c r="M2765" s="90">
        <v>9.8672962632328094</v>
      </c>
      <c r="N2765" s="90">
        <v>1.7833472465904301</v>
      </c>
      <c r="O2765" s="90">
        <v>0.41112075422875999</v>
      </c>
      <c r="P2765" s="90">
        <v>7.4303136899000005E-2</v>
      </c>
      <c r="Q2765" s="90">
        <v>157.399434793837</v>
      </c>
      <c r="R2765" s="90">
        <v>1300</v>
      </c>
      <c r="S2765" s="90" t="s">
        <v>387</v>
      </c>
      <c r="T2765" s="90">
        <v>1300</v>
      </c>
      <c r="U2765" s="90" t="s">
        <v>378</v>
      </c>
      <c r="V2765" s="90" t="s">
        <v>244</v>
      </c>
      <c r="Z2765" s="90">
        <v>0</v>
      </c>
      <c r="AA2765" s="90">
        <v>1</v>
      </c>
      <c r="AB2765" s="90">
        <v>0.41112075422875999</v>
      </c>
      <c r="AC2765" s="90">
        <v>7.4303136899000005E-2</v>
      </c>
      <c r="AD2765" s="90">
        <v>287.942342793926</v>
      </c>
      <c r="AF2765" s="90">
        <v>-1</v>
      </c>
      <c r="AG2765" s="90">
        <v>-1</v>
      </c>
      <c r="AH2765" s="90">
        <v>-1</v>
      </c>
      <c r="AI2765" s="90">
        <v>-1</v>
      </c>
      <c r="AJ2765" s="90">
        <v>0</v>
      </c>
      <c r="AM2765" s="90" t="s">
        <v>379</v>
      </c>
      <c r="AN2765" s="90">
        <v>-1</v>
      </c>
      <c r="AQ2765" s="90">
        <v>358</v>
      </c>
      <c r="AR2765" s="90" t="s">
        <v>422</v>
      </c>
      <c r="AS2765" s="90" t="s">
        <v>250</v>
      </c>
      <c r="AT2765" s="90" t="s">
        <v>244</v>
      </c>
      <c r="AU2765" s="90">
        <v>86.412649999999999</v>
      </c>
      <c r="AV2765" s="90">
        <v>69.580433799145496</v>
      </c>
      <c r="AW2765" s="90">
        <v>168.612213543438</v>
      </c>
      <c r="AX2765" s="90">
        <v>0.23352988059999999</v>
      </c>
    </row>
    <row r="2766" spans="1:50" x14ac:dyDescent="0.25">
      <c r="A2766" s="102">
        <v>840000</v>
      </c>
      <c r="B2766" s="102">
        <v>2400000</v>
      </c>
      <c r="C2766" s="102">
        <v>2400000</v>
      </c>
      <c r="D2766" s="90" t="s">
        <v>374</v>
      </c>
      <c r="E2766" s="90" t="s">
        <v>68</v>
      </c>
      <c r="F2766" s="90" t="s">
        <v>375</v>
      </c>
      <c r="G2766" s="90" t="s">
        <v>376</v>
      </c>
      <c r="H2766" s="90">
        <v>0.59</v>
      </c>
      <c r="I2766" s="90">
        <v>0.64</v>
      </c>
      <c r="J2766" s="90" t="s">
        <v>244</v>
      </c>
      <c r="K2766" s="90">
        <v>1.9811341271980001E-2</v>
      </c>
      <c r="L2766" s="90">
        <v>3777.7388730708099</v>
      </c>
      <c r="M2766" s="90">
        <v>9.8672962632328094</v>
      </c>
      <c r="N2766" s="90">
        <v>1.7833472465904301</v>
      </c>
      <c r="O2766" s="90">
        <v>0.19548437370267999</v>
      </c>
      <c r="P2766" s="90">
        <v>3.5330500908650003E-2</v>
      </c>
      <c r="Q2766" s="90">
        <v>74.842074050849902</v>
      </c>
      <c r="R2766" s="90">
        <v>1300</v>
      </c>
      <c r="S2766" s="90" t="s">
        <v>387</v>
      </c>
      <c r="T2766" s="90">
        <v>1300</v>
      </c>
      <c r="U2766" s="90" t="s">
        <v>378</v>
      </c>
      <c r="V2766" s="90" t="s">
        <v>244</v>
      </c>
      <c r="Z2766" s="90">
        <v>0</v>
      </c>
      <c r="AA2766" s="90">
        <v>1</v>
      </c>
      <c r="AB2766" s="90">
        <v>0.19548437370267999</v>
      </c>
      <c r="AC2766" s="90">
        <v>3.5330500908650003E-2</v>
      </c>
      <c r="AD2766" s="90">
        <v>287.942342793926</v>
      </c>
      <c r="AF2766" s="90">
        <v>-1</v>
      </c>
      <c r="AG2766" s="90">
        <v>-1</v>
      </c>
      <c r="AH2766" s="90">
        <v>-1</v>
      </c>
      <c r="AI2766" s="90">
        <v>-1</v>
      </c>
      <c r="AJ2766" s="90">
        <v>0</v>
      </c>
      <c r="AM2766" s="90" t="s">
        <v>379</v>
      </c>
      <c r="AN2766" s="90">
        <v>-1</v>
      </c>
      <c r="AQ2766" s="90">
        <v>358</v>
      </c>
      <c r="AR2766" s="90" t="s">
        <v>422</v>
      </c>
      <c r="AS2766" s="90" t="s">
        <v>250</v>
      </c>
      <c r="AT2766" s="90" t="s">
        <v>244</v>
      </c>
      <c r="AU2766" s="90">
        <v>86.412649999999999</v>
      </c>
      <c r="AV2766" s="90">
        <v>60.1116377565669</v>
      </c>
      <c r="AW2766" s="90">
        <v>80.173653662890402</v>
      </c>
      <c r="AX2766" s="90">
        <v>0.23352988059999999</v>
      </c>
    </row>
    <row r="2767" spans="1:50" x14ac:dyDescent="0.25">
      <c r="A2767" s="102">
        <v>840000</v>
      </c>
      <c r="B2767" s="102">
        <v>2400000</v>
      </c>
      <c r="C2767" s="102">
        <v>2400000</v>
      </c>
      <c r="D2767" s="90" t="s">
        <v>374</v>
      </c>
      <c r="E2767" s="90" t="s">
        <v>68</v>
      </c>
      <c r="F2767" s="90" t="s">
        <v>375</v>
      </c>
      <c r="G2767" s="90" t="s">
        <v>376</v>
      </c>
      <c r="H2767" s="90">
        <v>0.59</v>
      </c>
      <c r="I2767" s="90">
        <v>0.64</v>
      </c>
      <c r="J2767" s="90" t="s">
        <v>381</v>
      </c>
      <c r="K2767" s="90">
        <v>1.6152579053609999E-2</v>
      </c>
      <c r="L2767" s="90">
        <v>3777.7388730708099</v>
      </c>
      <c r="M2767" s="90">
        <v>9.8672962632328094</v>
      </c>
      <c r="N2767" s="90">
        <v>1.7833472465904301</v>
      </c>
      <c r="O2767" s="90">
        <v>0.15938228293734</v>
      </c>
      <c r="P2767" s="90">
        <v>2.8805657380600001E-2</v>
      </c>
      <c r="Q2767" s="90">
        <v>61.020225791205903</v>
      </c>
      <c r="R2767" s="90">
        <v>1300</v>
      </c>
      <c r="S2767" s="90" t="s">
        <v>387</v>
      </c>
      <c r="T2767" s="90">
        <v>1300</v>
      </c>
      <c r="U2767" s="90" t="s">
        <v>382</v>
      </c>
      <c r="V2767" s="90" t="s">
        <v>381</v>
      </c>
      <c r="Z2767" s="90">
        <v>0</v>
      </c>
      <c r="AA2767" s="90">
        <v>1</v>
      </c>
      <c r="AB2767" s="90">
        <v>0.15938228293734</v>
      </c>
      <c r="AC2767" s="90">
        <v>2.8805657380600001E-2</v>
      </c>
      <c r="AD2767" s="90">
        <v>715.931462472769</v>
      </c>
      <c r="AF2767" s="90">
        <v>-1</v>
      </c>
      <c r="AG2767" s="90">
        <v>-1</v>
      </c>
      <c r="AH2767" s="90">
        <v>-1</v>
      </c>
      <c r="AI2767" s="90">
        <v>-1</v>
      </c>
      <c r="AJ2767" s="90">
        <v>0</v>
      </c>
      <c r="AM2767" s="90" t="s">
        <v>379</v>
      </c>
      <c r="AN2767" s="90">
        <v>-1</v>
      </c>
      <c r="AQ2767" s="90">
        <v>358</v>
      </c>
      <c r="AR2767" s="90" t="s">
        <v>422</v>
      </c>
      <c r="AS2767" s="90" t="s">
        <v>250</v>
      </c>
      <c r="AT2767" s="90" t="s">
        <v>244</v>
      </c>
      <c r="AU2767" s="90">
        <v>86.412649999999999</v>
      </c>
      <c r="AV2767" s="90">
        <v>32.3725619586153</v>
      </c>
      <c r="AW2767" s="90">
        <v>65.367168281460494</v>
      </c>
      <c r="AX2767" s="90">
        <v>0.58064189980000003</v>
      </c>
    </row>
    <row r="2768" spans="1:50" x14ac:dyDescent="0.25">
      <c r="A2768" s="102">
        <v>840000</v>
      </c>
      <c r="B2768" s="102">
        <v>2400000</v>
      </c>
      <c r="C2768" s="102">
        <v>2400000</v>
      </c>
      <c r="D2768" s="90" t="s">
        <v>374</v>
      </c>
      <c r="E2768" s="90" t="s">
        <v>68</v>
      </c>
      <c r="F2768" s="90" t="s">
        <v>375</v>
      </c>
      <c r="G2768" s="90" t="s">
        <v>376</v>
      </c>
      <c r="H2768" s="90">
        <v>0.59</v>
      </c>
      <c r="I2768" s="90">
        <v>0.64</v>
      </c>
      <c r="J2768" s="90" t="s">
        <v>381</v>
      </c>
      <c r="K2768" s="90">
        <v>5.5947050371980001E-2</v>
      </c>
      <c r="L2768" s="90">
        <v>3777.7388730708099</v>
      </c>
      <c r="M2768" s="90">
        <v>9.8672962632328094</v>
      </c>
      <c r="N2768" s="90">
        <v>1.7833472465904301</v>
      </c>
      <c r="O2768" s="90">
        <v>0.55204612107437001</v>
      </c>
      <c r="P2768" s="90">
        <v>9.9773018235729996E-2</v>
      </c>
      <c r="Q2768" s="90">
        <v>211.353347023895</v>
      </c>
      <c r="R2768" s="90">
        <v>1300</v>
      </c>
      <c r="S2768" s="90" t="s">
        <v>387</v>
      </c>
      <c r="T2768" s="90">
        <v>1300</v>
      </c>
      <c r="U2768" s="90" t="s">
        <v>382</v>
      </c>
      <c r="V2768" s="90" t="s">
        <v>381</v>
      </c>
      <c r="Z2768" s="90">
        <v>0</v>
      </c>
      <c r="AA2768" s="90">
        <v>1</v>
      </c>
      <c r="AB2768" s="90">
        <v>0.55204612107437001</v>
      </c>
      <c r="AC2768" s="90">
        <v>9.9773018235729996E-2</v>
      </c>
      <c r="AD2768" s="90">
        <v>715.931462472769</v>
      </c>
      <c r="AF2768" s="90">
        <v>-1</v>
      </c>
      <c r="AG2768" s="90">
        <v>-1</v>
      </c>
      <c r="AH2768" s="90">
        <v>-1</v>
      </c>
      <c r="AI2768" s="90">
        <v>-1</v>
      </c>
      <c r="AJ2768" s="90">
        <v>0</v>
      </c>
      <c r="AM2768" s="90" t="s">
        <v>379</v>
      </c>
      <c r="AN2768" s="90">
        <v>-1</v>
      </c>
      <c r="AQ2768" s="90">
        <v>358</v>
      </c>
      <c r="AR2768" s="90" t="s">
        <v>422</v>
      </c>
      <c r="AS2768" s="90" t="s">
        <v>250</v>
      </c>
      <c r="AT2768" s="90" t="s">
        <v>244</v>
      </c>
      <c r="AU2768" s="90">
        <v>86.412649999999999</v>
      </c>
      <c r="AV2768" s="90">
        <v>105.27928358957</v>
      </c>
      <c r="AW2768" s="90">
        <v>226.409680112199</v>
      </c>
      <c r="AX2768" s="90">
        <v>0.58064189980000003</v>
      </c>
    </row>
    <row r="2769" spans="1:50" x14ac:dyDescent="0.25">
      <c r="A2769" s="102">
        <v>840000</v>
      </c>
      <c r="B2769" s="102">
        <v>2400000</v>
      </c>
      <c r="C2769" s="102">
        <v>2400000</v>
      </c>
      <c r="D2769" s="90" t="s">
        <v>374</v>
      </c>
      <c r="E2769" s="90" t="s">
        <v>68</v>
      </c>
      <c r="F2769" s="90" t="s">
        <v>375</v>
      </c>
      <c r="G2769" s="90" t="s">
        <v>376</v>
      </c>
      <c r="H2769" s="90">
        <v>0.59</v>
      </c>
      <c r="I2769" s="90">
        <v>0.64</v>
      </c>
      <c r="J2769" s="90" t="s">
        <v>244</v>
      </c>
      <c r="K2769" s="90">
        <v>7.2833040769999997E-4</v>
      </c>
      <c r="L2769" s="90">
        <v>3777.7388730708099</v>
      </c>
      <c r="M2769" s="90">
        <v>9.8672962632328094</v>
      </c>
      <c r="N2769" s="90">
        <v>1.7833472465904301</v>
      </c>
      <c r="O2769" s="90">
        <v>7.1866519103499999E-3</v>
      </c>
      <c r="P2769" s="90">
        <v>1.2988660271899999E-3</v>
      </c>
      <c r="Q2769" s="90">
        <v>2.75144209363047</v>
      </c>
      <c r="R2769" s="90">
        <v>1330</v>
      </c>
      <c r="S2769" s="90" t="s">
        <v>397</v>
      </c>
      <c r="T2769" s="90">
        <v>1330</v>
      </c>
      <c r="U2769" s="90" t="s">
        <v>378</v>
      </c>
      <c r="V2769" s="90" t="s">
        <v>244</v>
      </c>
      <c r="Z2769" s="90">
        <v>0</v>
      </c>
      <c r="AA2769" s="90">
        <v>1</v>
      </c>
      <c r="AB2769" s="90">
        <v>7.1866519103499999E-3</v>
      </c>
      <c r="AC2769" s="90">
        <v>1.2988660271899999E-3</v>
      </c>
      <c r="AD2769" s="90">
        <v>2.7514420936314901</v>
      </c>
      <c r="AF2769" s="90">
        <v>-1</v>
      </c>
      <c r="AG2769" s="90">
        <v>-1</v>
      </c>
      <c r="AH2769" s="90">
        <v>-1</v>
      </c>
      <c r="AI2769" s="90">
        <v>-1</v>
      </c>
      <c r="AJ2769" s="90">
        <v>0</v>
      </c>
      <c r="AM2769" s="90" t="s">
        <v>379</v>
      </c>
      <c r="AN2769" s="90">
        <v>-1</v>
      </c>
      <c r="AQ2769" s="90">
        <v>358</v>
      </c>
      <c r="AR2769" s="90" t="s">
        <v>422</v>
      </c>
      <c r="AS2769" s="90" t="s">
        <v>250</v>
      </c>
      <c r="AT2769" s="90" t="s">
        <v>244</v>
      </c>
      <c r="AU2769" s="90">
        <v>86.412649999999999</v>
      </c>
      <c r="AV2769" s="90">
        <v>8.9167524213725393</v>
      </c>
      <c r="AW2769" s="90">
        <v>2.9474485880553298</v>
      </c>
      <c r="AX2769" s="90">
        <v>2.2315020999999998E-3</v>
      </c>
    </row>
    <row r="2770" spans="1:50" x14ac:dyDescent="0.25">
      <c r="A2770" s="102">
        <v>840000</v>
      </c>
      <c r="B2770" s="102">
        <v>2400000</v>
      </c>
      <c r="C2770" s="102">
        <v>2400000</v>
      </c>
      <c r="D2770" s="90" t="s">
        <v>374</v>
      </c>
      <c r="E2770" s="90" t="s">
        <v>68</v>
      </c>
      <c r="F2770" s="90" t="s">
        <v>375</v>
      </c>
      <c r="G2770" s="90" t="s">
        <v>376</v>
      </c>
      <c r="H2770" s="90">
        <v>0.59</v>
      </c>
      <c r="I2770" s="90">
        <v>0.64</v>
      </c>
      <c r="J2770" s="90" t="s">
        <v>244</v>
      </c>
      <c r="K2770" s="90">
        <v>6.44025421048E-3</v>
      </c>
      <c r="L2770" s="90">
        <v>3777.7388730708099</v>
      </c>
      <c r="M2770" s="90">
        <v>9.8672962632328094</v>
      </c>
      <c r="N2770" s="90">
        <v>1.7833472465904301</v>
      </c>
      <c r="O2770" s="90">
        <v>6.3547896305350002E-2</v>
      </c>
      <c r="P2770" s="90">
        <v>1.14852096136E-2</v>
      </c>
      <c r="Q2770" s="90">
        <v>24.329598683395801</v>
      </c>
      <c r="R2770" s="90">
        <v>1330</v>
      </c>
      <c r="S2770" s="90" t="s">
        <v>397</v>
      </c>
      <c r="T2770" s="90">
        <v>1330</v>
      </c>
      <c r="U2770" s="90" t="s">
        <v>378</v>
      </c>
      <c r="V2770" s="90" t="s">
        <v>244</v>
      </c>
      <c r="Z2770" s="90">
        <v>0</v>
      </c>
      <c r="AA2770" s="90">
        <v>1</v>
      </c>
      <c r="AB2770" s="90">
        <v>6.3547896305350002E-2</v>
      </c>
      <c r="AC2770" s="90">
        <v>1.14852096136E-2</v>
      </c>
      <c r="AD2770" s="90">
        <v>24.329598683396298</v>
      </c>
      <c r="AF2770" s="90">
        <v>-1</v>
      </c>
      <c r="AG2770" s="90">
        <v>-1</v>
      </c>
      <c r="AH2770" s="90">
        <v>-1</v>
      </c>
      <c r="AI2770" s="90">
        <v>-1</v>
      </c>
      <c r="AJ2770" s="90">
        <v>0</v>
      </c>
      <c r="AM2770" s="90" t="s">
        <v>379</v>
      </c>
      <c r="AN2770" s="90">
        <v>-1</v>
      </c>
      <c r="AQ2770" s="90">
        <v>358</v>
      </c>
      <c r="AR2770" s="90" t="s">
        <v>422</v>
      </c>
      <c r="AS2770" s="90" t="s">
        <v>250</v>
      </c>
      <c r="AT2770" s="90" t="s">
        <v>244</v>
      </c>
      <c r="AU2770" s="90">
        <v>86.412649999999999</v>
      </c>
      <c r="AV2770" s="90">
        <v>48.354630135469399</v>
      </c>
      <c r="AW2770" s="90">
        <v>26.0627841135782</v>
      </c>
      <c r="AX2770" s="90">
        <v>1.97320346E-2</v>
      </c>
    </row>
    <row r="2771" spans="1:50" x14ac:dyDescent="0.25">
      <c r="A2771" s="102">
        <v>840000</v>
      </c>
      <c r="B2771" s="102">
        <v>2400000</v>
      </c>
      <c r="C2771" s="102">
        <v>2400000</v>
      </c>
      <c r="D2771" s="90" t="s">
        <v>374</v>
      </c>
      <c r="E2771" s="90" t="s">
        <v>68</v>
      </c>
      <c r="F2771" s="90" t="s">
        <v>375</v>
      </c>
      <c r="G2771" s="90" t="s">
        <v>376</v>
      </c>
      <c r="H2771" s="90">
        <v>0.59</v>
      </c>
      <c r="I2771" s="90">
        <v>0.64</v>
      </c>
      <c r="J2771" s="90" t="s">
        <v>244</v>
      </c>
      <c r="K2771" s="90">
        <v>3.2386791815590003E-2</v>
      </c>
      <c r="L2771" s="90">
        <v>3743.6912227973398</v>
      </c>
      <c r="M2771" s="90">
        <v>10.2396116376063</v>
      </c>
      <c r="N2771" s="90">
        <v>1.4718028344476599</v>
      </c>
      <c r="O2771" s="90">
        <v>0.33162817037970999</v>
      </c>
      <c r="P2771" s="90">
        <v>4.7666971992859998E-2</v>
      </c>
      <c r="Q2771" s="90">
        <v>121.246148254611</v>
      </c>
      <c r="R2771" s="90">
        <v>1300</v>
      </c>
      <c r="S2771" s="90" t="s">
        <v>387</v>
      </c>
      <c r="T2771" s="90">
        <v>1300</v>
      </c>
      <c r="U2771" s="90" t="s">
        <v>378</v>
      </c>
      <c r="V2771" s="90" t="s">
        <v>244</v>
      </c>
      <c r="Z2771" s="90">
        <v>0</v>
      </c>
      <c r="AA2771" s="90">
        <v>1</v>
      </c>
      <c r="AB2771" s="90">
        <v>0.33162817037970999</v>
      </c>
      <c r="AC2771" s="90">
        <v>4.7666971992859998E-2</v>
      </c>
      <c r="AD2771" s="90">
        <v>134.65168977424401</v>
      </c>
      <c r="AF2771" s="90">
        <v>-1</v>
      </c>
      <c r="AG2771" s="90">
        <v>-1</v>
      </c>
      <c r="AH2771" s="90">
        <v>-1</v>
      </c>
      <c r="AI2771" s="90">
        <v>-1</v>
      </c>
      <c r="AJ2771" s="90">
        <v>0</v>
      </c>
      <c r="AM2771" s="90" t="s">
        <v>379</v>
      </c>
      <c r="AN2771" s="90">
        <v>-1</v>
      </c>
      <c r="AQ2771" s="90">
        <v>358</v>
      </c>
      <c r="AR2771" s="90" t="s">
        <v>422</v>
      </c>
      <c r="AS2771" s="90" t="s">
        <v>250</v>
      </c>
      <c r="AT2771" s="90" t="s">
        <v>244</v>
      </c>
      <c r="AU2771" s="90">
        <v>86.412649999999999</v>
      </c>
      <c r="AV2771" s="90">
        <v>46.033265036855703</v>
      </c>
      <c r="AW2771" s="90">
        <v>131.06469645987499</v>
      </c>
      <c r="AX2771" s="90">
        <v>0.10920656099999999</v>
      </c>
    </row>
    <row r="2772" spans="1:50" x14ac:dyDescent="0.25">
      <c r="A2772" s="102">
        <v>840000</v>
      </c>
      <c r="B2772" s="102">
        <v>2400000</v>
      </c>
      <c r="C2772" s="102">
        <v>2400000</v>
      </c>
      <c r="D2772" s="90" t="s">
        <v>374</v>
      </c>
      <c r="E2772" s="90" t="s">
        <v>68</v>
      </c>
      <c r="F2772" s="90" t="s">
        <v>375</v>
      </c>
      <c r="G2772" s="90" t="s">
        <v>376</v>
      </c>
      <c r="H2772" s="90">
        <v>0.59</v>
      </c>
      <c r="I2772" s="90">
        <v>0.64</v>
      </c>
      <c r="J2772" s="90" t="s">
        <v>244</v>
      </c>
      <c r="K2772" s="90">
        <v>9.26181668734E-3</v>
      </c>
      <c r="L2772" s="90">
        <v>3743.6912227973398</v>
      </c>
      <c r="M2772" s="90">
        <v>10.2396116376063</v>
      </c>
      <c r="N2772" s="90">
        <v>1.4718028344476599</v>
      </c>
      <c r="O2772" s="90">
        <v>9.4837405937059999E-2</v>
      </c>
      <c r="P2772" s="90">
        <v>1.363156805256E-2</v>
      </c>
      <c r="Q2772" s="90">
        <v>34.673381839552697</v>
      </c>
      <c r="R2772" s="90">
        <v>1400</v>
      </c>
      <c r="S2772" s="90" t="s">
        <v>324</v>
      </c>
      <c r="T2772" s="90">
        <v>1400</v>
      </c>
      <c r="U2772" s="90" t="s">
        <v>378</v>
      </c>
      <c r="V2772" s="90" t="s">
        <v>244</v>
      </c>
      <c r="Z2772" s="90">
        <v>0</v>
      </c>
      <c r="AA2772" s="90">
        <v>1</v>
      </c>
      <c r="AB2772" s="90">
        <v>9.4837405937059999E-2</v>
      </c>
      <c r="AC2772" s="90">
        <v>1.363156805256E-2</v>
      </c>
      <c r="AD2772" s="90">
        <v>287.76371524380602</v>
      </c>
      <c r="AF2772" s="90">
        <v>-1</v>
      </c>
      <c r="AG2772" s="90">
        <v>-1</v>
      </c>
      <c r="AH2772" s="90">
        <v>-1</v>
      </c>
      <c r="AI2772" s="90">
        <v>-1</v>
      </c>
      <c r="AJ2772" s="90">
        <v>0</v>
      </c>
      <c r="AM2772" s="90" t="s">
        <v>379</v>
      </c>
      <c r="AN2772" s="90">
        <v>-1</v>
      </c>
      <c r="AQ2772" s="90">
        <v>358</v>
      </c>
      <c r="AR2772" s="90" t="s">
        <v>422</v>
      </c>
      <c r="AS2772" s="90" t="s">
        <v>250</v>
      </c>
      <c r="AT2772" s="90" t="s">
        <v>244</v>
      </c>
      <c r="AU2772" s="90">
        <v>86.412649999999999</v>
      </c>
      <c r="AV2772" s="90">
        <v>27.9515124888458</v>
      </c>
      <c r="AW2772" s="90">
        <v>37.481242344252699</v>
      </c>
      <c r="AX2772" s="90">
        <v>0.2333850083</v>
      </c>
    </row>
    <row r="2773" spans="1:50" x14ac:dyDescent="0.25">
      <c r="A2773" s="102">
        <v>840000</v>
      </c>
      <c r="B2773" s="102">
        <v>2400000</v>
      </c>
      <c r="C2773" s="102">
        <v>2400000</v>
      </c>
      <c r="D2773" s="90" t="s">
        <v>374</v>
      </c>
      <c r="E2773" s="90" t="s">
        <v>68</v>
      </c>
      <c r="F2773" s="90" t="s">
        <v>375</v>
      </c>
      <c r="G2773" s="90" t="s">
        <v>376</v>
      </c>
      <c r="H2773" s="90">
        <v>0.59</v>
      </c>
      <c r="I2773" s="90">
        <v>0.64</v>
      </c>
      <c r="J2773" s="90" t="s">
        <v>381</v>
      </c>
      <c r="K2773" s="90">
        <v>6.3169585606999998E-4</v>
      </c>
      <c r="L2773" s="90">
        <v>3743.6912227973398</v>
      </c>
      <c r="M2773" s="90">
        <v>10.2396116376063</v>
      </c>
      <c r="N2773" s="90">
        <v>1.4718028344476599</v>
      </c>
      <c r="O2773" s="90">
        <v>6.4683202392700001E-3</v>
      </c>
      <c r="P2773" s="90">
        <v>9.2973175146999999E-4</v>
      </c>
      <c r="Q2773" s="90">
        <v>2.3648742318579399</v>
      </c>
      <c r="R2773" s="90">
        <v>1400</v>
      </c>
      <c r="S2773" s="90" t="s">
        <v>324</v>
      </c>
      <c r="T2773" s="90">
        <v>1400</v>
      </c>
      <c r="U2773" s="90" t="s">
        <v>382</v>
      </c>
      <c r="V2773" s="90" t="s">
        <v>381</v>
      </c>
      <c r="Z2773" s="90">
        <v>0</v>
      </c>
      <c r="AA2773" s="90">
        <v>1</v>
      </c>
      <c r="AB2773" s="90">
        <v>6.4683202392700001E-3</v>
      </c>
      <c r="AC2773" s="90">
        <v>9.2973175146999999E-4</v>
      </c>
      <c r="AD2773" s="90">
        <v>244.808448825098</v>
      </c>
      <c r="AF2773" s="90">
        <v>-1</v>
      </c>
      <c r="AG2773" s="90">
        <v>-1</v>
      </c>
      <c r="AH2773" s="90">
        <v>-1</v>
      </c>
      <c r="AI2773" s="90">
        <v>-1</v>
      </c>
      <c r="AJ2773" s="90">
        <v>0</v>
      </c>
      <c r="AM2773" s="90" t="s">
        <v>379</v>
      </c>
      <c r="AN2773" s="90">
        <v>-1</v>
      </c>
      <c r="AQ2773" s="90">
        <v>358</v>
      </c>
      <c r="AR2773" s="90" t="s">
        <v>422</v>
      </c>
      <c r="AS2773" s="90" t="s">
        <v>250</v>
      </c>
      <c r="AT2773" s="90" t="s">
        <v>244</v>
      </c>
      <c r="AU2773" s="90">
        <v>86.412649999999999</v>
      </c>
      <c r="AV2773" s="90">
        <v>21.205382194526599</v>
      </c>
      <c r="AW2773" s="90">
        <v>2.5563824321531201</v>
      </c>
      <c r="AX2773" s="90">
        <v>0.19854699819999999</v>
      </c>
    </row>
    <row r="2774" spans="1:50" x14ac:dyDescent="0.25">
      <c r="A2774" s="102">
        <v>840000</v>
      </c>
      <c r="B2774" s="102">
        <v>2400000</v>
      </c>
      <c r="C2774" s="102">
        <v>2400000</v>
      </c>
      <c r="D2774" s="90" t="s">
        <v>374</v>
      </c>
      <c r="E2774" s="90" t="s">
        <v>68</v>
      </c>
      <c r="F2774" s="90" t="s">
        <v>375</v>
      </c>
      <c r="G2774" s="90" t="s">
        <v>376</v>
      </c>
      <c r="H2774" s="90">
        <v>0.59</v>
      </c>
      <c r="I2774" s="90">
        <v>0.64</v>
      </c>
      <c r="J2774" s="90" t="s">
        <v>244</v>
      </c>
      <c r="K2774" s="90">
        <v>0.11602173087891</v>
      </c>
      <c r="L2774" s="90">
        <v>3737.4686967357602</v>
      </c>
      <c r="M2774" s="90">
        <v>10.115799686661701</v>
      </c>
      <c r="N2774" s="90">
        <v>1.7613689011664699</v>
      </c>
      <c r="O2774" s="90">
        <v>1.17365258887089</v>
      </c>
      <c r="P2774" s="90">
        <v>0.20435706862962</v>
      </c>
      <c r="Q2774" s="90">
        <v>433.627587301049</v>
      </c>
      <c r="R2774" s="90">
        <v>1200</v>
      </c>
      <c r="S2774" s="90" t="s">
        <v>384</v>
      </c>
      <c r="T2774" s="90">
        <v>1200</v>
      </c>
      <c r="U2774" s="90" t="s">
        <v>378</v>
      </c>
      <c r="V2774" s="90" t="s">
        <v>244</v>
      </c>
      <c r="Z2774" s="90">
        <v>0</v>
      </c>
      <c r="AA2774" s="90">
        <v>1</v>
      </c>
      <c r="AB2774" s="90">
        <v>1.17365258887089</v>
      </c>
      <c r="AC2774" s="90">
        <v>0.20435706862962</v>
      </c>
      <c r="AD2774" s="90">
        <v>439.28566849245402</v>
      </c>
      <c r="AF2774" s="90">
        <v>-1</v>
      </c>
      <c r="AG2774" s="90">
        <v>-1</v>
      </c>
      <c r="AH2774" s="90">
        <v>-1</v>
      </c>
      <c r="AI2774" s="90">
        <v>-1</v>
      </c>
      <c r="AJ2774" s="90">
        <v>0</v>
      </c>
      <c r="AM2774" s="90" t="s">
        <v>379</v>
      </c>
      <c r="AN2774" s="90">
        <v>-1</v>
      </c>
      <c r="AQ2774" s="90">
        <v>358</v>
      </c>
      <c r="AR2774" s="90" t="s">
        <v>422</v>
      </c>
      <c r="AS2774" s="90" t="s">
        <v>250</v>
      </c>
      <c r="AT2774" s="90" t="s">
        <v>244</v>
      </c>
      <c r="AU2774" s="90">
        <v>86.412649999999999</v>
      </c>
      <c r="AV2774" s="90">
        <v>119.976498587329</v>
      </c>
      <c r="AW2774" s="90">
        <v>469.523286745306</v>
      </c>
      <c r="AX2774" s="90">
        <v>0.3562738593</v>
      </c>
    </row>
    <row r="2775" spans="1:50" x14ac:dyDescent="0.25">
      <c r="A2775" s="102">
        <v>840000</v>
      </c>
      <c r="B2775" s="102">
        <v>2400000</v>
      </c>
      <c r="C2775" s="102">
        <v>2400000</v>
      </c>
      <c r="D2775" s="90" t="s">
        <v>374</v>
      </c>
      <c r="E2775" s="90" t="s">
        <v>68</v>
      </c>
      <c r="F2775" s="90" t="s">
        <v>375</v>
      </c>
      <c r="G2775" s="90" t="s">
        <v>376</v>
      </c>
      <c r="H2775" s="90">
        <v>0.59</v>
      </c>
      <c r="I2775" s="90">
        <v>0.64</v>
      </c>
      <c r="J2775" s="90" t="s">
        <v>244</v>
      </c>
      <c r="K2775" s="90">
        <v>4.0785329236139999E-2</v>
      </c>
      <c r="L2775" s="90">
        <v>3737.4686967357602</v>
      </c>
      <c r="M2775" s="90">
        <v>10.115799686661701</v>
      </c>
      <c r="N2775" s="90">
        <v>1.7613689011664699</v>
      </c>
      <c r="O2775" s="90">
        <v>0.41257622070741001</v>
      </c>
      <c r="P2775" s="90">
        <v>7.1838010540379998E-2</v>
      </c>
      <c r="Q2775" s="90">
        <v>152.433891306161</v>
      </c>
      <c r="R2775" s="90">
        <v>1300</v>
      </c>
      <c r="S2775" s="90" t="s">
        <v>387</v>
      </c>
      <c r="T2775" s="90">
        <v>1300</v>
      </c>
      <c r="U2775" s="90" t="s">
        <v>378</v>
      </c>
      <c r="V2775" s="90" t="s">
        <v>244</v>
      </c>
      <c r="Z2775" s="90">
        <v>0</v>
      </c>
      <c r="AA2775" s="90">
        <v>1</v>
      </c>
      <c r="AB2775" s="90">
        <v>0.41257622070741001</v>
      </c>
      <c r="AC2775" s="90">
        <v>7.1838010540379998E-2</v>
      </c>
      <c r="AD2775" s="90">
        <v>597.84066951150498</v>
      </c>
      <c r="AF2775" s="90">
        <v>-1</v>
      </c>
      <c r="AG2775" s="90">
        <v>-1</v>
      </c>
      <c r="AH2775" s="90">
        <v>-1</v>
      </c>
      <c r="AI2775" s="90">
        <v>-1</v>
      </c>
      <c r="AJ2775" s="90">
        <v>0</v>
      </c>
      <c r="AM2775" s="90" t="s">
        <v>379</v>
      </c>
      <c r="AN2775" s="90">
        <v>-1</v>
      </c>
      <c r="AQ2775" s="90">
        <v>358</v>
      </c>
      <c r="AR2775" s="90" t="s">
        <v>422</v>
      </c>
      <c r="AS2775" s="90" t="s">
        <v>250</v>
      </c>
      <c r="AT2775" s="90" t="s">
        <v>244</v>
      </c>
      <c r="AU2775" s="90">
        <v>86.412649999999999</v>
      </c>
      <c r="AV2775" s="90">
        <v>105.69229286459699</v>
      </c>
      <c r="AW2775" s="90">
        <v>165.05237155900099</v>
      </c>
      <c r="AX2775" s="90">
        <v>0.484866723</v>
      </c>
    </row>
    <row r="2776" spans="1:50" x14ac:dyDescent="0.25">
      <c r="A2776" s="102">
        <v>840000</v>
      </c>
      <c r="B2776" s="102">
        <v>2400000</v>
      </c>
      <c r="C2776" s="102">
        <v>2400000</v>
      </c>
      <c r="D2776" s="90" t="s">
        <v>374</v>
      </c>
      <c r="E2776" s="90" t="s">
        <v>68</v>
      </c>
      <c r="F2776" s="90" t="s">
        <v>375</v>
      </c>
      <c r="G2776" s="90" t="s">
        <v>376</v>
      </c>
      <c r="H2776" s="90">
        <v>0.59</v>
      </c>
      <c r="I2776" s="90">
        <v>0.64</v>
      </c>
      <c r="J2776" s="90" t="s">
        <v>381</v>
      </c>
      <c r="K2776" s="90">
        <v>4.6396397516000002E-4</v>
      </c>
      <c r="L2776" s="90">
        <v>3737.4686967357602</v>
      </c>
      <c r="M2776" s="90">
        <v>10.115799686661701</v>
      </c>
      <c r="N2776" s="90">
        <v>1.7613689011664699</v>
      </c>
      <c r="O2776" s="90">
        <v>4.6933666346199998E-3</v>
      </c>
      <c r="P2776" s="90">
        <v>8.1721171711999997E-4</v>
      </c>
      <c r="Q2776" s="90">
        <v>1.7340508336034799</v>
      </c>
      <c r="R2776" s="90">
        <v>1300</v>
      </c>
      <c r="S2776" s="90" t="s">
        <v>387</v>
      </c>
      <c r="T2776" s="90">
        <v>1300</v>
      </c>
      <c r="U2776" s="90" t="s">
        <v>382</v>
      </c>
      <c r="V2776" s="90" t="s">
        <v>381</v>
      </c>
      <c r="Z2776" s="90">
        <v>0</v>
      </c>
      <c r="AA2776" s="90">
        <v>1</v>
      </c>
      <c r="AB2776" s="90">
        <v>4.6933666346199998E-3</v>
      </c>
      <c r="AC2776" s="90">
        <v>8.1721171711999997E-4</v>
      </c>
      <c r="AD2776" s="90">
        <v>7.3193554925630497</v>
      </c>
      <c r="AF2776" s="90">
        <v>-1</v>
      </c>
      <c r="AG2776" s="90">
        <v>-1</v>
      </c>
      <c r="AH2776" s="90">
        <v>-1</v>
      </c>
      <c r="AI2776" s="90">
        <v>-1</v>
      </c>
      <c r="AJ2776" s="90">
        <v>0</v>
      </c>
      <c r="AM2776" s="90" t="s">
        <v>379</v>
      </c>
      <c r="AN2776" s="90">
        <v>-1</v>
      </c>
      <c r="AQ2776" s="90">
        <v>358</v>
      </c>
      <c r="AR2776" s="90" t="s">
        <v>422</v>
      </c>
      <c r="AS2776" s="90" t="s">
        <v>250</v>
      </c>
      <c r="AT2776" s="90" t="s">
        <v>244</v>
      </c>
      <c r="AU2776" s="90">
        <v>86.412649999999999</v>
      </c>
      <c r="AV2776" s="90">
        <v>26.807953685169299</v>
      </c>
      <c r="AW2776" s="90">
        <v>1.87759559267204</v>
      </c>
      <c r="AX2776" s="90">
        <v>5.9362169000000001E-3</v>
      </c>
    </row>
    <row r="2777" spans="1:50" x14ac:dyDescent="0.25">
      <c r="A2777" s="102">
        <v>840000</v>
      </c>
      <c r="B2777" s="102">
        <v>2400000</v>
      </c>
      <c r="C2777" s="102">
        <v>2400000</v>
      </c>
      <c r="D2777" s="90" t="s">
        <v>374</v>
      </c>
      <c r="E2777" s="90" t="s">
        <v>68</v>
      </c>
      <c r="F2777" s="90" t="s">
        <v>375</v>
      </c>
      <c r="G2777" s="90" t="s">
        <v>376</v>
      </c>
      <c r="H2777" s="90">
        <v>0.59</v>
      </c>
      <c r="I2777" s="90">
        <v>0.64</v>
      </c>
      <c r="J2777" s="90" t="s">
        <v>244</v>
      </c>
      <c r="K2777" s="90">
        <v>7.6027739366999999E-4</v>
      </c>
      <c r="L2777" s="90">
        <v>3737.4686967357602</v>
      </c>
      <c r="M2777" s="90">
        <v>10.115799686661701</v>
      </c>
      <c r="N2777" s="90">
        <v>1.7613689011664699</v>
      </c>
      <c r="O2777" s="90">
        <v>7.6908138207500004E-3</v>
      </c>
      <c r="P2777" s="90">
        <v>1.33912895748E-3</v>
      </c>
      <c r="Q2777" s="90">
        <v>2.84151295971111</v>
      </c>
      <c r="R2777" s="90">
        <v>1210</v>
      </c>
      <c r="S2777" s="90" t="s">
        <v>385</v>
      </c>
      <c r="T2777" s="90">
        <v>1210</v>
      </c>
      <c r="U2777" s="90" t="s">
        <v>378</v>
      </c>
      <c r="V2777" s="90" t="s">
        <v>244</v>
      </c>
      <c r="Z2777" s="90">
        <v>0</v>
      </c>
      <c r="AA2777" s="90">
        <v>1</v>
      </c>
      <c r="AB2777" s="90">
        <v>7.6908138207500004E-3</v>
      </c>
      <c r="AC2777" s="90">
        <v>1.33912895748E-3</v>
      </c>
      <c r="AD2777" s="90">
        <v>2.8415129597117601</v>
      </c>
      <c r="AF2777" s="90">
        <v>-1</v>
      </c>
      <c r="AG2777" s="90">
        <v>-1</v>
      </c>
      <c r="AH2777" s="90">
        <v>-1</v>
      </c>
      <c r="AI2777" s="90">
        <v>-1</v>
      </c>
      <c r="AJ2777" s="90">
        <v>0</v>
      </c>
      <c r="AM2777" s="90" t="s">
        <v>379</v>
      </c>
      <c r="AN2777" s="90">
        <v>-1</v>
      </c>
      <c r="AQ2777" s="90">
        <v>358</v>
      </c>
      <c r="AR2777" s="90" t="s">
        <v>422</v>
      </c>
      <c r="AS2777" s="90" t="s">
        <v>250</v>
      </c>
      <c r="AT2777" s="90" t="s">
        <v>244</v>
      </c>
      <c r="AU2777" s="90">
        <v>86.412649999999999</v>
      </c>
      <c r="AV2777" s="90">
        <v>28.479156857113502</v>
      </c>
      <c r="AW2777" s="90">
        <v>3.0767334534161002</v>
      </c>
      <c r="AX2777" s="90">
        <v>2.3045523000000002E-3</v>
      </c>
    </row>
    <row r="2778" spans="1:50" x14ac:dyDescent="0.25">
      <c r="A2778" s="102">
        <v>840000</v>
      </c>
      <c r="B2778" s="102">
        <v>2400000</v>
      </c>
      <c r="C2778" s="102">
        <v>2400000</v>
      </c>
      <c r="D2778" s="90" t="s">
        <v>374</v>
      </c>
      <c r="E2778" s="90" t="s">
        <v>68</v>
      </c>
      <c r="F2778" s="90" t="s">
        <v>375</v>
      </c>
      <c r="G2778" s="90" t="s">
        <v>376</v>
      </c>
      <c r="H2778" s="90">
        <v>0.59</v>
      </c>
      <c r="I2778" s="90">
        <v>0.64</v>
      </c>
      <c r="J2778" s="90" t="s">
        <v>244</v>
      </c>
      <c r="K2778" s="90">
        <v>2.0026804027399999E-3</v>
      </c>
      <c r="L2778" s="90">
        <v>3737.4686967357602</v>
      </c>
      <c r="M2778" s="90">
        <v>10.115799686661701</v>
      </c>
      <c r="N2778" s="90">
        <v>1.7613689011664699</v>
      </c>
      <c r="O2778" s="90">
        <v>2.0258713790590001E-2</v>
      </c>
      <c r="P2778" s="90">
        <v>3.5274589803699998E-3</v>
      </c>
      <c r="Q2778" s="90">
        <v>7.4849553148330799</v>
      </c>
      <c r="R2778" s="90">
        <v>1210</v>
      </c>
      <c r="S2778" s="90" t="s">
        <v>385</v>
      </c>
      <c r="T2778" s="90">
        <v>1210</v>
      </c>
      <c r="U2778" s="90" t="s">
        <v>378</v>
      </c>
      <c r="V2778" s="90" t="s">
        <v>244</v>
      </c>
      <c r="Z2778" s="90">
        <v>0</v>
      </c>
      <c r="AA2778" s="90">
        <v>1</v>
      </c>
      <c r="AB2778" s="90">
        <v>2.0258713790590001E-2</v>
      </c>
      <c r="AC2778" s="90">
        <v>3.5274589803699998E-3</v>
      </c>
      <c r="AD2778" s="90">
        <v>7.4849553148323702</v>
      </c>
      <c r="AF2778" s="90">
        <v>-1</v>
      </c>
      <c r="AG2778" s="90">
        <v>-1</v>
      </c>
      <c r="AH2778" s="90">
        <v>-1</v>
      </c>
      <c r="AI2778" s="90">
        <v>-1</v>
      </c>
      <c r="AJ2778" s="90">
        <v>0</v>
      </c>
      <c r="AM2778" s="90" t="s">
        <v>379</v>
      </c>
      <c r="AN2778" s="90">
        <v>-1</v>
      </c>
      <c r="AQ2778" s="90">
        <v>358</v>
      </c>
      <c r="AR2778" s="90" t="s">
        <v>422</v>
      </c>
      <c r="AS2778" s="90" t="s">
        <v>250</v>
      </c>
      <c r="AT2778" s="90" t="s">
        <v>244</v>
      </c>
      <c r="AU2778" s="90">
        <v>86.412649999999999</v>
      </c>
      <c r="AV2778" s="90">
        <v>64.061793544542994</v>
      </c>
      <c r="AW2778" s="90">
        <v>8.1045600498705497</v>
      </c>
      <c r="AX2778" s="90">
        <v>6.0705233999999997E-3</v>
      </c>
    </row>
    <row r="2779" spans="1:50" x14ac:dyDescent="0.25">
      <c r="A2779" s="102">
        <v>840000</v>
      </c>
      <c r="B2779" s="102">
        <v>2400000</v>
      </c>
      <c r="C2779" s="102">
        <v>2400000</v>
      </c>
      <c r="D2779" s="90" t="s">
        <v>374</v>
      </c>
      <c r="E2779" s="90" t="s">
        <v>68</v>
      </c>
      <c r="F2779" s="90" t="s">
        <v>375</v>
      </c>
      <c r="G2779" s="90" t="s">
        <v>376</v>
      </c>
      <c r="H2779" s="90">
        <v>0.59</v>
      </c>
      <c r="I2779" s="90">
        <v>0.64</v>
      </c>
      <c r="J2779" s="90" t="s">
        <v>244</v>
      </c>
      <c r="K2779" s="90">
        <v>4.4333239574950001E-2</v>
      </c>
      <c r="L2779" s="90">
        <v>3737.4686967357602</v>
      </c>
      <c r="M2779" s="90">
        <v>10.115799686661701</v>
      </c>
      <c r="N2779" s="90">
        <v>1.7613689011664699</v>
      </c>
      <c r="O2779" s="90">
        <v>0.44846617100107</v>
      </c>
      <c r="P2779" s="90">
        <v>7.8087189475290003E-2</v>
      </c>
      <c r="Q2779" s="90">
        <v>165.694095136296</v>
      </c>
      <c r="R2779" s="90">
        <v>1210</v>
      </c>
      <c r="S2779" s="90" t="s">
        <v>385</v>
      </c>
      <c r="T2779" s="90">
        <v>1210</v>
      </c>
      <c r="U2779" s="90" t="s">
        <v>378</v>
      </c>
      <c r="V2779" s="90" t="s">
        <v>244</v>
      </c>
      <c r="Z2779" s="90">
        <v>0</v>
      </c>
      <c r="AA2779" s="90">
        <v>1</v>
      </c>
      <c r="AB2779" s="90">
        <v>0.44846617100107</v>
      </c>
      <c r="AC2779" s="90">
        <v>7.8087189475290003E-2</v>
      </c>
      <c r="AD2779" s="90">
        <v>301.63487264474799</v>
      </c>
      <c r="AF2779" s="90">
        <v>-1</v>
      </c>
      <c r="AG2779" s="90">
        <v>-1</v>
      </c>
      <c r="AH2779" s="90">
        <v>-1</v>
      </c>
      <c r="AI2779" s="90">
        <v>-1</v>
      </c>
      <c r="AJ2779" s="90">
        <v>0</v>
      </c>
      <c r="AM2779" s="90" t="s">
        <v>379</v>
      </c>
      <c r="AN2779" s="90">
        <v>-1</v>
      </c>
      <c r="AQ2779" s="90">
        <v>358</v>
      </c>
      <c r="AR2779" s="90" t="s">
        <v>422</v>
      </c>
      <c r="AS2779" s="90" t="s">
        <v>250</v>
      </c>
      <c r="AT2779" s="90" t="s">
        <v>244</v>
      </c>
      <c r="AU2779" s="90">
        <v>86.412649999999999</v>
      </c>
      <c r="AV2779" s="90">
        <v>54.524385980591198</v>
      </c>
      <c r="AW2779" s="90">
        <v>179.410255299721</v>
      </c>
      <c r="AX2779" s="90">
        <v>0.24463493319999999</v>
      </c>
    </row>
    <row r="2780" spans="1:50" x14ac:dyDescent="0.25">
      <c r="A2780" s="102">
        <v>840000</v>
      </c>
      <c r="B2780" s="102">
        <v>2400000</v>
      </c>
      <c r="C2780" s="102">
        <v>2400000</v>
      </c>
      <c r="D2780" s="90" t="s">
        <v>374</v>
      </c>
      <c r="E2780" s="90" t="s">
        <v>68</v>
      </c>
      <c r="F2780" s="90" t="s">
        <v>375</v>
      </c>
      <c r="G2780" s="90" t="s">
        <v>376</v>
      </c>
      <c r="H2780" s="90">
        <v>0.59</v>
      </c>
      <c r="I2780" s="90">
        <v>0.64</v>
      </c>
      <c r="J2780" s="90" t="s">
        <v>244</v>
      </c>
      <c r="K2780" s="90">
        <v>2.333703163278E-2</v>
      </c>
      <c r="L2780" s="90">
        <v>3658.0058763699899</v>
      </c>
      <c r="M2780" s="90">
        <v>8.6960428537051406</v>
      </c>
      <c r="N2780" s="90">
        <v>1.42578221936369</v>
      </c>
      <c r="O2780" s="90">
        <v>0.20293982715698999</v>
      </c>
      <c r="P2780" s="90">
        <v>3.3273524754749997E-2</v>
      </c>
      <c r="Q2780" s="90">
        <v>85.366998849770795</v>
      </c>
      <c r="R2780" s="90">
        <v>1300</v>
      </c>
      <c r="S2780" s="90" t="s">
        <v>387</v>
      </c>
      <c r="T2780" s="90">
        <v>1300</v>
      </c>
      <c r="U2780" s="90" t="s">
        <v>378</v>
      </c>
      <c r="V2780" s="90" t="s">
        <v>244</v>
      </c>
      <c r="Z2780" s="90">
        <v>0</v>
      </c>
      <c r="AA2780" s="90">
        <v>1</v>
      </c>
      <c r="AB2780" s="90">
        <v>0.20293982715698999</v>
      </c>
      <c r="AC2780" s="90">
        <v>3.3273524754749997E-2</v>
      </c>
      <c r="AD2780" s="90">
        <v>706.39935959064098</v>
      </c>
      <c r="AF2780" s="90">
        <v>-1</v>
      </c>
      <c r="AG2780" s="90">
        <v>-1</v>
      </c>
      <c r="AH2780" s="90">
        <v>-1</v>
      </c>
      <c r="AI2780" s="90">
        <v>-1</v>
      </c>
      <c r="AJ2780" s="90">
        <v>0</v>
      </c>
      <c r="AM2780" s="90" t="s">
        <v>379</v>
      </c>
      <c r="AN2780" s="90">
        <v>-1</v>
      </c>
      <c r="AQ2780" s="90">
        <v>358</v>
      </c>
      <c r="AR2780" s="90" t="s">
        <v>422</v>
      </c>
      <c r="AS2780" s="90" t="s">
        <v>250</v>
      </c>
      <c r="AT2780" s="90" t="s">
        <v>244</v>
      </c>
      <c r="AU2780" s="90">
        <v>86.412649999999999</v>
      </c>
      <c r="AV2780" s="90">
        <v>43.938261283435899</v>
      </c>
      <c r="AW2780" s="90">
        <v>94.441616342901597</v>
      </c>
      <c r="AX2780" s="90">
        <v>0.57291107829999999</v>
      </c>
    </row>
    <row r="2781" spans="1:50" x14ac:dyDescent="0.25">
      <c r="A2781" s="102">
        <v>840000</v>
      </c>
      <c r="B2781" s="102">
        <v>2400000</v>
      </c>
      <c r="C2781" s="102">
        <v>2400000</v>
      </c>
      <c r="D2781" s="90" t="s">
        <v>374</v>
      </c>
      <c r="E2781" s="90" t="s">
        <v>68</v>
      </c>
      <c r="F2781" s="90" t="s">
        <v>375</v>
      </c>
      <c r="G2781" s="90" t="s">
        <v>376</v>
      </c>
      <c r="H2781" s="90">
        <v>0.59</v>
      </c>
      <c r="I2781" s="90">
        <v>0.64</v>
      </c>
      <c r="J2781" s="90" t="s">
        <v>389</v>
      </c>
      <c r="K2781" s="90">
        <v>6.3263377493099999E-3</v>
      </c>
      <c r="L2781" s="90">
        <v>3658.0058763699899</v>
      </c>
      <c r="M2781" s="90">
        <v>8.6960428537051406</v>
      </c>
      <c r="N2781" s="90">
        <v>1.42578221936369</v>
      </c>
      <c r="O2781" s="90">
        <v>5.5014104175029999E-2</v>
      </c>
      <c r="P2781" s="90">
        <v>9.0199798766600007E-3</v>
      </c>
      <c r="Q2781" s="90">
        <v>23.141780662888198</v>
      </c>
      <c r="R2781" s="90">
        <v>4340</v>
      </c>
      <c r="S2781" s="90" t="s">
        <v>404</v>
      </c>
      <c r="T2781" s="90">
        <v>4340</v>
      </c>
      <c r="U2781" s="90" t="s">
        <v>378</v>
      </c>
      <c r="V2781" s="90" t="s">
        <v>244</v>
      </c>
      <c r="Y2781" s="90" t="s">
        <v>389</v>
      </c>
      <c r="Z2781" s="90">
        <v>0</v>
      </c>
      <c r="AA2781" s="90">
        <v>1</v>
      </c>
      <c r="AB2781" s="90">
        <v>5.5014104175029999E-2</v>
      </c>
      <c r="AC2781" s="90">
        <v>9.0199798766600007E-3</v>
      </c>
      <c r="AD2781" s="90">
        <v>252.17467248678599</v>
      </c>
      <c r="AF2781" s="90">
        <v>-1</v>
      </c>
      <c r="AG2781" s="90">
        <v>-1</v>
      </c>
      <c r="AH2781" s="90">
        <v>-1</v>
      </c>
      <c r="AI2781" s="90">
        <v>-1</v>
      </c>
      <c r="AJ2781" s="90">
        <v>0</v>
      </c>
      <c r="AM2781" s="90" t="s">
        <v>379</v>
      </c>
      <c r="AN2781" s="90">
        <v>-1</v>
      </c>
      <c r="AQ2781" s="90">
        <v>358</v>
      </c>
      <c r="AR2781" s="90" t="s">
        <v>422</v>
      </c>
      <c r="AS2781" s="90" t="s">
        <v>250</v>
      </c>
      <c r="AT2781" s="90" t="s">
        <v>244</v>
      </c>
      <c r="AU2781" s="90">
        <v>86.412649999999999</v>
      </c>
      <c r="AV2781" s="90">
        <v>24.519461824277101</v>
      </c>
      <c r="AW2781" s="90">
        <v>25.6017805510801</v>
      </c>
      <c r="AX2781" s="90">
        <v>0.2045212267</v>
      </c>
    </row>
    <row r="2782" spans="1:50" x14ac:dyDescent="0.25">
      <c r="A2782" s="102">
        <v>840000</v>
      </c>
      <c r="B2782" s="102">
        <v>2400000</v>
      </c>
      <c r="C2782" s="102">
        <v>2400000</v>
      </c>
      <c r="D2782" s="90" t="s">
        <v>374</v>
      </c>
      <c r="E2782" s="90" t="s">
        <v>68</v>
      </c>
      <c r="F2782" s="90" t="s">
        <v>375</v>
      </c>
      <c r="G2782" s="90" t="s">
        <v>376</v>
      </c>
      <c r="H2782" s="90">
        <v>0.59</v>
      </c>
      <c r="I2782" s="90">
        <v>0.64</v>
      </c>
      <c r="J2782" s="90" t="s">
        <v>244</v>
      </c>
      <c r="K2782" s="90">
        <v>1.24853718063E-3</v>
      </c>
      <c r="L2782" s="90">
        <v>3658.0058763699899</v>
      </c>
      <c r="M2782" s="90">
        <v>8.6960428537051406</v>
      </c>
      <c r="N2782" s="90">
        <v>1.42578221936369</v>
      </c>
      <c r="O2782" s="90">
        <v>1.085733282725E-2</v>
      </c>
      <c r="P2782" s="90">
        <v>1.78014211236E-3</v>
      </c>
      <c r="Q2782" s="90">
        <v>4.5671563436328997</v>
      </c>
      <c r="R2782" s="90">
        <v>1200</v>
      </c>
      <c r="S2782" s="90" t="s">
        <v>384</v>
      </c>
      <c r="T2782" s="90">
        <v>1200</v>
      </c>
      <c r="U2782" s="90" t="s">
        <v>378</v>
      </c>
      <c r="V2782" s="90" t="s">
        <v>244</v>
      </c>
      <c r="Z2782" s="90">
        <v>0</v>
      </c>
      <c r="AA2782" s="90">
        <v>1</v>
      </c>
      <c r="AB2782" s="90">
        <v>1.085733282725E-2</v>
      </c>
      <c r="AC2782" s="90">
        <v>1.78014211236E-3</v>
      </c>
      <c r="AD2782" s="90">
        <v>4.5671563436333402</v>
      </c>
      <c r="AF2782" s="90">
        <v>-1</v>
      </c>
      <c r="AG2782" s="90">
        <v>-1</v>
      </c>
      <c r="AH2782" s="90">
        <v>-1</v>
      </c>
      <c r="AI2782" s="90">
        <v>-1</v>
      </c>
      <c r="AJ2782" s="90">
        <v>0</v>
      </c>
      <c r="AM2782" s="90" t="s">
        <v>379</v>
      </c>
      <c r="AN2782" s="90">
        <v>-1</v>
      </c>
      <c r="AQ2782" s="90">
        <v>358</v>
      </c>
      <c r="AR2782" s="90" t="s">
        <v>422</v>
      </c>
      <c r="AS2782" s="90" t="s">
        <v>250</v>
      </c>
      <c r="AT2782" s="90" t="s">
        <v>244</v>
      </c>
      <c r="AU2782" s="90">
        <v>86.412649999999999</v>
      </c>
      <c r="AV2782" s="90">
        <v>8.9986957609295803</v>
      </c>
      <c r="AW2782" s="90">
        <v>5.0526507080624699</v>
      </c>
      <c r="AX2782" s="90">
        <v>3.7041007999999999E-3</v>
      </c>
    </row>
    <row r="2783" spans="1:50" x14ac:dyDescent="0.25">
      <c r="A2783" s="102">
        <v>840000</v>
      </c>
      <c r="B2783" s="102">
        <v>2400000</v>
      </c>
      <c r="C2783" s="102">
        <v>2400000</v>
      </c>
      <c r="D2783" s="90" t="s">
        <v>374</v>
      </c>
      <c r="E2783" s="90" t="s">
        <v>68</v>
      </c>
      <c r="F2783" s="90" t="s">
        <v>375</v>
      </c>
      <c r="G2783" s="90" t="s">
        <v>376</v>
      </c>
      <c r="H2783" s="90">
        <v>0.59</v>
      </c>
      <c r="I2783" s="90">
        <v>0.64</v>
      </c>
      <c r="J2783" s="90" t="s">
        <v>244</v>
      </c>
      <c r="K2783" s="90">
        <v>8.5817621902400006E-3</v>
      </c>
      <c r="L2783" s="90">
        <v>3658.0058763699899</v>
      </c>
      <c r="M2783" s="90">
        <v>8.6960428537051406</v>
      </c>
      <c r="N2783" s="90">
        <v>1.42578221936369</v>
      </c>
      <c r="O2783" s="90">
        <v>7.4627371766629993E-2</v>
      </c>
      <c r="P2783" s="90">
        <v>1.223572394165E-2</v>
      </c>
      <c r="Q2783" s="90">
        <v>31.392136521507702</v>
      </c>
      <c r="R2783" s="90">
        <v>1210</v>
      </c>
      <c r="S2783" s="90" t="s">
        <v>385</v>
      </c>
      <c r="T2783" s="90">
        <v>1210</v>
      </c>
      <c r="U2783" s="90" t="s">
        <v>378</v>
      </c>
      <c r="V2783" s="90" t="s">
        <v>244</v>
      </c>
      <c r="Z2783" s="90">
        <v>0</v>
      </c>
      <c r="AA2783" s="90">
        <v>1</v>
      </c>
      <c r="AB2783" s="90">
        <v>7.4627371766629993E-2</v>
      </c>
      <c r="AC2783" s="90">
        <v>1.223572394165E-2</v>
      </c>
      <c r="AD2783" s="90">
        <v>226.67847044282101</v>
      </c>
      <c r="AF2783" s="90">
        <v>-1</v>
      </c>
      <c r="AG2783" s="90">
        <v>-1</v>
      </c>
      <c r="AH2783" s="90">
        <v>-1</v>
      </c>
      <c r="AI2783" s="90">
        <v>-1</v>
      </c>
      <c r="AJ2783" s="90">
        <v>0</v>
      </c>
      <c r="AM2783" s="90" t="s">
        <v>379</v>
      </c>
      <c r="AN2783" s="90">
        <v>-1</v>
      </c>
      <c r="AQ2783" s="90">
        <v>358</v>
      </c>
      <c r="AR2783" s="90" t="s">
        <v>422</v>
      </c>
      <c r="AS2783" s="90" t="s">
        <v>250</v>
      </c>
      <c r="AT2783" s="90" t="s">
        <v>244</v>
      </c>
      <c r="AU2783" s="90">
        <v>86.412649999999999</v>
      </c>
      <c r="AV2783" s="90">
        <v>44.9889427533641</v>
      </c>
      <c r="AW2783" s="90">
        <v>34.729159435082501</v>
      </c>
      <c r="AX2783" s="90">
        <v>0.18384304169999999</v>
      </c>
    </row>
    <row r="2784" spans="1:50" x14ac:dyDescent="0.25">
      <c r="A2784" s="102">
        <v>840000</v>
      </c>
      <c r="B2784" s="102">
        <v>2400000</v>
      </c>
      <c r="C2784" s="102">
        <v>2400000</v>
      </c>
      <c r="D2784" s="90" t="s">
        <v>374</v>
      </c>
      <c r="E2784" s="90" t="s">
        <v>68</v>
      </c>
      <c r="F2784" s="90" t="s">
        <v>375</v>
      </c>
      <c r="G2784" s="90" t="s">
        <v>376</v>
      </c>
      <c r="H2784" s="90">
        <v>0.59</v>
      </c>
      <c r="I2784" s="90">
        <v>0.64</v>
      </c>
      <c r="J2784" s="90" t="s">
        <v>381</v>
      </c>
      <c r="K2784" s="90">
        <v>4.1457478179999997E-5</v>
      </c>
      <c r="L2784" s="90">
        <v>3658.0058763699899</v>
      </c>
      <c r="M2784" s="90">
        <v>8.6960428537051406</v>
      </c>
      <c r="N2784" s="90">
        <v>1.42578221936369</v>
      </c>
      <c r="O2784" s="90">
        <v>3.6051600686E-4</v>
      </c>
      <c r="P2784" s="90">
        <v>5.9109335250000001E-5</v>
      </c>
      <c r="Q2784" s="90">
        <v>0.15165169880557</v>
      </c>
      <c r="R2784" s="90">
        <v>1210</v>
      </c>
      <c r="S2784" s="90" t="s">
        <v>385</v>
      </c>
      <c r="T2784" s="90">
        <v>1210</v>
      </c>
      <c r="U2784" s="90" t="s">
        <v>382</v>
      </c>
      <c r="V2784" s="90" t="s">
        <v>381</v>
      </c>
      <c r="Z2784" s="90">
        <v>0</v>
      </c>
      <c r="AA2784" s="90">
        <v>1</v>
      </c>
      <c r="AB2784" s="90">
        <v>3.6051600686E-4</v>
      </c>
      <c r="AC2784" s="90">
        <v>5.9109335250000001E-5</v>
      </c>
      <c r="AD2784" s="90">
        <v>0.42739720511036999</v>
      </c>
      <c r="AF2784" s="90">
        <v>-1</v>
      </c>
      <c r="AG2784" s="90">
        <v>-1</v>
      </c>
      <c r="AH2784" s="90">
        <v>-1</v>
      </c>
      <c r="AI2784" s="90">
        <v>-1</v>
      </c>
      <c r="AJ2784" s="90">
        <v>0</v>
      </c>
      <c r="AM2784" s="90" t="s">
        <v>379</v>
      </c>
      <c r="AN2784" s="90">
        <v>-1</v>
      </c>
      <c r="AQ2784" s="90">
        <v>358</v>
      </c>
      <c r="AR2784" s="90" t="s">
        <v>422</v>
      </c>
      <c r="AS2784" s="90" t="s">
        <v>250</v>
      </c>
      <c r="AT2784" s="90" t="s">
        <v>244</v>
      </c>
      <c r="AU2784" s="90">
        <v>86.412649999999999</v>
      </c>
      <c r="AV2784" s="90">
        <v>8.8425923403603193</v>
      </c>
      <c r="AW2784" s="90">
        <v>0.16777246183221001</v>
      </c>
      <c r="AX2784" s="90">
        <v>3.4663199999999998E-4</v>
      </c>
    </row>
    <row r="2785" spans="1:50" x14ac:dyDescent="0.25">
      <c r="A2785" s="102">
        <v>840000</v>
      </c>
      <c r="B2785" s="102">
        <v>2400000</v>
      </c>
      <c r="C2785" s="102">
        <v>2400000</v>
      </c>
      <c r="D2785" s="90" t="s">
        <v>374</v>
      </c>
      <c r="E2785" s="90" t="s">
        <v>68</v>
      </c>
      <c r="F2785" s="90" t="s">
        <v>375</v>
      </c>
      <c r="G2785" s="90" t="s">
        <v>376</v>
      </c>
      <c r="H2785" s="90">
        <v>0.59</v>
      </c>
      <c r="I2785" s="90">
        <v>0.64</v>
      </c>
      <c r="J2785" s="90" t="s">
        <v>244</v>
      </c>
      <c r="K2785" s="90">
        <v>1.7500682917160001E-2</v>
      </c>
      <c r="L2785" s="90">
        <v>3658.0058763699899</v>
      </c>
      <c r="M2785" s="90">
        <v>8.6960428537051406</v>
      </c>
      <c r="N2785" s="90">
        <v>1.42578221936369</v>
      </c>
      <c r="O2785" s="90">
        <v>0.15218668861675999</v>
      </c>
      <c r="P2785" s="90">
        <v>2.4952162530010001E-2</v>
      </c>
      <c r="Q2785" s="90">
        <v>64.017600951473796</v>
      </c>
      <c r="R2785" s="90">
        <v>1210</v>
      </c>
      <c r="S2785" s="90" t="s">
        <v>385</v>
      </c>
      <c r="T2785" s="90">
        <v>1210</v>
      </c>
      <c r="U2785" s="90" t="s">
        <v>378</v>
      </c>
      <c r="V2785" s="90" t="s">
        <v>244</v>
      </c>
      <c r="Z2785" s="90">
        <v>0</v>
      </c>
      <c r="AA2785" s="90">
        <v>1</v>
      </c>
      <c r="AB2785" s="90">
        <v>0.15218668861675999</v>
      </c>
      <c r="AC2785" s="90">
        <v>2.4952162530010001E-2</v>
      </c>
      <c r="AD2785" s="90">
        <v>64.587391176879294</v>
      </c>
      <c r="AF2785" s="90">
        <v>-1</v>
      </c>
      <c r="AG2785" s="90">
        <v>-1</v>
      </c>
      <c r="AH2785" s="90">
        <v>-1</v>
      </c>
      <c r="AI2785" s="90">
        <v>-1</v>
      </c>
      <c r="AJ2785" s="90">
        <v>0</v>
      </c>
      <c r="AM2785" s="90" t="s">
        <v>379</v>
      </c>
      <c r="AN2785" s="90">
        <v>-1</v>
      </c>
      <c r="AQ2785" s="90">
        <v>358</v>
      </c>
      <c r="AR2785" s="90" t="s">
        <v>422</v>
      </c>
      <c r="AS2785" s="90" t="s">
        <v>250</v>
      </c>
      <c r="AT2785" s="90" t="s">
        <v>244</v>
      </c>
      <c r="AU2785" s="90">
        <v>86.412649999999999</v>
      </c>
      <c r="AV2785" s="90">
        <v>50.417767489867302</v>
      </c>
      <c r="AW2785" s="90">
        <v>70.822751059711095</v>
      </c>
      <c r="AX2785" s="90">
        <v>5.2382312399999999E-2</v>
      </c>
    </row>
    <row r="2786" spans="1:50" x14ac:dyDescent="0.25">
      <c r="A2786" s="102">
        <v>840000</v>
      </c>
      <c r="B2786" s="102">
        <v>2400000</v>
      </c>
      <c r="C2786" s="102">
        <v>2400000</v>
      </c>
      <c r="D2786" s="90" t="s">
        <v>374</v>
      </c>
      <c r="E2786" s="90" t="s">
        <v>68</v>
      </c>
      <c r="F2786" s="90" t="s">
        <v>375</v>
      </c>
      <c r="G2786" s="90" t="s">
        <v>376</v>
      </c>
      <c r="H2786" s="90">
        <v>0.59</v>
      </c>
      <c r="I2786" s="90">
        <v>0.64</v>
      </c>
      <c r="J2786" s="90" t="s">
        <v>381</v>
      </c>
      <c r="K2786" s="90">
        <v>3.9021607229999998E-5</v>
      </c>
      <c r="L2786" s="90">
        <v>3658.0058763699899</v>
      </c>
      <c r="M2786" s="90">
        <v>8.6960428537051406</v>
      </c>
      <c r="N2786" s="90">
        <v>1.42578221936369</v>
      </c>
      <c r="O2786" s="90">
        <v>3.3933356872000001E-4</v>
      </c>
      <c r="P2786" s="90">
        <v>5.5636313759999997E-5</v>
      </c>
      <c r="Q2786" s="90">
        <v>0.14274126856736999</v>
      </c>
      <c r="R2786" s="90">
        <v>1210</v>
      </c>
      <c r="S2786" s="90" t="s">
        <v>385</v>
      </c>
      <c r="T2786" s="90">
        <v>1210</v>
      </c>
      <c r="U2786" s="90" t="s">
        <v>382</v>
      </c>
      <c r="V2786" s="90" t="s">
        <v>381</v>
      </c>
      <c r="Z2786" s="90">
        <v>0</v>
      </c>
      <c r="AA2786" s="90">
        <v>1</v>
      </c>
      <c r="AB2786" s="90">
        <v>3.3933356872000001E-4</v>
      </c>
      <c r="AC2786" s="90">
        <v>5.5636313759999997E-5</v>
      </c>
      <c r="AD2786" s="90">
        <v>0.14274126856689001</v>
      </c>
      <c r="AF2786" s="90">
        <v>-1</v>
      </c>
      <c r="AG2786" s="90">
        <v>-1</v>
      </c>
      <c r="AH2786" s="90">
        <v>-1</v>
      </c>
      <c r="AI2786" s="90">
        <v>-1</v>
      </c>
      <c r="AJ2786" s="90">
        <v>0</v>
      </c>
      <c r="AM2786" s="90" t="s">
        <v>379</v>
      </c>
      <c r="AN2786" s="90">
        <v>-1</v>
      </c>
      <c r="AQ2786" s="90">
        <v>358</v>
      </c>
      <c r="AR2786" s="90" t="s">
        <v>422</v>
      </c>
      <c r="AS2786" s="90" t="s">
        <v>250</v>
      </c>
      <c r="AT2786" s="90" t="s">
        <v>244</v>
      </c>
      <c r="AU2786" s="90">
        <v>86.412649999999999</v>
      </c>
      <c r="AV2786" s="90">
        <v>7.6005578111713499</v>
      </c>
      <c r="AW2786" s="90">
        <v>0.15791484184674001</v>
      </c>
      <c r="AX2786" s="90">
        <v>1.157675E-4</v>
      </c>
    </row>
    <row r="2787" spans="1:50" x14ac:dyDescent="0.25">
      <c r="A2787" s="102">
        <v>840000</v>
      </c>
      <c r="B2787" s="102">
        <v>2400000</v>
      </c>
      <c r="C2787" s="102">
        <v>2400000</v>
      </c>
      <c r="D2787" s="90" t="s">
        <v>374</v>
      </c>
      <c r="E2787" s="90" t="s">
        <v>68</v>
      </c>
      <c r="F2787" s="90" t="s">
        <v>375</v>
      </c>
      <c r="G2787" s="90" t="s">
        <v>376</v>
      </c>
      <c r="H2787" s="90">
        <v>0.59</v>
      </c>
      <c r="I2787" s="90">
        <v>0.64</v>
      </c>
      <c r="J2787" s="90" t="s">
        <v>244</v>
      </c>
      <c r="K2787" s="90">
        <v>1.22049308569E-3</v>
      </c>
      <c r="L2787" s="90">
        <v>3773.8140038065098</v>
      </c>
      <c r="M2787" s="90">
        <v>9.4768971225364407</v>
      </c>
      <c r="N2787" s="90">
        <v>1.6345837971214201</v>
      </c>
      <c r="O2787" s="90">
        <v>1.1566487411900001E-2</v>
      </c>
      <c r="P2787" s="90">
        <v>1.99499822237E-3</v>
      </c>
      <c r="Q2787" s="90">
        <v>4.6059138983485903</v>
      </c>
      <c r="R2787" s="90">
        <v>1390</v>
      </c>
      <c r="S2787" s="90" t="s">
        <v>402</v>
      </c>
      <c r="T2787" s="90">
        <v>1390</v>
      </c>
      <c r="U2787" s="90" t="s">
        <v>378</v>
      </c>
      <c r="V2787" s="90" t="s">
        <v>244</v>
      </c>
      <c r="Z2787" s="90">
        <v>0</v>
      </c>
      <c r="AA2787" s="90">
        <v>1</v>
      </c>
      <c r="AB2787" s="90">
        <v>1.1566487411900001E-2</v>
      </c>
      <c r="AC2787" s="90">
        <v>1.99499822237E-3</v>
      </c>
      <c r="AD2787" s="90">
        <v>1093.2968259244799</v>
      </c>
      <c r="AF2787" s="90">
        <v>-1</v>
      </c>
      <c r="AG2787" s="90">
        <v>-1</v>
      </c>
      <c r="AH2787" s="90">
        <v>-1</v>
      </c>
      <c r="AI2787" s="90">
        <v>-1</v>
      </c>
      <c r="AJ2787" s="90">
        <v>0</v>
      </c>
      <c r="AM2787" s="90" t="s">
        <v>379</v>
      </c>
      <c r="AN2787" s="90">
        <v>-1</v>
      </c>
      <c r="AQ2787" s="90">
        <v>358</v>
      </c>
      <c r="AR2787" s="90" t="s">
        <v>422</v>
      </c>
      <c r="AS2787" s="90" t="s">
        <v>250</v>
      </c>
      <c r="AT2787" s="90" t="s">
        <v>244</v>
      </c>
      <c r="AU2787" s="90">
        <v>86.412649999999999</v>
      </c>
      <c r="AV2787" s="90">
        <v>14.6388123340853</v>
      </c>
      <c r="AW2787" s="90">
        <v>4.9391602823430301</v>
      </c>
      <c r="AX2787" s="90">
        <v>0.8866965336</v>
      </c>
    </row>
    <row r="2788" spans="1:50" x14ac:dyDescent="0.25">
      <c r="A2788" s="102">
        <v>840000</v>
      </c>
      <c r="B2788" s="102">
        <v>2400000</v>
      </c>
      <c r="C2788" s="102">
        <v>2400000</v>
      </c>
      <c r="D2788" s="90" t="s">
        <v>374</v>
      </c>
      <c r="E2788" s="90" t="s">
        <v>68</v>
      </c>
      <c r="F2788" s="90" t="s">
        <v>375</v>
      </c>
      <c r="G2788" s="90" t="s">
        <v>376</v>
      </c>
      <c r="H2788" s="90">
        <v>0.59</v>
      </c>
      <c r="I2788" s="90">
        <v>0.64</v>
      </c>
      <c r="J2788" s="90" t="s">
        <v>244</v>
      </c>
      <c r="K2788" s="90">
        <v>0.25983838916816998</v>
      </c>
      <c r="L2788" s="90">
        <v>3760.6698091599601</v>
      </c>
      <c r="M2788" s="90">
        <v>8.0017926262209595</v>
      </c>
      <c r="N2788" s="90">
        <v>1.17712454080462</v>
      </c>
      <c r="O2788" s="90">
        <v>2.07917290645499</v>
      </c>
      <c r="P2788" s="90">
        <v>0.30586214453298999</v>
      </c>
      <c r="Q2788" s="90">
        <v>977.16638540549297</v>
      </c>
      <c r="R2788" s="90">
        <v>1390</v>
      </c>
      <c r="S2788" s="90" t="s">
        <v>402</v>
      </c>
      <c r="T2788" s="90">
        <v>1390</v>
      </c>
      <c r="U2788" s="90" t="s">
        <v>378</v>
      </c>
      <c r="V2788" s="90" t="s">
        <v>244</v>
      </c>
      <c r="Z2788" s="90">
        <v>0</v>
      </c>
      <c r="AA2788" s="90">
        <v>1</v>
      </c>
      <c r="AB2788" s="90">
        <v>2.07917290645499</v>
      </c>
      <c r="AC2788" s="90">
        <v>0.30586214453298999</v>
      </c>
      <c r="AD2788" s="90">
        <v>982.10531030313598</v>
      </c>
      <c r="AF2788" s="90">
        <v>-1</v>
      </c>
      <c r="AG2788" s="90">
        <v>-1</v>
      </c>
      <c r="AH2788" s="90">
        <v>-1</v>
      </c>
      <c r="AI2788" s="90">
        <v>-1</v>
      </c>
      <c r="AJ2788" s="90">
        <v>0</v>
      </c>
      <c r="AM2788" s="90" t="s">
        <v>379</v>
      </c>
      <c r="AN2788" s="90">
        <v>-1</v>
      </c>
      <c r="AQ2788" s="90">
        <v>358</v>
      </c>
      <c r="AR2788" s="90" t="s">
        <v>422</v>
      </c>
      <c r="AS2788" s="90" t="s">
        <v>250</v>
      </c>
      <c r="AT2788" s="90" t="s">
        <v>244</v>
      </c>
      <c r="AU2788" s="90">
        <v>86.412649999999999</v>
      </c>
      <c r="AV2788" s="90">
        <v>141.518504170109</v>
      </c>
      <c r="AW2788" s="90">
        <v>1051.5286539912699</v>
      </c>
      <c r="AX2788" s="90">
        <v>0.79651687780000002</v>
      </c>
    </row>
    <row r="2789" spans="1:50" x14ac:dyDescent="0.25">
      <c r="A2789" s="102">
        <v>840000</v>
      </c>
      <c r="B2789" s="102">
        <v>2400000</v>
      </c>
      <c r="C2789" s="102">
        <v>2400000</v>
      </c>
      <c r="D2789" s="90" t="s">
        <v>374</v>
      </c>
      <c r="E2789" s="90" t="s">
        <v>68</v>
      </c>
      <c r="F2789" s="90" t="s">
        <v>375</v>
      </c>
      <c r="G2789" s="90" t="s">
        <v>376</v>
      </c>
      <c r="H2789" s="90">
        <v>0.59</v>
      </c>
      <c r="I2789" s="90">
        <v>0.64</v>
      </c>
      <c r="J2789" s="90" t="s">
        <v>244</v>
      </c>
      <c r="K2789" s="90">
        <v>8.2775576887269997E-2</v>
      </c>
      <c r="L2789" s="90">
        <v>3760.6698091599601</v>
      </c>
      <c r="M2789" s="90">
        <v>8.0017926262209595</v>
      </c>
      <c r="N2789" s="90">
        <v>1.17712454080462</v>
      </c>
      <c r="O2789" s="90">
        <v>0.66235300076781001</v>
      </c>
      <c r="P2789" s="90">
        <v>9.7437162933269997E-2</v>
      </c>
      <c r="Q2789" s="90">
        <v>311.29161293578898</v>
      </c>
      <c r="R2789" s="90">
        <v>1210</v>
      </c>
      <c r="S2789" s="90" t="s">
        <v>385</v>
      </c>
      <c r="T2789" s="90">
        <v>1210</v>
      </c>
      <c r="U2789" s="90" t="s">
        <v>378</v>
      </c>
      <c r="V2789" s="90" t="s">
        <v>244</v>
      </c>
      <c r="Z2789" s="90">
        <v>0</v>
      </c>
      <c r="AA2789" s="90">
        <v>1</v>
      </c>
      <c r="AB2789" s="90">
        <v>0.66235300076781001</v>
      </c>
      <c r="AC2789" s="90">
        <v>9.7437162933269997E-2</v>
      </c>
      <c r="AD2789" s="90">
        <v>316.42704579168998</v>
      </c>
      <c r="AF2789" s="90">
        <v>-1</v>
      </c>
      <c r="AG2789" s="90">
        <v>-1</v>
      </c>
      <c r="AH2789" s="90">
        <v>-1</v>
      </c>
      <c r="AI2789" s="90">
        <v>-1</v>
      </c>
      <c r="AJ2789" s="90">
        <v>0</v>
      </c>
      <c r="AM2789" s="90" t="s">
        <v>379</v>
      </c>
      <c r="AN2789" s="90">
        <v>-1</v>
      </c>
      <c r="AQ2789" s="90">
        <v>358</v>
      </c>
      <c r="AR2789" s="90" t="s">
        <v>422</v>
      </c>
      <c r="AS2789" s="90" t="s">
        <v>250</v>
      </c>
      <c r="AT2789" s="90" t="s">
        <v>244</v>
      </c>
      <c r="AU2789" s="90">
        <v>86.412649999999999</v>
      </c>
      <c r="AV2789" s="90">
        <v>79.939352327580494</v>
      </c>
      <c r="AW2789" s="90">
        <v>334.98087494414898</v>
      </c>
      <c r="AX2789" s="90">
        <v>0.25663182950000002</v>
      </c>
    </row>
    <row r="2790" spans="1:50" x14ac:dyDescent="0.25">
      <c r="A2790" s="102">
        <v>840000</v>
      </c>
      <c r="B2790" s="102">
        <v>2400000</v>
      </c>
      <c r="C2790" s="102">
        <v>2400000</v>
      </c>
      <c r="D2790" s="90" t="s">
        <v>374</v>
      </c>
      <c r="E2790" s="90" t="s">
        <v>68</v>
      </c>
      <c r="F2790" s="90" t="s">
        <v>375</v>
      </c>
      <c r="G2790" s="90" t="s">
        <v>376</v>
      </c>
      <c r="H2790" s="90">
        <v>0.59</v>
      </c>
      <c r="I2790" s="90">
        <v>0.64</v>
      </c>
      <c r="J2790" s="90" t="s">
        <v>244</v>
      </c>
      <c r="K2790" s="90">
        <v>9.6452791200880003E-2</v>
      </c>
      <c r="L2790" s="90">
        <v>3760.6698091599601</v>
      </c>
      <c r="M2790" s="90">
        <v>8.0017926262209595</v>
      </c>
      <c r="N2790" s="90">
        <v>1.17712454080462</v>
      </c>
      <c r="O2790" s="90">
        <v>0.77179523340968004</v>
      </c>
      <c r="P2790" s="90">
        <v>0.11353694755165999</v>
      </c>
      <c r="Q2790" s="90">
        <v>362.72709987838101</v>
      </c>
      <c r="R2790" s="90">
        <v>1210</v>
      </c>
      <c r="S2790" s="90" t="s">
        <v>385</v>
      </c>
      <c r="T2790" s="90">
        <v>1210</v>
      </c>
      <c r="U2790" s="90" t="s">
        <v>378</v>
      </c>
      <c r="V2790" s="90" t="s">
        <v>244</v>
      </c>
      <c r="Z2790" s="90">
        <v>0</v>
      </c>
      <c r="AA2790" s="90">
        <v>1</v>
      </c>
      <c r="AB2790" s="90">
        <v>0.77179523340968004</v>
      </c>
      <c r="AC2790" s="90">
        <v>0.11353694755165999</v>
      </c>
      <c r="AD2790" s="90">
        <v>362.72709987837999</v>
      </c>
      <c r="AF2790" s="90">
        <v>-1</v>
      </c>
      <c r="AG2790" s="90">
        <v>-1</v>
      </c>
      <c r="AH2790" s="90">
        <v>-1</v>
      </c>
      <c r="AI2790" s="90">
        <v>-1</v>
      </c>
      <c r="AJ2790" s="90">
        <v>0</v>
      </c>
      <c r="AM2790" s="90" t="s">
        <v>379</v>
      </c>
      <c r="AN2790" s="90">
        <v>-1</v>
      </c>
      <c r="AQ2790" s="90">
        <v>358</v>
      </c>
      <c r="AR2790" s="90" t="s">
        <v>422</v>
      </c>
      <c r="AS2790" s="90" t="s">
        <v>250</v>
      </c>
      <c r="AT2790" s="90" t="s">
        <v>244</v>
      </c>
      <c r="AU2790" s="90">
        <v>86.412649999999999</v>
      </c>
      <c r="AV2790" s="90">
        <v>91.129057757851101</v>
      </c>
      <c r="AW2790" s="90">
        <v>390.33059752971002</v>
      </c>
      <c r="AX2790" s="90">
        <v>0.29418256279999999</v>
      </c>
    </row>
    <row r="2791" spans="1:50" x14ac:dyDescent="0.25">
      <c r="A2791" s="102">
        <v>840000</v>
      </c>
      <c r="B2791" s="102">
        <v>2400000</v>
      </c>
      <c r="C2791" s="102">
        <v>2400000</v>
      </c>
      <c r="D2791" s="90" t="s">
        <v>374</v>
      </c>
      <c r="E2791" s="90" t="s">
        <v>68</v>
      </c>
      <c r="F2791" s="90" t="s">
        <v>375</v>
      </c>
      <c r="G2791" s="90" t="s">
        <v>376</v>
      </c>
      <c r="H2791" s="90">
        <v>0.59</v>
      </c>
      <c r="I2791" s="90">
        <v>0.64</v>
      </c>
      <c r="J2791" s="90" t="s">
        <v>244</v>
      </c>
      <c r="K2791" s="90">
        <v>0.10008027850421</v>
      </c>
      <c r="L2791" s="90">
        <v>3760.6698091599601</v>
      </c>
      <c r="M2791" s="90">
        <v>8.0017926262209595</v>
      </c>
      <c r="N2791" s="90">
        <v>1.17712454080462</v>
      </c>
      <c r="O2791" s="90">
        <v>0.80082163456513999</v>
      </c>
      <c r="P2791" s="90">
        <v>0.11780695187787001</v>
      </c>
      <c r="Q2791" s="90">
        <v>376.36888186311</v>
      </c>
      <c r="R2791" s="90">
        <v>1210</v>
      </c>
      <c r="S2791" s="90" t="s">
        <v>385</v>
      </c>
      <c r="T2791" s="90">
        <v>1210</v>
      </c>
      <c r="U2791" s="90" t="s">
        <v>378</v>
      </c>
      <c r="V2791" s="90" t="s">
        <v>244</v>
      </c>
      <c r="Z2791" s="90">
        <v>0</v>
      </c>
      <c r="AA2791" s="90">
        <v>1</v>
      </c>
      <c r="AB2791" s="90">
        <v>0.80082163456513999</v>
      </c>
      <c r="AC2791" s="90">
        <v>0.11780695187787001</v>
      </c>
      <c r="AD2791" s="90">
        <v>376.36888186311</v>
      </c>
      <c r="AF2791" s="90">
        <v>-1</v>
      </c>
      <c r="AG2791" s="90">
        <v>-1</v>
      </c>
      <c r="AH2791" s="90">
        <v>-1</v>
      </c>
      <c r="AI2791" s="90">
        <v>-1</v>
      </c>
      <c r="AJ2791" s="90">
        <v>0</v>
      </c>
      <c r="AM2791" s="90" t="s">
        <v>379</v>
      </c>
      <c r="AN2791" s="90">
        <v>-1</v>
      </c>
      <c r="AQ2791" s="90">
        <v>358</v>
      </c>
      <c r="AR2791" s="90" t="s">
        <v>422</v>
      </c>
      <c r="AS2791" s="90" t="s">
        <v>250</v>
      </c>
      <c r="AT2791" s="90" t="s">
        <v>244</v>
      </c>
      <c r="AU2791" s="90">
        <v>86.412649999999999</v>
      </c>
      <c r="AV2791" s="90">
        <v>92.075878430393999</v>
      </c>
      <c r="AW2791" s="90">
        <v>405.01051782034898</v>
      </c>
      <c r="AX2791" s="90">
        <v>0.3052464573</v>
      </c>
    </row>
    <row r="2792" spans="1:50" x14ac:dyDescent="0.25">
      <c r="A2792" s="102">
        <v>840000</v>
      </c>
      <c r="B2792" s="102">
        <v>2400000</v>
      </c>
      <c r="C2792" s="102">
        <v>2400000</v>
      </c>
      <c r="D2792" s="90" t="s">
        <v>374</v>
      </c>
      <c r="E2792" s="90" t="s">
        <v>68</v>
      </c>
      <c r="F2792" s="90" t="s">
        <v>375</v>
      </c>
      <c r="G2792" s="90" t="s">
        <v>376</v>
      </c>
      <c r="H2792" s="90">
        <v>0.59</v>
      </c>
      <c r="I2792" s="90">
        <v>0.64</v>
      </c>
      <c r="J2792" s="90" t="s">
        <v>244</v>
      </c>
      <c r="K2792" s="90">
        <v>7.5937544726479997E-2</v>
      </c>
      <c r="L2792" s="90">
        <v>3760.6698091599601</v>
      </c>
      <c r="M2792" s="90">
        <v>8.0017926262209595</v>
      </c>
      <c r="N2792" s="90">
        <v>1.17712454080462</v>
      </c>
      <c r="O2792" s="90">
        <v>0.60763648544572002</v>
      </c>
      <c r="P2792" s="90">
        <v>8.9387947465990006E-2</v>
      </c>
      <c r="Q2792" s="90">
        <v>285.57603183463402</v>
      </c>
      <c r="R2792" s="90">
        <v>1210</v>
      </c>
      <c r="S2792" s="90" t="s">
        <v>385</v>
      </c>
      <c r="T2792" s="90">
        <v>1210</v>
      </c>
      <c r="U2792" s="90" t="s">
        <v>378</v>
      </c>
      <c r="V2792" s="90" t="s">
        <v>244</v>
      </c>
      <c r="Z2792" s="90">
        <v>0</v>
      </c>
      <c r="AA2792" s="90">
        <v>1</v>
      </c>
      <c r="AB2792" s="90">
        <v>0.60763648544572002</v>
      </c>
      <c r="AC2792" s="90">
        <v>8.9387947465990006E-2</v>
      </c>
      <c r="AD2792" s="90">
        <v>285.57603183463402</v>
      </c>
      <c r="AF2792" s="90">
        <v>-1</v>
      </c>
      <c r="AG2792" s="90">
        <v>-1</v>
      </c>
      <c r="AH2792" s="90">
        <v>-1</v>
      </c>
      <c r="AI2792" s="90">
        <v>-1</v>
      </c>
      <c r="AJ2792" s="90">
        <v>0</v>
      </c>
      <c r="AM2792" s="90" t="s">
        <v>379</v>
      </c>
      <c r="AN2792" s="90">
        <v>-1</v>
      </c>
      <c r="AQ2792" s="90">
        <v>358</v>
      </c>
      <c r="AR2792" s="90" t="s">
        <v>422</v>
      </c>
      <c r="AS2792" s="90" t="s">
        <v>250</v>
      </c>
      <c r="AT2792" s="90" t="s">
        <v>244</v>
      </c>
      <c r="AU2792" s="90">
        <v>86.412649999999999</v>
      </c>
      <c r="AV2792" s="90">
        <v>84.938198143385094</v>
      </c>
      <c r="AW2792" s="90">
        <v>307.308340577671</v>
      </c>
      <c r="AX2792" s="90">
        <v>0.23161073139999999</v>
      </c>
    </row>
    <row r="2793" spans="1:50" x14ac:dyDescent="0.25">
      <c r="A2793" s="102">
        <v>840000</v>
      </c>
      <c r="B2793" s="102">
        <v>2400000</v>
      </c>
      <c r="C2793" s="102">
        <v>2400000</v>
      </c>
      <c r="D2793" s="90" t="s">
        <v>374</v>
      </c>
      <c r="E2793" s="90" t="s">
        <v>68</v>
      </c>
      <c r="F2793" s="90" t="s">
        <v>375</v>
      </c>
      <c r="G2793" s="90" t="s">
        <v>376</v>
      </c>
      <c r="H2793" s="90">
        <v>0.59</v>
      </c>
      <c r="I2793" s="90">
        <v>0.64</v>
      </c>
      <c r="J2793" s="90" t="s">
        <v>244</v>
      </c>
      <c r="K2793" s="90">
        <v>0.18268681012308999</v>
      </c>
      <c r="L2793" s="90">
        <v>3629.7692340633598</v>
      </c>
      <c r="M2793" s="90">
        <v>8.6519783792635891</v>
      </c>
      <c r="N2793" s="90">
        <v>1.4197397070881399</v>
      </c>
      <c r="O2793" s="90">
        <v>1.58060233136165</v>
      </c>
      <c r="P2793" s="90">
        <v>0.25936771829303001</v>
      </c>
      <c r="Q2793" s="90">
        <v>663.11096285398503</v>
      </c>
      <c r="R2793" s="90">
        <v>1300</v>
      </c>
      <c r="S2793" s="90" t="s">
        <v>387</v>
      </c>
      <c r="T2793" s="90">
        <v>1300</v>
      </c>
      <c r="U2793" s="90" t="s">
        <v>378</v>
      </c>
      <c r="V2793" s="90" t="s">
        <v>244</v>
      </c>
      <c r="Z2793" s="90">
        <v>0</v>
      </c>
      <c r="AA2793" s="90">
        <v>1</v>
      </c>
      <c r="AB2793" s="90">
        <v>1.58060233136165</v>
      </c>
      <c r="AC2793" s="90">
        <v>0.25936771829303001</v>
      </c>
      <c r="AD2793" s="90">
        <v>663.11096285398503</v>
      </c>
      <c r="AF2793" s="90">
        <v>-1</v>
      </c>
      <c r="AG2793" s="90">
        <v>-1</v>
      </c>
      <c r="AH2793" s="90">
        <v>-1</v>
      </c>
      <c r="AI2793" s="90">
        <v>-1</v>
      </c>
      <c r="AJ2793" s="90">
        <v>0</v>
      </c>
      <c r="AM2793" s="90" t="s">
        <v>379</v>
      </c>
      <c r="AN2793" s="90">
        <v>-1</v>
      </c>
      <c r="AQ2793" s="90">
        <v>358</v>
      </c>
      <c r="AR2793" s="90" t="s">
        <v>422</v>
      </c>
      <c r="AS2793" s="90" t="s">
        <v>250</v>
      </c>
      <c r="AT2793" s="90" t="s">
        <v>244</v>
      </c>
      <c r="AU2793" s="90">
        <v>86.412649999999999</v>
      </c>
      <c r="AV2793" s="90">
        <v>129.618603245451</v>
      </c>
      <c r="AW2793" s="90">
        <v>739.30729083441599</v>
      </c>
      <c r="AX2793" s="90">
        <v>0.5378028896</v>
      </c>
    </row>
    <row r="2794" spans="1:50" x14ac:dyDescent="0.25">
      <c r="A2794" s="102">
        <v>840000</v>
      </c>
      <c r="B2794" s="102">
        <v>2400000</v>
      </c>
      <c r="C2794" s="102">
        <v>2400000</v>
      </c>
      <c r="D2794" s="90" t="s">
        <v>374</v>
      </c>
      <c r="E2794" s="90" t="s">
        <v>68</v>
      </c>
      <c r="F2794" s="90" t="s">
        <v>375</v>
      </c>
      <c r="G2794" s="90" t="s">
        <v>376</v>
      </c>
      <c r="H2794" s="90">
        <v>0.59</v>
      </c>
      <c r="I2794" s="90">
        <v>0.64</v>
      </c>
      <c r="J2794" s="90" t="s">
        <v>381</v>
      </c>
      <c r="K2794" s="90">
        <v>3.7820955479999998E-5</v>
      </c>
      <c r="L2794" s="90">
        <v>3629.7692340633598</v>
      </c>
      <c r="M2794" s="90">
        <v>8.6519783792635891</v>
      </c>
      <c r="N2794" s="90">
        <v>1.4197397070881399</v>
      </c>
      <c r="O2794" s="90">
        <v>3.2722608908999999E-4</v>
      </c>
      <c r="P2794" s="90">
        <v>5.3695912250000001E-5</v>
      </c>
      <c r="Q2794" s="90">
        <v>0.13728134060418001</v>
      </c>
      <c r="R2794" s="90">
        <v>1300</v>
      </c>
      <c r="S2794" s="90" t="s">
        <v>387</v>
      </c>
      <c r="T2794" s="90">
        <v>1300</v>
      </c>
      <c r="U2794" s="90" t="s">
        <v>382</v>
      </c>
      <c r="V2794" s="90" t="s">
        <v>381</v>
      </c>
      <c r="Z2794" s="90">
        <v>0</v>
      </c>
      <c r="AA2794" s="90">
        <v>1</v>
      </c>
      <c r="AB2794" s="90">
        <v>3.2722608908999999E-4</v>
      </c>
      <c r="AC2794" s="90">
        <v>5.3695912250000001E-5</v>
      </c>
      <c r="AD2794" s="90">
        <v>0.13728134060552</v>
      </c>
      <c r="AF2794" s="90">
        <v>-1</v>
      </c>
      <c r="AG2794" s="90">
        <v>-1</v>
      </c>
      <c r="AH2794" s="90">
        <v>-1</v>
      </c>
      <c r="AI2794" s="90">
        <v>-1</v>
      </c>
      <c r="AJ2794" s="90">
        <v>0</v>
      </c>
      <c r="AM2794" s="90" t="s">
        <v>379</v>
      </c>
      <c r="AN2794" s="90">
        <v>-1</v>
      </c>
      <c r="AQ2794" s="90">
        <v>358</v>
      </c>
      <c r="AR2794" s="90" t="s">
        <v>422</v>
      </c>
      <c r="AS2794" s="90" t="s">
        <v>250</v>
      </c>
      <c r="AT2794" s="90" t="s">
        <v>244</v>
      </c>
      <c r="AU2794" s="90">
        <v>86.412649999999999</v>
      </c>
      <c r="AV2794" s="90">
        <v>11.913770304243601</v>
      </c>
      <c r="AW2794" s="90">
        <v>0.15305597658702999</v>
      </c>
      <c r="AX2794" s="90">
        <v>1.1133930000000001E-4</v>
      </c>
    </row>
    <row r="2795" spans="1:50" x14ac:dyDescent="0.25">
      <c r="A2795" s="102">
        <v>840000</v>
      </c>
      <c r="B2795" s="102">
        <v>2400000</v>
      </c>
      <c r="C2795" s="102">
        <v>2400000</v>
      </c>
      <c r="D2795" s="90" t="s">
        <v>374</v>
      </c>
      <c r="E2795" s="90" t="s">
        <v>68</v>
      </c>
      <c r="F2795" s="90" t="s">
        <v>375</v>
      </c>
      <c r="G2795" s="90" t="s">
        <v>376</v>
      </c>
      <c r="H2795" s="90">
        <v>0.59</v>
      </c>
      <c r="I2795" s="90">
        <v>0.64</v>
      </c>
      <c r="J2795" s="90" t="s">
        <v>389</v>
      </c>
      <c r="K2795" s="90">
        <v>8.8740245001010007E-2</v>
      </c>
      <c r="L2795" s="90">
        <v>3629.7692340633598</v>
      </c>
      <c r="M2795" s="90">
        <v>8.6519783792635891</v>
      </c>
      <c r="N2795" s="90">
        <v>1.4197397070881399</v>
      </c>
      <c r="O2795" s="90">
        <v>0.76777868111935998</v>
      </c>
      <c r="P2795" s="90">
        <v>0.12598804944467001</v>
      </c>
      <c r="Q2795" s="90">
        <v>322.10661112794003</v>
      </c>
      <c r="R2795" s="90">
        <v>4340</v>
      </c>
      <c r="S2795" s="90" t="s">
        <v>404</v>
      </c>
      <c r="T2795" s="90">
        <v>4340</v>
      </c>
      <c r="U2795" s="90" t="s">
        <v>378</v>
      </c>
      <c r="V2795" s="90" t="s">
        <v>244</v>
      </c>
      <c r="Y2795" s="90" t="s">
        <v>389</v>
      </c>
      <c r="Z2795" s="90">
        <v>0</v>
      </c>
      <c r="AA2795" s="90">
        <v>1</v>
      </c>
      <c r="AB2795" s="90">
        <v>0.76777868111935998</v>
      </c>
      <c r="AC2795" s="90">
        <v>0.12598804944467001</v>
      </c>
      <c r="AD2795" s="90">
        <v>322.10661112793798</v>
      </c>
      <c r="AF2795" s="90">
        <v>-1</v>
      </c>
      <c r="AG2795" s="90">
        <v>-1</v>
      </c>
      <c r="AH2795" s="90">
        <v>-1</v>
      </c>
      <c r="AI2795" s="90">
        <v>-1</v>
      </c>
      <c r="AJ2795" s="90">
        <v>0</v>
      </c>
      <c r="AM2795" s="90" t="s">
        <v>379</v>
      </c>
      <c r="AN2795" s="90">
        <v>-1</v>
      </c>
      <c r="AQ2795" s="90">
        <v>358</v>
      </c>
      <c r="AR2795" s="90" t="s">
        <v>422</v>
      </c>
      <c r="AS2795" s="90" t="s">
        <v>250</v>
      </c>
      <c r="AT2795" s="90" t="s">
        <v>244</v>
      </c>
      <c r="AU2795" s="90">
        <v>86.412649999999999</v>
      </c>
      <c r="AV2795" s="90">
        <v>114.44398532104</v>
      </c>
      <c r="AW2795" s="90">
        <v>359.11903040771699</v>
      </c>
      <c r="AX2795" s="90">
        <v>0.26123812740000002</v>
      </c>
    </row>
    <row r="2796" spans="1:50" x14ac:dyDescent="0.25">
      <c r="A2796" s="102">
        <v>840000</v>
      </c>
      <c r="B2796" s="102">
        <v>2400000</v>
      </c>
      <c r="C2796" s="102">
        <v>2400000</v>
      </c>
      <c r="D2796" s="90" t="s">
        <v>374</v>
      </c>
      <c r="E2796" s="90" t="s">
        <v>68</v>
      </c>
      <c r="F2796" s="90" t="s">
        <v>375</v>
      </c>
      <c r="G2796" s="90" t="s">
        <v>376</v>
      </c>
      <c r="H2796" s="90">
        <v>0.59</v>
      </c>
      <c r="I2796" s="90">
        <v>0.64</v>
      </c>
      <c r="J2796" s="90" t="s">
        <v>244</v>
      </c>
      <c r="K2796" s="90">
        <v>2.108494693024E-2</v>
      </c>
      <c r="L2796" s="90">
        <v>3629.7692340633598</v>
      </c>
      <c r="M2796" s="90">
        <v>8.6519783792635891</v>
      </c>
      <c r="N2796" s="90">
        <v>1.4197397070881399</v>
      </c>
      <c r="O2796" s="90">
        <v>0.18242650496839</v>
      </c>
      <c r="P2796" s="90">
        <v>2.9935136378709998E-2</v>
      </c>
      <c r="Q2796" s="90">
        <v>76.533491669258296</v>
      </c>
      <c r="R2796" s="90">
        <v>1200</v>
      </c>
      <c r="S2796" s="90" t="s">
        <v>384</v>
      </c>
      <c r="T2796" s="90">
        <v>1200</v>
      </c>
      <c r="U2796" s="90" t="s">
        <v>378</v>
      </c>
      <c r="V2796" s="90" t="s">
        <v>244</v>
      </c>
      <c r="Z2796" s="90">
        <v>0</v>
      </c>
      <c r="AA2796" s="90">
        <v>1</v>
      </c>
      <c r="AB2796" s="90">
        <v>0.18242650496839</v>
      </c>
      <c r="AC2796" s="90">
        <v>2.9935136378709998E-2</v>
      </c>
      <c r="AD2796" s="90">
        <v>76.533491669259007</v>
      </c>
      <c r="AF2796" s="90">
        <v>-1</v>
      </c>
      <c r="AG2796" s="90">
        <v>-1</v>
      </c>
      <c r="AH2796" s="90">
        <v>-1</v>
      </c>
      <c r="AI2796" s="90">
        <v>-1</v>
      </c>
      <c r="AJ2796" s="90">
        <v>0</v>
      </c>
      <c r="AM2796" s="90" t="s">
        <v>379</v>
      </c>
      <c r="AN2796" s="90">
        <v>-1</v>
      </c>
      <c r="AQ2796" s="90">
        <v>358</v>
      </c>
      <c r="AR2796" s="90" t="s">
        <v>422</v>
      </c>
      <c r="AS2796" s="90" t="s">
        <v>250</v>
      </c>
      <c r="AT2796" s="90" t="s">
        <v>244</v>
      </c>
      <c r="AU2796" s="90">
        <v>86.412649999999999</v>
      </c>
      <c r="AV2796" s="90">
        <v>103.471937325681</v>
      </c>
      <c r="AW2796" s="90">
        <v>85.327752900621803</v>
      </c>
      <c r="AX2796" s="90">
        <v>6.2070958400000001E-2</v>
      </c>
    </row>
    <row r="2797" spans="1:50" x14ac:dyDescent="0.25">
      <c r="A2797" s="102">
        <v>840000</v>
      </c>
      <c r="B2797" s="102">
        <v>2400000</v>
      </c>
      <c r="C2797" s="102">
        <v>2400000</v>
      </c>
      <c r="D2797" s="90" t="s">
        <v>374</v>
      </c>
      <c r="E2797" s="90" t="s">
        <v>68</v>
      </c>
      <c r="F2797" s="90" t="s">
        <v>375</v>
      </c>
      <c r="G2797" s="90" t="s">
        <v>376</v>
      </c>
      <c r="H2797" s="90">
        <v>0.59</v>
      </c>
      <c r="I2797" s="90">
        <v>0.64</v>
      </c>
      <c r="J2797" s="90" t="s">
        <v>244</v>
      </c>
      <c r="K2797" s="90">
        <v>4.2632789570839998E-2</v>
      </c>
      <c r="L2797" s="90">
        <v>3629.7692340633598</v>
      </c>
      <c r="M2797" s="90">
        <v>8.6519783792635891</v>
      </c>
      <c r="N2797" s="90">
        <v>1.4197397070881399</v>
      </c>
      <c r="O2797" s="90">
        <v>0.36885797361467998</v>
      </c>
      <c r="P2797" s="90">
        <v>6.0527464177660001E-2</v>
      </c>
      <c r="Q2797" s="90">
        <v>154.747187946564</v>
      </c>
      <c r="R2797" s="90">
        <v>1210</v>
      </c>
      <c r="S2797" s="90" t="s">
        <v>385</v>
      </c>
      <c r="T2797" s="90">
        <v>1210</v>
      </c>
      <c r="U2797" s="90" t="s">
        <v>378</v>
      </c>
      <c r="V2797" s="90" t="s">
        <v>244</v>
      </c>
      <c r="Z2797" s="90">
        <v>0</v>
      </c>
      <c r="AA2797" s="90">
        <v>1</v>
      </c>
      <c r="AB2797" s="90">
        <v>0.36885797361467998</v>
      </c>
      <c r="AC2797" s="90">
        <v>6.0527464177660001E-2</v>
      </c>
      <c r="AD2797" s="90">
        <v>154.74718794656599</v>
      </c>
      <c r="AF2797" s="90">
        <v>-1</v>
      </c>
      <c r="AG2797" s="90">
        <v>-1</v>
      </c>
      <c r="AH2797" s="90">
        <v>-1</v>
      </c>
      <c r="AI2797" s="90">
        <v>-1</v>
      </c>
      <c r="AJ2797" s="90">
        <v>0</v>
      </c>
      <c r="AM2797" s="90" t="s">
        <v>379</v>
      </c>
      <c r="AN2797" s="90">
        <v>-1</v>
      </c>
      <c r="AQ2797" s="90">
        <v>358</v>
      </c>
      <c r="AR2797" s="90" t="s">
        <v>422</v>
      </c>
      <c r="AS2797" s="90" t="s">
        <v>250</v>
      </c>
      <c r="AT2797" s="90" t="s">
        <v>244</v>
      </c>
      <c r="AU2797" s="90">
        <v>86.412649999999999</v>
      </c>
      <c r="AV2797" s="90">
        <v>75.038447177119494</v>
      </c>
      <c r="AW2797" s="90">
        <v>172.52877827961899</v>
      </c>
      <c r="AX2797" s="90">
        <v>0.1255046131</v>
      </c>
    </row>
    <row r="2798" spans="1:50" x14ac:dyDescent="0.25">
      <c r="A2798" s="102">
        <v>840000</v>
      </c>
      <c r="B2798" s="102">
        <v>2400000</v>
      </c>
      <c r="C2798" s="102">
        <v>2400000</v>
      </c>
      <c r="D2798" s="90" t="s">
        <v>374</v>
      </c>
      <c r="E2798" s="90" t="s">
        <v>68</v>
      </c>
      <c r="F2798" s="90" t="s">
        <v>375</v>
      </c>
      <c r="G2798" s="90" t="s">
        <v>376</v>
      </c>
      <c r="H2798" s="90">
        <v>0.59</v>
      </c>
      <c r="I2798" s="90">
        <v>0.64</v>
      </c>
      <c r="J2798" s="90" t="s">
        <v>381</v>
      </c>
      <c r="K2798" s="90">
        <v>1.2192862243E-4</v>
      </c>
      <c r="L2798" s="90">
        <v>3629.7692340633598</v>
      </c>
      <c r="M2798" s="90">
        <v>8.6519783792635891</v>
      </c>
      <c r="N2798" s="90">
        <v>1.4197397070881399</v>
      </c>
      <c r="O2798" s="90">
        <v>1.05492380507E-3</v>
      </c>
      <c r="P2798" s="90">
        <v>1.7310690669000001E-4</v>
      </c>
      <c r="Q2798" s="90">
        <v>0.44257276244813998</v>
      </c>
      <c r="R2798" s="90">
        <v>1210</v>
      </c>
      <c r="S2798" s="90" t="s">
        <v>385</v>
      </c>
      <c r="T2798" s="90">
        <v>1210</v>
      </c>
      <c r="U2798" s="90" t="s">
        <v>382</v>
      </c>
      <c r="V2798" s="90" t="s">
        <v>381</v>
      </c>
      <c r="Z2798" s="90">
        <v>0</v>
      </c>
      <c r="AA2798" s="90">
        <v>1</v>
      </c>
      <c r="AB2798" s="90">
        <v>1.05492380507E-3</v>
      </c>
      <c r="AC2798" s="90">
        <v>1.7310690669000001E-4</v>
      </c>
      <c r="AD2798" s="90">
        <v>0.44257276244693</v>
      </c>
      <c r="AF2798" s="90">
        <v>-1</v>
      </c>
      <c r="AG2798" s="90">
        <v>-1</v>
      </c>
      <c r="AH2798" s="90">
        <v>-1</v>
      </c>
      <c r="AI2798" s="90">
        <v>-1</v>
      </c>
      <c r="AJ2798" s="90">
        <v>0</v>
      </c>
      <c r="AM2798" s="90" t="s">
        <v>379</v>
      </c>
      <c r="AN2798" s="90">
        <v>-1</v>
      </c>
      <c r="AQ2798" s="90">
        <v>358</v>
      </c>
      <c r="AR2798" s="90" t="s">
        <v>422</v>
      </c>
      <c r="AS2798" s="90" t="s">
        <v>250</v>
      </c>
      <c r="AT2798" s="90" t="s">
        <v>244</v>
      </c>
      <c r="AU2798" s="90">
        <v>86.412649999999999</v>
      </c>
      <c r="AV2798" s="90">
        <v>20.479402687750699</v>
      </c>
      <c r="AW2798" s="90">
        <v>0.49342762875388002</v>
      </c>
      <c r="AX2798" s="90">
        <v>3.5893980000000002E-4</v>
      </c>
    </row>
    <row r="2799" spans="1:50" x14ac:dyDescent="0.25">
      <c r="A2799" s="102">
        <v>840000</v>
      </c>
      <c r="B2799" s="102">
        <v>2400000</v>
      </c>
      <c r="C2799" s="102">
        <v>2400000</v>
      </c>
      <c r="D2799" s="90" t="s">
        <v>374</v>
      </c>
      <c r="E2799" s="90" t="s">
        <v>68</v>
      </c>
      <c r="F2799" s="90" t="s">
        <v>375</v>
      </c>
      <c r="G2799" s="90" t="s">
        <v>376</v>
      </c>
      <c r="H2799" s="90">
        <v>0.59</v>
      </c>
      <c r="I2799" s="90">
        <v>0.64</v>
      </c>
      <c r="J2799" s="90" t="s">
        <v>244</v>
      </c>
      <c r="K2799" s="90">
        <v>5.8610665719469997E-2</v>
      </c>
      <c r="L2799" s="90">
        <v>3629.7692340633598</v>
      </c>
      <c r="M2799" s="90">
        <v>8.6519783792635891</v>
      </c>
      <c r="N2799" s="90">
        <v>1.4197397070881399</v>
      </c>
      <c r="O2799" s="90">
        <v>0.50709821259912002</v>
      </c>
      <c r="P2799" s="90">
        <v>8.32118893808E-2</v>
      </c>
      <c r="Q2799" s="90">
        <v>212.74319121651499</v>
      </c>
      <c r="R2799" s="90">
        <v>1210</v>
      </c>
      <c r="S2799" s="90" t="s">
        <v>385</v>
      </c>
      <c r="T2799" s="90">
        <v>1210</v>
      </c>
      <c r="U2799" s="90" t="s">
        <v>378</v>
      </c>
      <c r="V2799" s="90" t="s">
        <v>244</v>
      </c>
      <c r="Z2799" s="90">
        <v>0</v>
      </c>
      <c r="AA2799" s="90">
        <v>1</v>
      </c>
      <c r="AB2799" s="90">
        <v>0.50709821259912002</v>
      </c>
      <c r="AC2799" s="90">
        <v>8.32118893808E-2</v>
      </c>
      <c r="AD2799" s="90">
        <v>212.74319121651399</v>
      </c>
      <c r="AF2799" s="90">
        <v>-1</v>
      </c>
      <c r="AG2799" s="90">
        <v>-1</v>
      </c>
      <c r="AH2799" s="90">
        <v>-1</v>
      </c>
      <c r="AI2799" s="90">
        <v>-1</v>
      </c>
      <c r="AJ2799" s="90">
        <v>0</v>
      </c>
      <c r="AM2799" s="90" t="s">
        <v>379</v>
      </c>
      <c r="AN2799" s="90">
        <v>-1</v>
      </c>
      <c r="AQ2799" s="90">
        <v>358</v>
      </c>
      <c r="AR2799" s="90" t="s">
        <v>422</v>
      </c>
      <c r="AS2799" s="90" t="s">
        <v>250</v>
      </c>
      <c r="AT2799" s="90" t="s">
        <v>244</v>
      </c>
      <c r="AU2799" s="90">
        <v>86.412649999999999</v>
      </c>
      <c r="AV2799" s="90">
        <v>89.812799027060294</v>
      </c>
      <c r="AW2799" s="90">
        <v>237.188948987987</v>
      </c>
      <c r="AX2799" s="90">
        <v>0.1725411121</v>
      </c>
    </row>
    <row r="2800" spans="1:50" x14ac:dyDescent="0.25">
      <c r="A2800" s="102">
        <v>840000</v>
      </c>
      <c r="B2800" s="102">
        <v>2400000</v>
      </c>
      <c r="C2800" s="102">
        <v>2400000</v>
      </c>
      <c r="D2800" s="90" t="s">
        <v>374</v>
      </c>
      <c r="E2800" s="90" t="s">
        <v>68</v>
      </c>
      <c r="F2800" s="90" t="s">
        <v>375</v>
      </c>
      <c r="G2800" s="90" t="s">
        <v>376</v>
      </c>
      <c r="H2800" s="90">
        <v>0.59</v>
      </c>
      <c r="I2800" s="90">
        <v>0.64</v>
      </c>
      <c r="J2800" s="90" t="s">
        <v>381</v>
      </c>
      <c r="K2800" s="90">
        <v>2.0505849931999999E-4</v>
      </c>
      <c r="L2800" s="90">
        <v>3629.7692340633598</v>
      </c>
      <c r="M2800" s="90">
        <v>8.6519783792635891</v>
      </c>
      <c r="N2800" s="90">
        <v>1.4197397070881399</v>
      </c>
      <c r="O2800" s="90">
        <v>1.77416170265E-3</v>
      </c>
      <c r="P2800" s="90">
        <v>2.9112969376000002E-4</v>
      </c>
      <c r="Q2800" s="90">
        <v>0.74431503203671001</v>
      </c>
      <c r="R2800" s="90">
        <v>1210</v>
      </c>
      <c r="S2800" s="90" t="s">
        <v>385</v>
      </c>
      <c r="T2800" s="90">
        <v>1210</v>
      </c>
      <c r="U2800" s="90" t="s">
        <v>382</v>
      </c>
      <c r="V2800" s="90" t="s">
        <v>381</v>
      </c>
      <c r="Z2800" s="90">
        <v>0</v>
      </c>
      <c r="AA2800" s="90">
        <v>1</v>
      </c>
      <c r="AB2800" s="90">
        <v>1.77416170265E-3</v>
      </c>
      <c r="AC2800" s="90">
        <v>2.9112969376000002E-4</v>
      </c>
      <c r="AD2800" s="90">
        <v>0.74431503203836002</v>
      </c>
      <c r="AF2800" s="90">
        <v>-1</v>
      </c>
      <c r="AG2800" s="90">
        <v>-1</v>
      </c>
      <c r="AH2800" s="90">
        <v>-1</v>
      </c>
      <c r="AI2800" s="90">
        <v>-1</v>
      </c>
      <c r="AJ2800" s="90">
        <v>0</v>
      </c>
      <c r="AM2800" s="90" t="s">
        <v>379</v>
      </c>
      <c r="AN2800" s="90">
        <v>-1</v>
      </c>
      <c r="AQ2800" s="90">
        <v>358</v>
      </c>
      <c r="AR2800" s="90" t="s">
        <v>422</v>
      </c>
      <c r="AS2800" s="90" t="s">
        <v>250</v>
      </c>
      <c r="AT2800" s="90" t="s">
        <v>244</v>
      </c>
      <c r="AU2800" s="90">
        <v>86.412649999999999</v>
      </c>
      <c r="AV2800" s="90">
        <v>28.0176588067228</v>
      </c>
      <c r="AW2800" s="90">
        <v>0.82984230496695999</v>
      </c>
      <c r="AX2800" s="90">
        <v>6.0366179999999997E-4</v>
      </c>
    </row>
    <row r="2801" spans="1:50" x14ac:dyDescent="0.25">
      <c r="A2801" s="102">
        <v>840000</v>
      </c>
      <c r="B2801" s="102">
        <v>2400000</v>
      </c>
      <c r="C2801" s="102">
        <v>2400000</v>
      </c>
      <c r="D2801" s="90" t="s">
        <v>374</v>
      </c>
      <c r="E2801" s="90" t="s">
        <v>68</v>
      </c>
      <c r="F2801" s="90" t="s">
        <v>375</v>
      </c>
      <c r="G2801" s="90" t="s">
        <v>376</v>
      </c>
      <c r="H2801" s="90">
        <v>0.59</v>
      </c>
      <c r="I2801" s="90">
        <v>0.64</v>
      </c>
      <c r="J2801" s="90" t="s">
        <v>244</v>
      </c>
      <c r="K2801" s="90">
        <v>5.6932628573440003E-2</v>
      </c>
      <c r="L2801" s="90">
        <v>3629.7692340633598</v>
      </c>
      <c r="M2801" s="90">
        <v>8.6519783792635891</v>
      </c>
      <c r="N2801" s="90">
        <v>1.4197397070881399</v>
      </c>
      <c r="O2801" s="90">
        <v>0.49257987149208998</v>
      </c>
      <c r="P2801" s="90">
        <v>8.0829513414619997E-2</v>
      </c>
      <c r="Q2801" s="90">
        <v>206.652303610247</v>
      </c>
      <c r="R2801" s="90">
        <v>1210</v>
      </c>
      <c r="S2801" s="90" t="s">
        <v>385</v>
      </c>
      <c r="T2801" s="90">
        <v>1210</v>
      </c>
      <c r="U2801" s="90" t="s">
        <v>378</v>
      </c>
      <c r="V2801" s="90" t="s">
        <v>244</v>
      </c>
      <c r="Z2801" s="90">
        <v>0</v>
      </c>
      <c r="AA2801" s="90">
        <v>1</v>
      </c>
      <c r="AB2801" s="90">
        <v>0.49257987149208998</v>
      </c>
      <c r="AC2801" s="90">
        <v>8.0829513414619997E-2</v>
      </c>
      <c r="AD2801" s="90">
        <v>206.65230361024601</v>
      </c>
      <c r="AF2801" s="90">
        <v>-1</v>
      </c>
      <c r="AG2801" s="90">
        <v>-1</v>
      </c>
      <c r="AH2801" s="90">
        <v>-1</v>
      </c>
      <c r="AI2801" s="90">
        <v>-1</v>
      </c>
      <c r="AJ2801" s="90">
        <v>0</v>
      </c>
      <c r="AM2801" s="90" t="s">
        <v>379</v>
      </c>
      <c r="AN2801" s="90">
        <v>-1</v>
      </c>
      <c r="AQ2801" s="90">
        <v>358</v>
      </c>
      <c r="AR2801" s="90" t="s">
        <v>422</v>
      </c>
      <c r="AS2801" s="90" t="s">
        <v>250</v>
      </c>
      <c r="AT2801" s="90" t="s">
        <v>244</v>
      </c>
      <c r="AU2801" s="90">
        <v>86.412649999999999</v>
      </c>
      <c r="AV2801" s="90">
        <v>88.839685042546193</v>
      </c>
      <c r="AW2801" s="90">
        <v>230.39817358655799</v>
      </c>
      <c r="AX2801" s="90">
        <v>0.16760121950000001</v>
      </c>
    </row>
    <row r="2802" spans="1:50" x14ac:dyDescent="0.25">
      <c r="A2802" s="102">
        <v>840000</v>
      </c>
      <c r="B2802" s="102">
        <v>2400000</v>
      </c>
      <c r="C2802" s="102">
        <v>2400000</v>
      </c>
      <c r="D2802" s="90" t="s">
        <v>374</v>
      </c>
      <c r="E2802" s="90" t="s">
        <v>68</v>
      </c>
      <c r="F2802" s="90" t="s">
        <v>375</v>
      </c>
      <c r="G2802" s="90" t="s">
        <v>376</v>
      </c>
      <c r="H2802" s="90">
        <v>0.59</v>
      </c>
      <c r="I2802" s="90">
        <v>0.64</v>
      </c>
      <c r="J2802" s="90" t="s">
        <v>381</v>
      </c>
      <c r="K2802" s="90">
        <v>2.4917442590999999E-4</v>
      </c>
      <c r="L2802" s="90">
        <v>3629.7692340633598</v>
      </c>
      <c r="M2802" s="90">
        <v>8.6519783792635891</v>
      </c>
      <c r="N2802" s="90">
        <v>1.4197397070881399</v>
      </c>
      <c r="O2802" s="90">
        <v>2.1558517456999999E-3</v>
      </c>
      <c r="P2802" s="90">
        <v>3.5376282646000002E-4</v>
      </c>
      <c r="Q2802" s="90">
        <v>0.90444566511254998</v>
      </c>
      <c r="R2802" s="90">
        <v>1210</v>
      </c>
      <c r="S2802" s="90" t="s">
        <v>385</v>
      </c>
      <c r="T2802" s="90">
        <v>1210</v>
      </c>
      <c r="U2802" s="90" t="s">
        <v>382</v>
      </c>
      <c r="V2802" s="90" t="s">
        <v>381</v>
      </c>
      <c r="Z2802" s="90">
        <v>0</v>
      </c>
      <c r="AA2802" s="90">
        <v>1</v>
      </c>
      <c r="AB2802" s="90">
        <v>2.1558517456999999E-3</v>
      </c>
      <c r="AC2802" s="90">
        <v>3.5376282646000002E-4</v>
      </c>
      <c r="AD2802" s="90">
        <v>0.90444566511256996</v>
      </c>
      <c r="AF2802" s="90">
        <v>-1</v>
      </c>
      <c r="AG2802" s="90">
        <v>-1</v>
      </c>
      <c r="AH2802" s="90">
        <v>-1</v>
      </c>
      <c r="AI2802" s="90">
        <v>-1</v>
      </c>
      <c r="AJ2802" s="90">
        <v>0</v>
      </c>
      <c r="AM2802" s="90" t="s">
        <v>379</v>
      </c>
      <c r="AN2802" s="90">
        <v>-1</v>
      </c>
      <c r="AQ2802" s="90">
        <v>358</v>
      </c>
      <c r="AR2802" s="90" t="s">
        <v>422</v>
      </c>
      <c r="AS2802" s="90" t="s">
        <v>250</v>
      </c>
      <c r="AT2802" s="90" t="s">
        <v>244</v>
      </c>
      <c r="AU2802" s="90">
        <v>86.412649999999999</v>
      </c>
      <c r="AV2802" s="90">
        <v>28.043844091865498</v>
      </c>
      <c r="AW2802" s="90">
        <v>1.00837312582411</v>
      </c>
      <c r="AX2802" s="90">
        <v>7.3353260000000005E-4</v>
      </c>
    </row>
    <row r="2803" spans="1:50" x14ac:dyDescent="0.25">
      <c r="A2803" s="102">
        <v>840000</v>
      </c>
      <c r="B2803" s="102">
        <v>2400000</v>
      </c>
      <c r="C2803" s="102">
        <v>2400000</v>
      </c>
      <c r="D2803" s="90" t="s">
        <v>374</v>
      </c>
      <c r="E2803" s="90" t="s">
        <v>68</v>
      </c>
      <c r="F2803" s="90" t="s">
        <v>375</v>
      </c>
      <c r="G2803" s="90" t="s">
        <v>376</v>
      </c>
      <c r="H2803" s="90">
        <v>0.59</v>
      </c>
      <c r="I2803" s="90">
        <v>0.64</v>
      </c>
      <c r="J2803" s="90" t="s">
        <v>244</v>
      </c>
      <c r="K2803" s="90">
        <v>4.8451543607469998E-2</v>
      </c>
      <c r="L2803" s="90">
        <v>3629.7692340633598</v>
      </c>
      <c r="M2803" s="90">
        <v>8.6519783792635891</v>
      </c>
      <c r="N2803" s="90">
        <v>1.4197397070881399</v>
      </c>
      <c r="O2803" s="90">
        <v>0.41920170773382998</v>
      </c>
      <c r="P2803" s="90">
        <v>6.8788580329239998E-2</v>
      </c>
      <c r="Q2803" s="90">
        <v>175.867922329295</v>
      </c>
      <c r="R2803" s="90">
        <v>1210</v>
      </c>
      <c r="S2803" s="90" t="s">
        <v>385</v>
      </c>
      <c r="T2803" s="90">
        <v>1210</v>
      </c>
      <c r="U2803" s="90" t="s">
        <v>378</v>
      </c>
      <c r="V2803" s="90" t="s">
        <v>244</v>
      </c>
      <c r="Z2803" s="90">
        <v>0</v>
      </c>
      <c r="AA2803" s="90">
        <v>1</v>
      </c>
      <c r="AB2803" s="90">
        <v>0.41920170773382998</v>
      </c>
      <c r="AC2803" s="90">
        <v>6.8788580329239998E-2</v>
      </c>
      <c r="AD2803" s="90">
        <v>175.867922329295</v>
      </c>
      <c r="AF2803" s="90">
        <v>-1</v>
      </c>
      <c r="AG2803" s="90">
        <v>-1</v>
      </c>
      <c r="AH2803" s="90">
        <v>-1</v>
      </c>
      <c r="AI2803" s="90">
        <v>-1</v>
      </c>
      <c r="AJ2803" s="90">
        <v>0</v>
      </c>
      <c r="AM2803" s="90" t="s">
        <v>379</v>
      </c>
      <c r="AN2803" s="90">
        <v>-1</v>
      </c>
      <c r="AQ2803" s="90">
        <v>358</v>
      </c>
      <c r="AR2803" s="90" t="s">
        <v>422</v>
      </c>
      <c r="AS2803" s="90" t="s">
        <v>250</v>
      </c>
      <c r="AT2803" s="90" t="s">
        <v>244</v>
      </c>
      <c r="AU2803" s="90">
        <v>86.412649999999999</v>
      </c>
      <c r="AV2803" s="90">
        <v>68.565652227837603</v>
      </c>
      <c r="AW2803" s="90">
        <v>196.07644042310801</v>
      </c>
      <c r="AX2803" s="90">
        <v>0.14263416249999999</v>
      </c>
    </row>
    <row r="2804" spans="1:50" x14ac:dyDescent="0.25">
      <c r="A2804" s="102">
        <v>840000</v>
      </c>
      <c r="B2804" s="102">
        <v>2400000</v>
      </c>
      <c r="C2804" s="102">
        <v>2400000</v>
      </c>
      <c r="D2804" s="90" t="s">
        <v>374</v>
      </c>
      <c r="E2804" s="90" t="s">
        <v>68</v>
      </c>
      <c r="F2804" s="90" t="s">
        <v>375</v>
      </c>
      <c r="G2804" s="90" t="s">
        <v>376</v>
      </c>
      <c r="H2804" s="90">
        <v>0.59</v>
      </c>
      <c r="I2804" s="90">
        <v>0.64</v>
      </c>
      <c r="J2804" s="90" t="s">
        <v>381</v>
      </c>
      <c r="K2804" s="90">
        <v>2.1019078868999999E-4</v>
      </c>
      <c r="L2804" s="90">
        <v>3629.7692340633598</v>
      </c>
      <c r="M2804" s="90">
        <v>8.6519783792635891</v>
      </c>
      <c r="N2804" s="90">
        <v>1.4197397070881399</v>
      </c>
      <c r="O2804" s="90">
        <v>1.8185661593299999E-3</v>
      </c>
      <c r="P2804" s="90">
        <v>2.9841620877000001E-4</v>
      </c>
      <c r="Q2804" s="90">
        <v>0.76294405809951005</v>
      </c>
      <c r="R2804" s="90">
        <v>1210</v>
      </c>
      <c r="S2804" s="90" t="s">
        <v>385</v>
      </c>
      <c r="T2804" s="90">
        <v>1210</v>
      </c>
      <c r="U2804" s="90" t="s">
        <v>382</v>
      </c>
      <c r="V2804" s="90" t="s">
        <v>381</v>
      </c>
      <c r="Z2804" s="90">
        <v>0</v>
      </c>
      <c r="AA2804" s="90">
        <v>1</v>
      </c>
      <c r="AB2804" s="90">
        <v>1.8185661593299999E-3</v>
      </c>
      <c r="AC2804" s="90">
        <v>2.9841620877000001E-4</v>
      </c>
      <c r="AD2804" s="90">
        <v>0.76294405809897003</v>
      </c>
      <c r="AF2804" s="90">
        <v>-1</v>
      </c>
      <c r="AG2804" s="90">
        <v>-1</v>
      </c>
      <c r="AH2804" s="90">
        <v>-1</v>
      </c>
      <c r="AI2804" s="90">
        <v>-1</v>
      </c>
      <c r="AJ2804" s="90">
        <v>0</v>
      </c>
      <c r="AM2804" s="90" t="s">
        <v>379</v>
      </c>
      <c r="AN2804" s="90">
        <v>-1</v>
      </c>
      <c r="AQ2804" s="90">
        <v>358</v>
      </c>
      <c r="AR2804" s="90" t="s">
        <v>422</v>
      </c>
      <c r="AS2804" s="90" t="s">
        <v>250</v>
      </c>
      <c r="AT2804" s="90" t="s">
        <v>244</v>
      </c>
      <c r="AU2804" s="90">
        <v>86.412649999999999</v>
      </c>
      <c r="AV2804" s="90">
        <v>23.970865688883698</v>
      </c>
      <c r="AW2804" s="90">
        <v>0.85061194317121003</v>
      </c>
      <c r="AX2804" s="90">
        <v>6.1877049999999999E-4</v>
      </c>
    </row>
    <row r="2805" spans="1:50" x14ac:dyDescent="0.25">
      <c r="A2805" s="102">
        <v>840000</v>
      </c>
      <c r="B2805" s="102">
        <v>2400000</v>
      </c>
      <c r="C2805" s="102">
        <v>2400000</v>
      </c>
      <c r="D2805" s="90" t="s">
        <v>374</v>
      </c>
      <c r="E2805" s="90" t="s">
        <v>68</v>
      </c>
      <c r="F2805" s="90" t="s">
        <v>375</v>
      </c>
      <c r="G2805" s="90" t="s">
        <v>376</v>
      </c>
      <c r="H2805" s="90">
        <v>0.59</v>
      </c>
      <c r="I2805" s="90">
        <v>0.64</v>
      </c>
      <c r="J2805" s="90" t="s">
        <v>244</v>
      </c>
      <c r="K2805" s="90">
        <v>9.4343091985819999E-2</v>
      </c>
      <c r="L2805" s="90">
        <v>3738.66490964901</v>
      </c>
      <c r="M2805" s="90">
        <v>10.176386056100799</v>
      </c>
      <c r="N2805" s="90">
        <v>1.7898962071248701</v>
      </c>
      <c r="O2805" s="90">
        <v>0.96007172577402</v>
      </c>
      <c r="P2805" s="90">
        <v>0.16886434251386001</v>
      </c>
      <c r="Q2805" s="90">
        <v>352.71720747520402</v>
      </c>
      <c r="R2805" s="90">
        <v>1200</v>
      </c>
      <c r="S2805" s="90" t="s">
        <v>384</v>
      </c>
      <c r="T2805" s="90">
        <v>1200</v>
      </c>
      <c r="U2805" s="90" t="s">
        <v>378</v>
      </c>
      <c r="V2805" s="90" t="s">
        <v>244</v>
      </c>
      <c r="Z2805" s="90">
        <v>0</v>
      </c>
      <c r="AA2805" s="90">
        <v>1</v>
      </c>
      <c r="AB2805" s="90">
        <v>0.96007172577402</v>
      </c>
      <c r="AC2805" s="90">
        <v>0.16886434251386001</v>
      </c>
      <c r="AD2805" s="90">
        <v>475.69295128180403</v>
      </c>
      <c r="AF2805" s="90">
        <v>-1</v>
      </c>
      <c r="AG2805" s="90">
        <v>-1</v>
      </c>
      <c r="AH2805" s="90">
        <v>-1</v>
      </c>
      <c r="AI2805" s="90">
        <v>-1</v>
      </c>
      <c r="AJ2805" s="90">
        <v>0</v>
      </c>
      <c r="AM2805" s="90" t="s">
        <v>379</v>
      </c>
      <c r="AN2805" s="90">
        <v>-1</v>
      </c>
      <c r="AQ2805" s="90">
        <v>358</v>
      </c>
      <c r="AR2805" s="90" t="s">
        <v>422</v>
      </c>
      <c r="AS2805" s="90" t="s">
        <v>250</v>
      </c>
      <c r="AT2805" s="90" t="s">
        <v>244</v>
      </c>
      <c r="AU2805" s="90">
        <v>86.412649999999999</v>
      </c>
      <c r="AV2805" s="90">
        <v>95.439710417846101</v>
      </c>
      <c r="AW2805" s="90">
        <v>381.79294771192099</v>
      </c>
      <c r="AX2805" s="90">
        <v>0.38580125809999999</v>
      </c>
    </row>
    <row r="2806" spans="1:50" x14ac:dyDescent="0.25">
      <c r="A2806" s="102">
        <v>840000</v>
      </c>
      <c r="B2806" s="102">
        <v>2400000</v>
      </c>
      <c r="C2806" s="102">
        <v>2400000</v>
      </c>
      <c r="D2806" s="90" t="s">
        <v>374</v>
      </c>
      <c r="E2806" s="90" t="s">
        <v>68</v>
      </c>
      <c r="F2806" s="90" t="s">
        <v>375</v>
      </c>
      <c r="G2806" s="90" t="s">
        <v>376</v>
      </c>
      <c r="H2806" s="90">
        <v>0.59</v>
      </c>
      <c r="I2806" s="90">
        <v>0.64</v>
      </c>
      <c r="J2806" s="90" t="s">
        <v>244</v>
      </c>
      <c r="K2806" s="90">
        <v>3.4532833248999999E-4</v>
      </c>
      <c r="L2806" s="90">
        <v>3738.66490964901</v>
      </c>
      <c r="M2806" s="90">
        <v>10.176386056100799</v>
      </c>
      <c r="N2806" s="90">
        <v>1.7898962071248701</v>
      </c>
      <c r="O2806" s="90">
        <v>3.5141944275800001E-3</v>
      </c>
      <c r="P2806" s="90">
        <v>6.1810187254000002E-4</v>
      </c>
      <c r="Q2806" s="90">
        <v>1.2910669190104</v>
      </c>
      <c r="R2806" s="90">
        <v>1300</v>
      </c>
      <c r="S2806" s="90" t="s">
        <v>387</v>
      </c>
      <c r="T2806" s="90">
        <v>1300</v>
      </c>
      <c r="U2806" s="90" t="s">
        <v>378</v>
      </c>
      <c r="V2806" s="90" t="s">
        <v>244</v>
      </c>
      <c r="Z2806" s="90">
        <v>0</v>
      </c>
      <c r="AA2806" s="90">
        <v>1</v>
      </c>
      <c r="AB2806" s="90">
        <v>3.5141944275800001E-3</v>
      </c>
      <c r="AC2806" s="90">
        <v>6.1810187254000002E-4</v>
      </c>
      <c r="AD2806" s="90">
        <v>642.41050350591695</v>
      </c>
      <c r="AF2806" s="90">
        <v>-1</v>
      </c>
      <c r="AG2806" s="90">
        <v>-1</v>
      </c>
      <c r="AH2806" s="90">
        <v>-1</v>
      </c>
      <c r="AI2806" s="90">
        <v>-1</v>
      </c>
      <c r="AJ2806" s="90">
        <v>0</v>
      </c>
      <c r="AM2806" s="90" t="s">
        <v>379</v>
      </c>
      <c r="AN2806" s="90">
        <v>-1</v>
      </c>
      <c r="AQ2806" s="90">
        <v>358</v>
      </c>
      <c r="AR2806" s="90" t="s">
        <v>422</v>
      </c>
      <c r="AS2806" s="90" t="s">
        <v>250</v>
      </c>
      <c r="AT2806" s="90" t="s">
        <v>244</v>
      </c>
      <c r="AU2806" s="90">
        <v>86.412649999999999</v>
      </c>
      <c r="AV2806" s="90">
        <v>48.7362803242154</v>
      </c>
      <c r="AW2806" s="90">
        <v>1.39749418019899</v>
      </c>
      <c r="AX2806" s="90">
        <v>0.52101419589999998</v>
      </c>
    </row>
    <row r="2807" spans="1:50" x14ac:dyDescent="0.25">
      <c r="A2807" s="102">
        <v>840000</v>
      </c>
      <c r="B2807" s="102">
        <v>2400000</v>
      </c>
      <c r="C2807" s="102">
        <v>2400000</v>
      </c>
      <c r="D2807" s="90" t="s">
        <v>374</v>
      </c>
      <c r="E2807" s="90" t="s">
        <v>68</v>
      </c>
      <c r="F2807" s="90" t="s">
        <v>375</v>
      </c>
      <c r="G2807" s="90" t="s">
        <v>376</v>
      </c>
      <c r="H2807" s="90">
        <v>0.59</v>
      </c>
      <c r="I2807" s="90">
        <v>0.64</v>
      </c>
      <c r="J2807" s="90" t="s">
        <v>244</v>
      </c>
      <c r="K2807" s="90">
        <v>4.8678595960000002E-5</v>
      </c>
      <c r="L2807" s="90">
        <v>3738.66490964901</v>
      </c>
      <c r="M2807" s="90">
        <v>10.176386056100799</v>
      </c>
      <c r="N2807" s="90">
        <v>1.7898962071248701</v>
      </c>
      <c r="O2807" s="90">
        <v>4.9537218516999999E-4</v>
      </c>
      <c r="P2807" s="90">
        <v>8.7129634279999995E-5</v>
      </c>
      <c r="Q2807" s="90">
        <v>0.18199295857410999</v>
      </c>
      <c r="R2807" s="90">
        <v>1210</v>
      </c>
      <c r="S2807" s="90" t="s">
        <v>385</v>
      </c>
      <c r="T2807" s="90">
        <v>1210</v>
      </c>
      <c r="U2807" s="90" t="s">
        <v>378</v>
      </c>
      <c r="V2807" s="90" t="s">
        <v>244</v>
      </c>
      <c r="Z2807" s="90">
        <v>0</v>
      </c>
      <c r="AA2807" s="90">
        <v>1</v>
      </c>
      <c r="AB2807" s="90">
        <v>4.9537218516999999E-4</v>
      </c>
      <c r="AC2807" s="90">
        <v>8.7129634279999995E-5</v>
      </c>
      <c r="AD2807" s="90">
        <v>0.18199295857452999</v>
      </c>
      <c r="AF2807" s="90">
        <v>-1</v>
      </c>
      <c r="AG2807" s="90">
        <v>-1</v>
      </c>
      <c r="AH2807" s="90">
        <v>-1</v>
      </c>
      <c r="AI2807" s="90">
        <v>-1</v>
      </c>
      <c r="AJ2807" s="90">
        <v>0</v>
      </c>
      <c r="AM2807" s="90" t="s">
        <v>379</v>
      </c>
      <c r="AN2807" s="90">
        <v>-1</v>
      </c>
      <c r="AQ2807" s="90">
        <v>358</v>
      </c>
      <c r="AR2807" s="90" t="s">
        <v>422</v>
      </c>
      <c r="AS2807" s="90" t="s">
        <v>250</v>
      </c>
      <c r="AT2807" s="90" t="s">
        <v>244</v>
      </c>
      <c r="AU2807" s="90">
        <v>86.412649999999999</v>
      </c>
      <c r="AV2807" s="90">
        <v>2.3107251662058101</v>
      </c>
      <c r="AW2807" s="90">
        <v>0.19699528870269001</v>
      </c>
      <c r="AX2807" s="90">
        <v>1.476018E-4</v>
      </c>
    </row>
    <row r="2808" spans="1:50" x14ac:dyDescent="0.25">
      <c r="A2808" s="102">
        <v>840000</v>
      </c>
      <c r="B2808" s="102">
        <v>2400000</v>
      </c>
      <c r="C2808" s="102">
        <v>2400000</v>
      </c>
      <c r="D2808" s="90" t="s">
        <v>374</v>
      </c>
      <c r="E2808" s="90" t="s">
        <v>68</v>
      </c>
      <c r="F2808" s="90" t="s">
        <v>375</v>
      </c>
      <c r="G2808" s="90" t="s">
        <v>376</v>
      </c>
      <c r="H2808" s="90">
        <v>0.59</v>
      </c>
      <c r="I2808" s="90">
        <v>0.64</v>
      </c>
      <c r="J2808" s="90" t="s">
        <v>244</v>
      </c>
      <c r="K2808" s="90">
        <v>7.0995127312000004E-4</v>
      </c>
      <c r="L2808" s="90">
        <v>3738.66490964901</v>
      </c>
      <c r="M2808" s="90">
        <v>10.176386056100799</v>
      </c>
      <c r="N2808" s="90">
        <v>1.7898962071248701</v>
      </c>
      <c r="O2808" s="90">
        <v>7.2247382363E-3</v>
      </c>
      <c r="P2808" s="90">
        <v>1.270739091E-3</v>
      </c>
      <c r="Q2808" s="90">
        <v>2.6542699123781199</v>
      </c>
      <c r="R2808" s="90">
        <v>1330</v>
      </c>
      <c r="S2808" s="90" t="s">
        <v>397</v>
      </c>
      <c r="T2808" s="90">
        <v>1330</v>
      </c>
      <c r="U2808" s="90" t="s">
        <v>378</v>
      </c>
      <c r="V2808" s="90" t="s">
        <v>244</v>
      </c>
      <c r="Z2808" s="90">
        <v>0</v>
      </c>
      <c r="AA2808" s="90">
        <v>1</v>
      </c>
      <c r="AB2808" s="90">
        <v>7.2247382363E-3</v>
      </c>
      <c r="AC2808" s="90">
        <v>1.270739091E-3</v>
      </c>
      <c r="AD2808" s="90">
        <v>2.65426991237798</v>
      </c>
      <c r="AF2808" s="90">
        <v>-1</v>
      </c>
      <c r="AG2808" s="90">
        <v>-1</v>
      </c>
      <c r="AH2808" s="90">
        <v>-1</v>
      </c>
      <c r="AI2808" s="90">
        <v>-1</v>
      </c>
      <c r="AJ2808" s="90">
        <v>0</v>
      </c>
      <c r="AM2808" s="90" t="s">
        <v>379</v>
      </c>
      <c r="AN2808" s="90">
        <v>-1</v>
      </c>
      <c r="AQ2808" s="90">
        <v>358</v>
      </c>
      <c r="AR2808" s="90" t="s">
        <v>422</v>
      </c>
      <c r="AS2808" s="90" t="s">
        <v>250</v>
      </c>
      <c r="AT2808" s="90" t="s">
        <v>244</v>
      </c>
      <c r="AU2808" s="90">
        <v>86.412649999999999</v>
      </c>
      <c r="AV2808" s="90">
        <v>29.716432347370102</v>
      </c>
      <c r="AW2808" s="90">
        <v>2.8730708692206202</v>
      </c>
      <c r="AX2808" s="90">
        <v>2.1526925000000001E-3</v>
      </c>
    </row>
    <row r="2809" spans="1:50" x14ac:dyDescent="0.25">
      <c r="A2809" s="102">
        <v>840000</v>
      </c>
      <c r="B2809" s="102">
        <v>2400000</v>
      </c>
      <c r="C2809" s="102">
        <v>2400000</v>
      </c>
      <c r="D2809" s="90" t="s">
        <v>374</v>
      </c>
      <c r="E2809" s="90" t="s">
        <v>68</v>
      </c>
      <c r="F2809" s="90" t="s">
        <v>375</v>
      </c>
      <c r="G2809" s="90" t="s">
        <v>376</v>
      </c>
      <c r="H2809" s="90">
        <v>0.59</v>
      </c>
      <c r="I2809" s="90">
        <v>0.64</v>
      </c>
      <c r="J2809" s="90" t="s">
        <v>244</v>
      </c>
      <c r="K2809" s="90">
        <v>6.8880981577999995E-4</v>
      </c>
      <c r="L2809" s="90">
        <v>3738.66490964901</v>
      </c>
      <c r="M2809" s="90">
        <v>10.176386056100799</v>
      </c>
      <c r="N2809" s="90">
        <v>1.7898962071248701</v>
      </c>
      <c r="O2809" s="90">
        <v>7.00959460462E-3</v>
      </c>
      <c r="P2809" s="90">
        <v>1.2328980766899999E-3</v>
      </c>
      <c r="Q2809" s="90">
        <v>2.57522908768596</v>
      </c>
      <c r="R2809" s="90">
        <v>1210</v>
      </c>
      <c r="S2809" s="90" t="s">
        <v>385</v>
      </c>
      <c r="T2809" s="90">
        <v>1210</v>
      </c>
      <c r="U2809" s="90" t="s">
        <v>378</v>
      </c>
      <c r="V2809" s="90" t="s">
        <v>244</v>
      </c>
      <c r="Z2809" s="90">
        <v>0</v>
      </c>
      <c r="AA2809" s="90">
        <v>1</v>
      </c>
      <c r="AB2809" s="90">
        <v>7.00959460462E-3</v>
      </c>
      <c r="AC2809" s="90">
        <v>1.2328980766899999E-3</v>
      </c>
      <c r="AD2809" s="90">
        <v>2.5752290876859498</v>
      </c>
      <c r="AF2809" s="90">
        <v>-1</v>
      </c>
      <c r="AG2809" s="90">
        <v>-1</v>
      </c>
      <c r="AH2809" s="90">
        <v>-1</v>
      </c>
      <c r="AI2809" s="90">
        <v>-1</v>
      </c>
      <c r="AJ2809" s="90">
        <v>0</v>
      </c>
      <c r="AM2809" s="90" t="s">
        <v>379</v>
      </c>
      <c r="AN2809" s="90">
        <v>-1</v>
      </c>
      <c r="AQ2809" s="90">
        <v>358</v>
      </c>
      <c r="AR2809" s="90" t="s">
        <v>422</v>
      </c>
      <c r="AS2809" s="90" t="s">
        <v>250</v>
      </c>
      <c r="AT2809" s="90" t="s">
        <v>244</v>
      </c>
      <c r="AU2809" s="90">
        <v>86.412649999999999</v>
      </c>
      <c r="AV2809" s="90">
        <v>32.720569294498603</v>
      </c>
      <c r="AW2809" s="90">
        <v>2.7875144268095302</v>
      </c>
      <c r="AX2809" s="90">
        <v>2.0885881000000002E-3</v>
      </c>
    </row>
    <row r="2810" spans="1:50" x14ac:dyDescent="0.25">
      <c r="A2810" s="102">
        <v>840000</v>
      </c>
      <c r="B2810" s="102">
        <v>2400000</v>
      </c>
      <c r="C2810" s="102">
        <v>2400000</v>
      </c>
      <c r="D2810" s="90" t="s">
        <v>374</v>
      </c>
      <c r="E2810" s="90" t="s">
        <v>68</v>
      </c>
      <c r="F2810" s="90" t="s">
        <v>375</v>
      </c>
      <c r="G2810" s="90" t="s">
        <v>376</v>
      </c>
      <c r="H2810" s="90">
        <v>0.59</v>
      </c>
      <c r="I2810" s="90">
        <v>0.64</v>
      </c>
      <c r="J2810" s="90" t="s">
        <v>244</v>
      </c>
      <c r="K2810" s="90">
        <v>2.0514869651000001E-4</v>
      </c>
      <c r="L2810" s="90">
        <v>3738.66490964901</v>
      </c>
      <c r="M2810" s="90">
        <v>10.176386056100799</v>
      </c>
      <c r="N2810" s="90">
        <v>1.7898962071248701</v>
      </c>
      <c r="O2810" s="90">
        <v>2.0876723346000001E-3</v>
      </c>
      <c r="P2810" s="90">
        <v>3.6719487378000001E-4</v>
      </c>
      <c r="Q2810" s="90">
        <v>0.76698223290591006</v>
      </c>
      <c r="R2810" s="90">
        <v>1210</v>
      </c>
      <c r="S2810" s="90" t="s">
        <v>385</v>
      </c>
      <c r="T2810" s="90">
        <v>1210</v>
      </c>
      <c r="U2810" s="90" t="s">
        <v>378</v>
      </c>
      <c r="V2810" s="90" t="s">
        <v>244</v>
      </c>
      <c r="Z2810" s="90">
        <v>0</v>
      </c>
      <c r="AA2810" s="90">
        <v>1</v>
      </c>
      <c r="AB2810" s="90">
        <v>2.0876723346000001E-3</v>
      </c>
      <c r="AC2810" s="90">
        <v>3.6719487378000001E-4</v>
      </c>
      <c r="AD2810" s="90">
        <v>1.55178367445307</v>
      </c>
      <c r="AF2810" s="90">
        <v>-1</v>
      </c>
      <c r="AG2810" s="90">
        <v>-1</v>
      </c>
      <c r="AH2810" s="90">
        <v>-1</v>
      </c>
      <c r="AI2810" s="90">
        <v>-1</v>
      </c>
      <c r="AJ2810" s="90">
        <v>0</v>
      </c>
      <c r="AM2810" s="90" t="s">
        <v>379</v>
      </c>
      <c r="AN2810" s="90">
        <v>-1</v>
      </c>
      <c r="AQ2810" s="90">
        <v>358</v>
      </c>
      <c r="AR2810" s="90" t="s">
        <v>422</v>
      </c>
      <c r="AS2810" s="90" t="s">
        <v>250</v>
      </c>
      <c r="AT2810" s="90" t="s">
        <v>244</v>
      </c>
      <c r="AU2810" s="90">
        <v>86.412649999999999</v>
      </c>
      <c r="AV2810" s="90">
        <v>11.9487392386526</v>
      </c>
      <c r="AW2810" s="90">
        <v>0.83020732002425002</v>
      </c>
      <c r="AX2810" s="90">
        <v>1.2585431E-3</v>
      </c>
    </row>
    <row r="2811" spans="1:50" x14ac:dyDescent="0.25">
      <c r="A2811" s="102">
        <v>840000</v>
      </c>
      <c r="B2811" s="102">
        <v>2400000</v>
      </c>
      <c r="C2811" s="102">
        <v>2400000</v>
      </c>
      <c r="D2811" s="90" t="s">
        <v>374</v>
      </c>
      <c r="E2811" s="90" t="s">
        <v>68</v>
      </c>
      <c r="F2811" s="90" t="s">
        <v>375</v>
      </c>
      <c r="G2811" s="90" t="s">
        <v>376</v>
      </c>
      <c r="H2811" s="90">
        <v>0.59</v>
      </c>
      <c r="I2811" s="90">
        <v>0.64</v>
      </c>
      <c r="J2811" s="90" t="s">
        <v>244</v>
      </c>
      <c r="K2811" s="90">
        <v>1.0297659180300001E-3</v>
      </c>
      <c r="L2811" s="90">
        <v>3753.31698130307</v>
      </c>
      <c r="M2811" s="90">
        <v>9.9456634254991698</v>
      </c>
      <c r="N2811" s="90">
        <v>1.7438898703919601</v>
      </c>
      <c r="O2811" s="90">
        <v>1.024170522785E-2</v>
      </c>
      <c r="P2811" s="90">
        <v>1.79579835334E-3</v>
      </c>
      <c r="Q2811" s="90">
        <v>3.86503790693917</v>
      </c>
      <c r="R2811" s="90">
        <v>1300</v>
      </c>
      <c r="S2811" s="90" t="s">
        <v>387</v>
      </c>
      <c r="T2811" s="90">
        <v>1300</v>
      </c>
      <c r="U2811" s="90" t="s">
        <v>378</v>
      </c>
      <c r="V2811" s="90" t="s">
        <v>244</v>
      </c>
      <c r="Z2811" s="90">
        <v>0</v>
      </c>
      <c r="AA2811" s="90">
        <v>1</v>
      </c>
      <c r="AB2811" s="90">
        <v>1.024170522785E-2</v>
      </c>
      <c r="AC2811" s="90">
        <v>1.79579835334E-3</v>
      </c>
      <c r="AD2811" s="90">
        <v>3.86503790694064</v>
      </c>
      <c r="AF2811" s="90">
        <v>-1</v>
      </c>
      <c r="AG2811" s="90">
        <v>-1</v>
      </c>
      <c r="AH2811" s="90">
        <v>-1</v>
      </c>
      <c r="AI2811" s="90">
        <v>-1</v>
      </c>
      <c r="AJ2811" s="90">
        <v>0</v>
      </c>
      <c r="AM2811" s="90" t="s">
        <v>379</v>
      </c>
      <c r="AN2811" s="90">
        <v>-1</v>
      </c>
      <c r="AQ2811" s="90">
        <v>358</v>
      </c>
      <c r="AR2811" s="90" t="s">
        <v>422</v>
      </c>
      <c r="AS2811" s="90" t="s">
        <v>250</v>
      </c>
      <c r="AT2811" s="90" t="s">
        <v>244</v>
      </c>
      <c r="AU2811" s="90">
        <v>86.412649999999999</v>
      </c>
      <c r="AV2811" s="90">
        <v>37.529106972479703</v>
      </c>
      <c r="AW2811" s="90">
        <v>4.1673148189823097</v>
      </c>
      <c r="AX2811" s="90">
        <v>3.1346617000000002E-3</v>
      </c>
    </row>
    <row r="2812" spans="1:50" x14ac:dyDescent="0.25">
      <c r="A2812" s="102">
        <v>840000</v>
      </c>
      <c r="B2812" s="102">
        <v>2400000</v>
      </c>
      <c r="C2812" s="102">
        <v>2400000</v>
      </c>
      <c r="D2812" s="90" t="s">
        <v>374</v>
      </c>
      <c r="E2812" s="90" t="s">
        <v>68</v>
      </c>
      <c r="F2812" s="90" t="s">
        <v>375</v>
      </c>
      <c r="G2812" s="90" t="s">
        <v>376</v>
      </c>
      <c r="H2812" s="90">
        <v>0.59</v>
      </c>
      <c r="I2812" s="90">
        <v>0.64</v>
      </c>
      <c r="J2812" s="90" t="s">
        <v>244</v>
      </c>
      <c r="K2812" s="90">
        <v>0.11620399070092</v>
      </c>
      <c r="L2812" s="90">
        <v>3753.31698130307</v>
      </c>
      <c r="M2812" s="90">
        <v>9.9456634254991698</v>
      </c>
      <c r="N2812" s="90">
        <v>1.7438898703919601</v>
      </c>
      <c r="O2812" s="90">
        <v>1.15572578021124</v>
      </c>
      <c r="P2812" s="90">
        <v>0.20264696228246001</v>
      </c>
      <c r="Q2812" s="90">
        <v>436.15041159296999</v>
      </c>
      <c r="R2812" s="90">
        <v>1210</v>
      </c>
      <c r="S2812" s="90" t="s">
        <v>385</v>
      </c>
      <c r="T2812" s="90">
        <v>1210</v>
      </c>
      <c r="U2812" s="90" t="s">
        <v>378</v>
      </c>
      <c r="V2812" s="90" t="s">
        <v>244</v>
      </c>
      <c r="Z2812" s="90">
        <v>0</v>
      </c>
      <c r="AA2812" s="90">
        <v>1</v>
      </c>
      <c r="AB2812" s="90">
        <v>1.15572578021124</v>
      </c>
      <c r="AC2812" s="90">
        <v>0.20264696228246001</v>
      </c>
      <c r="AD2812" s="90">
        <v>664.50527082634403</v>
      </c>
      <c r="AF2812" s="90">
        <v>-1</v>
      </c>
      <c r="AG2812" s="90">
        <v>-1</v>
      </c>
      <c r="AH2812" s="90">
        <v>-1</v>
      </c>
      <c r="AI2812" s="90">
        <v>-1</v>
      </c>
      <c r="AJ2812" s="90">
        <v>0</v>
      </c>
      <c r="AM2812" s="90" t="s">
        <v>379</v>
      </c>
      <c r="AN2812" s="90">
        <v>-1</v>
      </c>
      <c r="AQ2812" s="90">
        <v>358</v>
      </c>
      <c r="AR2812" s="90" t="s">
        <v>422</v>
      </c>
      <c r="AS2812" s="90" t="s">
        <v>250</v>
      </c>
      <c r="AT2812" s="90" t="s">
        <v>244</v>
      </c>
      <c r="AU2812" s="90">
        <v>86.412649999999999</v>
      </c>
      <c r="AV2812" s="90">
        <v>91.418070045223899</v>
      </c>
      <c r="AW2812" s="90">
        <v>470.260866076551</v>
      </c>
      <c r="AX2812" s="90">
        <v>0.5389337152</v>
      </c>
    </row>
    <row r="2813" spans="1:50" x14ac:dyDescent="0.25">
      <c r="A2813" s="102">
        <v>840000</v>
      </c>
      <c r="B2813" s="102">
        <v>2400000</v>
      </c>
      <c r="C2813" s="102">
        <v>2400000</v>
      </c>
      <c r="D2813" s="90" t="s">
        <v>374</v>
      </c>
      <c r="E2813" s="90" t="s">
        <v>68</v>
      </c>
      <c r="F2813" s="90" t="s">
        <v>375</v>
      </c>
      <c r="G2813" s="90" t="s">
        <v>376</v>
      </c>
      <c r="H2813" s="90">
        <v>0.59</v>
      </c>
      <c r="I2813" s="90">
        <v>0.64</v>
      </c>
      <c r="J2813" s="90" t="s">
        <v>244</v>
      </c>
      <c r="K2813" s="90">
        <v>6.688215335363E-2</v>
      </c>
      <c r="L2813" s="90">
        <v>3753.31698130307</v>
      </c>
      <c r="M2813" s="90">
        <v>9.9456634254991698</v>
      </c>
      <c r="N2813" s="90">
        <v>1.7438898703919601</v>
      </c>
      <c r="O2813" s="90">
        <v>0.66518738642784003</v>
      </c>
      <c r="P2813" s="90">
        <v>0.1166351097434</v>
      </c>
      <c r="Q2813" s="90">
        <v>251.029921928303</v>
      </c>
      <c r="R2813" s="90">
        <v>1330</v>
      </c>
      <c r="S2813" s="90" t="s">
        <v>397</v>
      </c>
      <c r="T2813" s="90">
        <v>1330</v>
      </c>
      <c r="U2813" s="90" t="s">
        <v>378</v>
      </c>
      <c r="V2813" s="90" t="s">
        <v>244</v>
      </c>
      <c r="Z2813" s="90">
        <v>0</v>
      </c>
      <c r="AA2813" s="90">
        <v>1</v>
      </c>
      <c r="AB2813" s="90">
        <v>0.66518738642784003</v>
      </c>
      <c r="AC2813" s="90">
        <v>0.1166351097434</v>
      </c>
      <c r="AD2813" s="90">
        <v>386.64560750289297</v>
      </c>
      <c r="AF2813" s="90">
        <v>-1</v>
      </c>
      <c r="AG2813" s="90">
        <v>-1</v>
      </c>
      <c r="AH2813" s="90">
        <v>-1</v>
      </c>
      <c r="AI2813" s="90">
        <v>-1</v>
      </c>
      <c r="AJ2813" s="90">
        <v>0</v>
      </c>
      <c r="AM2813" s="90" t="s">
        <v>379</v>
      </c>
      <c r="AN2813" s="90">
        <v>-1</v>
      </c>
      <c r="AQ2813" s="90">
        <v>358</v>
      </c>
      <c r="AR2813" s="90" t="s">
        <v>422</v>
      </c>
      <c r="AS2813" s="90" t="s">
        <v>250</v>
      </c>
      <c r="AT2813" s="90" t="s">
        <v>244</v>
      </c>
      <c r="AU2813" s="90">
        <v>86.412649999999999</v>
      </c>
      <c r="AV2813" s="90">
        <v>66.812566233359107</v>
      </c>
      <c r="AW2813" s="90">
        <v>270.66247184308497</v>
      </c>
      <c r="AX2813" s="90">
        <v>0.31358119020000003</v>
      </c>
    </row>
    <row r="2814" spans="1:50" x14ac:dyDescent="0.25">
      <c r="A2814" s="102">
        <v>840000</v>
      </c>
      <c r="B2814" s="102">
        <v>2400000</v>
      </c>
      <c r="C2814" s="102">
        <v>2400000</v>
      </c>
      <c r="D2814" s="90" t="s">
        <v>374</v>
      </c>
      <c r="E2814" s="90" t="s">
        <v>68</v>
      </c>
      <c r="F2814" s="90" t="s">
        <v>375</v>
      </c>
      <c r="G2814" s="90" t="s">
        <v>376</v>
      </c>
      <c r="H2814" s="90">
        <v>0.59</v>
      </c>
      <c r="I2814" s="90">
        <v>0.64</v>
      </c>
      <c r="J2814" s="90" t="s">
        <v>244</v>
      </c>
      <c r="K2814" s="90">
        <v>1.043730682878E-2</v>
      </c>
      <c r="L2814" s="90">
        <v>3618.6125122257199</v>
      </c>
      <c r="M2814" s="90">
        <v>8.9028021953563101</v>
      </c>
      <c r="N2814" s="90">
        <v>1.5077956406829101</v>
      </c>
      <c r="O2814" s="90">
        <v>9.2921278148869996E-2</v>
      </c>
      <c r="P2814" s="90">
        <v>1.5737325736899999E-2</v>
      </c>
      <c r="Q2814" s="90">
        <v>37.768569084562202</v>
      </c>
      <c r="R2814" s="90">
        <v>1200</v>
      </c>
      <c r="S2814" s="90" t="s">
        <v>384</v>
      </c>
      <c r="T2814" s="90">
        <v>1200</v>
      </c>
      <c r="U2814" s="90" t="s">
        <v>378</v>
      </c>
      <c r="V2814" s="90" t="s">
        <v>244</v>
      </c>
      <c r="Z2814" s="90">
        <v>0</v>
      </c>
      <c r="AA2814" s="90">
        <v>1</v>
      </c>
      <c r="AB2814" s="90">
        <v>9.2921278148869996E-2</v>
      </c>
      <c r="AC2814" s="90">
        <v>1.5737325736899999E-2</v>
      </c>
      <c r="AD2814" s="90">
        <v>66.3891041419445</v>
      </c>
      <c r="AF2814" s="90">
        <v>-1</v>
      </c>
      <c r="AG2814" s="90">
        <v>-1</v>
      </c>
      <c r="AH2814" s="90">
        <v>-1</v>
      </c>
      <c r="AI2814" s="90">
        <v>-1</v>
      </c>
      <c r="AJ2814" s="90">
        <v>0</v>
      </c>
      <c r="AM2814" s="90" t="s">
        <v>379</v>
      </c>
      <c r="AN2814" s="90">
        <v>-1</v>
      </c>
      <c r="AQ2814" s="90">
        <v>358</v>
      </c>
      <c r="AR2814" s="90" t="s">
        <v>422</v>
      </c>
      <c r="AS2814" s="90" t="s">
        <v>250</v>
      </c>
      <c r="AT2814" s="90" t="s">
        <v>244</v>
      </c>
      <c r="AU2814" s="90">
        <v>86.412649999999999</v>
      </c>
      <c r="AV2814" s="90">
        <v>27.859151547027999</v>
      </c>
      <c r="AW2814" s="90">
        <v>42.238282172609601</v>
      </c>
      <c r="AX2814" s="90">
        <v>5.3843555699999997E-2</v>
      </c>
    </row>
    <row r="2815" spans="1:50" x14ac:dyDescent="0.25">
      <c r="A2815" s="102">
        <v>840000</v>
      </c>
      <c r="B2815" s="102">
        <v>2400000</v>
      </c>
      <c r="C2815" s="102">
        <v>2400000</v>
      </c>
      <c r="D2815" s="90" t="s">
        <v>374</v>
      </c>
      <c r="E2815" s="90" t="s">
        <v>68</v>
      </c>
      <c r="F2815" s="90" t="s">
        <v>375</v>
      </c>
      <c r="G2815" s="90" t="s">
        <v>376</v>
      </c>
      <c r="H2815" s="90">
        <v>0.59</v>
      </c>
      <c r="I2815" s="90">
        <v>0.64</v>
      </c>
      <c r="J2815" s="90" t="s">
        <v>244</v>
      </c>
      <c r="K2815" s="90">
        <v>7.9092566472300004E-3</v>
      </c>
      <c r="L2815" s="90">
        <v>3618.6125122257199</v>
      </c>
      <c r="M2815" s="90">
        <v>8.9028021953563101</v>
      </c>
      <c r="N2815" s="90">
        <v>1.5077956406829101</v>
      </c>
      <c r="O2815" s="90">
        <v>7.041454744266E-2</v>
      </c>
      <c r="P2815" s="90">
        <v>1.192554269374E-2</v>
      </c>
      <c r="Q2815" s="90">
        <v>28.620535066099801</v>
      </c>
      <c r="R2815" s="90">
        <v>1200</v>
      </c>
      <c r="S2815" s="90" t="s">
        <v>384</v>
      </c>
      <c r="T2815" s="90">
        <v>1200</v>
      </c>
      <c r="U2815" s="90" t="s">
        <v>378</v>
      </c>
      <c r="V2815" s="90" t="s">
        <v>244</v>
      </c>
      <c r="Z2815" s="90">
        <v>0</v>
      </c>
      <c r="AA2815" s="90">
        <v>1</v>
      </c>
      <c r="AB2815" s="90">
        <v>7.041454744266E-2</v>
      </c>
      <c r="AC2815" s="90">
        <v>1.192554269374E-2</v>
      </c>
      <c r="AD2815" s="90">
        <v>66.3891041419445</v>
      </c>
      <c r="AF2815" s="90">
        <v>-1</v>
      </c>
      <c r="AG2815" s="90">
        <v>-1</v>
      </c>
      <c r="AH2815" s="90">
        <v>-1</v>
      </c>
      <c r="AI2815" s="90">
        <v>-1</v>
      </c>
      <c r="AJ2815" s="90">
        <v>0</v>
      </c>
      <c r="AM2815" s="90" t="s">
        <v>379</v>
      </c>
      <c r="AN2815" s="90">
        <v>-1</v>
      </c>
      <c r="AQ2815" s="90">
        <v>358</v>
      </c>
      <c r="AR2815" s="90" t="s">
        <v>422</v>
      </c>
      <c r="AS2815" s="90" t="s">
        <v>250</v>
      </c>
      <c r="AT2815" s="90" t="s">
        <v>244</v>
      </c>
      <c r="AU2815" s="90">
        <v>86.412649999999999</v>
      </c>
      <c r="AV2815" s="90">
        <v>25.698951257424898</v>
      </c>
      <c r="AW2815" s="90">
        <v>32.007626059283801</v>
      </c>
      <c r="AX2815" s="90">
        <v>5.3843555699999997E-2</v>
      </c>
    </row>
    <row r="2816" spans="1:50" x14ac:dyDescent="0.25">
      <c r="A2816" s="102">
        <v>840000</v>
      </c>
      <c r="B2816" s="102">
        <v>2400000</v>
      </c>
      <c r="C2816" s="102">
        <v>2400000</v>
      </c>
      <c r="D2816" s="90" t="s">
        <v>374</v>
      </c>
      <c r="E2816" s="90" t="s">
        <v>68</v>
      </c>
      <c r="F2816" s="90" t="s">
        <v>375</v>
      </c>
      <c r="G2816" s="90" t="s">
        <v>376</v>
      </c>
      <c r="H2816" s="90">
        <v>0.59</v>
      </c>
      <c r="I2816" s="90">
        <v>0.64</v>
      </c>
      <c r="J2816" s="90" t="s">
        <v>244</v>
      </c>
      <c r="K2816" s="90">
        <v>3.4409676926640001E-2</v>
      </c>
      <c r="L2816" s="90">
        <v>3618.6125122257199</v>
      </c>
      <c r="M2816" s="90">
        <v>8.9028021953563101</v>
      </c>
      <c r="N2816" s="90">
        <v>1.5077956406829101</v>
      </c>
      <c r="O2816" s="90">
        <v>0.30634254728407001</v>
      </c>
      <c r="P2816" s="90">
        <v>5.1882760867300003E-2</v>
      </c>
      <c r="Q2816" s="90">
        <v>124.51528746841601</v>
      </c>
      <c r="R2816" s="90">
        <v>1300</v>
      </c>
      <c r="S2816" s="90" t="s">
        <v>387</v>
      </c>
      <c r="T2816" s="90">
        <v>1300</v>
      </c>
      <c r="U2816" s="90" t="s">
        <v>378</v>
      </c>
      <c r="V2816" s="90" t="s">
        <v>244</v>
      </c>
      <c r="Z2816" s="90">
        <v>0</v>
      </c>
      <c r="AA2816" s="90">
        <v>1</v>
      </c>
      <c r="AB2816" s="90">
        <v>0.30634254728407001</v>
      </c>
      <c r="AC2816" s="90">
        <v>5.1882760867300003E-2</v>
      </c>
      <c r="AD2816" s="90">
        <v>783.78818837516997</v>
      </c>
      <c r="AF2816" s="90">
        <v>-1</v>
      </c>
      <c r="AG2816" s="90">
        <v>-1</v>
      </c>
      <c r="AH2816" s="90">
        <v>-1</v>
      </c>
      <c r="AI2816" s="90">
        <v>-1</v>
      </c>
      <c r="AJ2816" s="90">
        <v>0</v>
      </c>
      <c r="AM2816" s="90" t="s">
        <v>379</v>
      </c>
      <c r="AN2816" s="90">
        <v>-1</v>
      </c>
      <c r="AQ2816" s="90">
        <v>358</v>
      </c>
      <c r="AR2816" s="90" t="s">
        <v>422</v>
      </c>
      <c r="AS2816" s="90" t="s">
        <v>250</v>
      </c>
      <c r="AT2816" s="90" t="s">
        <v>244</v>
      </c>
      <c r="AU2816" s="90">
        <v>86.412649999999999</v>
      </c>
      <c r="AV2816" s="90">
        <v>75.617364922478899</v>
      </c>
      <c r="AW2816" s="90">
        <v>139.25102206331701</v>
      </c>
      <c r="AX2816" s="90">
        <v>0.6356757408</v>
      </c>
    </row>
    <row r="2817" spans="1:50" x14ac:dyDescent="0.25">
      <c r="A2817" s="102">
        <v>840000</v>
      </c>
      <c r="B2817" s="102">
        <v>2400000</v>
      </c>
      <c r="C2817" s="102">
        <v>2400000</v>
      </c>
      <c r="D2817" s="90" t="s">
        <v>374</v>
      </c>
      <c r="E2817" s="90" t="s">
        <v>68</v>
      </c>
      <c r="F2817" s="90" t="s">
        <v>375</v>
      </c>
      <c r="G2817" s="90" t="s">
        <v>376</v>
      </c>
      <c r="H2817" s="90">
        <v>0.59</v>
      </c>
      <c r="I2817" s="90">
        <v>0.64</v>
      </c>
      <c r="J2817" s="90" t="s">
        <v>244</v>
      </c>
      <c r="K2817" s="90">
        <v>0.18218941620019</v>
      </c>
      <c r="L2817" s="90">
        <v>3618.6125122257199</v>
      </c>
      <c r="M2817" s="90">
        <v>8.9028021953563101</v>
      </c>
      <c r="N2817" s="90">
        <v>1.5077956406829101</v>
      </c>
      <c r="O2817" s="90">
        <v>1.6219963345177999</v>
      </c>
      <c r="P2817" s="90">
        <v>0.27470440752522002</v>
      </c>
      <c r="Q2817" s="90">
        <v>659.272901057132</v>
      </c>
      <c r="R2817" s="90">
        <v>1300</v>
      </c>
      <c r="S2817" s="90" t="s">
        <v>387</v>
      </c>
      <c r="T2817" s="90">
        <v>1300</v>
      </c>
      <c r="U2817" s="90" t="s">
        <v>378</v>
      </c>
      <c r="V2817" s="90" t="s">
        <v>244</v>
      </c>
      <c r="Z2817" s="90">
        <v>0</v>
      </c>
      <c r="AA2817" s="90">
        <v>1</v>
      </c>
      <c r="AB2817" s="90">
        <v>1.6219963345177999</v>
      </c>
      <c r="AC2817" s="90">
        <v>0.27470440752522002</v>
      </c>
      <c r="AD2817" s="90">
        <v>783.78818837516997</v>
      </c>
      <c r="AF2817" s="90">
        <v>-1</v>
      </c>
      <c r="AG2817" s="90">
        <v>-1</v>
      </c>
      <c r="AH2817" s="90">
        <v>-1</v>
      </c>
      <c r="AI2817" s="90">
        <v>-1</v>
      </c>
      <c r="AJ2817" s="90">
        <v>0</v>
      </c>
      <c r="AM2817" s="90" t="s">
        <v>379</v>
      </c>
      <c r="AN2817" s="90">
        <v>-1</v>
      </c>
      <c r="AQ2817" s="90">
        <v>358</v>
      </c>
      <c r="AR2817" s="90" t="s">
        <v>422</v>
      </c>
      <c r="AS2817" s="90" t="s">
        <v>250</v>
      </c>
      <c r="AT2817" s="90" t="s">
        <v>244</v>
      </c>
      <c r="AU2817" s="90">
        <v>86.412649999999999</v>
      </c>
      <c r="AV2817" s="90">
        <v>227.75809358727199</v>
      </c>
      <c r="AW2817" s="90">
        <v>737.29440904307296</v>
      </c>
      <c r="AX2817" s="90">
        <v>0.6356757408</v>
      </c>
    </row>
    <row r="2818" spans="1:50" x14ac:dyDescent="0.25">
      <c r="A2818" s="102">
        <v>840000</v>
      </c>
      <c r="B2818" s="102">
        <v>2400000</v>
      </c>
      <c r="C2818" s="102">
        <v>2400000</v>
      </c>
      <c r="D2818" s="90" t="s">
        <v>374</v>
      </c>
      <c r="E2818" s="90" t="s">
        <v>68</v>
      </c>
      <c r="F2818" s="90" t="s">
        <v>375</v>
      </c>
      <c r="G2818" s="90" t="s">
        <v>376</v>
      </c>
      <c r="H2818" s="90">
        <v>0.59</v>
      </c>
      <c r="I2818" s="90">
        <v>0.64</v>
      </c>
      <c r="J2818" s="90" t="s">
        <v>381</v>
      </c>
      <c r="K2818" s="90">
        <v>1.6411070137E-4</v>
      </c>
      <c r="L2818" s="90">
        <v>3618.6125122257199</v>
      </c>
      <c r="M2818" s="90">
        <v>8.9028021953563101</v>
      </c>
      <c r="N2818" s="90">
        <v>1.5077956406829101</v>
      </c>
      <c r="O2818" s="90">
        <v>1.4610451124600001E-3</v>
      </c>
      <c r="P2818" s="90">
        <v>2.4744540012000001E-4</v>
      </c>
      <c r="Q2818" s="90">
        <v>0.59385303737846995</v>
      </c>
      <c r="R2818" s="90">
        <v>1300</v>
      </c>
      <c r="S2818" s="90" t="s">
        <v>387</v>
      </c>
      <c r="T2818" s="90">
        <v>1300</v>
      </c>
      <c r="U2818" s="90" t="s">
        <v>382</v>
      </c>
      <c r="V2818" s="90" t="s">
        <v>381</v>
      </c>
      <c r="Z2818" s="90">
        <v>0</v>
      </c>
      <c r="AA2818" s="90">
        <v>1</v>
      </c>
      <c r="AB2818" s="90">
        <v>1.4610451124600001E-3</v>
      </c>
      <c r="AC2818" s="90">
        <v>2.4744540012000001E-4</v>
      </c>
      <c r="AD2818" s="90">
        <v>4.95155318704174</v>
      </c>
      <c r="AF2818" s="90">
        <v>-1</v>
      </c>
      <c r="AG2818" s="90">
        <v>-1</v>
      </c>
      <c r="AH2818" s="90">
        <v>-1</v>
      </c>
      <c r="AI2818" s="90">
        <v>-1</v>
      </c>
      <c r="AJ2818" s="90">
        <v>0</v>
      </c>
      <c r="AM2818" s="90" t="s">
        <v>379</v>
      </c>
      <c r="AN2818" s="90">
        <v>-1</v>
      </c>
      <c r="AQ2818" s="90">
        <v>358</v>
      </c>
      <c r="AR2818" s="90" t="s">
        <v>422</v>
      </c>
      <c r="AS2818" s="90" t="s">
        <v>250</v>
      </c>
      <c r="AT2818" s="90" t="s">
        <v>244</v>
      </c>
      <c r="AU2818" s="90">
        <v>86.412649999999999</v>
      </c>
      <c r="AV2818" s="90">
        <v>10.236668245519301</v>
      </c>
      <c r="AW2818" s="90">
        <v>0.66413244583414999</v>
      </c>
      <c r="AX2818" s="90">
        <v>4.0158581999999998E-3</v>
      </c>
    </row>
    <row r="2819" spans="1:50" x14ac:dyDescent="0.25">
      <c r="A2819" s="102">
        <v>840000</v>
      </c>
      <c r="B2819" s="102">
        <v>2400000</v>
      </c>
      <c r="C2819" s="102">
        <v>2400000</v>
      </c>
      <c r="D2819" s="90" t="s">
        <v>374</v>
      </c>
      <c r="E2819" s="90" t="s">
        <v>68</v>
      </c>
      <c r="F2819" s="90" t="s">
        <v>375</v>
      </c>
      <c r="G2819" s="90" t="s">
        <v>376</v>
      </c>
      <c r="H2819" s="90">
        <v>0.59</v>
      </c>
      <c r="I2819" s="90">
        <v>0.64</v>
      </c>
      <c r="J2819" s="90" t="s">
        <v>381</v>
      </c>
      <c r="K2819" s="90">
        <v>1.20424609835E-3</v>
      </c>
      <c r="L2819" s="90">
        <v>3618.6125122257199</v>
      </c>
      <c r="M2819" s="90">
        <v>8.9028021953563101</v>
      </c>
      <c r="N2819" s="90">
        <v>1.5077956406829101</v>
      </c>
      <c r="O2819" s="90">
        <v>1.072116480822E-2</v>
      </c>
      <c r="P2819" s="90">
        <v>1.81575701741E-3</v>
      </c>
      <c r="Q2819" s="90">
        <v>4.3576999993208796</v>
      </c>
      <c r="R2819" s="90">
        <v>1300</v>
      </c>
      <c r="S2819" s="90" t="s">
        <v>387</v>
      </c>
      <c r="T2819" s="90">
        <v>1300</v>
      </c>
      <c r="U2819" s="90" t="s">
        <v>382</v>
      </c>
      <c r="V2819" s="90" t="s">
        <v>381</v>
      </c>
      <c r="Z2819" s="90">
        <v>0</v>
      </c>
      <c r="AA2819" s="90">
        <v>1</v>
      </c>
      <c r="AB2819" s="90">
        <v>1.072116480822E-2</v>
      </c>
      <c r="AC2819" s="90">
        <v>1.81575701741E-3</v>
      </c>
      <c r="AD2819" s="90">
        <v>4.95155318704174</v>
      </c>
      <c r="AF2819" s="90">
        <v>-1</v>
      </c>
      <c r="AG2819" s="90">
        <v>-1</v>
      </c>
      <c r="AH2819" s="90">
        <v>-1</v>
      </c>
      <c r="AI2819" s="90">
        <v>-1</v>
      </c>
      <c r="AJ2819" s="90">
        <v>0</v>
      </c>
      <c r="AM2819" s="90" t="s">
        <v>379</v>
      </c>
      <c r="AN2819" s="90">
        <v>-1</v>
      </c>
      <c r="AQ2819" s="90">
        <v>358</v>
      </c>
      <c r="AR2819" s="90" t="s">
        <v>422</v>
      </c>
      <c r="AS2819" s="90" t="s">
        <v>250</v>
      </c>
      <c r="AT2819" s="90" t="s">
        <v>244</v>
      </c>
      <c r="AU2819" s="90">
        <v>86.412649999999999</v>
      </c>
      <c r="AV2819" s="90">
        <v>90.246662469555702</v>
      </c>
      <c r="AW2819" s="90">
        <v>4.8734110572951996</v>
      </c>
      <c r="AX2819" s="90">
        <v>4.0158581999999998E-3</v>
      </c>
    </row>
    <row r="2820" spans="1:50" x14ac:dyDescent="0.25">
      <c r="A2820" s="102">
        <v>840000</v>
      </c>
      <c r="B2820" s="102">
        <v>2400000</v>
      </c>
      <c r="C2820" s="102">
        <v>2400000</v>
      </c>
      <c r="D2820" s="90" t="s">
        <v>374</v>
      </c>
      <c r="E2820" s="90" t="s">
        <v>68</v>
      </c>
      <c r="F2820" s="90" t="s">
        <v>375</v>
      </c>
      <c r="G2820" s="90" t="s">
        <v>376</v>
      </c>
      <c r="H2820" s="90">
        <v>0.59</v>
      </c>
      <c r="I2820" s="90">
        <v>0.64</v>
      </c>
      <c r="J2820" s="90" t="s">
        <v>389</v>
      </c>
      <c r="K2820" s="90">
        <v>9.4271478051120003E-2</v>
      </c>
      <c r="L2820" s="90">
        <v>3618.6125122257199</v>
      </c>
      <c r="M2820" s="90">
        <v>8.9028021953563101</v>
      </c>
      <c r="N2820" s="90">
        <v>1.5077956406829101</v>
      </c>
      <c r="O2820" s="90">
        <v>0.83928032175302003</v>
      </c>
      <c r="P2820" s="90">
        <v>0.14214212364621001</v>
      </c>
      <c r="Q2820" s="90">
        <v>341.13195002180601</v>
      </c>
      <c r="R2820" s="90">
        <v>4340</v>
      </c>
      <c r="S2820" s="90" t="s">
        <v>404</v>
      </c>
      <c r="T2820" s="90">
        <v>4340</v>
      </c>
      <c r="U2820" s="90" t="s">
        <v>378</v>
      </c>
      <c r="V2820" s="90" t="s">
        <v>244</v>
      </c>
      <c r="Y2820" s="90" t="s">
        <v>389</v>
      </c>
      <c r="Z2820" s="90">
        <v>0</v>
      </c>
      <c r="AA2820" s="90">
        <v>1</v>
      </c>
      <c r="AB2820" s="90">
        <v>0.83928032175302003</v>
      </c>
      <c r="AC2820" s="90">
        <v>0.14214212364621001</v>
      </c>
      <c r="AD2820" s="90">
        <v>341.13195002180498</v>
      </c>
      <c r="AF2820" s="90">
        <v>-1</v>
      </c>
      <c r="AG2820" s="90">
        <v>-1</v>
      </c>
      <c r="AH2820" s="90">
        <v>-1</v>
      </c>
      <c r="AI2820" s="90">
        <v>-1</v>
      </c>
      <c r="AJ2820" s="90">
        <v>0</v>
      </c>
      <c r="AM2820" s="90" t="s">
        <v>379</v>
      </c>
      <c r="AN2820" s="90">
        <v>-1</v>
      </c>
      <c r="AQ2820" s="90">
        <v>358</v>
      </c>
      <c r="AR2820" s="90" t="s">
        <v>422</v>
      </c>
      <c r="AS2820" s="90" t="s">
        <v>250</v>
      </c>
      <c r="AT2820" s="90" t="s">
        <v>244</v>
      </c>
      <c r="AU2820" s="90">
        <v>86.412649999999999</v>
      </c>
      <c r="AV2820" s="90">
        <v>102.777510039456</v>
      </c>
      <c r="AW2820" s="90">
        <v>381.50313640032698</v>
      </c>
      <c r="AX2820" s="90">
        <v>0.27666824820000002</v>
      </c>
    </row>
    <row r="2821" spans="1:50" x14ac:dyDescent="0.25">
      <c r="A2821" s="102">
        <v>840000</v>
      </c>
      <c r="B2821" s="102">
        <v>2400000</v>
      </c>
      <c r="C2821" s="102">
        <v>2400000</v>
      </c>
      <c r="D2821" s="90" t="s">
        <v>374</v>
      </c>
      <c r="E2821" s="90" t="s">
        <v>68</v>
      </c>
      <c r="F2821" s="90" t="s">
        <v>375</v>
      </c>
      <c r="G2821" s="90" t="s">
        <v>376</v>
      </c>
      <c r="H2821" s="90">
        <v>0.59</v>
      </c>
      <c r="I2821" s="90">
        <v>0.64</v>
      </c>
      <c r="J2821" s="90" t="s">
        <v>244</v>
      </c>
      <c r="K2821" s="90">
        <v>2.56124627369E-3</v>
      </c>
      <c r="L2821" s="90">
        <v>3618.6125122257199</v>
      </c>
      <c r="M2821" s="90">
        <v>8.9028021953563101</v>
      </c>
      <c r="N2821" s="90">
        <v>1.5077956406829101</v>
      </c>
      <c r="O2821" s="90">
        <v>2.2802268948329998E-2</v>
      </c>
      <c r="P2821" s="90">
        <v>3.8618359661900001E-3</v>
      </c>
      <c r="Q2821" s="90">
        <v>9.2681578128986999</v>
      </c>
      <c r="R2821" s="90">
        <v>1200</v>
      </c>
      <c r="S2821" s="90" t="s">
        <v>384</v>
      </c>
      <c r="T2821" s="90">
        <v>1200</v>
      </c>
      <c r="U2821" s="90" t="s">
        <v>378</v>
      </c>
      <c r="V2821" s="90" t="s">
        <v>244</v>
      </c>
      <c r="Z2821" s="90">
        <v>0</v>
      </c>
      <c r="AA2821" s="90">
        <v>1</v>
      </c>
      <c r="AB2821" s="90">
        <v>2.2802268948329998E-2</v>
      </c>
      <c r="AC2821" s="90">
        <v>3.8618359661900001E-3</v>
      </c>
      <c r="AD2821" s="90">
        <v>9.2681578128979094</v>
      </c>
      <c r="AF2821" s="90">
        <v>-1</v>
      </c>
      <c r="AG2821" s="90">
        <v>-1</v>
      </c>
      <c r="AH2821" s="90">
        <v>-1</v>
      </c>
      <c r="AI2821" s="90">
        <v>-1</v>
      </c>
      <c r="AJ2821" s="90">
        <v>0</v>
      </c>
      <c r="AM2821" s="90" t="s">
        <v>379</v>
      </c>
      <c r="AN2821" s="90">
        <v>-1</v>
      </c>
      <c r="AQ2821" s="90">
        <v>358</v>
      </c>
      <c r="AR2821" s="90" t="s">
        <v>422</v>
      </c>
      <c r="AS2821" s="90" t="s">
        <v>250</v>
      </c>
      <c r="AT2821" s="90" t="s">
        <v>244</v>
      </c>
      <c r="AU2821" s="90">
        <v>86.412649999999999</v>
      </c>
      <c r="AV2821" s="90">
        <v>19.8597661273513</v>
      </c>
      <c r="AW2821" s="90">
        <v>10.3649959320659</v>
      </c>
      <c r="AX2821" s="90">
        <v>7.5167541000000001E-3</v>
      </c>
    </row>
    <row r="2822" spans="1:50" x14ac:dyDescent="0.25">
      <c r="A2822" s="102">
        <v>840000</v>
      </c>
      <c r="B2822" s="102">
        <v>2400000</v>
      </c>
      <c r="C2822" s="102">
        <v>2400000</v>
      </c>
      <c r="D2822" s="90" t="s">
        <v>374</v>
      </c>
      <c r="E2822" s="90" t="s">
        <v>68</v>
      </c>
      <c r="F2822" s="90" t="s">
        <v>375</v>
      </c>
      <c r="G2822" s="90" t="s">
        <v>376</v>
      </c>
      <c r="H2822" s="90">
        <v>0.59</v>
      </c>
      <c r="I2822" s="90">
        <v>0.64</v>
      </c>
      <c r="J2822" s="90" t="s">
        <v>244</v>
      </c>
      <c r="K2822" s="90">
        <v>8.0070380774279998E-2</v>
      </c>
      <c r="L2822" s="90">
        <v>3618.6125122257199</v>
      </c>
      <c r="M2822" s="90">
        <v>8.9028021953563101</v>
      </c>
      <c r="N2822" s="90">
        <v>1.5077956406829101</v>
      </c>
      <c r="O2822" s="90">
        <v>0.71285076174031003</v>
      </c>
      <c r="P2822" s="90">
        <v>0.12072977107928</v>
      </c>
      <c r="Q2822" s="90">
        <v>289.74368172850097</v>
      </c>
      <c r="R2822" s="90">
        <v>1210</v>
      </c>
      <c r="S2822" s="90" t="s">
        <v>385</v>
      </c>
      <c r="T2822" s="90">
        <v>1210</v>
      </c>
      <c r="U2822" s="90" t="s">
        <v>378</v>
      </c>
      <c r="V2822" s="90" t="s">
        <v>244</v>
      </c>
      <c r="Z2822" s="90">
        <v>0</v>
      </c>
      <c r="AA2822" s="90">
        <v>1</v>
      </c>
      <c r="AB2822" s="90">
        <v>0.71285076174031003</v>
      </c>
      <c r="AC2822" s="90">
        <v>0.12072977107928</v>
      </c>
      <c r="AD2822" s="90">
        <v>289.74368172850001</v>
      </c>
      <c r="AF2822" s="90">
        <v>-1</v>
      </c>
      <c r="AG2822" s="90">
        <v>-1</v>
      </c>
      <c r="AH2822" s="90">
        <v>-1</v>
      </c>
      <c r="AI2822" s="90">
        <v>-1</v>
      </c>
      <c r="AJ2822" s="90">
        <v>0</v>
      </c>
      <c r="AM2822" s="90" t="s">
        <v>379</v>
      </c>
      <c r="AN2822" s="90">
        <v>-1</v>
      </c>
      <c r="AQ2822" s="90">
        <v>358</v>
      </c>
      <c r="AR2822" s="90" t="s">
        <v>422</v>
      </c>
      <c r="AS2822" s="90" t="s">
        <v>250</v>
      </c>
      <c r="AT2822" s="90" t="s">
        <v>244</v>
      </c>
      <c r="AU2822" s="90">
        <v>86.412649999999999</v>
      </c>
      <c r="AV2822" s="90">
        <v>73.183564758257901</v>
      </c>
      <c r="AW2822" s="90">
        <v>324.033334680422</v>
      </c>
      <c r="AX2822" s="90">
        <v>0.2349908205</v>
      </c>
    </row>
    <row r="2823" spans="1:50" x14ac:dyDescent="0.25">
      <c r="A2823" s="102">
        <v>840000</v>
      </c>
      <c r="B2823" s="102">
        <v>2400000</v>
      </c>
      <c r="C2823" s="102">
        <v>2400000</v>
      </c>
      <c r="D2823" s="90" t="s">
        <v>374</v>
      </c>
      <c r="E2823" s="90" t="s">
        <v>68</v>
      </c>
      <c r="F2823" s="90" t="s">
        <v>375</v>
      </c>
      <c r="G2823" s="90" t="s">
        <v>376</v>
      </c>
      <c r="H2823" s="90">
        <v>0.59</v>
      </c>
      <c r="I2823" s="90">
        <v>0.64</v>
      </c>
      <c r="J2823" s="90" t="s">
        <v>244</v>
      </c>
      <c r="K2823" s="90">
        <v>6.8704302676499997E-3</v>
      </c>
      <c r="L2823" s="90">
        <v>3618.6125122257199</v>
      </c>
      <c r="M2823" s="90">
        <v>8.9028021953563101</v>
      </c>
      <c r="N2823" s="90">
        <v>1.5077956406829101</v>
      </c>
      <c r="O2823" s="90">
        <v>6.1166081669919999E-2</v>
      </c>
      <c r="P2823" s="90">
        <v>1.035920480718E-2</v>
      </c>
      <c r="Q2823" s="90">
        <v>24.861424930910701</v>
      </c>
      <c r="R2823" s="90">
        <v>1210</v>
      </c>
      <c r="S2823" s="90" t="s">
        <v>385</v>
      </c>
      <c r="T2823" s="90">
        <v>1210</v>
      </c>
      <c r="U2823" s="90" t="s">
        <v>378</v>
      </c>
      <c r="V2823" s="90" t="s">
        <v>244</v>
      </c>
      <c r="Z2823" s="90">
        <v>0</v>
      </c>
      <c r="AA2823" s="90">
        <v>1</v>
      </c>
      <c r="AB2823" s="90">
        <v>6.1166081669919999E-2</v>
      </c>
      <c r="AC2823" s="90">
        <v>1.035920480718E-2</v>
      </c>
      <c r="AD2823" s="90">
        <v>24.861424930909301</v>
      </c>
      <c r="AF2823" s="90">
        <v>-1</v>
      </c>
      <c r="AG2823" s="90">
        <v>-1</v>
      </c>
      <c r="AH2823" s="90">
        <v>-1</v>
      </c>
      <c r="AI2823" s="90">
        <v>-1</v>
      </c>
      <c r="AJ2823" s="90">
        <v>0</v>
      </c>
      <c r="AM2823" s="90" t="s">
        <v>379</v>
      </c>
      <c r="AN2823" s="90">
        <v>-1</v>
      </c>
      <c r="AQ2823" s="90">
        <v>358</v>
      </c>
      <c r="AR2823" s="90" t="s">
        <v>422</v>
      </c>
      <c r="AS2823" s="90" t="s">
        <v>250</v>
      </c>
      <c r="AT2823" s="90" t="s">
        <v>244</v>
      </c>
      <c r="AU2823" s="90">
        <v>86.412649999999999</v>
      </c>
      <c r="AV2823" s="90">
        <v>35.258683241355698</v>
      </c>
      <c r="AW2823" s="90">
        <v>27.8036448533095</v>
      </c>
      <c r="AX2823" s="90">
        <v>2.01633617E-2</v>
      </c>
    </row>
    <row r="2824" spans="1:50" x14ac:dyDescent="0.25">
      <c r="A2824" s="102">
        <v>840000</v>
      </c>
      <c r="B2824" s="102">
        <v>2400000</v>
      </c>
      <c r="C2824" s="102">
        <v>2400000</v>
      </c>
      <c r="D2824" s="90" t="s">
        <v>374</v>
      </c>
      <c r="E2824" s="90" t="s">
        <v>68</v>
      </c>
      <c r="F2824" s="90" t="s">
        <v>375</v>
      </c>
      <c r="G2824" s="90" t="s">
        <v>376</v>
      </c>
      <c r="H2824" s="90">
        <v>0.59</v>
      </c>
      <c r="I2824" s="90">
        <v>0.64</v>
      </c>
      <c r="J2824" s="90" t="s">
        <v>381</v>
      </c>
      <c r="K2824" s="90">
        <v>1.505721411E-5</v>
      </c>
      <c r="L2824" s="90">
        <v>3618.6125122257199</v>
      </c>
      <c r="M2824" s="90">
        <v>8.9028021953563101</v>
      </c>
      <c r="N2824" s="90">
        <v>1.5077956406829101</v>
      </c>
      <c r="O2824" s="90">
        <v>1.3405139883E-4</v>
      </c>
      <c r="P2824" s="90">
        <v>2.2703201789999999E-5</v>
      </c>
      <c r="Q2824" s="90">
        <v>5.4486223377699997E-2</v>
      </c>
      <c r="R2824" s="90">
        <v>1210</v>
      </c>
      <c r="S2824" s="90" t="s">
        <v>385</v>
      </c>
      <c r="T2824" s="90">
        <v>1210</v>
      </c>
      <c r="U2824" s="90" t="s">
        <v>382</v>
      </c>
      <c r="V2824" s="90" t="s">
        <v>381</v>
      </c>
      <c r="Z2824" s="90">
        <v>0</v>
      </c>
      <c r="AA2824" s="90">
        <v>1</v>
      </c>
      <c r="AB2824" s="90">
        <v>1.3405139883E-4</v>
      </c>
      <c r="AC2824" s="90">
        <v>2.2703201789999999E-5</v>
      </c>
      <c r="AD2824" s="90">
        <v>5.448622337747E-2</v>
      </c>
      <c r="AF2824" s="90">
        <v>-1</v>
      </c>
      <c r="AG2824" s="90">
        <v>-1</v>
      </c>
      <c r="AH2824" s="90">
        <v>-1</v>
      </c>
      <c r="AI2824" s="90">
        <v>-1</v>
      </c>
      <c r="AJ2824" s="90">
        <v>0</v>
      </c>
      <c r="AM2824" s="90" t="s">
        <v>379</v>
      </c>
      <c r="AN2824" s="90">
        <v>-1</v>
      </c>
      <c r="AQ2824" s="90">
        <v>358</v>
      </c>
      <c r="AR2824" s="90" t="s">
        <v>422</v>
      </c>
      <c r="AS2824" s="90" t="s">
        <v>250</v>
      </c>
      <c r="AT2824" s="90" t="s">
        <v>244</v>
      </c>
      <c r="AU2824" s="90">
        <v>86.412649999999999</v>
      </c>
      <c r="AV2824" s="90">
        <v>4.1046844949349701</v>
      </c>
      <c r="AW2824" s="90">
        <v>6.0934383624240002E-2</v>
      </c>
      <c r="AX2824" s="90">
        <v>4.4190000000000002E-5</v>
      </c>
    </row>
    <row r="2825" spans="1:50" x14ac:dyDescent="0.25">
      <c r="A2825" s="102">
        <v>840000</v>
      </c>
      <c r="B2825" s="102">
        <v>2400000</v>
      </c>
      <c r="C2825" s="102">
        <v>2400000</v>
      </c>
      <c r="D2825" s="90" t="s">
        <v>374</v>
      </c>
      <c r="E2825" s="90" t="s">
        <v>68</v>
      </c>
      <c r="F2825" s="90" t="s">
        <v>375</v>
      </c>
      <c r="G2825" s="90" t="s">
        <v>376</v>
      </c>
      <c r="H2825" s="90">
        <v>0.59</v>
      </c>
      <c r="I2825" s="90">
        <v>0.64</v>
      </c>
      <c r="J2825" s="90" t="s">
        <v>244</v>
      </c>
      <c r="K2825" s="90">
        <v>5.3905353843939997E-2</v>
      </c>
      <c r="L2825" s="90">
        <v>3618.6125122257199</v>
      </c>
      <c r="M2825" s="90">
        <v>8.9028021953563101</v>
      </c>
      <c r="N2825" s="90">
        <v>1.5077956406829101</v>
      </c>
      <c r="O2825" s="90">
        <v>0.47990870254328</v>
      </c>
      <c r="P2825" s="90">
        <v>8.1278257535359999E-2</v>
      </c>
      <c r="Q2825" s="90">
        <v>195.062587895636</v>
      </c>
      <c r="R2825" s="90">
        <v>1210</v>
      </c>
      <c r="S2825" s="90" t="s">
        <v>385</v>
      </c>
      <c r="T2825" s="90">
        <v>1210</v>
      </c>
      <c r="U2825" s="90" t="s">
        <v>378</v>
      </c>
      <c r="V2825" s="90" t="s">
        <v>244</v>
      </c>
      <c r="Z2825" s="90">
        <v>0</v>
      </c>
      <c r="AA2825" s="90">
        <v>1</v>
      </c>
      <c r="AB2825" s="90">
        <v>0.47990870254328</v>
      </c>
      <c r="AC2825" s="90">
        <v>8.1278257535359999E-2</v>
      </c>
      <c r="AD2825" s="90">
        <v>195.06258789563699</v>
      </c>
      <c r="AF2825" s="90">
        <v>-1</v>
      </c>
      <c r="AG2825" s="90">
        <v>-1</v>
      </c>
      <c r="AH2825" s="90">
        <v>-1</v>
      </c>
      <c r="AI2825" s="90">
        <v>-1</v>
      </c>
      <c r="AJ2825" s="90">
        <v>0</v>
      </c>
      <c r="AM2825" s="90" t="s">
        <v>379</v>
      </c>
      <c r="AN2825" s="90">
        <v>-1</v>
      </c>
      <c r="AQ2825" s="90">
        <v>358</v>
      </c>
      <c r="AR2825" s="90" t="s">
        <v>422</v>
      </c>
      <c r="AS2825" s="90" t="s">
        <v>250</v>
      </c>
      <c r="AT2825" s="90" t="s">
        <v>244</v>
      </c>
      <c r="AU2825" s="90">
        <v>86.412649999999999</v>
      </c>
      <c r="AV2825" s="90">
        <v>59.166284330353001</v>
      </c>
      <c r="AW2825" s="90">
        <v>218.14722740509399</v>
      </c>
      <c r="AX2825" s="90">
        <v>0.15820161220000001</v>
      </c>
    </row>
    <row r="2826" spans="1:50" x14ac:dyDescent="0.25">
      <c r="A2826" s="102">
        <v>840000</v>
      </c>
      <c r="B2826" s="102">
        <v>2400000</v>
      </c>
      <c r="C2826" s="102">
        <v>2400000</v>
      </c>
      <c r="D2826" s="90" t="s">
        <v>374</v>
      </c>
      <c r="E2826" s="90" t="s">
        <v>68</v>
      </c>
      <c r="F2826" s="90" t="s">
        <v>375</v>
      </c>
      <c r="G2826" s="90" t="s">
        <v>376</v>
      </c>
      <c r="H2826" s="90">
        <v>0.59</v>
      </c>
      <c r="I2826" s="90">
        <v>0.64</v>
      </c>
      <c r="J2826" s="90" t="s">
        <v>381</v>
      </c>
      <c r="K2826" s="102">
        <v>7.8586911129999992E-6</v>
      </c>
      <c r="L2826" s="90">
        <v>3618.6125122257199</v>
      </c>
      <c r="M2826" s="90">
        <v>8.9028021953563101</v>
      </c>
      <c r="N2826" s="90">
        <v>1.5077956406829101</v>
      </c>
      <c r="O2826" s="90">
        <v>6.9964372489999995E-5</v>
      </c>
      <c r="P2826" s="90">
        <v>1.18493002E-5</v>
      </c>
      <c r="Q2826" s="90">
        <v>2.8437557991210002E-2</v>
      </c>
      <c r="R2826" s="90">
        <v>1210</v>
      </c>
      <c r="S2826" s="90" t="s">
        <v>385</v>
      </c>
      <c r="T2826" s="90">
        <v>1210</v>
      </c>
      <c r="U2826" s="90" t="s">
        <v>382</v>
      </c>
      <c r="V2826" s="90" t="s">
        <v>381</v>
      </c>
      <c r="Z2826" s="90">
        <v>0</v>
      </c>
      <c r="AA2826" s="90">
        <v>1</v>
      </c>
      <c r="AB2826" s="90">
        <v>6.9964372489999995E-5</v>
      </c>
      <c r="AC2826" s="90">
        <v>1.18493002E-5</v>
      </c>
      <c r="AD2826" s="90">
        <v>2.8437557989600001E-2</v>
      </c>
      <c r="AF2826" s="90">
        <v>-1</v>
      </c>
      <c r="AG2826" s="90">
        <v>-1</v>
      </c>
      <c r="AH2826" s="90">
        <v>-1</v>
      </c>
      <c r="AI2826" s="90">
        <v>-1</v>
      </c>
      <c r="AJ2826" s="90">
        <v>0</v>
      </c>
      <c r="AM2826" s="90" t="s">
        <v>379</v>
      </c>
      <c r="AN2826" s="90">
        <v>-1</v>
      </c>
      <c r="AQ2826" s="90">
        <v>358</v>
      </c>
      <c r="AR2826" s="90" t="s">
        <v>422</v>
      </c>
      <c r="AS2826" s="90" t="s">
        <v>250</v>
      </c>
      <c r="AT2826" s="90" t="s">
        <v>244</v>
      </c>
      <c r="AU2826" s="90">
        <v>86.412649999999999</v>
      </c>
      <c r="AV2826" s="90">
        <v>5.7366395072694898</v>
      </c>
      <c r="AW2826" s="90">
        <v>3.1802994600489999E-2</v>
      </c>
      <c r="AX2826" s="90">
        <v>2.3063700000000001E-5</v>
      </c>
    </row>
    <row r="2827" spans="1:50" x14ac:dyDescent="0.25">
      <c r="A2827" s="102">
        <v>840000</v>
      </c>
      <c r="B2827" s="102">
        <v>2400000</v>
      </c>
      <c r="C2827" s="102">
        <v>2400000</v>
      </c>
      <c r="D2827" s="90" t="s">
        <v>374</v>
      </c>
      <c r="E2827" s="90" t="s">
        <v>68</v>
      </c>
      <c r="F2827" s="90" t="s">
        <v>375</v>
      </c>
      <c r="G2827" s="90" t="s">
        <v>376</v>
      </c>
      <c r="H2827" s="90">
        <v>0.59</v>
      </c>
      <c r="I2827" s="90">
        <v>0.64</v>
      </c>
      <c r="J2827" s="90" t="s">
        <v>244</v>
      </c>
      <c r="K2827" s="90">
        <v>0.19598380778209001</v>
      </c>
      <c r="L2827" s="90">
        <v>3761.35678253276</v>
      </c>
      <c r="M2827" s="90">
        <v>8.7597005472687606</v>
      </c>
      <c r="N2827" s="90">
        <v>1.41947732791967</v>
      </c>
      <c r="O2827" s="90">
        <v>1.7167594682846401</v>
      </c>
      <c r="P2827" s="90">
        <v>0.27819457178605</v>
      </c>
      <c r="Q2827" s="90">
        <v>737.16502466778502</v>
      </c>
      <c r="R2827" s="90">
        <v>1390</v>
      </c>
      <c r="S2827" s="90" t="s">
        <v>402</v>
      </c>
      <c r="T2827" s="90">
        <v>1390</v>
      </c>
      <c r="U2827" s="90" t="s">
        <v>378</v>
      </c>
      <c r="V2827" s="90" t="s">
        <v>244</v>
      </c>
      <c r="Z2827" s="90">
        <v>0</v>
      </c>
      <c r="AA2827" s="90">
        <v>1</v>
      </c>
      <c r="AB2827" s="90">
        <v>1.7167594682846401</v>
      </c>
      <c r="AC2827" s="90">
        <v>0.27819457178605</v>
      </c>
      <c r="AD2827" s="90">
        <v>737.16502466778502</v>
      </c>
      <c r="AF2827" s="90">
        <v>-1</v>
      </c>
      <c r="AG2827" s="90">
        <v>-1</v>
      </c>
      <c r="AH2827" s="90">
        <v>-1</v>
      </c>
      <c r="AI2827" s="90">
        <v>-1</v>
      </c>
      <c r="AJ2827" s="90">
        <v>0</v>
      </c>
      <c r="AM2827" s="90" t="s">
        <v>379</v>
      </c>
      <c r="AN2827" s="90">
        <v>-1</v>
      </c>
      <c r="AQ2827" s="90">
        <v>358</v>
      </c>
      <c r="AR2827" s="90" t="s">
        <v>422</v>
      </c>
      <c r="AS2827" s="90" t="s">
        <v>250</v>
      </c>
      <c r="AT2827" s="90" t="s">
        <v>244</v>
      </c>
      <c r="AU2827" s="90">
        <v>86.412649999999999</v>
      </c>
      <c r="AV2827" s="90">
        <v>120.799167843943</v>
      </c>
      <c r="AW2827" s="90">
        <v>793.11833120938195</v>
      </c>
      <c r="AX2827" s="90">
        <v>0.59786295590000005</v>
      </c>
    </row>
    <row r="2828" spans="1:50" x14ac:dyDescent="0.25">
      <c r="A2828" s="102">
        <v>840000</v>
      </c>
      <c r="B2828" s="102">
        <v>2400000</v>
      </c>
      <c r="C2828" s="102">
        <v>2400000</v>
      </c>
      <c r="D2828" s="90" t="s">
        <v>374</v>
      </c>
      <c r="E2828" s="90" t="s">
        <v>68</v>
      </c>
      <c r="F2828" s="90" t="s">
        <v>375</v>
      </c>
      <c r="G2828" s="90" t="s">
        <v>376</v>
      </c>
      <c r="H2828" s="90">
        <v>0.59</v>
      </c>
      <c r="I2828" s="90">
        <v>0.64</v>
      </c>
      <c r="J2828" s="90" t="s">
        <v>244</v>
      </c>
      <c r="K2828" s="90">
        <v>7.2890600396829999E-2</v>
      </c>
      <c r="L2828" s="90">
        <v>3761.35678253276</v>
      </c>
      <c r="M2828" s="90">
        <v>8.7597005472687606</v>
      </c>
      <c r="N2828" s="90">
        <v>1.41947732791967</v>
      </c>
      <c r="O2828" s="90">
        <v>0.63849983218688999</v>
      </c>
      <c r="P2828" s="90">
        <v>0.10346655468175001</v>
      </c>
      <c r="Q2828" s="90">
        <v>274.16755418551702</v>
      </c>
      <c r="R2828" s="90">
        <v>1300</v>
      </c>
      <c r="S2828" s="90" t="s">
        <v>387</v>
      </c>
      <c r="T2828" s="90">
        <v>1300</v>
      </c>
      <c r="U2828" s="90" t="s">
        <v>378</v>
      </c>
      <c r="V2828" s="90" t="s">
        <v>244</v>
      </c>
      <c r="Z2828" s="90">
        <v>0</v>
      </c>
      <c r="AA2828" s="90">
        <v>1</v>
      </c>
      <c r="AB2828" s="90">
        <v>0.63849983218688999</v>
      </c>
      <c r="AC2828" s="90">
        <v>0.10346655468175001</v>
      </c>
      <c r="AD2828" s="90">
        <v>546.262070062107</v>
      </c>
      <c r="AF2828" s="90">
        <v>-1</v>
      </c>
      <c r="AG2828" s="90">
        <v>-1</v>
      </c>
      <c r="AH2828" s="90">
        <v>-1</v>
      </c>
      <c r="AI2828" s="90">
        <v>-1</v>
      </c>
      <c r="AJ2828" s="90">
        <v>0</v>
      </c>
      <c r="AM2828" s="90" t="s">
        <v>379</v>
      </c>
      <c r="AN2828" s="90">
        <v>-1</v>
      </c>
      <c r="AQ2828" s="90">
        <v>358</v>
      </c>
      <c r="AR2828" s="90" t="s">
        <v>422</v>
      </c>
      <c r="AS2828" s="90" t="s">
        <v>250</v>
      </c>
      <c r="AT2828" s="90" t="s">
        <v>244</v>
      </c>
      <c r="AU2828" s="90">
        <v>86.412649999999999</v>
      </c>
      <c r="AV2828" s="90">
        <v>111.54653867627501</v>
      </c>
      <c r="AW2828" s="90">
        <v>294.977794348521</v>
      </c>
      <c r="AX2828" s="90">
        <v>0.44303493109999997</v>
      </c>
    </row>
    <row r="2829" spans="1:50" x14ac:dyDescent="0.25">
      <c r="A2829" s="102">
        <v>840000</v>
      </c>
      <c r="B2829" s="102">
        <v>2400000</v>
      </c>
      <c r="C2829" s="102">
        <v>2400000</v>
      </c>
      <c r="D2829" s="90" t="s">
        <v>374</v>
      </c>
      <c r="E2829" s="90" t="s">
        <v>68</v>
      </c>
      <c r="F2829" s="90" t="s">
        <v>375</v>
      </c>
      <c r="G2829" s="90" t="s">
        <v>376</v>
      </c>
      <c r="H2829" s="90">
        <v>0.59</v>
      </c>
      <c r="I2829" s="90">
        <v>0.64</v>
      </c>
      <c r="J2829" s="90" t="s">
        <v>244</v>
      </c>
      <c r="K2829" s="90">
        <v>7.233945929834E-2</v>
      </c>
      <c r="L2829" s="90">
        <v>3761.35678253276</v>
      </c>
      <c r="M2829" s="90">
        <v>8.7597005472687606</v>
      </c>
      <c r="N2829" s="90">
        <v>1.41947732791967</v>
      </c>
      <c r="O2829" s="90">
        <v>0.63367200120485001</v>
      </c>
      <c r="P2829" s="90">
        <v>0.10268422238797</v>
      </c>
      <c r="Q2829" s="90">
        <v>272.09451587658998</v>
      </c>
      <c r="R2829" s="90">
        <v>1300</v>
      </c>
      <c r="S2829" s="90" t="s">
        <v>387</v>
      </c>
      <c r="T2829" s="90">
        <v>1300</v>
      </c>
      <c r="U2829" s="90" t="s">
        <v>378</v>
      </c>
      <c r="V2829" s="90" t="s">
        <v>244</v>
      </c>
      <c r="Z2829" s="90">
        <v>0</v>
      </c>
      <c r="AA2829" s="90">
        <v>1</v>
      </c>
      <c r="AB2829" s="90">
        <v>0.63367200120485001</v>
      </c>
      <c r="AC2829" s="90">
        <v>0.10268422238797</v>
      </c>
      <c r="AD2829" s="90">
        <v>546.262070062107</v>
      </c>
      <c r="AF2829" s="90">
        <v>-1</v>
      </c>
      <c r="AG2829" s="90">
        <v>-1</v>
      </c>
      <c r="AH2829" s="90">
        <v>-1</v>
      </c>
      <c r="AI2829" s="90">
        <v>-1</v>
      </c>
      <c r="AJ2829" s="90">
        <v>0</v>
      </c>
      <c r="AM2829" s="90" t="s">
        <v>379</v>
      </c>
      <c r="AN2829" s="90">
        <v>-1</v>
      </c>
      <c r="AQ2829" s="90">
        <v>358</v>
      </c>
      <c r="AR2829" s="90" t="s">
        <v>422</v>
      </c>
      <c r="AS2829" s="90" t="s">
        <v>250</v>
      </c>
      <c r="AT2829" s="90" t="s">
        <v>244</v>
      </c>
      <c r="AU2829" s="90">
        <v>86.412649999999999</v>
      </c>
      <c r="AV2829" s="90">
        <v>115.045545247601</v>
      </c>
      <c r="AW2829" s="90">
        <v>292.74740545445701</v>
      </c>
      <c r="AX2829" s="90">
        <v>0.44303493109999997</v>
      </c>
    </row>
    <row r="2830" spans="1:50" x14ac:dyDescent="0.25">
      <c r="A2830" s="102">
        <v>840000</v>
      </c>
      <c r="B2830" s="102">
        <v>2400000</v>
      </c>
      <c r="C2830" s="102">
        <v>2400000</v>
      </c>
      <c r="D2830" s="90" t="s">
        <v>374</v>
      </c>
      <c r="E2830" s="90" t="s">
        <v>68</v>
      </c>
      <c r="F2830" s="90" t="s">
        <v>375</v>
      </c>
      <c r="G2830" s="90" t="s">
        <v>376</v>
      </c>
      <c r="H2830" s="90">
        <v>0.59</v>
      </c>
      <c r="I2830" s="90">
        <v>0.64</v>
      </c>
      <c r="J2830" s="90" t="s">
        <v>244</v>
      </c>
      <c r="K2830" s="90">
        <v>0.14445554223575999</v>
      </c>
      <c r="L2830" s="90">
        <v>3761.35678253276</v>
      </c>
      <c r="M2830" s="90">
        <v>8.7597005472687606</v>
      </c>
      <c r="N2830" s="90">
        <v>1.41947732791967</v>
      </c>
      <c r="O2830" s="90">
        <v>1.26538729237864</v>
      </c>
      <c r="P2830" s="90">
        <v>0.20505136709600999</v>
      </c>
      <c r="Q2830" s="90">
        <v>543.34883356294699</v>
      </c>
      <c r="R2830" s="90">
        <v>1210</v>
      </c>
      <c r="S2830" s="90" t="s">
        <v>385</v>
      </c>
      <c r="T2830" s="90">
        <v>1210</v>
      </c>
      <c r="U2830" s="90" t="s">
        <v>378</v>
      </c>
      <c r="V2830" s="90" t="s">
        <v>244</v>
      </c>
      <c r="Z2830" s="90">
        <v>0</v>
      </c>
      <c r="AA2830" s="90">
        <v>1</v>
      </c>
      <c r="AB2830" s="90">
        <v>1.26538729237864</v>
      </c>
      <c r="AC2830" s="90">
        <v>0.20505136709600999</v>
      </c>
      <c r="AD2830" s="90">
        <v>543.34883356294699</v>
      </c>
      <c r="AF2830" s="90">
        <v>-1</v>
      </c>
      <c r="AG2830" s="90">
        <v>-1</v>
      </c>
      <c r="AH2830" s="90">
        <v>-1</v>
      </c>
      <c r="AI2830" s="90">
        <v>-1</v>
      </c>
      <c r="AJ2830" s="90">
        <v>0</v>
      </c>
      <c r="AM2830" s="90" t="s">
        <v>379</v>
      </c>
      <c r="AN2830" s="90">
        <v>-1</v>
      </c>
      <c r="AQ2830" s="90">
        <v>358</v>
      </c>
      <c r="AR2830" s="90" t="s">
        <v>422</v>
      </c>
      <c r="AS2830" s="90" t="s">
        <v>250</v>
      </c>
      <c r="AT2830" s="90" t="s">
        <v>244</v>
      </c>
      <c r="AU2830" s="90">
        <v>86.412649999999999</v>
      </c>
      <c r="AV2830" s="90">
        <v>104.333542483633</v>
      </c>
      <c r="AW2830" s="90">
        <v>584.59083884808501</v>
      </c>
      <c r="AX2830" s="90">
        <v>0.44067220889999997</v>
      </c>
    </row>
    <row r="2831" spans="1:50" x14ac:dyDescent="0.25">
      <c r="A2831" s="102">
        <v>840000</v>
      </c>
      <c r="B2831" s="102">
        <v>2400000</v>
      </c>
      <c r="C2831" s="102">
        <v>2400000</v>
      </c>
      <c r="D2831" s="90" t="s">
        <v>374</v>
      </c>
      <c r="E2831" s="90" t="s">
        <v>68</v>
      </c>
      <c r="F2831" s="90" t="s">
        <v>375</v>
      </c>
      <c r="G2831" s="90" t="s">
        <v>376</v>
      </c>
      <c r="H2831" s="90">
        <v>0.59</v>
      </c>
      <c r="I2831" s="90">
        <v>0.64</v>
      </c>
      <c r="J2831" s="90" t="s">
        <v>244</v>
      </c>
      <c r="K2831" s="90">
        <v>2.5777943088390001E-2</v>
      </c>
      <c r="L2831" s="90">
        <v>3761.35678253276</v>
      </c>
      <c r="M2831" s="90">
        <v>8.7597005472687606</v>
      </c>
      <c r="N2831" s="90">
        <v>1.41947732791967</v>
      </c>
      <c r="O2831" s="90">
        <v>0.22580706217883001</v>
      </c>
      <c r="P2831" s="90">
        <v>3.659120577437E-2</v>
      </c>
      <c r="Q2831" s="90">
        <v>96.960041075259397</v>
      </c>
      <c r="R2831" s="90">
        <v>1210</v>
      </c>
      <c r="S2831" s="90" t="s">
        <v>385</v>
      </c>
      <c r="T2831" s="90">
        <v>1210</v>
      </c>
      <c r="U2831" s="90" t="s">
        <v>378</v>
      </c>
      <c r="V2831" s="90" t="s">
        <v>244</v>
      </c>
      <c r="Z2831" s="90">
        <v>0</v>
      </c>
      <c r="AA2831" s="90">
        <v>1</v>
      </c>
      <c r="AB2831" s="90">
        <v>0.22580706217883001</v>
      </c>
      <c r="AC2831" s="90">
        <v>3.659120577437E-2</v>
      </c>
      <c r="AD2831" s="90">
        <v>96.960041075257905</v>
      </c>
      <c r="AF2831" s="90">
        <v>-1</v>
      </c>
      <c r="AG2831" s="90">
        <v>-1</v>
      </c>
      <c r="AH2831" s="90">
        <v>-1</v>
      </c>
      <c r="AI2831" s="90">
        <v>-1</v>
      </c>
      <c r="AJ2831" s="90">
        <v>0</v>
      </c>
      <c r="AM2831" s="90" t="s">
        <v>379</v>
      </c>
      <c r="AN2831" s="90">
        <v>-1</v>
      </c>
      <c r="AQ2831" s="90">
        <v>358</v>
      </c>
      <c r="AR2831" s="90" t="s">
        <v>422</v>
      </c>
      <c r="AS2831" s="90" t="s">
        <v>250</v>
      </c>
      <c r="AT2831" s="90" t="s">
        <v>244</v>
      </c>
      <c r="AU2831" s="90">
        <v>86.412649999999999</v>
      </c>
      <c r="AV2831" s="90">
        <v>67.512398551240295</v>
      </c>
      <c r="AW2831" s="90">
        <v>104.319634543511</v>
      </c>
      <c r="AX2831" s="90">
        <v>7.8637502900000003E-2</v>
      </c>
    </row>
    <row r="2832" spans="1:50" x14ac:dyDescent="0.25">
      <c r="A2832" s="102">
        <v>840000</v>
      </c>
      <c r="B2832" s="102">
        <v>2400000</v>
      </c>
      <c r="C2832" s="102">
        <v>2400000</v>
      </c>
      <c r="D2832" s="90" t="s">
        <v>374</v>
      </c>
      <c r="E2832" s="90" t="s">
        <v>68</v>
      </c>
      <c r="F2832" s="90" t="s">
        <v>375</v>
      </c>
      <c r="G2832" s="90" t="s">
        <v>376</v>
      </c>
      <c r="H2832" s="90">
        <v>0.59</v>
      </c>
      <c r="I2832" s="90">
        <v>0.64</v>
      </c>
      <c r="J2832" s="90" t="s">
        <v>244</v>
      </c>
      <c r="K2832" s="90">
        <v>0.10334947220644</v>
      </c>
      <c r="L2832" s="90">
        <v>3761.35678253276</v>
      </c>
      <c r="M2832" s="90">
        <v>8.7597005472687606</v>
      </c>
      <c r="N2832" s="90">
        <v>1.41947732791967</v>
      </c>
      <c r="O2832" s="90">
        <v>0.90531042824675001</v>
      </c>
      <c r="P2832" s="90">
        <v>0.14670223264950999</v>
      </c>
      <c r="Q2832" s="90">
        <v>388.73423825490102</v>
      </c>
      <c r="R2832" s="90">
        <v>1210</v>
      </c>
      <c r="S2832" s="90" t="s">
        <v>385</v>
      </c>
      <c r="T2832" s="90">
        <v>1210</v>
      </c>
      <c r="U2832" s="90" t="s">
        <v>378</v>
      </c>
      <c r="V2832" s="90" t="s">
        <v>244</v>
      </c>
      <c r="Z2832" s="90">
        <v>0</v>
      </c>
      <c r="AA2832" s="90">
        <v>1</v>
      </c>
      <c r="AB2832" s="90">
        <v>0.90531042824675001</v>
      </c>
      <c r="AC2832" s="90">
        <v>0.14670223264950999</v>
      </c>
      <c r="AD2832" s="90">
        <v>388.73423825490102</v>
      </c>
      <c r="AF2832" s="90">
        <v>-1</v>
      </c>
      <c r="AG2832" s="90">
        <v>-1</v>
      </c>
      <c r="AH2832" s="90">
        <v>-1</v>
      </c>
      <c r="AI2832" s="90">
        <v>-1</v>
      </c>
      <c r="AJ2832" s="90">
        <v>0</v>
      </c>
      <c r="AM2832" s="90" t="s">
        <v>379</v>
      </c>
      <c r="AN2832" s="90">
        <v>-1</v>
      </c>
      <c r="AQ2832" s="90">
        <v>358</v>
      </c>
      <c r="AR2832" s="90" t="s">
        <v>422</v>
      </c>
      <c r="AS2832" s="90" t="s">
        <v>250</v>
      </c>
      <c r="AT2832" s="90" t="s">
        <v>244</v>
      </c>
      <c r="AU2832" s="90">
        <v>86.412649999999999</v>
      </c>
      <c r="AV2832" s="90">
        <v>93.972997361425001</v>
      </c>
      <c r="AW2832" s="90">
        <v>418.240475350309</v>
      </c>
      <c r="AX2832" s="90">
        <v>0.31527513239999999</v>
      </c>
    </row>
    <row r="2833" spans="1:50" x14ac:dyDescent="0.25">
      <c r="A2833" s="102">
        <v>840000</v>
      </c>
      <c r="B2833" s="102">
        <v>2400000</v>
      </c>
      <c r="C2833" s="102">
        <v>2400000</v>
      </c>
      <c r="D2833" s="90" t="s">
        <v>374</v>
      </c>
      <c r="E2833" s="90" t="s">
        <v>68</v>
      </c>
      <c r="F2833" s="90" t="s">
        <v>375</v>
      </c>
      <c r="G2833" s="90" t="s">
        <v>376</v>
      </c>
      <c r="H2833" s="90">
        <v>0.59</v>
      </c>
      <c r="I2833" s="90">
        <v>0.64</v>
      </c>
      <c r="J2833" s="90" t="s">
        <v>244</v>
      </c>
      <c r="K2833" s="90">
        <v>4.6997659216E-4</v>
      </c>
      <c r="L2833" s="90">
        <v>3761.35678253276</v>
      </c>
      <c r="M2833" s="90">
        <v>8.7597005472687606</v>
      </c>
      <c r="N2833" s="90">
        <v>1.41947732791967</v>
      </c>
      <c r="O2833" s="90">
        <v>4.1168542116000002E-3</v>
      </c>
      <c r="P2833" s="90">
        <v>6.6712111723000002E-4</v>
      </c>
      <c r="Q2833" s="90">
        <v>1.7677496425752199</v>
      </c>
      <c r="R2833" s="90">
        <v>1210</v>
      </c>
      <c r="S2833" s="90" t="s">
        <v>385</v>
      </c>
      <c r="T2833" s="90">
        <v>1210</v>
      </c>
      <c r="U2833" s="90" t="s">
        <v>378</v>
      </c>
      <c r="V2833" s="90" t="s">
        <v>244</v>
      </c>
      <c r="Z2833" s="90">
        <v>0</v>
      </c>
      <c r="AA2833" s="90">
        <v>1</v>
      </c>
      <c r="AB2833" s="90">
        <v>4.1168542116000002E-3</v>
      </c>
      <c r="AC2833" s="90">
        <v>6.6712111723000002E-4</v>
      </c>
      <c r="AD2833" s="90">
        <v>1.7677496425739001</v>
      </c>
      <c r="AF2833" s="90">
        <v>-1</v>
      </c>
      <c r="AG2833" s="90">
        <v>-1</v>
      </c>
      <c r="AH2833" s="90">
        <v>-1</v>
      </c>
      <c r="AI2833" s="90">
        <v>-1</v>
      </c>
      <c r="AJ2833" s="90">
        <v>0</v>
      </c>
      <c r="AM2833" s="90" t="s">
        <v>379</v>
      </c>
      <c r="AN2833" s="90">
        <v>-1</v>
      </c>
      <c r="AQ2833" s="90">
        <v>358</v>
      </c>
      <c r="AR2833" s="90" t="s">
        <v>422</v>
      </c>
      <c r="AS2833" s="90" t="s">
        <v>250</v>
      </c>
      <c r="AT2833" s="90" t="s">
        <v>244</v>
      </c>
      <c r="AU2833" s="90">
        <v>86.412649999999999</v>
      </c>
      <c r="AV2833" s="90">
        <v>25.353461810011101</v>
      </c>
      <c r="AW2833" s="90">
        <v>1.9019277903832199</v>
      </c>
      <c r="AX2833" s="90">
        <v>1.433698E-3</v>
      </c>
    </row>
    <row r="2834" spans="1:50" x14ac:dyDescent="0.25">
      <c r="A2834" s="102">
        <v>840000</v>
      </c>
      <c r="B2834" s="102">
        <v>2400000</v>
      </c>
      <c r="C2834" s="102">
        <v>2400000</v>
      </c>
      <c r="D2834" s="90" t="s">
        <v>374</v>
      </c>
      <c r="E2834" s="90" t="s">
        <v>68</v>
      </c>
      <c r="F2834" s="90" t="s">
        <v>375</v>
      </c>
      <c r="G2834" s="90" t="s">
        <v>376</v>
      </c>
      <c r="H2834" s="90">
        <v>0.59</v>
      </c>
      <c r="I2834" s="90">
        <v>0.64</v>
      </c>
      <c r="J2834" s="90" t="s">
        <v>244</v>
      </c>
      <c r="K2834" s="90">
        <v>2.4966520218400001E-3</v>
      </c>
      <c r="L2834" s="90">
        <v>3761.35678253276</v>
      </c>
      <c r="M2834" s="90">
        <v>8.7597005472687606</v>
      </c>
      <c r="N2834" s="90">
        <v>1.41947732791967</v>
      </c>
      <c r="O2834" s="90">
        <v>2.186992408206E-2</v>
      </c>
      <c r="P2834" s="90">
        <v>3.5439409406999999E-3</v>
      </c>
      <c r="Q2834" s="90">
        <v>9.3907990159757908</v>
      </c>
      <c r="R2834" s="90">
        <v>1330</v>
      </c>
      <c r="S2834" s="90" t="s">
        <v>397</v>
      </c>
      <c r="T2834" s="90">
        <v>1330</v>
      </c>
      <c r="U2834" s="90" t="s">
        <v>378</v>
      </c>
      <c r="V2834" s="90" t="s">
        <v>244</v>
      </c>
      <c r="Z2834" s="90">
        <v>0</v>
      </c>
      <c r="AA2834" s="90">
        <v>1</v>
      </c>
      <c r="AB2834" s="90">
        <v>2.186992408206E-2</v>
      </c>
      <c r="AC2834" s="90">
        <v>3.5439409406999999E-3</v>
      </c>
      <c r="AD2834" s="90">
        <v>9.3907990159753396</v>
      </c>
      <c r="AF2834" s="90">
        <v>-1</v>
      </c>
      <c r="AG2834" s="90">
        <v>-1</v>
      </c>
      <c r="AH2834" s="90">
        <v>-1</v>
      </c>
      <c r="AI2834" s="90">
        <v>-1</v>
      </c>
      <c r="AJ2834" s="90">
        <v>0</v>
      </c>
      <c r="AM2834" s="90" t="s">
        <v>379</v>
      </c>
      <c r="AN2834" s="90">
        <v>-1</v>
      </c>
      <c r="AQ2834" s="90">
        <v>358</v>
      </c>
      <c r="AR2834" s="90" t="s">
        <v>422</v>
      </c>
      <c r="AS2834" s="90" t="s">
        <v>250</v>
      </c>
      <c r="AT2834" s="90" t="s">
        <v>244</v>
      </c>
      <c r="AU2834" s="90">
        <v>86.412649999999999</v>
      </c>
      <c r="AV2834" s="90">
        <v>38.952434380327297</v>
      </c>
      <c r="AW2834" s="90">
        <v>10.1035922690847</v>
      </c>
      <c r="AX2834" s="90">
        <v>7.6162197999999999E-3</v>
      </c>
    </row>
    <row r="2835" spans="1:50" x14ac:dyDescent="0.25">
      <c r="A2835" s="102">
        <v>840000</v>
      </c>
      <c r="B2835" s="102">
        <v>2400000</v>
      </c>
      <c r="C2835" s="102">
        <v>2400000</v>
      </c>
      <c r="D2835" s="90" t="s">
        <v>374</v>
      </c>
      <c r="E2835" s="90" t="s">
        <v>68</v>
      </c>
      <c r="F2835" s="90" t="s">
        <v>375</v>
      </c>
      <c r="G2835" s="90" t="s">
        <v>376</v>
      </c>
      <c r="H2835" s="90">
        <v>0.59</v>
      </c>
      <c r="I2835" s="90">
        <v>0.64</v>
      </c>
      <c r="J2835" s="90" t="s">
        <v>244</v>
      </c>
      <c r="K2835" s="90">
        <v>0.13627153488883001</v>
      </c>
      <c r="L2835" s="90">
        <v>3770.6719591851202</v>
      </c>
      <c r="M2835" s="90">
        <v>11.2297498236424</v>
      </c>
      <c r="N2835" s="90">
        <v>1.79496199580031</v>
      </c>
      <c r="O2835" s="90">
        <v>1.53029524488532</v>
      </c>
      <c r="P2835" s="90">
        <v>0.24460222623482</v>
      </c>
      <c r="Q2835" s="90">
        <v>513.83525544042902</v>
      </c>
      <c r="R2835" s="90">
        <v>1300</v>
      </c>
      <c r="S2835" s="90" t="s">
        <v>387</v>
      </c>
      <c r="T2835" s="90">
        <v>1300</v>
      </c>
      <c r="U2835" s="90" t="s">
        <v>378</v>
      </c>
      <c r="V2835" s="90" t="s">
        <v>244</v>
      </c>
      <c r="Z2835" s="90">
        <v>0</v>
      </c>
      <c r="AA2835" s="90">
        <v>1</v>
      </c>
      <c r="AB2835" s="90">
        <v>1.53029524488532</v>
      </c>
      <c r="AC2835" s="90">
        <v>0.24460222623482</v>
      </c>
      <c r="AD2835" s="90">
        <v>579.70453268285496</v>
      </c>
      <c r="AF2835" s="90">
        <v>-1</v>
      </c>
      <c r="AG2835" s="90">
        <v>-1</v>
      </c>
      <c r="AH2835" s="90">
        <v>-1</v>
      </c>
      <c r="AI2835" s="90">
        <v>-1</v>
      </c>
      <c r="AJ2835" s="90">
        <v>0</v>
      </c>
      <c r="AM2835" s="90" t="s">
        <v>379</v>
      </c>
      <c r="AN2835" s="90">
        <v>-1</v>
      </c>
      <c r="AQ2835" s="90">
        <v>358</v>
      </c>
      <c r="AR2835" s="90" t="s">
        <v>422</v>
      </c>
      <c r="AS2835" s="90" t="s">
        <v>250</v>
      </c>
      <c r="AT2835" s="90" t="s">
        <v>244</v>
      </c>
      <c r="AU2835" s="90">
        <v>86.412649999999999</v>
      </c>
      <c r="AV2835" s="90">
        <v>113.41121900455801</v>
      </c>
      <c r="AW2835" s="90">
        <v>551.47133615516805</v>
      </c>
      <c r="AX2835" s="90">
        <v>0.47015777180000001</v>
      </c>
    </row>
    <row r="2836" spans="1:50" x14ac:dyDescent="0.25">
      <c r="A2836" s="102">
        <v>840000</v>
      </c>
      <c r="B2836" s="102">
        <v>2400000</v>
      </c>
      <c r="C2836" s="102">
        <v>2400000</v>
      </c>
      <c r="D2836" s="90" t="s">
        <v>374</v>
      </c>
      <c r="E2836" s="90" t="s">
        <v>68</v>
      </c>
      <c r="F2836" s="90" t="s">
        <v>375</v>
      </c>
      <c r="G2836" s="90" t="s">
        <v>376</v>
      </c>
      <c r="H2836" s="90">
        <v>0.59</v>
      </c>
      <c r="I2836" s="90">
        <v>0.64</v>
      </c>
      <c r="J2836" s="90" t="s">
        <v>244</v>
      </c>
      <c r="K2836" s="90">
        <v>3.5620328449220001E-2</v>
      </c>
      <c r="L2836" s="90">
        <v>3770.6719591851202</v>
      </c>
      <c r="M2836" s="90">
        <v>11.2297498236424</v>
      </c>
      <c r="N2836" s="90">
        <v>1.79496199580031</v>
      </c>
      <c r="O2836" s="90">
        <v>0.40000737712079998</v>
      </c>
      <c r="P2836" s="90">
        <v>6.3937135844279999E-2</v>
      </c>
      <c r="Q2836" s="90">
        <v>134.31257366046799</v>
      </c>
      <c r="R2836" s="90">
        <v>1400</v>
      </c>
      <c r="S2836" s="90" t="s">
        <v>324</v>
      </c>
      <c r="T2836" s="90">
        <v>1400</v>
      </c>
      <c r="U2836" s="90" t="s">
        <v>378</v>
      </c>
      <c r="V2836" s="90" t="s">
        <v>244</v>
      </c>
      <c r="Z2836" s="90">
        <v>0</v>
      </c>
      <c r="AA2836" s="90">
        <v>1</v>
      </c>
      <c r="AB2836" s="90">
        <v>0.40000737712079998</v>
      </c>
      <c r="AC2836" s="90">
        <v>6.3937135844279999E-2</v>
      </c>
      <c r="AD2836" s="90">
        <v>253.93073254391001</v>
      </c>
      <c r="AF2836" s="90">
        <v>-1</v>
      </c>
      <c r="AG2836" s="90">
        <v>-1</v>
      </c>
      <c r="AH2836" s="90">
        <v>-1</v>
      </c>
      <c r="AI2836" s="90">
        <v>-1</v>
      </c>
      <c r="AJ2836" s="90">
        <v>0</v>
      </c>
      <c r="AM2836" s="90" t="s">
        <v>379</v>
      </c>
      <c r="AN2836" s="90">
        <v>-1</v>
      </c>
      <c r="AQ2836" s="90">
        <v>358</v>
      </c>
      <c r="AR2836" s="90" t="s">
        <v>422</v>
      </c>
      <c r="AS2836" s="90" t="s">
        <v>250</v>
      </c>
      <c r="AT2836" s="90" t="s">
        <v>244</v>
      </c>
      <c r="AU2836" s="90">
        <v>86.412649999999999</v>
      </c>
      <c r="AV2836" s="90">
        <v>94.647342135286095</v>
      </c>
      <c r="AW2836" s="90">
        <v>144.150354952756</v>
      </c>
      <c r="AX2836" s="90">
        <v>0.20594544410000001</v>
      </c>
    </row>
    <row r="2837" spans="1:50" x14ac:dyDescent="0.25">
      <c r="A2837" s="102">
        <v>840000</v>
      </c>
      <c r="B2837" s="102">
        <v>2400000</v>
      </c>
      <c r="C2837" s="102">
        <v>2400000</v>
      </c>
      <c r="D2837" s="90" t="s">
        <v>374</v>
      </c>
      <c r="E2837" s="90" t="s">
        <v>68</v>
      </c>
      <c r="F2837" s="90" t="s">
        <v>375</v>
      </c>
      <c r="G2837" s="90" t="s">
        <v>376</v>
      </c>
      <c r="H2837" s="90">
        <v>0.59</v>
      </c>
      <c r="I2837" s="90">
        <v>0.64</v>
      </c>
      <c r="J2837" s="90" t="s">
        <v>381</v>
      </c>
      <c r="K2837" s="90">
        <v>9.3914628676699998E-3</v>
      </c>
      <c r="L2837" s="90">
        <v>3770.6719591851202</v>
      </c>
      <c r="M2837" s="90">
        <v>11.2297498236424</v>
      </c>
      <c r="N2837" s="90">
        <v>1.79496199580031</v>
      </c>
      <c r="O2837" s="90">
        <v>0.10546377848195999</v>
      </c>
      <c r="P2837" s="90">
        <v>1.6857318932430001E-2</v>
      </c>
      <c r="Q2837" s="90">
        <v>35.412125690851603</v>
      </c>
      <c r="R2837" s="90">
        <v>1400</v>
      </c>
      <c r="S2837" s="90" t="s">
        <v>324</v>
      </c>
      <c r="T2837" s="90">
        <v>1400</v>
      </c>
      <c r="U2837" s="90" t="s">
        <v>382</v>
      </c>
      <c r="V2837" s="90" t="s">
        <v>381</v>
      </c>
      <c r="Z2837" s="90">
        <v>0</v>
      </c>
      <c r="AA2837" s="90">
        <v>1</v>
      </c>
      <c r="AB2837" s="90">
        <v>0.10546377848195999</v>
      </c>
      <c r="AC2837" s="90">
        <v>1.6857318932430001E-2</v>
      </c>
      <c r="AD2837" s="90">
        <v>325.494420203419</v>
      </c>
      <c r="AF2837" s="90">
        <v>-1</v>
      </c>
      <c r="AG2837" s="90">
        <v>-1</v>
      </c>
      <c r="AH2837" s="90">
        <v>-1</v>
      </c>
      <c r="AI2837" s="90">
        <v>-1</v>
      </c>
      <c r="AJ2837" s="90">
        <v>0</v>
      </c>
      <c r="AM2837" s="90" t="s">
        <v>379</v>
      </c>
      <c r="AN2837" s="90">
        <v>-1</v>
      </c>
      <c r="AQ2837" s="90">
        <v>358</v>
      </c>
      <c r="AR2837" s="90" t="s">
        <v>422</v>
      </c>
      <c r="AS2837" s="90" t="s">
        <v>250</v>
      </c>
      <c r="AT2837" s="90" t="s">
        <v>244</v>
      </c>
      <c r="AU2837" s="90">
        <v>86.412649999999999</v>
      </c>
      <c r="AV2837" s="90">
        <v>89.739139240879396</v>
      </c>
      <c r="AW2837" s="90">
        <v>38.005901821759799</v>
      </c>
      <c r="AX2837" s="90">
        <v>0.26398574229999999</v>
      </c>
    </row>
    <row r="2838" spans="1:50" x14ac:dyDescent="0.25">
      <c r="A2838" s="102">
        <v>840000</v>
      </c>
      <c r="B2838" s="102">
        <v>2500000</v>
      </c>
      <c r="C2838" s="102">
        <v>2500000</v>
      </c>
      <c r="D2838" s="90" t="s">
        <v>374</v>
      </c>
      <c r="E2838" s="90" t="s">
        <v>68</v>
      </c>
      <c r="F2838" s="90" t="s">
        <v>375</v>
      </c>
      <c r="G2838" s="90" t="s">
        <v>376</v>
      </c>
      <c r="H2838" s="90">
        <v>0.59</v>
      </c>
      <c r="I2838" s="90">
        <v>0.64</v>
      </c>
      <c r="J2838" s="90" t="s">
        <v>244</v>
      </c>
      <c r="K2838" s="90">
        <v>0.30716249918998001</v>
      </c>
      <c r="L2838" s="90">
        <v>3782.56191348942</v>
      </c>
      <c r="M2838" s="90">
        <v>9.5830836593905993</v>
      </c>
      <c r="N2838" s="90">
        <v>1.6952882494625601</v>
      </c>
      <c r="O2838" s="90">
        <v>2.9435639267651599</v>
      </c>
      <c r="P2838" s="90">
        <v>0.52072897555233999</v>
      </c>
      <c r="Q2838" s="90">
        <v>1161.86117068827</v>
      </c>
      <c r="R2838" s="90">
        <v>1390</v>
      </c>
      <c r="S2838" s="90" t="s">
        <v>402</v>
      </c>
      <c r="T2838" s="90">
        <v>1390</v>
      </c>
      <c r="U2838" s="90" t="s">
        <v>378</v>
      </c>
      <c r="V2838" s="90" t="s">
        <v>244</v>
      </c>
      <c r="Z2838" s="90">
        <v>0</v>
      </c>
      <c r="AA2838" s="90">
        <v>1</v>
      </c>
      <c r="AB2838" s="90">
        <v>2.9435639267651599</v>
      </c>
      <c r="AC2838" s="90">
        <v>0.52072897555233999</v>
      </c>
      <c r="AD2838" s="90">
        <v>1191.0985619220801</v>
      </c>
      <c r="AF2838" s="90">
        <v>-1</v>
      </c>
      <c r="AG2838" s="90">
        <v>-1</v>
      </c>
      <c r="AH2838" s="90">
        <v>-1</v>
      </c>
      <c r="AI2838" s="90">
        <v>-1</v>
      </c>
      <c r="AJ2838" s="90">
        <v>0</v>
      </c>
      <c r="AM2838" s="90" t="s">
        <v>379</v>
      </c>
      <c r="AN2838" s="90">
        <v>-1</v>
      </c>
      <c r="AQ2838" s="90">
        <v>358</v>
      </c>
      <c r="AR2838" s="90" t="s">
        <v>422</v>
      </c>
      <c r="AS2838" s="90" t="s">
        <v>250</v>
      </c>
      <c r="AT2838" s="90" t="s">
        <v>244</v>
      </c>
      <c r="AU2838" s="90">
        <v>86.412649999999999</v>
      </c>
      <c r="AV2838" s="90">
        <v>148.904095630222</v>
      </c>
      <c r="AW2838" s="90">
        <v>1243.04253256744</v>
      </c>
      <c r="AX2838" s="90">
        <v>0.96601667629999999</v>
      </c>
    </row>
    <row r="2839" spans="1:50" x14ac:dyDescent="0.25">
      <c r="A2839" s="102">
        <v>840000</v>
      </c>
      <c r="B2839" s="102">
        <v>2500000</v>
      </c>
      <c r="C2839" s="102">
        <v>2500000</v>
      </c>
      <c r="D2839" s="90" t="s">
        <v>374</v>
      </c>
      <c r="E2839" s="90" t="s">
        <v>68</v>
      </c>
      <c r="F2839" s="90" t="s">
        <v>375</v>
      </c>
      <c r="G2839" s="90" t="s">
        <v>376</v>
      </c>
      <c r="H2839" s="90">
        <v>0.59</v>
      </c>
      <c r="I2839" s="90">
        <v>0.64</v>
      </c>
      <c r="J2839" s="90" t="s">
        <v>381</v>
      </c>
      <c r="K2839" s="90">
        <v>3.5031942640489998E-2</v>
      </c>
      <c r="L2839" s="90">
        <v>3782.56191348942</v>
      </c>
      <c r="M2839" s="90">
        <v>9.5830836593905993</v>
      </c>
      <c r="N2839" s="90">
        <v>1.6952882494625601</v>
      </c>
      <c r="O2839" s="90">
        <v>0.33571403707483</v>
      </c>
      <c r="P2839" s="90">
        <v>5.938924071427E-2</v>
      </c>
      <c r="Q2839" s="90">
        <v>132.510491987482</v>
      </c>
      <c r="R2839" s="90">
        <v>1390</v>
      </c>
      <c r="S2839" s="90" t="s">
        <v>402</v>
      </c>
      <c r="T2839" s="90">
        <v>1390</v>
      </c>
      <c r="U2839" s="90" t="s">
        <v>382</v>
      </c>
      <c r="V2839" s="90" t="s">
        <v>381</v>
      </c>
      <c r="Z2839" s="90">
        <v>0</v>
      </c>
      <c r="AA2839" s="90">
        <v>1</v>
      </c>
      <c r="AB2839" s="90">
        <v>0.33571403707483</v>
      </c>
      <c r="AC2839" s="90">
        <v>5.938924071427E-2</v>
      </c>
      <c r="AD2839" s="90">
        <v>139.59794414314399</v>
      </c>
      <c r="AF2839" s="90">
        <v>-1</v>
      </c>
      <c r="AG2839" s="90">
        <v>-1</v>
      </c>
      <c r="AH2839" s="90">
        <v>-1</v>
      </c>
      <c r="AI2839" s="90">
        <v>-1</v>
      </c>
      <c r="AJ2839" s="90">
        <v>0</v>
      </c>
      <c r="AM2839" s="90" t="s">
        <v>379</v>
      </c>
      <c r="AN2839" s="90">
        <v>-1</v>
      </c>
      <c r="AQ2839" s="90">
        <v>358</v>
      </c>
      <c r="AR2839" s="90" t="s">
        <v>422</v>
      </c>
      <c r="AS2839" s="90" t="s">
        <v>250</v>
      </c>
      <c r="AT2839" s="90" t="s">
        <v>244</v>
      </c>
      <c r="AU2839" s="90">
        <v>86.412649999999999</v>
      </c>
      <c r="AV2839" s="90">
        <v>101.874199959118</v>
      </c>
      <c r="AW2839" s="90">
        <v>141.769242063836</v>
      </c>
      <c r="AX2839" s="90">
        <v>0.1132181218</v>
      </c>
    </row>
    <row r="2840" spans="1:50" x14ac:dyDescent="0.25">
      <c r="A2840" s="102">
        <v>840000</v>
      </c>
      <c r="B2840" s="102">
        <v>2500000</v>
      </c>
      <c r="C2840" s="102">
        <v>2500000</v>
      </c>
      <c r="D2840" s="90" t="s">
        <v>374</v>
      </c>
      <c r="E2840" s="90" t="s">
        <v>68</v>
      </c>
      <c r="F2840" s="90" t="s">
        <v>375</v>
      </c>
      <c r="G2840" s="90" t="s">
        <v>376</v>
      </c>
      <c r="H2840" s="90">
        <v>0.59</v>
      </c>
      <c r="I2840" s="90">
        <v>0.64</v>
      </c>
      <c r="J2840" s="90" t="s">
        <v>381</v>
      </c>
      <c r="K2840" s="90">
        <v>7.625048420161E-2</v>
      </c>
      <c r="L2840" s="90">
        <v>3782.56191348942</v>
      </c>
      <c r="M2840" s="90">
        <v>9.5830836593905993</v>
      </c>
      <c r="N2840" s="90">
        <v>1.6952882494625601</v>
      </c>
      <c r="O2840" s="90">
        <v>0.73071476917311995</v>
      </c>
      <c r="P2840" s="90">
        <v>0.12926654988283001</v>
      </c>
      <c r="Q2840" s="90">
        <v>288.42217742615901</v>
      </c>
      <c r="R2840" s="90">
        <v>1300</v>
      </c>
      <c r="S2840" s="90" t="s">
        <v>387</v>
      </c>
      <c r="T2840" s="90">
        <v>1300</v>
      </c>
      <c r="U2840" s="90" t="s">
        <v>382</v>
      </c>
      <c r="V2840" s="90" t="s">
        <v>381</v>
      </c>
      <c r="Z2840" s="90">
        <v>0</v>
      </c>
      <c r="AA2840" s="90">
        <v>1</v>
      </c>
      <c r="AB2840" s="90">
        <v>0.73071476917311995</v>
      </c>
      <c r="AC2840" s="90">
        <v>0.12926654988283001</v>
      </c>
      <c r="AD2840" s="90">
        <v>735.94598253935305</v>
      </c>
      <c r="AF2840" s="90">
        <v>-1</v>
      </c>
      <c r="AG2840" s="90">
        <v>-1</v>
      </c>
      <c r="AH2840" s="90">
        <v>-1</v>
      </c>
      <c r="AI2840" s="90">
        <v>-1</v>
      </c>
      <c r="AJ2840" s="90">
        <v>0</v>
      </c>
      <c r="AM2840" s="90" t="s">
        <v>379</v>
      </c>
      <c r="AN2840" s="90">
        <v>-1</v>
      </c>
      <c r="AQ2840" s="90">
        <v>358</v>
      </c>
      <c r="AR2840" s="90" t="s">
        <v>422</v>
      </c>
      <c r="AS2840" s="90" t="s">
        <v>250</v>
      </c>
      <c r="AT2840" s="90" t="s">
        <v>244</v>
      </c>
      <c r="AU2840" s="90">
        <v>86.412649999999999</v>
      </c>
      <c r="AV2840" s="90">
        <v>106.376224928959</v>
      </c>
      <c r="AW2840" s="90">
        <v>308.57476170242097</v>
      </c>
      <c r="AX2840" s="90">
        <v>0.5968742762</v>
      </c>
    </row>
    <row r="2841" spans="1:50" x14ac:dyDescent="0.25">
      <c r="A2841" s="102">
        <v>840000</v>
      </c>
      <c r="B2841" s="102">
        <v>2500000</v>
      </c>
      <c r="C2841" s="102">
        <v>2500000</v>
      </c>
      <c r="D2841" s="90" t="s">
        <v>374</v>
      </c>
      <c r="E2841" s="90" t="s">
        <v>68</v>
      </c>
      <c r="F2841" s="90" t="s">
        <v>375</v>
      </c>
      <c r="G2841" s="90" t="s">
        <v>376</v>
      </c>
      <c r="H2841" s="90">
        <v>0.59</v>
      </c>
      <c r="I2841" s="90">
        <v>0.64</v>
      </c>
      <c r="J2841" s="90" t="s">
        <v>244</v>
      </c>
      <c r="K2841" s="90">
        <v>2.4340030775299999E-3</v>
      </c>
      <c r="L2841" s="90">
        <v>3759.5042782194901</v>
      </c>
      <c r="M2841" s="90">
        <v>7.9930859852977703</v>
      </c>
      <c r="N2841" s="90">
        <v>1.17370814340202</v>
      </c>
      <c r="O2841" s="90">
        <v>1.9455195887229999E-2</v>
      </c>
      <c r="P2841" s="90">
        <v>2.8568092331699999E-3</v>
      </c>
      <c r="Q2841" s="90">
        <v>9.1506449831997703</v>
      </c>
      <c r="R2841" s="90">
        <v>1390</v>
      </c>
      <c r="S2841" s="90" t="s">
        <v>402</v>
      </c>
      <c r="T2841" s="90">
        <v>1390</v>
      </c>
      <c r="U2841" s="90" t="s">
        <v>378</v>
      </c>
      <c r="V2841" s="90" t="s">
        <v>244</v>
      </c>
      <c r="Z2841" s="90">
        <v>0</v>
      </c>
      <c r="AA2841" s="90">
        <v>1</v>
      </c>
      <c r="AB2841" s="90">
        <v>1.9455195887229999E-2</v>
      </c>
      <c r="AC2841" s="90">
        <v>2.8568092331699999E-3</v>
      </c>
      <c r="AD2841" s="90">
        <v>941.22325189261403</v>
      </c>
      <c r="AF2841" s="90">
        <v>-1</v>
      </c>
      <c r="AG2841" s="90">
        <v>-1</v>
      </c>
      <c r="AH2841" s="90">
        <v>-1</v>
      </c>
      <c r="AI2841" s="90">
        <v>-1</v>
      </c>
      <c r="AJ2841" s="90">
        <v>0</v>
      </c>
      <c r="AM2841" s="90" t="s">
        <v>379</v>
      </c>
      <c r="AN2841" s="90">
        <v>-1</v>
      </c>
      <c r="AQ2841" s="90">
        <v>358</v>
      </c>
      <c r="AR2841" s="90" t="s">
        <v>422</v>
      </c>
      <c r="AS2841" s="90" t="s">
        <v>250</v>
      </c>
      <c r="AT2841" s="90" t="s">
        <v>244</v>
      </c>
      <c r="AU2841" s="90">
        <v>86.412649999999999</v>
      </c>
      <c r="AV2841" s="90">
        <v>27.360955277757899</v>
      </c>
      <c r="AW2841" s="90">
        <v>9.8500609864713304</v>
      </c>
      <c r="AX2841" s="90">
        <v>0.76336030160000001</v>
      </c>
    </row>
    <row r="2842" spans="1:50" x14ac:dyDescent="0.25">
      <c r="A2842" s="102">
        <v>840000</v>
      </c>
      <c r="B2842" s="102">
        <v>2500000</v>
      </c>
      <c r="C2842" s="102">
        <v>2500000</v>
      </c>
      <c r="D2842" s="90" t="s">
        <v>374</v>
      </c>
      <c r="E2842" s="90" t="s">
        <v>68</v>
      </c>
      <c r="F2842" s="90" t="s">
        <v>375</v>
      </c>
      <c r="G2842" s="90" t="s">
        <v>376</v>
      </c>
      <c r="H2842" s="90">
        <v>0.59</v>
      </c>
      <c r="I2842" s="90">
        <v>0.64</v>
      </c>
      <c r="J2842" s="90" t="s">
        <v>244</v>
      </c>
      <c r="K2842" s="90">
        <v>2.5820842574100001E-3</v>
      </c>
      <c r="L2842" s="90">
        <v>3759.5042782194901</v>
      </c>
      <c r="M2842" s="90">
        <v>7.9930859852977703</v>
      </c>
      <c r="N2842" s="90">
        <v>1.17370814340202</v>
      </c>
      <c r="O2842" s="90">
        <v>2.0638821490790001E-2</v>
      </c>
      <c r="P2842" s="90">
        <v>3.03061331987E-3</v>
      </c>
      <c r="Q2842" s="90">
        <v>9.70735681247114</v>
      </c>
      <c r="R2842" s="90">
        <v>1210</v>
      </c>
      <c r="S2842" s="90" t="s">
        <v>385</v>
      </c>
      <c r="T2842" s="90">
        <v>1210</v>
      </c>
      <c r="U2842" s="90" t="s">
        <v>378</v>
      </c>
      <c r="V2842" s="90" t="s">
        <v>244</v>
      </c>
      <c r="Z2842" s="90">
        <v>0</v>
      </c>
      <c r="AA2842" s="90">
        <v>1</v>
      </c>
      <c r="AB2842" s="90">
        <v>2.0638821490790001E-2</v>
      </c>
      <c r="AC2842" s="90">
        <v>3.03061331987E-3</v>
      </c>
      <c r="AD2842" s="90">
        <v>365.30709740207402</v>
      </c>
      <c r="AF2842" s="90">
        <v>-1</v>
      </c>
      <c r="AG2842" s="90">
        <v>-1</v>
      </c>
      <c r="AH2842" s="90">
        <v>-1</v>
      </c>
      <c r="AI2842" s="90">
        <v>-1</v>
      </c>
      <c r="AJ2842" s="90">
        <v>0</v>
      </c>
      <c r="AM2842" s="90" t="s">
        <v>379</v>
      </c>
      <c r="AN2842" s="90">
        <v>-1</v>
      </c>
      <c r="AQ2842" s="90">
        <v>358</v>
      </c>
      <c r="AR2842" s="90" t="s">
        <v>422</v>
      </c>
      <c r="AS2842" s="90" t="s">
        <v>250</v>
      </c>
      <c r="AT2842" s="90" t="s">
        <v>244</v>
      </c>
      <c r="AU2842" s="90">
        <v>86.412649999999999</v>
      </c>
      <c r="AV2842" s="90">
        <v>20.518187462894701</v>
      </c>
      <c r="AW2842" s="90">
        <v>10.449324260294899</v>
      </c>
      <c r="AX2842" s="90">
        <v>0.29627501820000002</v>
      </c>
    </row>
    <row r="2843" spans="1:50" x14ac:dyDescent="0.25">
      <c r="A2843" s="102">
        <v>840000</v>
      </c>
      <c r="B2843" s="102">
        <v>2500000</v>
      </c>
      <c r="C2843" s="102">
        <v>2500000</v>
      </c>
      <c r="D2843" s="90" t="s">
        <v>374</v>
      </c>
      <c r="E2843" s="90" t="s">
        <v>68</v>
      </c>
      <c r="F2843" s="90" t="s">
        <v>375</v>
      </c>
      <c r="G2843" s="90" t="s">
        <v>376</v>
      </c>
      <c r="H2843" s="90">
        <v>0.59</v>
      </c>
      <c r="I2843" s="90">
        <v>0.64</v>
      </c>
      <c r="J2843" s="90" t="s">
        <v>244</v>
      </c>
      <c r="K2843" s="90">
        <v>5.2285549870200003E-3</v>
      </c>
      <c r="L2843" s="90">
        <v>3759.5042782194901</v>
      </c>
      <c r="M2843" s="90">
        <v>7.9930859852977703</v>
      </c>
      <c r="N2843" s="90">
        <v>1.17370814340202</v>
      </c>
      <c r="O2843" s="90">
        <v>4.1792289590109999E-2</v>
      </c>
      <c r="P2843" s="90">
        <v>6.1367975664900001E-3</v>
      </c>
      <c r="Q2843" s="90">
        <v>19.656774842611298</v>
      </c>
      <c r="R2843" s="90">
        <v>1210</v>
      </c>
      <c r="S2843" s="90" t="s">
        <v>385</v>
      </c>
      <c r="T2843" s="90">
        <v>1210</v>
      </c>
      <c r="U2843" s="90" t="s">
        <v>378</v>
      </c>
      <c r="V2843" s="90" t="s">
        <v>244</v>
      </c>
      <c r="Z2843" s="90">
        <v>0</v>
      </c>
      <c r="AA2843" s="90">
        <v>1</v>
      </c>
      <c r="AB2843" s="90">
        <v>4.1792289590109999E-2</v>
      </c>
      <c r="AC2843" s="90">
        <v>6.1367975664900001E-3</v>
      </c>
      <c r="AD2843" s="90">
        <v>47.637136485802003</v>
      </c>
      <c r="AF2843" s="90">
        <v>-1</v>
      </c>
      <c r="AG2843" s="90">
        <v>-1</v>
      </c>
      <c r="AH2843" s="90">
        <v>-1</v>
      </c>
      <c r="AI2843" s="90">
        <v>-1</v>
      </c>
      <c r="AJ2843" s="90">
        <v>0</v>
      </c>
      <c r="AM2843" s="90" t="s">
        <v>379</v>
      </c>
      <c r="AN2843" s="90">
        <v>-1</v>
      </c>
      <c r="AQ2843" s="90">
        <v>358</v>
      </c>
      <c r="AR2843" s="90" t="s">
        <v>422</v>
      </c>
      <c r="AS2843" s="90" t="s">
        <v>250</v>
      </c>
      <c r="AT2843" s="90" t="s">
        <v>244</v>
      </c>
      <c r="AU2843" s="90">
        <v>86.412649999999999</v>
      </c>
      <c r="AV2843" s="90">
        <v>39.724939701967202</v>
      </c>
      <c r="AW2843" s="90">
        <v>21.1592113290979</v>
      </c>
      <c r="AX2843" s="90">
        <v>3.8635147199999997E-2</v>
      </c>
    </row>
    <row r="2844" spans="1:50" x14ac:dyDescent="0.25">
      <c r="A2844" s="102">
        <v>830000</v>
      </c>
      <c r="B2844" s="102">
        <v>1400000</v>
      </c>
      <c r="C2844" s="102">
        <v>1400000</v>
      </c>
      <c r="D2844" s="90" t="s">
        <v>374</v>
      </c>
      <c r="E2844" s="90" t="s">
        <v>68</v>
      </c>
      <c r="F2844" s="90" t="s">
        <v>375</v>
      </c>
      <c r="G2844" s="90" t="s">
        <v>376</v>
      </c>
      <c r="H2844" s="90">
        <v>0.59</v>
      </c>
      <c r="I2844" s="90">
        <v>0.64</v>
      </c>
      <c r="J2844" s="90" t="s">
        <v>244</v>
      </c>
      <c r="K2844" s="90">
        <v>1.0023882916630001E-2</v>
      </c>
      <c r="L2844" s="90">
        <v>3720.51563159427</v>
      </c>
      <c r="M2844" s="90">
        <v>10.089659234571201</v>
      </c>
      <c r="N2844" s="90">
        <v>1.49967869675028</v>
      </c>
      <c r="O2844" s="90">
        <v>0.10113756283612001</v>
      </c>
      <c r="P2844" s="90">
        <v>1.50326036688E-2</v>
      </c>
      <c r="Q2844" s="90">
        <v>37.2940130806262</v>
      </c>
      <c r="R2844" s="90">
        <v>1720</v>
      </c>
      <c r="S2844" s="90" t="s">
        <v>423</v>
      </c>
      <c r="T2844" s="90">
        <v>1720</v>
      </c>
      <c r="U2844" s="90" t="s">
        <v>378</v>
      </c>
      <c r="V2844" s="90" t="s">
        <v>244</v>
      </c>
      <c r="Z2844" s="90">
        <v>0</v>
      </c>
      <c r="AA2844" s="90">
        <v>1</v>
      </c>
      <c r="AB2844" s="90">
        <v>0.10113756283612001</v>
      </c>
      <c r="AC2844" s="90">
        <v>1.50326036688E-2</v>
      </c>
      <c r="AD2844" s="90">
        <v>37.294013080626598</v>
      </c>
      <c r="AF2844" s="90">
        <v>-1</v>
      </c>
      <c r="AG2844" s="90">
        <v>-1</v>
      </c>
      <c r="AH2844" s="90">
        <v>-1</v>
      </c>
      <c r="AI2844" s="90">
        <v>-1</v>
      </c>
      <c r="AJ2844" s="90">
        <v>0</v>
      </c>
      <c r="AM2844" s="90" t="s">
        <v>379</v>
      </c>
      <c r="AN2844" s="90">
        <v>-1</v>
      </c>
      <c r="AQ2844" s="90">
        <v>385</v>
      </c>
      <c r="AR2844" s="90" t="s">
        <v>301</v>
      </c>
      <c r="AS2844" s="90" t="s">
        <v>300</v>
      </c>
      <c r="AT2844" s="90" t="s">
        <v>244</v>
      </c>
      <c r="AU2844" s="90">
        <v>4.5650820000000003</v>
      </c>
      <c r="AV2844" s="90">
        <v>34.453036359645402</v>
      </c>
      <c r="AW2844" s="90">
        <v>40.565214958586701</v>
      </c>
      <c r="AX2844" s="90">
        <v>3.02465637E-2</v>
      </c>
    </row>
    <row r="2845" spans="1:50" x14ac:dyDescent="0.25">
      <c r="A2845" s="102">
        <v>830000</v>
      </c>
      <c r="B2845" s="102">
        <v>1400000</v>
      </c>
      <c r="C2845" s="102">
        <v>1400000</v>
      </c>
      <c r="D2845" s="90" t="s">
        <v>374</v>
      </c>
      <c r="E2845" s="90" t="s">
        <v>68</v>
      </c>
      <c r="F2845" s="90" t="s">
        <v>375</v>
      </c>
      <c r="G2845" s="90" t="s">
        <v>376</v>
      </c>
      <c r="H2845" s="90">
        <v>0.59</v>
      </c>
      <c r="I2845" s="90">
        <v>0.64</v>
      </c>
      <c r="J2845" s="90" t="s">
        <v>244</v>
      </c>
      <c r="K2845" s="90">
        <v>0.15532530239983</v>
      </c>
      <c r="L2845" s="90">
        <v>3636.74345265701</v>
      </c>
      <c r="M2845" s="90">
        <v>6.9540699950102498</v>
      </c>
      <c r="N2845" s="90">
        <v>0.94500787573306999</v>
      </c>
      <c r="O2845" s="90">
        <v>1.08014302488456</v>
      </c>
      <c r="P2845" s="90">
        <v>0.14678363406846001</v>
      </c>
      <c r="Q2845" s="90">
        <v>564.87827653455599</v>
      </c>
      <c r="R2845" s="90">
        <v>1720</v>
      </c>
      <c r="S2845" s="90" t="s">
        <v>423</v>
      </c>
      <c r="T2845" s="90">
        <v>1720</v>
      </c>
      <c r="U2845" s="90" t="s">
        <v>378</v>
      </c>
      <c r="V2845" s="90" t="s">
        <v>244</v>
      </c>
      <c r="Z2845" s="90">
        <v>0</v>
      </c>
      <c r="AA2845" s="90">
        <v>1</v>
      </c>
      <c r="AB2845" s="90">
        <v>1.08014302488456</v>
      </c>
      <c r="AC2845" s="90">
        <v>0.14678363406846001</v>
      </c>
      <c r="AD2845" s="90">
        <v>2246.6471954175599</v>
      </c>
      <c r="AF2845" s="90">
        <v>-1</v>
      </c>
      <c r="AG2845" s="90">
        <v>-1</v>
      </c>
      <c r="AH2845" s="90">
        <v>-1</v>
      </c>
      <c r="AI2845" s="90">
        <v>-1</v>
      </c>
      <c r="AJ2845" s="90">
        <v>0</v>
      </c>
      <c r="AM2845" s="90" t="s">
        <v>379</v>
      </c>
      <c r="AN2845" s="90">
        <v>-1</v>
      </c>
      <c r="AQ2845" s="90">
        <v>385</v>
      </c>
      <c r="AR2845" s="90" t="s">
        <v>301</v>
      </c>
      <c r="AS2845" s="90" t="s">
        <v>300</v>
      </c>
      <c r="AT2845" s="90" t="s">
        <v>244</v>
      </c>
      <c r="AU2845" s="90">
        <v>4.5650820000000003</v>
      </c>
      <c r="AV2845" s="90">
        <v>123.077690082502</v>
      </c>
      <c r="AW2845" s="90">
        <v>628.57919757797799</v>
      </c>
      <c r="AX2845" s="90">
        <v>1.8220982931</v>
      </c>
    </row>
    <row r="2846" spans="1:50" x14ac:dyDescent="0.25">
      <c r="A2846" s="102">
        <v>830000</v>
      </c>
      <c r="B2846" s="102">
        <v>1400000</v>
      </c>
      <c r="C2846" s="102">
        <v>1400000</v>
      </c>
      <c r="D2846" s="90" t="s">
        <v>374</v>
      </c>
      <c r="E2846" s="90" t="s">
        <v>68</v>
      </c>
      <c r="F2846" s="90" t="s">
        <v>375</v>
      </c>
      <c r="G2846" s="90" t="s">
        <v>376</v>
      </c>
      <c r="H2846" s="90">
        <v>0.59</v>
      </c>
      <c r="I2846" s="90">
        <v>0.64</v>
      </c>
      <c r="J2846" s="90" t="s">
        <v>244</v>
      </c>
      <c r="K2846" s="90">
        <v>5.025069980533E-2</v>
      </c>
      <c r="L2846" s="90">
        <v>3708.0193617524901</v>
      </c>
      <c r="M2846" s="90">
        <v>8.6679520336998692</v>
      </c>
      <c r="N2846" s="90">
        <v>1.1503253976306</v>
      </c>
      <c r="O2846" s="90">
        <v>0.43557065557247998</v>
      </c>
      <c r="P2846" s="90">
        <v>5.7804656234779997E-2</v>
      </c>
      <c r="Q2846" s="90">
        <v>186.33056781978999</v>
      </c>
      <c r="R2846" s="90">
        <v>1700</v>
      </c>
      <c r="S2846" s="90" t="s">
        <v>414</v>
      </c>
      <c r="T2846" s="90">
        <v>1700</v>
      </c>
      <c r="U2846" s="90" t="s">
        <v>378</v>
      </c>
      <c r="V2846" s="90" t="s">
        <v>244</v>
      </c>
      <c r="Z2846" s="90">
        <v>0</v>
      </c>
      <c r="AA2846" s="90">
        <v>1</v>
      </c>
      <c r="AB2846" s="90">
        <v>0.43557065557247998</v>
      </c>
      <c r="AC2846" s="90">
        <v>5.7804656234779997E-2</v>
      </c>
      <c r="AD2846" s="90">
        <v>186.330567819789</v>
      </c>
      <c r="AF2846" s="90">
        <v>-1</v>
      </c>
      <c r="AG2846" s="90">
        <v>-1</v>
      </c>
      <c r="AH2846" s="90">
        <v>-1</v>
      </c>
      <c r="AI2846" s="90">
        <v>-1</v>
      </c>
      <c r="AJ2846" s="90">
        <v>0</v>
      </c>
      <c r="AM2846" s="90" t="s">
        <v>379</v>
      </c>
      <c r="AN2846" s="90">
        <v>-1</v>
      </c>
      <c r="AQ2846" s="90">
        <v>385</v>
      </c>
      <c r="AR2846" s="90" t="s">
        <v>301</v>
      </c>
      <c r="AS2846" s="90" t="s">
        <v>300</v>
      </c>
      <c r="AT2846" s="90" t="s">
        <v>244</v>
      </c>
      <c r="AU2846" s="90">
        <v>4.5650820000000003</v>
      </c>
      <c r="AV2846" s="90">
        <v>104.92404199899801</v>
      </c>
      <c r="AW2846" s="90">
        <v>203.35736723730801</v>
      </c>
      <c r="AX2846" s="90">
        <v>0.1511196819</v>
      </c>
    </row>
    <row r="2847" spans="1:50" x14ac:dyDescent="0.25">
      <c r="A2847" s="102">
        <v>830000</v>
      </c>
      <c r="B2847" s="102">
        <v>1400000</v>
      </c>
      <c r="C2847" s="102">
        <v>1400000</v>
      </c>
      <c r="D2847" s="90" t="s">
        <v>374</v>
      </c>
      <c r="E2847" s="90" t="s">
        <v>68</v>
      </c>
      <c r="F2847" s="90" t="s">
        <v>375</v>
      </c>
      <c r="G2847" s="90" t="s">
        <v>376</v>
      </c>
      <c r="H2847" s="90">
        <v>0.59</v>
      </c>
      <c r="I2847" s="90">
        <v>0.64</v>
      </c>
      <c r="J2847" s="90" t="s">
        <v>244</v>
      </c>
      <c r="K2847" s="90">
        <v>0.15716050677441001</v>
      </c>
      <c r="L2847" s="90">
        <v>3708.0193617524901</v>
      </c>
      <c r="M2847" s="90">
        <v>8.6679520336998692</v>
      </c>
      <c r="N2847" s="90">
        <v>1.1503253976306</v>
      </c>
      <c r="O2847" s="90">
        <v>1.36225973431259</v>
      </c>
      <c r="P2847" s="90">
        <v>0.18078572244710001</v>
      </c>
      <c r="Q2847" s="90">
        <v>582.75420202236501</v>
      </c>
      <c r="R2847" s="90">
        <v>1720</v>
      </c>
      <c r="S2847" s="90" t="s">
        <v>423</v>
      </c>
      <c r="T2847" s="90">
        <v>1720</v>
      </c>
      <c r="U2847" s="90" t="s">
        <v>378</v>
      </c>
      <c r="V2847" s="90" t="s">
        <v>244</v>
      </c>
      <c r="Z2847" s="90">
        <v>0</v>
      </c>
      <c r="AA2847" s="90">
        <v>1</v>
      </c>
      <c r="AB2847" s="90">
        <v>1.36225973431259</v>
      </c>
      <c r="AC2847" s="90">
        <v>0.18078572244710001</v>
      </c>
      <c r="AD2847" s="90">
        <v>582.75420202236501</v>
      </c>
      <c r="AF2847" s="90">
        <v>-1</v>
      </c>
      <c r="AG2847" s="90">
        <v>-1</v>
      </c>
      <c r="AH2847" s="90">
        <v>-1</v>
      </c>
      <c r="AI2847" s="90">
        <v>-1</v>
      </c>
      <c r="AJ2847" s="90">
        <v>0</v>
      </c>
      <c r="AM2847" s="90" t="s">
        <v>379</v>
      </c>
      <c r="AN2847" s="90">
        <v>-1</v>
      </c>
      <c r="AQ2847" s="90">
        <v>385</v>
      </c>
      <c r="AR2847" s="90" t="s">
        <v>301</v>
      </c>
      <c r="AS2847" s="90" t="s">
        <v>300</v>
      </c>
      <c r="AT2847" s="90" t="s">
        <v>244</v>
      </c>
      <c r="AU2847" s="90">
        <v>4.5650820000000003</v>
      </c>
      <c r="AV2847" s="90">
        <v>123.08597215304999</v>
      </c>
      <c r="AW2847" s="90">
        <v>636.00600618767999</v>
      </c>
      <c r="AX2847" s="90">
        <v>0.47263114519999999</v>
      </c>
    </row>
    <row r="2848" spans="1:50" x14ac:dyDescent="0.25">
      <c r="A2848" s="102">
        <v>830000</v>
      </c>
      <c r="B2848" s="102">
        <v>1400000</v>
      </c>
      <c r="C2848" s="102">
        <v>1400000</v>
      </c>
      <c r="D2848" s="90" t="s">
        <v>374</v>
      </c>
      <c r="E2848" s="90" t="s">
        <v>68</v>
      </c>
      <c r="F2848" s="90" t="s">
        <v>375</v>
      </c>
      <c r="G2848" s="90" t="s">
        <v>376</v>
      </c>
      <c r="H2848" s="90">
        <v>0.59</v>
      </c>
      <c r="I2848" s="90">
        <v>0.64</v>
      </c>
      <c r="J2848" s="90" t="s">
        <v>381</v>
      </c>
      <c r="K2848" s="90">
        <v>7.2116423837729995E-2</v>
      </c>
      <c r="L2848" s="90">
        <v>3666.6911608320902</v>
      </c>
      <c r="M2848" s="90">
        <v>8.2451658430068893</v>
      </c>
      <c r="N2848" s="90">
        <v>1.0921359216669</v>
      </c>
      <c r="O2848" s="90">
        <v>0.59461187454665998</v>
      </c>
      <c r="P2848" s="90">
        <v>7.8760937015339996E-2</v>
      </c>
      <c r="Q2848" s="90">
        <v>264.42865383662502</v>
      </c>
      <c r="R2848" s="90">
        <v>1700</v>
      </c>
      <c r="S2848" s="90" t="s">
        <v>414</v>
      </c>
      <c r="T2848" s="90">
        <v>1700</v>
      </c>
      <c r="U2848" s="90" t="s">
        <v>382</v>
      </c>
      <c r="V2848" s="90" t="s">
        <v>381</v>
      </c>
      <c r="Z2848" s="90">
        <v>0</v>
      </c>
      <c r="AA2848" s="90">
        <v>1</v>
      </c>
      <c r="AB2848" s="90">
        <v>0.59461187454665998</v>
      </c>
      <c r="AC2848" s="90">
        <v>7.8760937015339996E-2</v>
      </c>
      <c r="AD2848" s="90">
        <v>444.71825382571399</v>
      </c>
      <c r="AF2848" s="90">
        <v>-1</v>
      </c>
      <c r="AG2848" s="90">
        <v>-1</v>
      </c>
      <c r="AH2848" s="90">
        <v>-1</v>
      </c>
      <c r="AI2848" s="90">
        <v>-1</v>
      </c>
      <c r="AJ2848" s="90">
        <v>0</v>
      </c>
      <c r="AM2848" s="90" t="s">
        <v>379</v>
      </c>
      <c r="AN2848" s="90">
        <v>-1</v>
      </c>
      <c r="AQ2848" s="90">
        <v>385</v>
      </c>
      <c r="AR2848" s="90" t="s">
        <v>301</v>
      </c>
      <c r="AS2848" s="90" t="s">
        <v>300</v>
      </c>
      <c r="AT2848" s="90" t="s">
        <v>244</v>
      </c>
      <c r="AU2848" s="90">
        <v>4.5650820000000003</v>
      </c>
      <c r="AV2848" s="90">
        <v>123.798082312061</v>
      </c>
      <c r="AW2848" s="90">
        <v>291.84481296823901</v>
      </c>
      <c r="AX2848" s="90">
        <v>0.360679849</v>
      </c>
    </row>
    <row r="2849" spans="1:50" x14ac:dyDescent="0.25">
      <c r="A2849" s="102">
        <v>830000</v>
      </c>
      <c r="B2849" s="102">
        <v>1400000</v>
      </c>
      <c r="C2849" s="102">
        <v>1400000</v>
      </c>
      <c r="D2849" s="90" t="s">
        <v>374</v>
      </c>
      <c r="E2849" s="90" t="s">
        <v>68</v>
      </c>
      <c r="F2849" s="90" t="s">
        <v>375</v>
      </c>
      <c r="G2849" s="90" t="s">
        <v>376</v>
      </c>
      <c r="H2849" s="90">
        <v>0.59</v>
      </c>
      <c r="I2849" s="90">
        <v>0.64</v>
      </c>
      <c r="J2849" s="90" t="s">
        <v>244</v>
      </c>
      <c r="K2849" s="90">
        <v>8.3671031253699998E-3</v>
      </c>
      <c r="L2849" s="90">
        <v>3705.5460158799001</v>
      </c>
      <c r="M2849" s="90">
        <v>10.531581358038499</v>
      </c>
      <c r="N2849" s="90">
        <v>2.0146657860314199</v>
      </c>
      <c r="O2849" s="90">
        <v>8.811882729593E-2</v>
      </c>
      <c r="P2849" s="90">
        <v>1.685691639488E-2</v>
      </c>
      <c r="Q2849" s="90">
        <v>31.004685650671099</v>
      </c>
      <c r="R2849" s="90">
        <v>1720</v>
      </c>
      <c r="S2849" s="90" t="s">
        <v>423</v>
      </c>
      <c r="T2849" s="90">
        <v>1720</v>
      </c>
      <c r="U2849" s="90" t="s">
        <v>378</v>
      </c>
      <c r="V2849" s="90" t="s">
        <v>244</v>
      </c>
      <c r="Z2849" s="90">
        <v>0</v>
      </c>
      <c r="AA2849" s="90">
        <v>1</v>
      </c>
      <c r="AB2849" s="90">
        <v>8.811882729593E-2</v>
      </c>
      <c r="AC2849" s="90">
        <v>1.685691639488E-2</v>
      </c>
      <c r="AD2849" s="90">
        <v>89.732033935935604</v>
      </c>
      <c r="AF2849" s="90">
        <v>-1</v>
      </c>
      <c r="AG2849" s="90">
        <v>-1</v>
      </c>
      <c r="AH2849" s="90">
        <v>-1</v>
      </c>
      <c r="AI2849" s="90">
        <v>-1</v>
      </c>
      <c r="AJ2849" s="90">
        <v>0</v>
      </c>
      <c r="AM2849" s="90" t="s">
        <v>379</v>
      </c>
      <c r="AN2849" s="90">
        <v>-1</v>
      </c>
      <c r="AQ2849" s="90">
        <v>385</v>
      </c>
      <c r="AR2849" s="90" t="s">
        <v>301</v>
      </c>
      <c r="AS2849" s="90" t="s">
        <v>300</v>
      </c>
      <c r="AT2849" s="90" t="s">
        <v>244</v>
      </c>
      <c r="AU2849" s="90">
        <v>4.5650820000000003</v>
      </c>
      <c r="AV2849" s="90">
        <v>32.643191372795499</v>
      </c>
      <c r="AW2849" s="90">
        <v>33.860465019785103</v>
      </c>
      <c r="AX2849" s="90">
        <v>7.2775372199999994E-2</v>
      </c>
    </row>
    <row r="2850" spans="1:50" x14ac:dyDescent="0.25">
      <c r="A2850" s="102">
        <v>830000</v>
      </c>
      <c r="B2850" s="102">
        <v>1400000</v>
      </c>
      <c r="C2850" s="102">
        <v>1400000</v>
      </c>
      <c r="D2850" s="90" t="s">
        <v>374</v>
      </c>
      <c r="E2850" s="90" t="s">
        <v>68</v>
      </c>
      <c r="F2850" s="90" t="s">
        <v>375</v>
      </c>
      <c r="G2850" s="90" t="s">
        <v>376</v>
      </c>
      <c r="H2850" s="90">
        <v>0.59</v>
      </c>
      <c r="I2850" s="90">
        <v>0.64</v>
      </c>
      <c r="J2850" s="90" t="s">
        <v>244</v>
      </c>
      <c r="K2850" s="90">
        <v>9.8210193153000004E-4</v>
      </c>
      <c r="L2850" s="90">
        <v>3638.1839443929698</v>
      </c>
      <c r="M2850" s="90">
        <v>7.1108989332351502</v>
      </c>
      <c r="N2850" s="90">
        <v>0.96275120530325997</v>
      </c>
      <c r="O2850" s="90">
        <v>6.9836275772799999E-3</v>
      </c>
      <c r="P2850" s="90">
        <v>9.4551981830999997E-4</v>
      </c>
      <c r="Q2850" s="90">
        <v>3.57306747906796</v>
      </c>
      <c r="R2850" s="90">
        <v>1700</v>
      </c>
      <c r="S2850" s="90" t="s">
        <v>414</v>
      </c>
      <c r="T2850" s="90">
        <v>1700</v>
      </c>
      <c r="U2850" s="90" t="s">
        <v>378</v>
      </c>
      <c r="V2850" s="90" t="s">
        <v>244</v>
      </c>
      <c r="Z2850" s="90">
        <v>0</v>
      </c>
      <c r="AA2850" s="90">
        <v>1</v>
      </c>
      <c r="AB2850" s="90">
        <v>6.9836275772799999E-3</v>
      </c>
      <c r="AC2850" s="90">
        <v>9.4551981830999997E-4</v>
      </c>
      <c r="AD2850" s="90">
        <v>267.79665670692799</v>
      </c>
      <c r="AF2850" s="90">
        <v>-1</v>
      </c>
      <c r="AG2850" s="90">
        <v>-1</v>
      </c>
      <c r="AH2850" s="90">
        <v>-1</v>
      </c>
      <c r="AI2850" s="90">
        <v>-1</v>
      </c>
      <c r="AJ2850" s="90">
        <v>0</v>
      </c>
      <c r="AM2850" s="90" t="s">
        <v>379</v>
      </c>
      <c r="AN2850" s="90">
        <v>-1</v>
      </c>
      <c r="AQ2850" s="90">
        <v>385</v>
      </c>
      <c r="AR2850" s="90" t="s">
        <v>301</v>
      </c>
      <c r="AS2850" s="90" t="s">
        <v>300</v>
      </c>
      <c r="AT2850" s="90" t="s">
        <v>244</v>
      </c>
      <c r="AU2850" s="90">
        <v>4.5650820000000003</v>
      </c>
      <c r="AV2850" s="90">
        <v>10.4721177027076</v>
      </c>
      <c r="AW2850" s="90">
        <v>3.9744255090826801</v>
      </c>
      <c r="AX2850" s="90">
        <v>0.21719112469999999</v>
      </c>
    </row>
    <row r="2851" spans="1:50" x14ac:dyDescent="0.25">
      <c r="A2851" s="102">
        <v>830000</v>
      </c>
      <c r="B2851" s="102">
        <v>1400000</v>
      </c>
      <c r="C2851" s="102">
        <v>1400000</v>
      </c>
      <c r="D2851" s="90" t="s">
        <v>374</v>
      </c>
      <c r="E2851" s="90" t="s">
        <v>68</v>
      </c>
      <c r="F2851" s="90" t="s">
        <v>375</v>
      </c>
      <c r="G2851" s="90" t="s">
        <v>376</v>
      </c>
      <c r="H2851" s="90">
        <v>0.59</v>
      </c>
      <c r="I2851" s="90">
        <v>0.64</v>
      </c>
      <c r="J2851" s="90" t="s">
        <v>244</v>
      </c>
      <c r="K2851" s="90">
        <v>5.9440090218299997E-3</v>
      </c>
      <c r="L2851" s="90">
        <v>3638.1839443929698</v>
      </c>
      <c r="M2851" s="90">
        <v>7.1108989332351502</v>
      </c>
      <c r="N2851" s="90">
        <v>0.96275120530325997</v>
      </c>
      <c r="O2851" s="90">
        <v>4.22672474125E-2</v>
      </c>
      <c r="P2851" s="90">
        <v>5.7226018500999998E-3</v>
      </c>
      <c r="Q2851" s="90">
        <v>21.625398188563398</v>
      </c>
      <c r="R2851" s="90">
        <v>1700</v>
      </c>
      <c r="S2851" s="90" t="s">
        <v>414</v>
      </c>
      <c r="T2851" s="90">
        <v>1700</v>
      </c>
      <c r="U2851" s="90" t="s">
        <v>378</v>
      </c>
      <c r="V2851" s="90" t="s">
        <v>244</v>
      </c>
      <c r="Z2851" s="90">
        <v>0</v>
      </c>
      <c r="AA2851" s="90">
        <v>1</v>
      </c>
      <c r="AB2851" s="90">
        <v>4.22672474125E-2</v>
      </c>
      <c r="AC2851" s="90">
        <v>5.7226018500999998E-3</v>
      </c>
      <c r="AD2851" s="90">
        <v>21.6253981885617</v>
      </c>
      <c r="AF2851" s="90">
        <v>-1</v>
      </c>
      <c r="AG2851" s="90">
        <v>-1</v>
      </c>
      <c r="AH2851" s="90">
        <v>-1</v>
      </c>
      <c r="AI2851" s="90">
        <v>-1</v>
      </c>
      <c r="AJ2851" s="90">
        <v>0</v>
      </c>
      <c r="AM2851" s="90" t="s">
        <v>379</v>
      </c>
      <c r="AN2851" s="90">
        <v>-1</v>
      </c>
      <c r="AQ2851" s="90">
        <v>385</v>
      </c>
      <c r="AR2851" s="90" t="s">
        <v>301</v>
      </c>
      <c r="AS2851" s="90" t="s">
        <v>300</v>
      </c>
      <c r="AT2851" s="90" t="s">
        <v>244</v>
      </c>
      <c r="AU2851" s="90">
        <v>4.5650820000000003</v>
      </c>
      <c r="AV2851" s="90">
        <v>33.860400905069397</v>
      </c>
      <c r="AW2851" s="90">
        <v>24.054551084810502</v>
      </c>
      <c r="AX2851" s="90">
        <v>1.7538846899999998E-2</v>
      </c>
    </row>
    <row r="2852" spans="1:50" x14ac:dyDescent="0.25">
      <c r="A2852" s="102">
        <v>830000</v>
      </c>
      <c r="B2852" s="102">
        <v>1400000</v>
      </c>
      <c r="C2852" s="102">
        <v>1400000</v>
      </c>
      <c r="D2852" s="90" t="s">
        <v>374</v>
      </c>
      <c r="E2852" s="90" t="s">
        <v>68</v>
      </c>
      <c r="F2852" s="90" t="s">
        <v>375</v>
      </c>
      <c r="G2852" s="90" t="s">
        <v>376</v>
      </c>
      <c r="H2852" s="90">
        <v>0.59</v>
      </c>
      <c r="I2852" s="90">
        <v>0.64</v>
      </c>
      <c r="J2852" s="90" t="s">
        <v>381</v>
      </c>
      <c r="K2852" s="90">
        <v>2.4803423446010001E-2</v>
      </c>
      <c r="L2852" s="90">
        <v>3638.1839443929698</v>
      </c>
      <c r="M2852" s="90">
        <v>7.1108989332351502</v>
      </c>
      <c r="N2852" s="90">
        <v>0.96275120530325997</v>
      </c>
      <c r="O2852" s="90">
        <v>0.17637463732285</v>
      </c>
      <c r="P2852" s="90">
        <v>2.387952581829E-2</v>
      </c>
      <c r="Q2852" s="90">
        <v>90.2394169472756</v>
      </c>
      <c r="R2852" s="90">
        <v>1700</v>
      </c>
      <c r="S2852" s="90" t="s">
        <v>414</v>
      </c>
      <c r="T2852" s="90">
        <v>1700</v>
      </c>
      <c r="U2852" s="90" t="s">
        <v>382</v>
      </c>
      <c r="V2852" s="90" t="s">
        <v>381</v>
      </c>
      <c r="Z2852" s="90">
        <v>0</v>
      </c>
      <c r="AA2852" s="90">
        <v>1</v>
      </c>
      <c r="AB2852" s="90">
        <v>0.17637463732285</v>
      </c>
      <c r="AC2852" s="90">
        <v>2.387952581829E-2</v>
      </c>
      <c r="AD2852" s="90">
        <v>96.762111066461799</v>
      </c>
      <c r="AF2852" s="90">
        <v>-1</v>
      </c>
      <c r="AG2852" s="90">
        <v>-1</v>
      </c>
      <c r="AH2852" s="90">
        <v>-1</v>
      </c>
      <c r="AI2852" s="90">
        <v>-1</v>
      </c>
      <c r="AJ2852" s="90">
        <v>0</v>
      </c>
      <c r="AM2852" s="90" t="s">
        <v>379</v>
      </c>
      <c r="AN2852" s="90">
        <v>-1</v>
      </c>
      <c r="AQ2852" s="90">
        <v>385</v>
      </c>
      <c r="AR2852" s="90" t="s">
        <v>301</v>
      </c>
      <c r="AS2852" s="90" t="s">
        <v>300</v>
      </c>
      <c r="AT2852" s="90" t="s">
        <v>244</v>
      </c>
      <c r="AU2852" s="90">
        <v>4.5650820000000003</v>
      </c>
      <c r="AV2852" s="90">
        <v>47.224635420178402</v>
      </c>
      <c r="AW2852" s="90">
        <v>100.375893470017</v>
      </c>
      <c r="AX2852" s="90">
        <v>7.8476975700000007E-2</v>
      </c>
    </row>
    <row r="2853" spans="1:50" x14ac:dyDescent="0.25">
      <c r="A2853" s="102">
        <v>830000</v>
      </c>
      <c r="B2853" s="102">
        <v>1400000</v>
      </c>
      <c r="C2853" s="102">
        <v>1400000</v>
      </c>
      <c r="D2853" s="90" t="s">
        <v>374</v>
      </c>
      <c r="E2853" s="90" t="s">
        <v>68</v>
      </c>
      <c r="F2853" s="90" t="s">
        <v>375</v>
      </c>
      <c r="G2853" s="90" t="s">
        <v>376</v>
      </c>
      <c r="H2853" s="90">
        <v>0.59</v>
      </c>
      <c r="I2853" s="90">
        <v>0.64</v>
      </c>
      <c r="J2853" s="90" t="s">
        <v>244</v>
      </c>
      <c r="K2853" s="90">
        <v>4.2129805815269997E-2</v>
      </c>
      <c r="L2853" s="90">
        <v>3638.1839443929698</v>
      </c>
      <c r="M2853" s="90">
        <v>7.1108989332351502</v>
      </c>
      <c r="N2853" s="90">
        <v>0.96275120530325997</v>
      </c>
      <c r="O2853" s="90">
        <v>0.29958079122925002</v>
      </c>
      <c r="P2853" s="90">
        <v>4.0560521327849999E-2</v>
      </c>
      <c r="Q2853" s="90">
        <v>153.27598309753401</v>
      </c>
      <c r="R2853" s="90">
        <v>1720</v>
      </c>
      <c r="S2853" s="90" t="s">
        <v>423</v>
      </c>
      <c r="T2853" s="90">
        <v>1720</v>
      </c>
      <c r="U2853" s="90" t="s">
        <v>378</v>
      </c>
      <c r="V2853" s="90" t="s">
        <v>244</v>
      </c>
      <c r="Z2853" s="90">
        <v>0</v>
      </c>
      <c r="AA2853" s="90">
        <v>1</v>
      </c>
      <c r="AB2853" s="90">
        <v>0.29958079122925002</v>
      </c>
      <c r="AC2853" s="90">
        <v>4.0560521327849999E-2</v>
      </c>
      <c r="AD2853" s="90">
        <v>1845.5719709730199</v>
      </c>
      <c r="AF2853" s="90">
        <v>-1</v>
      </c>
      <c r="AG2853" s="90">
        <v>-1</v>
      </c>
      <c r="AH2853" s="90">
        <v>-1</v>
      </c>
      <c r="AI2853" s="90">
        <v>-1</v>
      </c>
      <c r="AJ2853" s="90">
        <v>0</v>
      </c>
      <c r="AM2853" s="90" t="s">
        <v>379</v>
      </c>
      <c r="AN2853" s="90">
        <v>-1</v>
      </c>
      <c r="AQ2853" s="90">
        <v>385</v>
      </c>
      <c r="AR2853" s="90" t="s">
        <v>301</v>
      </c>
      <c r="AS2853" s="90" t="s">
        <v>300</v>
      </c>
      <c r="AT2853" s="90" t="s">
        <v>244</v>
      </c>
      <c r="AU2853" s="90">
        <v>4.5650820000000003</v>
      </c>
      <c r="AV2853" s="90">
        <v>98.797879729990996</v>
      </c>
      <c r="AW2853" s="90">
        <v>170.493275238016</v>
      </c>
      <c r="AX2853" s="90">
        <v>1.4968142506</v>
      </c>
    </row>
    <row r="2854" spans="1:50" x14ac:dyDescent="0.25">
      <c r="A2854" s="102">
        <v>830000</v>
      </c>
      <c r="B2854" s="102">
        <v>1400000</v>
      </c>
      <c r="C2854" s="102">
        <v>1400000</v>
      </c>
      <c r="D2854" s="90" t="s">
        <v>374</v>
      </c>
      <c r="E2854" s="90" t="s">
        <v>68</v>
      </c>
      <c r="F2854" s="90" t="s">
        <v>375</v>
      </c>
      <c r="G2854" s="90" t="s">
        <v>376</v>
      </c>
      <c r="H2854" s="90">
        <v>0.59</v>
      </c>
      <c r="I2854" s="90">
        <v>0.64</v>
      </c>
      <c r="J2854" s="90" t="s">
        <v>381</v>
      </c>
      <c r="K2854" s="90">
        <v>1.9748857082E-4</v>
      </c>
      <c r="L2854" s="90">
        <v>3638.1839443929698</v>
      </c>
      <c r="M2854" s="90">
        <v>7.1108989332351502</v>
      </c>
      <c r="N2854" s="90">
        <v>0.96275120530325997</v>
      </c>
      <c r="O2854" s="90">
        <v>1.4043212675700001E-3</v>
      </c>
      <c r="P2854" s="90">
        <v>1.9013235959E-4</v>
      </c>
      <c r="Q2854" s="90">
        <v>0.71849974755843005</v>
      </c>
      <c r="R2854" s="90">
        <v>1720</v>
      </c>
      <c r="S2854" s="90" t="s">
        <v>423</v>
      </c>
      <c r="T2854" s="90">
        <v>1720</v>
      </c>
      <c r="U2854" s="90" t="s">
        <v>382</v>
      </c>
      <c r="V2854" s="90" t="s">
        <v>381</v>
      </c>
      <c r="Z2854" s="90">
        <v>0</v>
      </c>
      <c r="AA2854" s="90">
        <v>1</v>
      </c>
      <c r="AB2854" s="90">
        <v>1.4043212675700001E-3</v>
      </c>
      <c r="AC2854" s="90">
        <v>1.9013235959E-4</v>
      </c>
      <c r="AD2854" s="90">
        <v>0.71849974755725998</v>
      </c>
      <c r="AF2854" s="90">
        <v>-1</v>
      </c>
      <c r="AG2854" s="90">
        <v>-1</v>
      </c>
      <c r="AH2854" s="90">
        <v>-1</v>
      </c>
      <c r="AI2854" s="90">
        <v>-1</v>
      </c>
      <c r="AJ2854" s="90">
        <v>0</v>
      </c>
      <c r="AM2854" s="90" t="s">
        <v>379</v>
      </c>
      <c r="AN2854" s="90">
        <v>-1</v>
      </c>
      <c r="AQ2854" s="90">
        <v>385</v>
      </c>
      <c r="AR2854" s="90" t="s">
        <v>301</v>
      </c>
      <c r="AS2854" s="90" t="s">
        <v>300</v>
      </c>
      <c r="AT2854" s="90" t="s">
        <v>244</v>
      </c>
      <c r="AU2854" s="90">
        <v>4.5650820000000003</v>
      </c>
      <c r="AV2854" s="90">
        <v>5.3308006314733101</v>
      </c>
      <c r="AW2854" s="90">
        <v>0.79920789117220004</v>
      </c>
      <c r="AX2854" s="90">
        <v>5.8272490000000005E-4</v>
      </c>
    </row>
    <row r="2855" spans="1:50" x14ac:dyDescent="0.25">
      <c r="A2855" s="102">
        <v>830000</v>
      </c>
      <c r="B2855" s="102">
        <v>1400000</v>
      </c>
      <c r="C2855" s="102">
        <v>1400000</v>
      </c>
      <c r="D2855" s="90" t="s">
        <v>374</v>
      </c>
      <c r="E2855" s="90" t="s">
        <v>68</v>
      </c>
      <c r="F2855" s="90" t="s">
        <v>375</v>
      </c>
      <c r="G2855" s="90" t="s">
        <v>376</v>
      </c>
      <c r="H2855" s="90">
        <v>0.59</v>
      </c>
      <c r="I2855" s="90">
        <v>0.64</v>
      </c>
      <c r="J2855" s="90" t="s">
        <v>381</v>
      </c>
      <c r="K2855" s="90">
        <v>1.386424436512E-2</v>
      </c>
      <c r="L2855" s="90">
        <v>3747.2550809065501</v>
      </c>
      <c r="M2855" s="90">
        <v>9.6337619029891499</v>
      </c>
      <c r="N2855" s="90">
        <v>1.2744579733302099</v>
      </c>
      <c r="O2855" s="90">
        <v>0.13356482917842</v>
      </c>
      <c r="P2855" s="90">
        <v>1.766939677532E-2</v>
      </c>
      <c r="Q2855" s="90">
        <v>51.952860140125999</v>
      </c>
      <c r="R2855" s="90">
        <v>1700</v>
      </c>
      <c r="S2855" s="90" t="s">
        <v>414</v>
      </c>
      <c r="T2855" s="90">
        <v>1700</v>
      </c>
      <c r="U2855" s="90" t="s">
        <v>382</v>
      </c>
      <c r="V2855" s="90" t="s">
        <v>381</v>
      </c>
      <c r="Z2855" s="90">
        <v>0</v>
      </c>
      <c r="AA2855" s="90">
        <v>1</v>
      </c>
      <c r="AB2855" s="90">
        <v>0.13356482917842</v>
      </c>
      <c r="AC2855" s="90">
        <v>1.766939677532E-2</v>
      </c>
      <c r="AD2855" s="90">
        <v>156.977971368694</v>
      </c>
      <c r="AF2855" s="90">
        <v>-1</v>
      </c>
      <c r="AG2855" s="90">
        <v>-1</v>
      </c>
      <c r="AH2855" s="90">
        <v>-1</v>
      </c>
      <c r="AI2855" s="90">
        <v>-1</v>
      </c>
      <c r="AJ2855" s="90">
        <v>0</v>
      </c>
      <c r="AM2855" s="90" t="s">
        <v>379</v>
      </c>
      <c r="AN2855" s="90">
        <v>-1</v>
      </c>
      <c r="AQ2855" s="90">
        <v>385</v>
      </c>
      <c r="AR2855" s="90" t="s">
        <v>301</v>
      </c>
      <c r="AS2855" s="90" t="s">
        <v>300</v>
      </c>
      <c r="AT2855" s="90" t="s">
        <v>244</v>
      </c>
      <c r="AU2855" s="90">
        <v>4.5650820000000003</v>
      </c>
      <c r="AV2855" s="90">
        <v>50.130378945832902</v>
      </c>
      <c r="AW2855" s="90">
        <v>56.106606350709001</v>
      </c>
      <c r="AX2855" s="90">
        <v>0.12731384539999999</v>
      </c>
    </row>
    <row r="2856" spans="1:50" x14ac:dyDescent="0.25">
      <c r="A2856" s="102">
        <v>830000</v>
      </c>
      <c r="B2856" s="102">
        <v>1400000</v>
      </c>
      <c r="C2856" s="102">
        <v>1400000</v>
      </c>
      <c r="D2856" s="90" t="s">
        <v>374</v>
      </c>
      <c r="E2856" s="90" t="s">
        <v>68</v>
      </c>
      <c r="F2856" s="90" t="s">
        <v>375</v>
      </c>
      <c r="G2856" s="90" t="s">
        <v>376</v>
      </c>
      <c r="H2856" s="90">
        <v>0.59</v>
      </c>
      <c r="I2856" s="90">
        <v>0.64</v>
      </c>
      <c r="J2856" s="90" t="s">
        <v>244</v>
      </c>
      <c r="K2856" s="90">
        <v>4.4603974224179999E-2</v>
      </c>
      <c r="L2856" s="90">
        <v>3720.1448432840002</v>
      </c>
      <c r="M2856" s="90">
        <v>9.8542963554243705</v>
      </c>
      <c r="N2856" s="90">
        <v>1.3000097112692901</v>
      </c>
      <c r="O2856" s="90">
        <v>0.43954078063483998</v>
      </c>
      <c r="P2856" s="90">
        <v>5.7985599652640003E-2</v>
      </c>
      <c r="Q2856" s="90">
        <v>165.93324470008201</v>
      </c>
      <c r="R2856" s="90">
        <v>1700</v>
      </c>
      <c r="S2856" s="90" t="s">
        <v>414</v>
      </c>
      <c r="T2856" s="90">
        <v>1700</v>
      </c>
      <c r="U2856" s="90" t="s">
        <v>378</v>
      </c>
      <c r="V2856" s="90" t="s">
        <v>244</v>
      </c>
      <c r="Z2856" s="90">
        <v>0</v>
      </c>
      <c r="AA2856" s="90">
        <v>1</v>
      </c>
      <c r="AB2856" s="90">
        <v>0.43954078063483998</v>
      </c>
      <c r="AC2856" s="90">
        <v>5.7985599652640003E-2</v>
      </c>
      <c r="AD2856" s="90">
        <v>165.93324470008099</v>
      </c>
      <c r="AF2856" s="90">
        <v>-1</v>
      </c>
      <c r="AG2856" s="90">
        <v>-1</v>
      </c>
      <c r="AH2856" s="90">
        <v>-1</v>
      </c>
      <c r="AI2856" s="90">
        <v>-1</v>
      </c>
      <c r="AJ2856" s="90">
        <v>0</v>
      </c>
      <c r="AM2856" s="90" t="s">
        <v>379</v>
      </c>
      <c r="AN2856" s="90">
        <v>-1</v>
      </c>
      <c r="AQ2856" s="90">
        <v>385</v>
      </c>
      <c r="AR2856" s="90" t="s">
        <v>301</v>
      </c>
      <c r="AS2856" s="90" t="s">
        <v>300</v>
      </c>
      <c r="AT2856" s="90" t="s">
        <v>244</v>
      </c>
      <c r="AU2856" s="90">
        <v>4.5650820000000003</v>
      </c>
      <c r="AV2856" s="90">
        <v>76.074145551355997</v>
      </c>
      <c r="AW2856" s="90">
        <v>180.50587955371401</v>
      </c>
      <c r="AX2856" s="90">
        <v>0.13457684080000001</v>
      </c>
    </row>
    <row r="2857" spans="1:50" x14ac:dyDescent="0.25">
      <c r="A2857" s="102">
        <v>830000</v>
      </c>
      <c r="B2857" s="102">
        <v>1400000</v>
      </c>
      <c r="C2857" s="102">
        <v>1400000</v>
      </c>
      <c r="D2857" s="90" t="s">
        <v>374</v>
      </c>
      <c r="E2857" s="90" t="s">
        <v>68</v>
      </c>
      <c r="F2857" s="90" t="s">
        <v>375</v>
      </c>
      <c r="G2857" s="90" t="s">
        <v>376</v>
      </c>
      <c r="H2857" s="90">
        <v>0.59</v>
      </c>
      <c r="I2857" s="90">
        <v>0.64</v>
      </c>
      <c r="J2857" s="90" t="s">
        <v>381</v>
      </c>
      <c r="K2857" s="90">
        <v>9.4482915493800008E-3</v>
      </c>
      <c r="L2857" s="90">
        <v>3720.1448432840002</v>
      </c>
      <c r="M2857" s="90">
        <v>9.8542963554243705</v>
      </c>
      <c r="N2857" s="90">
        <v>1.3000097112692901</v>
      </c>
      <c r="O2857" s="90">
        <v>9.3106264980099995E-2</v>
      </c>
      <c r="P2857" s="90">
        <v>1.22828707691E-2</v>
      </c>
      <c r="Q2857" s="90">
        <v>35.149013085292196</v>
      </c>
      <c r="R2857" s="90">
        <v>1700</v>
      </c>
      <c r="S2857" s="90" t="s">
        <v>414</v>
      </c>
      <c r="T2857" s="90">
        <v>1700</v>
      </c>
      <c r="U2857" s="90" t="s">
        <v>382</v>
      </c>
      <c r="V2857" s="90" t="s">
        <v>381</v>
      </c>
      <c r="Z2857" s="90">
        <v>0</v>
      </c>
      <c r="AA2857" s="90">
        <v>1</v>
      </c>
      <c r="AB2857" s="90">
        <v>9.3106264980099995E-2</v>
      </c>
      <c r="AC2857" s="90">
        <v>1.22828707691E-2</v>
      </c>
      <c r="AD2857" s="90">
        <v>35.149013085290697</v>
      </c>
      <c r="AF2857" s="90">
        <v>-1</v>
      </c>
      <c r="AG2857" s="90">
        <v>-1</v>
      </c>
      <c r="AH2857" s="90">
        <v>-1</v>
      </c>
      <c r="AI2857" s="90">
        <v>-1</v>
      </c>
      <c r="AJ2857" s="90">
        <v>0</v>
      </c>
      <c r="AM2857" s="90" t="s">
        <v>379</v>
      </c>
      <c r="AN2857" s="90">
        <v>-1</v>
      </c>
      <c r="AQ2857" s="90">
        <v>385</v>
      </c>
      <c r="AR2857" s="90" t="s">
        <v>301</v>
      </c>
      <c r="AS2857" s="90" t="s">
        <v>300</v>
      </c>
      <c r="AT2857" s="90" t="s">
        <v>244</v>
      </c>
      <c r="AU2857" s="90">
        <v>4.5650820000000003</v>
      </c>
      <c r="AV2857" s="90">
        <v>37.868548795610998</v>
      </c>
      <c r="AW2857" s="90">
        <v>38.235879337338801</v>
      </c>
      <c r="AX2857" s="90">
        <v>2.8506904400000001E-2</v>
      </c>
    </row>
    <row r="2858" spans="1:50" x14ac:dyDescent="0.25">
      <c r="A2858" s="102">
        <v>830000</v>
      </c>
      <c r="B2858" s="102">
        <v>1400000</v>
      </c>
      <c r="C2858" s="102">
        <v>1400000</v>
      </c>
      <c r="D2858" s="90" t="s">
        <v>374</v>
      </c>
      <c r="E2858" s="90" t="s">
        <v>68</v>
      </c>
      <c r="F2858" s="90" t="s">
        <v>375</v>
      </c>
      <c r="G2858" s="90" t="s">
        <v>376</v>
      </c>
      <c r="H2858" s="90">
        <v>0.59</v>
      </c>
      <c r="I2858" s="90">
        <v>0.64</v>
      </c>
      <c r="J2858" s="90" t="s">
        <v>244</v>
      </c>
      <c r="K2858" s="90">
        <v>2.4949062992450002E-2</v>
      </c>
      <c r="L2858" s="90">
        <v>3720.1448432840002</v>
      </c>
      <c r="M2858" s="90">
        <v>9.8542963554243705</v>
      </c>
      <c r="N2858" s="90">
        <v>1.3000097112692901</v>
      </c>
      <c r="O2858" s="90">
        <v>0.24585546051782001</v>
      </c>
      <c r="P2858" s="90">
        <v>3.2434024177259997E-2</v>
      </c>
      <c r="Q2858" s="90">
        <v>92.814128036156802</v>
      </c>
      <c r="R2858" s="90">
        <v>1720</v>
      </c>
      <c r="S2858" s="90" t="s">
        <v>423</v>
      </c>
      <c r="T2858" s="90">
        <v>1720</v>
      </c>
      <c r="U2858" s="90" t="s">
        <v>378</v>
      </c>
      <c r="V2858" s="90" t="s">
        <v>244</v>
      </c>
      <c r="Z2858" s="90">
        <v>0</v>
      </c>
      <c r="AA2858" s="90">
        <v>1</v>
      </c>
      <c r="AB2858" s="90">
        <v>0.24585546051782001</v>
      </c>
      <c r="AC2858" s="90">
        <v>3.2434024177259997E-2</v>
      </c>
      <c r="AD2858" s="90">
        <v>92.814128036157101</v>
      </c>
      <c r="AF2858" s="90">
        <v>-1</v>
      </c>
      <c r="AG2858" s="90">
        <v>-1</v>
      </c>
      <c r="AH2858" s="90">
        <v>-1</v>
      </c>
      <c r="AI2858" s="90">
        <v>-1</v>
      </c>
      <c r="AJ2858" s="90">
        <v>0</v>
      </c>
      <c r="AM2858" s="90" t="s">
        <v>379</v>
      </c>
      <c r="AN2858" s="90">
        <v>-1</v>
      </c>
      <c r="AQ2858" s="90">
        <v>385</v>
      </c>
      <c r="AR2858" s="90" t="s">
        <v>301</v>
      </c>
      <c r="AS2858" s="90" t="s">
        <v>300</v>
      </c>
      <c r="AT2858" s="90" t="s">
        <v>244</v>
      </c>
      <c r="AU2858" s="90">
        <v>4.5650820000000003</v>
      </c>
      <c r="AV2858" s="90">
        <v>58.4273550073679</v>
      </c>
      <c r="AW2858" s="90">
        <v>100.965275803887</v>
      </c>
      <c r="AX2858" s="90">
        <v>7.5275043E-2</v>
      </c>
    </row>
    <row r="2859" spans="1:50" x14ac:dyDescent="0.25">
      <c r="A2859" s="102">
        <v>830000</v>
      </c>
      <c r="B2859" s="102">
        <v>2400000</v>
      </c>
      <c r="C2859" s="102">
        <v>2400000</v>
      </c>
      <c r="D2859" s="90" t="s">
        <v>374</v>
      </c>
      <c r="E2859" s="90" t="s">
        <v>68</v>
      </c>
      <c r="F2859" s="90" t="s">
        <v>375</v>
      </c>
      <c r="G2859" s="90" t="s">
        <v>376</v>
      </c>
      <c r="H2859" s="90">
        <v>0.59</v>
      </c>
      <c r="I2859" s="90">
        <v>0.64</v>
      </c>
      <c r="J2859" s="90" t="s">
        <v>244</v>
      </c>
      <c r="K2859" s="90">
        <v>0.11620714842787</v>
      </c>
      <c r="L2859" s="90">
        <v>3731.9019144570302</v>
      </c>
      <c r="M2859" s="90">
        <v>10.285234340199301</v>
      </c>
      <c r="N2859" s="90">
        <v>1.3596103123832199</v>
      </c>
      <c r="O2859" s="90">
        <v>1.1952177535869799</v>
      </c>
      <c r="P2859" s="90">
        <v>0.15799643737517999</v>
      </c>
      <c r="Q2859" s="90">
        <v>433.673679691568</v>
      </c>
      <c r="R2859" s="90">
        <v>1400</v>
      </c>
      <c r="S2859" s="90" t="s">
        <v>324</v>
      </c>
      <c r="T2859" s="90">
        <v>1400</v>
      </c>
      <c r="U2859" s="90" t="s">
        <v>378</v>
      </c>
      <c r="V2859" s="90" t="s">
        <v>244</v>
      </c>
      <c r="Z2859" s="90">
        <v>0</v>
      </c>
      <c r="AA2859" s="90">
        <v>1</v>
      </c>
      <c r="AB2859" s="90">
        <v>1.1952177535869799</v>
      </c>
      <c r="AC2859" s="90">
        <v>0.15799643737517999</v>
      </c>
      <c r="AD2859" s="90">
        <v>433.673679691568</v>
      </c>
      <c r="AF2859" s="90">
        <v>-1</v>
      </c>
      <c r="AG2859" s="90">
        <v>-1</v>
      </c>
      <c r="AH2859" s="90">
        <v>-1</v>
      </c>
      <c r="AI2859" s="90">
        <v>-1</v>
      </c>
      <c r="AJ2859" s="90">
        <v>0</v>
      </c>
      <c r="AM2859" s="90" t="s">
        <v>379</v>
      </c>
      <c r="AN2859" s="90">
        <v>-1</v>
      </c>
      <c r="AQ2859" s="90">
        <v>385</v>
      </c>
      <c r="AR2859" s="90" t="s">
        <v>301</v>
      </c>
      <c r="AS2859" s="90" t="s">
        <v>300</v>
      </c>
      <c r="AT2859" s="90" t="s">
        <v>244</v>
      </c>
      <c r="AU2859" s="90">
        <v>4.5650820000000003</v>
      </c>
      <c r="AV2859" s="90">
        <v>138.43582686026099</v>
      </c>
      <c r="AW2859" s="90">
        <v>470.273644944122</v>
      </c>
      <c r="AX2859" s="90">
        <v>0.35172236800000001</v>
      </c>
    </row>
    <row r="2860" spans="1:50" x14ac:dyDescent="0.25">
      <c r="A2860" s="102">
        <v>830000</v>
      </c>
      <c r="B2860" s="102">
        <v>2400000</v>
      </c>
      <c r="C2860" s="102">
        <v>2400000</v>
      </c>
      <c r="D2860" s="90" t="s">
        <v>374</v>
      </c>
      <c r="E2860" s="90" t="s">
        <v>68</v>
      </c>
      <c r="F2860" s="90" t="s">
        <v>375</v>
      </c>
      <c r="G2860" s="90" t="s">
        <v>376</v>
      </c>
      <c r="H2860" s="90">
        <v>0.59</v>
      </c>
      <c r="I2860" s="90">
        <v>0.64</v>
      </c>
      <c r="J2860" s="90" t="s">
        <v>244</v>
      </c>
      <c r="K2860" s="90">
        <v>4.1276299165200004E-3</v>
      </c>
      <c r="L2860" s="90">
        <v>3731.9019144570302</v>
      </c>
      <c r="M2860" s="90">
        <v>10.285234340199301</v>
      </c>
      <c r="N2860" s="90">
        <v>1.3596103123832199</v>
      </c>
      <c r="O2860" s="90">
        <v>4.2453640961049997E-2</v>
      </c>
      <c r="P2860" s="90">
        <v>5.6119682002E-3</v>
      </c>
      <c r="Q2860" s="90">
        <v>15.403909987642299</v>
      </c>
      <c r="R2860" s="90">
        <v>1400</v>
      </c>
      <c r="S2860" s="90" t="s">
        <v>324</v>
      </c>
      <c r="T2860" s="90">
        <v>1400</v>
      </c>
      <c r="U2860" s="90" t="s">
        <v>378</v>
      </c>
      <c r="V2860" s="90" t="s">
        <v>244</v>
      </c>
      <c r="Z2860" s="90">
        <v>0</v>
      </c>
      <c r="AA2860" s="90">
        <v>1</v>
      </c>
      <c r="AB2860" s="90">
        <v>4.2453640961049997E-2</v>
      </c>
      <c r="AC2860" s="90">
        <v>5.6119682002E-3</v>
      </c>
      <c r="AD2860" s="90">
        <v>239.260692012633</v>
      </c>
      <c r="AF2860" s="90">
        <v>-1</v>
      </c>
      <c r="AG2860" s="90">
        <v>-1</v>
      </c>
      <c r="AH2860" s="90">
        <v>-1</v>
      </c>
      <c r="AI2860" s="90">
        <v>-1</v>
      </c>
      <c r="AJ2860" s="90">
        <v>0</v>
      </c>
      <c r="AM2860" s="90" t="s">
        <v>379</v>
      </c>
      <c r="AN2860" s="90">
        <v>-1</v>
      </c>
      <c r="AQ2860" s="90">
        <v>385</v>
      </c>
      <c r="AR2860" s="90" t="s">
        <v>301</v>
      </c>
      <c r="AS2860" s="90" t="s">
        <v>300</v>
      </c>
      <c r="AT2860" s="90" t="s">
        <v>244</v>
      </c>
      <c r="AU2860" s="90">
        <v>4.5650820000000003</v>
      </c>
      <c r="AV2860" s="90">
        <v>49.335591963151003</v>
      </c>
      <c r="AW2860" s="90">
        <v>16.703925636971199</v>
      </c>
      <c r="AX2860" s="90">
        <v>0.19404760099999999</v>
      </c>
    </row>
    <row r="2861" spans="1:50" x14ac:dyDescent="0.25">
      <c r="A2861" s="102">
        <v>830000</v>
      </c>
      <c r="B2861" s="102">
        <v>2400000</v>
      </c>
      <c r="C2861" s="102">
        <v>2400000</v>
      </c>
      <c r="D2861" s="90" t="s">
        <v>374</v>
      </c>
      <c r="E2861" s="90" t="s">
        <v>68</v>
      </c>
      <c r="F2861" s="90" t="s">
        <v>375</v>
      </c>
      <c r="G2861" s="90" t="s">
        <v>376</v>
      </c>
      <c r="H2861" s="90">
        <v>0.59</v>
      </c>
      <c r="I2861" s="90">
        <v>0.64</v>
      </c>
      <c r="J2861" s="90" t="s">
        <v>381</v>
      </c>
      <c r="K2861" s="90">
        <v>7.1089069881999996E-4</v>
      </c>
      <c r="L2861" s="90">
        <v>3731.9019144570302</v>
      </c>
      <c r="M2861" s="90">
        <v>10.285234340199301</v>
      </c>
      <c r="N2861" s="90">
        <v>1.3596103123832199</v>
      </c>
      <c r="O2861" s="90">
        <v>7.3116774276500004E-3</v>
      </c>
      <c r="P2861" s="90">
        <v>9.6653432508999996E-4</v>
      </c>
      <c r="Q2861" s="90">
        <v>2.6529743599035198</v>
      </c>
      <c r="R2861" s="90">
        <v>1400</v>
      </c>
      <c r="S2861" s="90" t="s">
        <v>324</v>
      </c>
      <c r="T2861" s="90">
        <v>1400</v>
      </c>
      <c r="U2861" s="90" t="s">
        <v>382</v>
      </c>
      <c r="V2861" s="90" t="s">
        <v>381</v>
      </c>
      <c r="Z2861" s="90">
        <v>0</v>
      </c>
      <c r="AA2861" s="90">
        <v>1</v>
      </c>
      <c r="AB2861" s="90">
        <v>7.3116774276500004E-3</v>
      </c>
      <c r="AC2861" s="90">
        <v>9.6653432508999996E-4</v>
      </c>
      <c r="AD2861" s="90">
        <v>5.39342379385677</v>
      </c>
      <c r="AF2861" s="90">
        <v>-1</v>
      </c>
      <c r="AG2861" s="90">
        <v>-1</v>
      </c>
      <c r="AH2861" s="90">
        <v>-1</v>
      </c>
      <c r="AI2861" s="90">
        <v>-1</v>
      </c>
      <c r="AJ2861" s="90">
        <v>0</v>
      </c>
      <c r="AM2861" s="90" t="s">
        <v>379</v>
      </c>
      <c r="AN2861" s="90">
        <v>-1</v>
      </c>
      <c r="AQ2861" s="90">
        <v>385</v>
      </c>
      <c r="AR2861" s="90" t="s">
        <v>301</v>
      </c>
      <c r="AS2861" s="90" t="s">
        <v>300</v>
      </c>
      <c r="AT2861" s="90" t="s">
        <v>244</v>
      </c>
      <c r="AU2861" s="90">
        <v>4.5650820000000003</v>
      </c>
      <c r="AV2861" s="90">
        <v>50.325703787381002</v>
      </c>
      <c r="AW2861" s="90">
        <v>2.8768725901529302</v>
      </c>
      <c r="AX2861" s="90">
        <v>4.3742284999999997E-3</v>
      </c>
    </row>
    <row r="2862" spans="1:50" x14ac:dyDescent="0.25">
      <c r="A2862" s="102">
        <v>830000</v>
      </c>
      <c r="B2862" s="102">
        <v>2400000</v>
      </c>
      <c r="C2862" s="102">
        <v>2400000</v>
      </c>
      <c r="D2862" s="90" t="s">
        <v>374</v>
      </c>
      <c r="E2862" s="90" t="s">
        <v>68</v>
      </c>
      <c r="F2862" s="90" t="s">
        <v>375</v>
      </c>
      <c r="G2862" s="90" t="s">
        <v>376</v>
      </c>
      <c r="H2862" s="90">
        <v>0.59</v>
      </c>
      <c r="I2862" s="90">
        <v>0.64</v>
      </c>
      <c r="J2862" s="90" t="s">
        <v>244</v>
      </c>
      <c r="K2862" s="90">
        <v>1.6257384764900001E-3</v>
      </c>
      <c r="L2862" s="90">
        <v>3731.9019144570302</v>
      </c>
      <c r="M2862" s="90">
        <v>10.285234340199301</v>
      </c>
      <c r="N2862" s="90">
        <v>1.3596103123832199</v>
      </c>
      <c r="O2862" s="90">
        <v>1.672110120666E-2</v>
      </c>
      <c r="P2862" s="90">
        <v>2.21037079788E-3</v>
      </c>
      <c r="Q2862" s="90">
        <v>6.06709653284934</v>
      </c>
      <c r="R2862" s="90">
        <v>8140</v>
      </c>
      <c r="S2862" s="90" t="s">
        <v>386</v>
      </c>
      <c r="T2862" s="90">
        <v>8140</v>
      </c>
      <c r="U2862" s="90" t="s">
        <v>378</v>
      </c>
      <c r="V2862" s="90" t="s">
        <v>244</v>
      </c>
      <c r="Z2862" s="90">
        <v>0</v>
      </c>
      <c r="AA2862" s="90">
        <v>1</v>
      </c>
      <c r="AB2862" s="90">
        <v>1.672110120666E-2</v>
      </c>
      <c r="AC2862" s="90">
        <v>2.21037079788E-3</v>
      </c>
      <c r="AD2862" s="90">
        <v>6.0670965328490096</v>
      </c>
      <c r="AF2862" s="90">
        <v>-1</v>
      </c>
      <c r="AG2862" s="90">
        <v>-1</v>
      </c>
      <c r="AH2862" s="90">
        <v>-1</v>
      </c>
      <c r="AI2862" s="90">
        <v>-1</v>
      </c>
      <c r="AJ2862" s="90">
        <v>0</v>
      </c>
      <c r="AM2862" s="90" t="s">
        <v>379</v>
      </c>
      <c r="AN2862" s="90">
        <v>-1</v>
      </c>
      <c r="AQ2862" s="90">
        <v>385</v>
      </c>
      <c r="AR2862" s="90" t="s">
        <v>301</v>
      </c>
      <c r="AS2862" s="90" t="s">
        <v>300</v>
      </c>
      <c r="AT2862" s="90" t="s">
        <v>244</v>
      </c>
      <c r="AU2862" s="90">
        <v>4.5650820000000003</v>
      </c>
      <c r="AV2862" s="90">
        <v>100.28821687326101</v>
      </c>
      <c r="AW2862" s="90">
        <v>6.57913019475835</v>
      </c>
      <c r="AX2862" s="90">
        <v>4.9205973999999998E-3</v>
      </c>
    </row>
    <row r="2863" spans="1:50" x14ac:dyDescent="0.25">
      <c r="A2863" s="102">
        <v>830000</v>
      </c>
      <c r="B2863" s="102">
        <v>2400000</v>
      </c>
      <c r="C2863" s="102">
        <v>2400000</v>
      </c>
      <c r="D2863" s="90" t="s">
        <v>374</v>
      </c>
      <c r="E2863" s="90" t="s">
        <v>68</v>
      </c>
      <c r="F2863" s="90" t="s">
        <v>375</v>
      </c>
      <c r="G2863" s="90" t="s">
        <v>376</v>
      </c>
      <c r="H2863" s="90">
        <v>0.59</v>
      </c>
      <c r="I2863" s="90">
        <v>0.64</v>
      </c>
      <c r="J2863" s="90" t="s">
        <v>381</v>
      </c>
      <c r="K2863" s="90">
        <v>0.23684348164791999</v>
      </c>
      <c r="L2863" s="90">
        <v>3731.9019144570302</v>
      </c>
      <c r="M2863" s="90">
        <v>10.285234340199301</v>
      </c>
      <c r="N2863" s="90">
        <v>1.3596103123832199</v>
      </c>
      <c r="O2863" s="90">
        <v>2.43599071069763</v>
      </c>
      <c r="P2863" s="90">
        <v>0.32201484006927</v>
      </c>
      <c r="Q2863" s="90">
        <v>883.87664258857103</v>
      </c>
      <c r="R2863" s="90">
        <v>8140</v>
      </c>
      <c r="S2863" s="90" t="s">
        <v>386</v>
      </c>
      <c r="T2863" s="90">
        <v>8140</v>
      </c>
      <c r="U2863" s="90" t="s">
        <v>382</v>
      </c>
      <c r="V2863" s="90" t="s">
        <v>381</v>
      </c>
      <c r="Z2863" s="90">
        <v>0</v>
      </c>
      <c r="AA2863" s="90">
        <v>1</v>
      </c>
      <c r="AB2863" s="90">
        <v>2.43599071069763</v>
      </c>
      <c r="AC2863" s="90">
        <v>0.32201484006927</v>
      </c>
      <c r="AD2863" s="90">
        <v>913.24473404887897</v>
      </c>
      <c r="AF2863" s="90">
        <v>-1</v>
      </c>
      <c r="AG2863" s="90">
        <v>-1</v>
      </c>
      <c r="AH2863" s="90">
        <v>-1</v>
      </c>
      <c r="AI2863" s="90">
        <v>-1</v>
      </c>
      <c r="AJ2863" s="90">
        <v>0</v>
      </c>
      <c r="AM2863" s="90" t="s">
        <v>379</v>
      </c>
      <c r="AN2863" s="90">
        <v>-1</v>
      </c>
      <c r="AQ2863" s="90">
        <v>385</v>
      </c>
      <c r="AR2863" s="90" t="s">
        <v>301</v>
      </c>
      <c r="AS2863" s="90" t="s">
        <v>300</v>
      </c>
      <c r="AT2863" s="90" t="s">
        <v>244</v>
      </c>
      <c r="AU2863" s="90">
        <v>4.5650820000000003</v>
      </c>
      <c r="AV2863" s="90">
        <v>137.67587061101099</v>
      </c>
      <c r="AW2863" s="90">
        <v>958.47156481049501</v>
      </c>
      <c r="AX2863" s="90">
        <v>0.74066888409999998</v>
      </c>
    </row>
    <row r="2864" spans="1:50" x14ac:dyDescent="0.25">
      <c r="A2864" s="102">
        <v>830000</v>
      </c>
      <c r="B2864" s="102">
        <v>2400000</v>
      </c>
      <c r="C2864" s="102">
        <v>2400000</v>
      </c>
      <c r="D2864" s="90" t="s">
        <v>374</v>
      </c>
      <c r="E2864" s="90" t="s">
        <v>68</v>
      </c>
      <c r="F2864" s="90" t="s">
        <v>375</v>
      </c>
      <c r="G2864" s="90" t="s">
        <v>376</v>
      </c>
      <c r="H2864" s="90">
        <v>0.59</v>
      </c>
      <c r="I2864" s="90">
        <v>0.64</v>
      </c>
      <c r="J2864" s="90" t="s">
        <v>244</v>
      </c>
      <c r="K2864" s="90">
        <v>5.7278129752799996E-3</v>
      </c>
      <c r="L2864" s="90">
        <v>3731.9019144570302</v>
      </c>
      <c r="M2864" s="90">
        <v>10.285234340199301</v>
      </c>
      <c r="N2864" s="90">
        <v>1.3596103123832199</v>
      </c>
      <c r="O2864" s="90">
        <v>5.8911898707610003E-2</v>
      </c>
      <c r="P2864" s="90">
        <v>7.7875935885900003E-3</v>
      </c>
      <c r="Q2864" s="90">
        <v>21.375636208106702</v>
      </c>
      <c r="R2864" s="90">
        <v>1300</v>
      </c>
      <c r="S2864" s="90" t="s">
        <v>387</v>
      </c>
      <c r="T2864" s="90">
        <v>1300</v>
      </c>
      <c r="U2864" s="90" t="s">
        <v>378</v>
      </c>
      <c r="V2864" s="90" t="s">
        <v>244</v>
      </c>
      <c r="Z2864" s="90">
        <v>0</v>
      </c>
      <c r="AA2864" s="90">
        <v>1</v>
      </c>
      <c r="AB2864" s="90">
        <v>5.8911898707610003E-2</v>
      </c>
      <c r="AC2864" s="90">
        <v>7.7875935885900003E-3</v>
      </c>
      <c r="AD2864" s="90">
        <v>21.375636208106201</v>
      </c>
      <c r="AF2864" s="90">
        <v>-1</v>
      </c>
      <c r="AG2864" s="90">
        <v>-1</v>
      </c>
      <c r="AH2864" s="90">
        <v>-1</v>
      </c>
      <c r="AI2864" s="90">
        <v>-1</v>
      </c>
      <c r="AJ2864" s="90">
        <v>0</v>
      </c>
      <c r="AM2864" s="90" t="s">
        <v>379</v>
      </c>
      <c r="AN2864" s="90">
        <v>-1</v>
      </c>
      <c r="AQ2864" s="90">
        <v>385</v>
      </c>
      <c r="AR2864" s="90" t="s">
        <v>301</v>
      </c>
      <c r="AS2864" s="90" t="s">
        <v>300</v>
      </c>
      <c r="AT2864" s="90" t="s">
        <v>244</v>
      </c>
      <c r="AU2864" s="90">
        <v>4.5650820000000003</v>
      </c>
      <c r="AV2864" s="90">
        <v>30.817141271724701</v>
      </c>
      <c r="AW2864" s="90">
        <v>23.179636725325398</v>
      </c>
      <c r="AX2864" s="90">
        <v>1.73362824E-2</v>
      </c>
    </row>
    <row r="2865" spans="1:50" x14ac:dyDescent="0.25">
      <c r="A2865" s="102">
        <v>830000</v>
      </c>
      <c r="B2865" s="102">
        <v>2400000</v>
      </c>
      <c r="C2865" s="102">
        <v>2400000</v>
      </c>
      <c r="D2865" s="90" t="s">
        <v>374</v>
      </c>
      <c r="E2865" s="90" t="s">
        <v>68</v>
      </c>
      <c r="F2865" s="90" t="s">
        <v>375</v>
      </c>
      <c r="G2865" s="90" t="s">
        <v>376</v>
      </c>
      <c r="H2865" s="90">
        <v>0.59</v>
      </c>
      <c r="I2865" s="90">
        <v>0.64</v>
      </c>
      <c r="J2865" s="90" t="s">
        <v>244</v>
      </c>
      <c r="K2865" s="90">
        <v>0.10958732337794</v>
      </c>
      <c r="L2865" s="90">
        <v>3731.9019144570302</v>
      </c>
      <c r="M2865" s="90">
        <v>10.285234340199301</v>
      </c>
      <c r="N2865" s="90">
        <v>1.3596103123832199</v>
      </c>
      <c r="O2865" s="90">
        <v>1.1271313016573701</v>
      </c>
      <c r="P2865" s="90">
        <v>0.14899605497113</v>
      </c>
      <c r="Q2865" s="90">
        <v>408.96914191437799</v>
      </c>
      <c r="R2865" s="90">
        <v>1410</v>
      </c>
      <c r="S2865" s="90" t="s">
        <v>325</v>
      </c>
      <c r="T2865" s="90">
        <v>1410</v>
      </c>
      <c r="U2865" s="90" t="s">
        <v>378</v>
      </c>
      <c r="V2865" s="90" t="s">
        <v>244</v>
      </c>
      <c r="Z2865" s="90">
        <v>0</v>
      </c>
      <c r="AA2865" s="90">
        <v>1</v>
      </c>
      <c r="AB2865" s="90">
        <v>1.1271313016573701</v>
      </c>
      <c r="AC2865" s="90">
        <v>0.14899605497113</v>
      </c>
      <c r="AD2865" s="90">
        <v>409.28845787200697</v>
      </c>
      <c r="AF2865" s="90">
        <v>-1</v>
      </c>
      <c r="AG2865" s="90">
        <v>-1</v>
      </c>
      <c r="AH2865" s="90">
        <v>-1</v>
      </c>
      <c r="AI2865" s="90">
        <v>-1</v>
      </c>
      <c r="AJ2865" s="90">
        <v>0</v>
      </c>
      <c r="AM2865" s="90" t="s">
        <v>379</v>
      </c>
      <c r="AN2865" s="90">
        <v>-1</v>
      </c>
      <c r="AQ2865" s="90">
        <v>385</v>
      </c>
      <c r="AR2865" s="90" t="s">
        <v>301</v>
      </c>
      <c r="AS2865" s="90" t="s">
        <v>300</v>
      </c>
      <c r="AT2865" s="90" t="s">
        <v>244</v>
      </c>
      <c r="AU2865" s="90">
        <v>4.5650820000000003</v>
      </c>
      <c r="AV2865" s="90">
        <v>92.974745539004005</v>
      </c>
      <c r="AW2865" s="90">
        <v>443.48416342566497</v>
      </c>
      <c r="AX2865" s="90">
        <v>0.33194522129999998</v>
      </c>
    </row>
    <row r="2866" spans="1:50" x14ac:dyDescent="0.25">
      <c r="A2866" s="102">
        <v>830000</v>
      </c>
      <c r="B2866" s="102">
        <v>2400000</v>
      </c>
      <c r="C2866" s="102">
        <v>2400000</v>
      </c>
      <c r="D2866" s="90" t="s">
        <v>374</v>
      </c>
      <c r="E2866" s="90" t="s">
        <v>68</v>
      </c>
      <c r="F2866" s="90" t="s">
        <v>375</v>
      </c>
      <c r="G2866" s="90" t="s">
        <v>376</v>
      </c>
      <c r="H2866" s="90">
        <v>0.59</v>
      </c>
      <c r="I2866" s="90">
        <v>0.64</v>
      </c>
      <c r="J2866" s="90" t="s">
        <v>244</v>
      </c>
      <c r="K2866" s="90">
        <v>7.2343152790640006E-2</v>
      </c>
      <c r="L2866" s="90">
        <v>3720.51563159427</v>
      </c>
      <c r="M2866" s="90">
        <v>10.089659234571201</v>
      </c>
      <c r="N2866" s="90">
        <v>1.49967869675028</v>
      </c>
      <c r="O2866" s="90">
        <v>0.72991775961215999</v>
      </c>
      <c r="P2866" s="90">
        <v>0.10849148509588</v>
      </c>
      <c r="Q2866" s="90">
        <v>269.15383079642203</v>
      </c>
      <c r="R2866" s="90">
        <v>1400</v>
      </c>
      <c r="S2866" s="90" t="s">
        <v>324</v>
      </c>
      <c r="T2866" s="90">
        <v>1400</v>
      </c>
      <c r="U2866" s="90" t="s">
        <v>378</v>
      </c>
      <c r="V2866" s="90" t="s">
        <v>244</v>
      </c>
      <c r="Z2866" s="90">
        <v>0</v>
      </c>
      <c r="AA2866" s="90">
        <v>1</v>
      </c>
      <c r="AB2866" s="90">
        <v>0.72991775961215999</v>
      </c>
      <c r="AC2866" s="90">
        <v>0.10849148509588</v>
      </c>
      <c r="AD2866" s="90">
        <v>269.153830796421</v>
      </c>
      <c r="AF2866" s="90">
        <v>-1</v>
      </c>
      <c r="AG2866" s="90">
        <v>-1</v>
      </c>
      <c r="AH2866" s="90">
        <v>-1</v>
      </c>
      <c r="AI2866" s="90">
        <v>-1</v>
      </c>
      <c r="AJ2866" s="90">
        <v>0</v>
      </c>
      <c r="AM2866" s="90" t="s">
        <v>379</v>
      </c>
      <c r="AN2866" s="90">
        <v>-1</v>
      </c>
      <c r="AQ2866" s="90">
        <v>385</v>
      </c>
      <c r="AR2866" s="90" t="s">
        <v>301</v>
      </c>
      <c r="AS2866" s="90" t="s">
        <v>300</v>
      </c>
      <c r="AT2866" s="90" t="s">
        <v>244</v>
      </c>
      <c r="AU2866" s="90">
        <v>4.5650820000000003</v>
      </c>
      <c r="AV2866" s="90">
        <v>111.678462721283</v>
      </c>
      <c r="AW2866" s="90">
        <v>292.762352487501</v>
      </c>
      <c r="AX2866" s="90">
        <v>0.21829183360000001</v>
      </c>
    </row>
    <row r="2867" spans="1:50" x14ac:dyDescent="0.25">
      <c r="A2867" s="102">
        <v>830000</v>
      </c>
      <c r="B2867" s="102">
        <v>2400000</v>
      </c>
      <c r="C2867" s="102">
        <v>2400000</v>
      </c>
      <c r="D2867" s="90" t="s">
        <v>374</v>
      </c>
      <c r="E2867" s="90" t="s">
        <v>68</v>
      </c>
      <c r="F2867" s="90" t="s">
        <v>375</v>
      </c>
      <c r="G2867" s="90" t="s">
        <v>376</v>
      </c>
      <c r="H2867" s="90">
        <v>0.59</v>
      </c>
      <c r="I2867" s="90">
        <v>0.64</v>
      </c>
      <c r="J2867" s="90" t="s">
        <v>244</v>
      </c>
      <c r="K2867" s="90">
        <v>7.2923052224800004E-3</v>
      </c>
      <c r="L2867" s="90">
        <v>3720.51563159427</v>
      </c>
      <c r="M2867" s="90">
        <v>10.089659234571201</v>
      </c>
      <c r="N2867" s="90">
        <v>1.49967869675028</v>
      </c>
      <c r="O2867" s="90">
        <v>7.357687472933E-2</v>
      </c>
      <c r="P2867" s="90">
        <v>1.093611479235E-2</v>
      </c>
      <c r="Q2867" s="90">
        <v>27.131135570604599</v>
      </c>
      <c r="R2867" s="90">
        <v>1400</v>
      </c>
      <c r="S2867" s="90" t="s">
        <v>324</v>
      </c>
      <c r="T2867" s="90">
        <v>1400</v>
      </c>
      <c r="U2867" s="90" t="s">
        <v>378</v>
      </c>
      <c r="V2867" s="90" t="s">
        <v>244</v>
      </c>
      <c r="Z2867" s="90">
        <v>0</v>
      </c>
      <c r="AA2867" s="90">
        <v>1</v>
      </c>
      <c r="AB2867" s="90">
        <v>7.357687472933E-2</v>
      </c>
      <c r="AC2867" s="90">
        <v>1.093611479235E-2</v>
      </c>
      <c r="AD2867" s="90">
        <v>162.04334237390901</v>
      </c>
      <c r="AF2867" s="90">
        <v>-1</v>
      </c>
      <c r="AG2867" s="90">
        <v>-1</v>
      </c>
      <c r="AH2867" s="90">
        <v>-1</v>
      </c>
      <c r="AI2867" s="90">
        <v>-1</v>
      </c>
      <c r="AJ2867" s="90">
        <v>0</v>
      </c>
      <c r="AM2867" s="90" t="s">
        <v>379</v>
      </c>
      <c r="AN2867" s="90">
        <v>-1</v>
      </c>
      <c r="AQ2867" s="90">
        <v>385</v>
      </c>
      <c r="AR2867" s="90" t="s">
        <v>301</v>
      </c>
      <c r="AS2867" s="90" t="s">
        <v>300</v>
      </c>
      <c r="AT2867" s="90" t="s">
        <v>244</v>
      </c>
      <c r="AU2867" s="90">
        <v>4.5650820000000003</v>
      </c>
      <c r="AV2867" s="90">
        <v>57.956641652277199</v>
      </c>
      <c r="AW2867" s="90">
        <v>29.510912223704299</v>
      </c>
      <c r="AX2867" s="90">
        <v>0.1314220133</v>
      </c>
    </row>
    <row r="2868" spans="1:50" x14ac:dyDescent="0.25">
      <c r="A2868" s="102">
        <v>830000</v>
      </c>
      <c r="B2868" s="102">
        <v>2400000</v>
      </c>
      <c r="C2868" s="102">
        <v>2400000</v>
      </c>
      <c r="D2868" s="90" t="s">
        <v>374</v>
      </c>
      <c r="E2868" s="90" t="s">
        <v>68</v>
      </c>
      <c r="F2868" s="90" t="s">
        <v>375</v>
      </c>
      <c r="G2868" s="90" t="s">
        <v>376</v>
      </c>
      <c r="H2868" s="90">
        <v>0.59</v>
      </c>
      <c r="I2868" s="90">
        <v>0.64</v>
      </c>
      <c r="J2868" s="90" t="s">
        <v>381</v>
      </c>
      <c r="K2868" s="90">
        <v>8.3999533014000004E-4</v>
      </c>
      <c r="L2868" s="90">
        <v>3720.51563159427</v>
      </c>
      <c r="M2868" s="90">
        <v>10.089659234571201</v>
      </c>
      <c r="N2868" s="90">
        <v>1.49967869675028</v>
      </c>
      <c r="O2868" s="90">
        <v>8.4752666397600006E-3</v>
      </c>
      <c r="P2868" s="90">
        <v>1.2597231019800001E-3</v>
      </c>
      <c r="Q2868" s="90">
        <v>3.1252157562595002</v>
      </c>
      <c r="R2868" s="90">
        <v>1400</v>
      </c>
      <c r="S2868" s="90" t="s">
        <v>324</v>
      </c>
      <c r="T2868" s="90">
        <v>1400</v>
      </c>
      <c r="U2868" s="90" t="s">
        <v>382</v>
      </c>
      <c r="V2868" s="90" t="s">
        <v>381</v>
      </c>
      <c r="Z2868" s="90">
        <v>0</v>
      </c>
      <c r="AA2868" s="90">
        <v>1</v>
      </c>
      <c r="AB2868" s="90">
        <v>8.4752666397600006E-3</v>
      </c>
      <c r="AC2868" s="90">
        <v>1.2597231019800001E-3</v>
      </c>
      <c r="AD2868" s="90">
        <v>5.3911802764929604</v>
      </c>
      <c r="AF2868" s="90">
        <v>-1</v>
      </c>
      <c r="AG2868" s="90">
        <v>-1</v>
      </c>
      <c r="AH2868" s="90">
        <v>-1</v>
      </c>
      <c r="AI2868" s="90">
        <v>-1</v>
      </c>
      <c r="AJ2868" s="90">
        <v>0</v>
      </c>
      <c r="AM2868" s="90" t="s">
        <v>379</v>
      </c>
      <c r="AN2868" s="90">
        <v>-1</v>
      </c>
      <c r="AQ2868" s="90">
        <v>385</v>
      </c>
      <c r="AR2868" s="90" t="s">
        <v>301</v>
      </c>
      <c r="AS2868" s="90" t="s">
        <v>300</v>
      </c>
      <c r="AT2868" s="90" t="s">
        <v>244</v>
      </c>
      <c r="AU2868" s="90">
        <v>4.5650820000000003</v>
      </c>
      <c r="AV2868" s="90">
        <v>59.191217781749103</v>
      </c>
      <c r="AW2868" s="90">
        <v>3.3993404965729401</v>
      </c>
      <c r="AX2868" s="90">
        <v>4.3724089999999998E-3</v>
      </c>
    </row>
    <row r="2869" spans="1:50" x14ac:dyDescent="0.25">
      <c r="A2869" s="102">
        <v>830000</v>
      </c>
      <c r="B2869" s="102">
        <v>2400000</v>
      </c>
      <c r="C2869" s="102">
        <v>2400000</v>
      </c>
      <c r="D2869" s="90" t="s">
        <v>374</v>
      </c>
      <c r="E2869" s="90" t="s">
        <v>68</v>
      </c>
      <c r="F2869" s="90" t="s">
        <v>375</v>
      </c>
      <c r="G2869" s="90" t="s">
        <v>376</v>
      </c>
      <c r="H2869" s="90">
        <v>0.59</v>
      </c>
      <c r="I2869" s="90">
        <v>0.64</v>
      </c>
      <c r="J2869" s="90" t="s">
        <v>244</v>
      </c>
      <c r="K2869" s="90">
        <v>1.63301541875E-3</v>
      </c>
      <c r="L2869" s="90">
        <v>3720.51563159427</v>
      </c>
      <c r="M2869" s="90">
        <v>10.089659234571201</v>
      </c>
      <c r="N2869" s="90">
        <v>1.49967869675028</v>
      </c>
      <c r="O2869" s="90">
        <v>1.6476569100030002E-2</v>
      </c>
      <c r="P2869" s="90">
        <v>2.4489984349700001E-3</v>
      </c>
      <c r="Q2869" s="90">
        <v>6.07565939211245</v>
      </c>
      <c r="R2869" s="90">
        <v>8140</v>
      </c>
      <c r="S2869" s="90" t="s">
        <v>386</v>
      </c>
      <c r="T2869" s="90">
        <v>8140</v>
      </c>
      <c r="U2869" s="90" t="s">
        <v>378</v>
      </c>
      <c r="V2869" s="90" t="s">
        <v>244</v>
      </c>
      <c r="Z2869" s="90">
        <v>0</v>
      </c>
      <c r="AA2869" s="90">
        <v>1</v>
      </c>
      <c r="AB2869" s="90">
        <v>1.6476569100030002E-2</v>
      </c>
      <c r="AC2869" s="90">
        <v>2.4489984349700001E-3</v>
      </c>
      <c r="AD2869" s="90">
        <v>6.0756593921111897</v>
      </c>
      <c r="AF2869" s="90">
        <v>-1</v>
      </c>
      <c r="AG2869" s="90">
        <v>-1</v>
      </c>
      <c r="AH2869" s="90">
        <v>-1</v>
      </c>
      <c r="AI2869" s="90">
        <v>-1</v>
      </c>
      <c r="AJ2869" s="90">
        <v>0</v>
      </c>
      <c r="AM2869" s="90" t="s">
        <v>379</v>
      </c>
      <c r="AN2869" s="90">
        <v>-1</v>
      </c>
      <c r="AQ2869" s="90">
        <v>385</v>
      </c>
      <c r="AR2869" s="90" t="s">
        <v>301</v>
      </c>
      <c r="AS2869" s="90" t="s">
        <v>300</v>
      </c>
      <c r="AT2869" s="90" t="s">
        <v>244</v>
      </c>
      <c r="AU2869" s="90">
        <v>4.5650820000000003</v>
      </c>
      <c r="AV2869" s="90">
        <v>100.29379897017</v>
      </c>
      <c r="AW2869" s="90">
        <v>6.6085789352655402</v>
      </c>
      <c r="AX2869" s="90">
        <v>4.9275420999999996E-3</v>
      </c>
    </row>
    <row r="2870" spans="1:50" x14ac:dyDescent="0.25">
      <c r="A2870" s="102">
        <v>830000</v>
      </c>
      <c r="B2870" s="102">
        <v>2400000</v>
      </c>
      <c r="C2870" s="102">
        <v>2400000</v>
      </c>
      <c r="D2870" s="90" t="s">
        <v>374</v>
      </c>
      <c r="E2870" s="90" t="s">
        <v>68</v>
      </c>
      <c r="F2870" s="90" t="s">
        <v>375</v>
      </c>
      <c r="G2870" s="90" t="s">
        <v>376</v>
      </c>
      <c r="H2870" s="90">
        <v>0.59</v>
      </c>
      <c r="I2870" s="90">
        <v>0.64</v>
      </c>
      <c r="J2870" s="90" t="s">
        <v>381</v>
      </c>
      <c r="K2870" s="90">
        <v>0.23580337770074</v>
      </c>
      <c r="L2870" s="90">
        <v>3720.51563159427</v>
      </c>
      <c r="M2870" s="90">
        <v>10.089659234571201</v>
      </c>
      <c r="N2870" s="90">
        <v>1.49967869675028</v>
      </c>
      <c r="O2870" s="90">
        <v>2.3791757273614098</v>
      </c>
      <c r="P2870" s="90">
        <v>0.35362930215956001</v>
      </c>
      <c r="Q2870" s="90">
        <v>877.31015271835497</v>
      </c>
      <c r="R2870" s="90">
        <v>8140</v>
      </c>
      <c r="S2870" s="90" t="s">
        <v>386</v>
      </c>
      <c r="T2870" s="90">
        <v>8140</v>
      </c>
      <c r="U2870" s="90" t="s">
        <v>382</v>
      </c>
      <c r="V2870" s="90" t="s">
        <v>381</v>
      </c>
      <c r="Z2870" s="90">
        <v>0</v>
      </c>
      <c r="AA2870" s="90">
        <v>1</v>
      </c>
      <c r="AB2870" s="90">
        <v>2.3791757273614098</v>
      </c>
      <c r="AC2870" s="90">
        <v>0.35362930215956001</v>
      </c>
      <c r="AD2870" s="90">
        <v>886.10127437890401</v>
      </c>
      <c r="AF2870" s="90">
        <v>-1</v>
      </c>
      <c r="AG2870" s="90">
        <v>-1</v>
      </c>
      <c r="AH2870" s="90">
        <v>-1</v>
      </c>
      <c r="AI2870" s="90">
        <v>-1</v>
      </c>
      <c r="AJ2870" s="90">
        <v>0</v>
      </c>
      <c r="AM2870" s="90" t="s">
        <v>379</v>
      </c>
      <c r="AN2870" s="90">
        <v>-1</v>
      </c>
      <c r="AQ2870" s="90">
        <v>385</v>
      </c>
      <c r="AR2870" s="90" t="s">
        <v>301</v>
      </c>
      <c r="AS2870" s="90" t="s">
        <v>300</v>
      </c>
      <c r="AT2870" s="90" t="s">
        <v>244</v>
      </c>
      <c r="AU2870" s="90">
        <v>4.5650820000000003</v>
      </c>
      <c r="AV2870" s="90">
        <v>137.02954562435301</v>
      </c>
      <c r="AW2870" s="90">
        <v>954.26241347187795</v>
      </c>
      <c r="AX2870" s="90">
        <v>0.71865472370000005</v>
      </c>
    </row>
    <row r="2871" spans="1:50" x14ac:dyDescent="0.25">
      <c r="A2871" s="102">
        <v>830000</v>
      </c>
      <c r="B2871" s="102">
        <v>2400000</v>
      </c>
      <c r="C2871" s="102">
        <v>2400000</v>
      </c>
      <c r="D2871" s="90" t="s">
        <v>374</v>
      </c>
      <c r="E2871" s="90" t="s">
        <v>68</v>
      </c>
      <c r="F2871" s="90" t="s">
        <v>375</v>
      </c>
      <c r="G2871" s="90" t="s">
        <v>376</v>
      </c>
      <c r="H2871" s="90">
        <v>0.59</v>
      </c>
      <c r="I2871" s="90">
        <v>0.64</v>
      </c>
      <c r="J2871" s="90" t="s">
        <v>244</v>
      </c>
      <c r="K2871" s="90">
        <v>0.16377124032987</v>
      </c>
      <c r="L2871" s="90">
        <v>3720.51563159427</v>
      </c>
      <c r="M2871" s="90">
        <v>10.089659234571201</v>
      </c>
      <c r="N2871" s="90">
        <v>1.49967869675028</v>
      </c>
      <c r="O2871" s="90">
        <v>1.65239600735153</v>
      </c>
      <c r="P2871" s="90">
        <v>0.24560424026308</v>
      </c>
      <c r="Q2871" s="90">
        <v>609.31345965289404</v>
      </c>
      <c r="R2871" s="90">
        <v>1300</v>
      </c>
      <c r="S2871" s="90" t="s">
        <v>387</v>
      </c>
      <c r="T2871" s="90">
        <v>1300</v>
      </c>
      <c r="U2871" s="90" t="s">
        <v>378</v>
      </c>
      <c r="V2871" s="90" t="s">
        <v>244</v>
      </c>
      <c r="Z2871" s="90">
        <v>0</v>
      </c>
      <c r="AA2871" s="90">
        <v>1</v>
      </c>
      <c r="AB2871" s="90">
        <v>1.65239600735153</v>
      </c>
      <c r="AC2871" s="90">
        <v>0.24560424026308</v>
      </c>
      <c r="AD2871" s="90">
        <v>609.31345965289404</v>
      </c>
      <c r="AF2871" s="90">
        <v>-1</v>
      </c>
      <c r="AG2871" s="90">
        <v>-1</v>
      </c>
      <c r="AH2871" s="90">
        <v>-1</v>
      </c>
      <c r="AI2871" s="90">
        <v>-1</v>
      </c>
      <c r="AJ2871" s="90">
        <v>0</v>
      </c>
      <c r="AM2871" s="90" t="s">
        <v>379</v>
      </c>
      <c r="AN2871" s="90">
        <v>-1</v>
      </c>
      <c r="AQ2871" s="90">
        <v>385</v>
      </c>
      <c r="AR2871" s="90" t="s">
        <v>301</v>
      </c>
      <c r="AS2871" s="90" t="s">
        <v>300</v>
      </c>
      <c r="AT2871" s="90" t="s">
        <v>244</v>
      </c>
      <c r="AU2871" s="90">
        <v>4.5650820000000003</v>
      </c>
      <c r="AV2871" s="90">
        <v>122.46906369245301</v>
      </c>
      <c r="AW2871" s="90">
        <v>662.758695733379</v>
      </c>
      <c r="AX2871" s="90">
        <v>0.49417150009999999</v>
      </c>
    </row>
    <row r="2872" spans="1:50" x14ac:dyDescent="0.25">
      <c r="A2872" s="102">
        <v>830000</v>
      </c>
      <c r="B2872" s="102">
        <v>2400000</v>
      </c>
      <c r="C2872" s="102">
        <v>2400000</v>
      </c>
      <c r="D2872" s="90" t="s">
        <v>374</v>
      </c>
      <c r="E2872" s="90" t="s">
        <v>68</v>
      </c>
      <c r="F2872" s="90" t="s">
        <v>375</v>
      </c>
      <c r="G2872" s="90" t="s">
        <v>376</v>
      </c>
      <c r="H2872" s="90">
        <v>0.59</v>
      </c>
      <c r="I2872" s="90">
        <v>0.64</v>
      </c>
      <c r="J2872" s="90" t="s">
        <v>244</v>
      </c>
      <c r="K2872" s="90">
        <v>0.11883848579469999</v>
      </c>
      <c r="L2872" s="90">
        <v>3827.9816825064099</v>
      </c>
      <c r="M2872" s="90">
        <v>9.4399913936842701</v>
      </c>
      <c r="N2872" s="90">
        <v>1.26946749418379</v>
      </c>
      <c r="O2872" s="90">
        <v>1.1218342831404799</v>
      </c>
      <c r="P2872" s="90">
        <v>0.1508615947744</v>
      </c>
      <c r="Q2872" s="90">
        <v>454.91154679892901</v>
      </c>
      <c r="R2872" s="90">
        <v>1400</v>
      </c>
      <c r="S2872" s="90" t="s">
        <v>324</v>
      </c>
      <c r="T2872" s="90">
        <v>1400</v>
      </c>
      <c r="U2872" s="90" t="s">
        <v>378</v>
      </c>
      <c r="V2872" s="90" t="s">
        <v>244</v>
      </c>
      <c r="Z2872" s="90">
        <v>0</v>
      </c>
      <c r="AA2872" s="90">
        <v>1</v>
      </c>
      <c r="AB2872" s="90">
        <v>1.1218342831404799</v>
      </c>
      <c r="AC2872" s="90">
        <v>0.1508615947744</v>
      </c>
      <c r="AD2872" s="90">
        <v>686.43400865086005</v>
      </c>
      <c r="AF2872" s="90">
        <v>-1</v>
      </c>
      <c r="AG2872" s="90">
        <v>-1</v>
      </c>
      <c r="AH2872" s="90">
        <v>-1</v>
      </c>
      <c r="AI2872" s="90">
        <v>-1</v>
      </c>
      <c r="AJ2872" s="90">
        <v>0</v>
      </c>
      <c r="AM2872" s="90" t="s">
        <v>379</v>
      </c>
      <c r="AN2872" s="90">
        <v>-1</v>
      </c>
      <c r="AQ2872" s="90">
        <v>385</v>
      </c>
      <c r="AR2872" s="90" t="s">
        <v>301</v>
      </c>
      <c r="AS2872" s="90" t="s">
        <v>300</v>
      </c>
      <c r="AT2872" s="90" t="s">
        <v>244</v>
      </c>
      <c r="AU2872" s="90">
        <v>4.5650820000000003</v>
      </c>
      <c r="AV2872" s="90">
        <v>98.392338227512894</v>
      </c>
      <c r="AW2872" s="90">
        <v>480.92228946659299</v>
      </c>
      <c r="AX2872" s="90">
        <v>0.55671857960000004</v>
      </c>
    </row>
    <row r="2873" spans="1:50" x14ac:dyDescent="0.25">
      <c r="A2873" s="102">
        <v>830000</v>
      </c>
      <c r="B2873" s="102">
        <v>2400000</v>
      </c>
      <c r="C2873" s="102">
        <v>2400000</v>
      </c>
      <c r="D2873" s="90" t="s">
        <v>374</v>
      </c>
      <c r="E2873" s="90" t="s">
        <v>68</v>
      </c>
      <c r="F2873" s="90" t="s">
        <v>375</v>
      </c>
      <c r="G2873" s="90" t="s">
        <v>376</v>
      </c>
      <c r="H2873" s="90">
        <v>0.59</v>
      </c>
      <c r="I2873" s="90">
        <v>0.64</v>
      </c>
      <c r="J2873" s="90" t="s">
        <v>244</v>
      </c>
      <c r="K2873" s="90">
        <v>1.5186411573E-4</v>
      </c>
      <c r="L2873" s="90">
        <v>3827.9816825064099</v>
      </c>
      <c r="M2873" s="90">
        <v>9.4399913936842701</v>
      </c>
      <c r="N2873" s="90">
        <v>1.26946749418379</v>
      </c>
      <c r="O2873" s="90">
        <v>1.4335959455199999E-3</v>
      </c>
      <c r="P2873" s="90">
        <v>1.9278655845E-4</v>
      </c>
      <c r="Q2873" s="90">
        <v>0.58133305325213003</v>
      </c>
      <c r="R2873" s="90">
        <v>1300</v>
      </c>
      <c r="S2873" s="90" t="s">
        <v>387</v>
      </c>
      <c r="T2873" s="90">
        <v>1300</v>
      </c>
      <c r="U2873" s="90" t="s">
        <v>378</v>
      </c>
      <c r="V2873" s="90" t="s">
        <v>244</v>
      </c>
      <c r="Z2873" s="90">
        <v>0</v>
      </c>
      <c r="AA2873" s="90">
        <v>1</v>
      </c>
      <c r="AB2873" s="90">
        <v>1.4335959455199999E-3</v>
      </c>
      <c r="AC2873" s="90">
        <v>1.9278655845E-4</v>
      </c>
      <c r="AD2873" s="90">
        <v>0.58133305325044005</v>
      </c>
      <c r="AF2873" s="90">
        <v>-1</v>
      </c>
      <c r="AG2873" s="90">
        <v>-1</v>
      </c>
      <c r="AH2873" s="90">
        <v>-1</v>
      </c>
      <c r="AI2873" s="90">
        <v>-1</v>
      </c>
      <c r="AJ2873" s="90">
        <v>0</v>
      </c>
      <c r="AM2873" s="90" t="s">
        <v>379</v>
      </c>
      <c r="AN2873" s="90">
        <v>-1</v>
      </c>
      <c r="AQ2873" s="90">
        <v>385</v>
      </c>
      <c r="AR2873" s="90" t="s">
        <v>301</v>
      </c>
      <c r="AS2873" s="90" t="s">
        <v>300</v>
      </c>
      <c r="AT2873" s="90" t="s">
        <v>244</v>
      </c>
      <c r="AU2873" s="90">
        <v>4.5650820000000003</v>
      </c>
      <c r="AV2873" s="90">
        <v>13.792454844813101</v>
      </c>
      <c r="AW2873" s="90">
        <v>0.61457227208036003</v>
      </c>
      <c r="AX2873" s="90">
        <v>4.7147859999999999E-4</v>
      </c>
    </row>
    <row r="2874" spans="1:50" x14ac:dyDescent="0.25">
      <c r="A2874" s="102">
        <v>830000</v>
      </c>
      <c r="B2874" s="102">
        <v>2400000</v>
      </c>
      <c r="C2874" s="102">
        <v>2400000</v>
      </c>
      <c r="D2874" s="90" t="s">
        <v>374</v>
      </c>
      <c r="E2874" s="90" t="s">
        <v>68</v>
      </c>
      <c r="F2874" s="90" t="s">
        <v>375</v>
      </c>
      <c r="G2874" s="90" t="s">
        <v>376</v>
      </c>
      <c r="H2874" s="90">
        <v>0.59</v>
      </c>
      <c r="I2874" s="90">
        <v>0.64</v>
      </c>
      <c r="J2874" s="90" t="s">
        <v>244</v>
      </c>
      <c r="K2874" s="90">
        <v>9.7891663228209996E-2</v>
      </c>
      <c r="L2874" s="90">
        <v>3827.9816825064099</v>
      </c>
      <c r="M2874" s="90">
        <v>9.4399913936842701</v>
      </c>
      <c r="N2874" s="90">
        <v>1.26946749418379</v>
      </c>
      <c r="O2874" s="90">
        <v>0.92409645838781995</v>
      </c>
      <c r="P2874" s="90">
        <v>0.12427028441981</v>
      </c>
      <c r="Q2874" s="90">
        <v>374.72749370770902</v>
      </c>
      <c r="R2874" s="90">
        <v>1450</v>
      </c>
      <c r="S2874" s="90" t="s">
        <v>391</v>
      </c>
      <c r="T2874" s="90">
        <v>1450</v>
      </c>
      <c r="U2874" s="90" t="s">
        <v>378</v>
      </c>
      <c r="V2874" s="90" t="s">
        <v>244</v>
      </c>
      <c r="Z2874" s="90">
        <v>0</v>
      </c>
      <c r="AA2874" s="90">
        <v>1</v>
      </c>
      <c r="AB2874" s="90">
        <v>0.92409645838781995</v>
      </c>
      <c r="AC2874" s="90">
        <v>0.12427028441981</v>
      </c>
      <c r="AD2874" s="90">
        <v>1426.38476837232</v>
      </c>
      <c r="AF2874" s="90">
        <v>-1</v>
      </c>
      <c r="AG2874" s="90">
        <v>-1</v>
      </c>
      <c r="AH2874" s="90">
        <v>-1</v>
      </c>
      <c r="AI2874" s="90">
        <v>-1</v>
      </c>
      <c r="AJ2874" s="90">
        <v>0</v>
      </c>
      <c r="AM2874" s="90" t="s">
        <v>379</v>
      </c>
      <c r="AN2874" s="90">
        <v>-1</v>
      </c>
      <c r="AQ2874" s="90">
        <v>385</v>
      </c>
      <c r="AR2874" s="90" t="s">
        <v>301</v>
      </c>
      <c r="AS2874" s="90" t="s">
        <v>300</v>
      </c>
      <c r="AT2874" s="90" t="s">
        <v>244</v>
      </c>
      <c r="AU2874" s="90">
        <v>4.5650820000000003</v>
      </c>
      <c r="AV2874" s="90">
        <v>100.769806397887</v>
      </c>
      <c r="AW2874" s="90">
        <v>396.15350603453601</v>
      </c>
      <c r="AX2874" s="90">
        <v>1.1568408503000001</v>
      </c>
    </row>
    <row r="2875" spans="1:50" x14ac:dyDescent="0.25">
      <c r="A2875" s="102">
        <v>830000</v>
      </c>
      <c r="B2875" s="102">
        <v>2400000</v>
      </c>
      <c r="C2875" s="102">
        <v>2400000</v>
      </c>
      <c r="D2875" s="90" t="s">
        <v>374</v>
      </c>
      <c r="E2875" s="90" t="s">
        <v>68</v>
      </c>
      <c r="F2875" s="90" t="s">
        <v>375</v>
      </c>
      <c r="G2875" s="90" t="s">
        <v>376</v>
      </c>
      <c r="H2875" s="90">
        <v>0.59</v>
      </c>
      <c r="I2875" s="90">
        <v>0.64</v>
      </c>
      <c r="J2875" s="90" t="s">
        <v>244</v>
      </c>
      <c r="K2875" s="90">
        <v>2.1007703410999999E-3</v>
      </c>
      <c r="L2875" s="90">
        <v>3827.9816825064099</v>
      </c>
      <c r="M2875" s="90">
        <v>9.4399913936842701</v>
      </c>
      <c r="N2875" s="90">
        <v>1.26946749418379</v>
      </c>
      <c r="O2875" s="90">
        <v>1.983125394011E-2</v>
      </c>
      <c r="P2875" s="90">
        <v>2.6668596607700001E-3</v>
      </c>
      <c r="Q2875" s="90">
        <v>8.0417103848912106</v>
      </c>
      <c r="R2875" s="90">
        <v>1410</v>
      </c>
      <c r="S2875" s="90" t="s">
        <v>325</v>
      </c>
      <c r="T2875" s="90">
        <v>1410</v>
      </c>
      <c r="U2875" s="90" t="s">
        <v>378</v>
      </c>
      <c r="V2875" s="90" t="s">
        <v>244</v>
      </c>
      <c r="Z2875" s="90">
        <v>0</v>
      </c>
      <c r="AA2875" s="90">
        <v>1</v>
      </c>
      <c r="AB2875" s="90">
        <v>1.983125394011E-2</v>
      </c>
      <c r="AC2875" s="90">
        <v>2.6668596607700001E-3</v>
      </c>
      <c r="AD2875" s="90">
        <v>251.38707389337799</v>
      </c>
      <c r="AF2875" s="90">
        <v>-1</v>
      </c>
      <c r="AG2875" s="90">
        <v>-1</v>
      </c>
      <c r="AH2875" s="90">
        <v>-1</v>
      </c>
      <c r="AI2875" s="90">
        <v>-1</v>
      </c>
      <c r="AJ2875" s="90">
        <v>0</v>
      </c>
      <c r="AM2875" s="90" t="s">
        <v>379</v>
      </c>
      <c r="AN2875" s="90">
        <v>-1</v>
      </c>
      <c r="AQ2875" s="90">
        <v>385</v>
      </c>
      <c r="AR2875" s="90" t="s">
        <v>301</v>
      </c>
      <c r="AS2875" s="90" t="s">
        <v>300</v>
      </c>
      <c r="AT2875" s="90" t="s">
        <v>244</v>
      </c>
      <c r="AU2875" s="90">
        <v>4.5650820000000003</v>
      </c>
      <c r="AV2875" s="90">
        <v>18.729932458508401</v>
      </c>
      <c r="AW2875" s="90">
        <v>8.5015159468777899</v>
      </c>
      <c r="AX2875" s="90">
        <v>0.20388246060000001</v>
      </c>
    </row>
    <row r="2876" spans="1:50" x14ac:dyDescent="0.25">
      <c r="A2876" s="102">
        <v>830000</v>
      </c>
      <c r="B2876" s="102">
        <v>2400000</v>
      </c>
      <c r="C2876" s="102">
        <v>2400000</v>
      </c>
      <c r="D2876" s="90" t="s">
        <v>374</v>
      </c>
      <c r="E2876" s="90" t="s">
        <v>68</v>
      </c>
      <c r="F2876" s="90" t="s">
        <v>375</v>
      </c>
      <c r="G2876" s="90" t="s">
        <v>376</v>
      </c>
      <c r="H2876" s="90">
        <v>0.59</v>
      </c>
      <c r="I2876" s="90">
        <v>0.64</v>
      </c>
      <c r="J2876" s="90" t="s">
        <v>244</v>
      </c>
      <c r="K2876" s="90">
        <v>1.8361688915769999E-2</v>
      </c>
      <c r="L2876" s="90">
        <v>3751.8455631706502</v>
      </c>
      <c r="M2876" s="90">
        <v>9.8371476462871907</v>
      </c>
      <c r="N2876" s="90">
        <v>1.3008708939886</v>
      </c>
      <c r="O2876" s="90">
        <v>0.18062664489967001</v>
      </c>
      <c r="P2876" s="90">
        <v>2.3886186675000001E-2</v>
      </c>
      <c r="Q2876" s="90">
        <v>68.890221090970201</v>
      </c>
      <c r="R2876" s="90">
        <v>1400</v>
      </c>
      <c r="S2876" s="90" t="s">
        <v>324</v>
      </c>
      <c r="T2876" s="90">
        <v>1400</v>
      </c>
      <c r="U2876" s="90" t="s">
        <v>378</v>
      </c>
      <c r="V2876" s="90" t="s">
        <v>244</v>
      </c>
      <c r="Z2876" s="90">
        <v>0</v>
      </c>
      <c r="AA2876" s="90">
        <v>1</v>
      </c>
      <c r="AB2876" s="90">
        <v>0.18062664489967001</v>
      </c>
      <c r="AC2876" s="90">
        <v>2.3886186675000001E-2</v>
      </c>
      <c r="AD2876" s="90">
        <v>211.05721910432001</v>
      </c>
      <c r="AF2876" s="90">
        <v>-1</v>
      </c>
      <c r="AG2876" s="90">
        <v>-1</v>
      </c>
      <c r="AH2876" s="90">
        <v>-1</v>
      </c>
      <c r="AI2876" s="90">
        <v>-1</v>
      </c>
      <c r="AJ2876" s="90">
        <v>0</v>
      </c>
      <c r="AM2876" s="90" t="s">
        <v>379</v>
      </c>
      <c r="AN2876" s="90">
        <v>-1</v>
      </c>
      <c r="AQ2876" s="90">
        <v>385</v>
      </c>
      <c r="AR2876" s="90" t="s">
        <v>301</v>
      </c>
      <c r="AS2876" s="90" t="s">
        <v>300</v>
      </c>
      <c r="AT2876" s="90" t="s">
        <v>244</v>
      </c>
      <c r="AU2876" s="90">
        <v>4.5650820000000003</v>
      </c>
      <c r="AV2876" s="90">
        <v>103.02530374080099</v>
      </c>
      <c r="AW2876" s="90">
        <v>74.307118714916101</v>
      </c>
      <c r="AX2876" s="90">
        <v>0.1711737381</v>
      </c>
    </row>
    <row r="2877" spans="1:50" x14ac:dyDescent="0.25">
      <c r="A2877" s="102">
        <v>830000</v>
      </c>
      <c r="B2877" s="102">
        <v>2400000</v>
      </c>
      <c r="C2877" s="102">
        <v>2400000</v>
      </c>
      <c r="D2877" s="90" t="s">
        <v>374</v>
      </c>
      <c r="E2877" s="90" t="s">
        <v>68</v>
      </c>
      <c r="F2877" s="90" t="s">
        <v>375</v>
      </c>
      <c r="G2877" s="90" t="s">
        <v>376</v>
      </c>
      <c r="H2877" s="90">
        <v>0.59</v>
      </c>
      <c r="I2877" s="90">
        <v>0.64</v>
      </c>
      <c r="J2877" s="90" t="s">
        <v>381</v>
      </c>
      <c r="K2877" s="90">
        <v>1.4767213345800001E-3</v>
      </c>
      <c r="L2877" s="90">
        <v>3751.8455631706502</v>
      </c>
      <c r="M2877" s="90">
        <v>9.8371476462871907</v>
      </c>
      <c r="N2877" s="90">
        <v>1.3008708939886</v>
      </c>
      <c r="O2877" s="90">
        <v>1.452672580077E-2</v>
      </c>
      <c r="P2877" s="90">
        <v>1.92102380269E-3</v>
      </c>
      <c r="Q2877" s="90">
        <v>5.5404303872171798</v>
      </c>
      <c r="R2877" s="90">
        <v>1400</v>
      </c>
      <c r="S2877" s="90" t="s">
        <v>324</v>
      </c>
      <c r="T2877" s="90">
        <v>1400</v>
      </c>
      <c r="U2877" s="90" t="s">
        <v>382</v>
      </c>
      <c r="V2877" s="90" t="s">
        <v>381</v>
      </c>
      <c r="Z2877" s="90">
        <v>0</v>
      </c>
      <c r="AA2877" s="90">
        <v>1</v>
      </c>
      <c r="AB2877" s="90">
        <v>1.452672580077E-2</v>
      </c>
      <c r="AC2877" s="90">
        <v>1.92102380269E-3</v>
      </c>
      <c r="AD2877" s="90">
        <v>5.5404303872170297</v>
      </c>
      <c r="AF2877" s="90">
        <v>-1</v>
      </c>
      <c r="AG2877" s="90">
        <v>-1</v>
      </c>
      <c r="AH2877" s="90">
        <v>-1</v>
      </c>
      <c r="AI2877" s="90">
        <v>-1</v>
      </c>
      <c r="AJ2877" s="90">
        <v>0</v>
      </c>
      <c r="AM2877" s="90" t="s">
        <v>379</v>
      </c>
      <c r="AN2877" s="90">
        <v>-1</v>
      </c>
      <c r="AQ2877" s="90">
        <v>385</v>
      </c>
      <c r="AR2877" s="90" t="s">
        <v>301</v>
      </c>
      <c r="AS2877" s="90" t="s">
        <v>300</v>
      </c>
      <c r="AT2877" s="90" t="s">
        <v>244</v>
      </c>
      <c r="AU2877" s="90">
        <v>4.5650820000000003</v>
      </c>
      <c r="AV2877" s="90">
        <v>100.271714092266</v>
      </c>
      <c r="AW2877" s="90">
        <v>5.9760792169764398</v>
      </c>
      <c r="AX2877" s="90">
        <v>4.4934553E-3</v>
      </c>
    </row>
    <row r="2878" spans="1:50" x14ac:dyDescent="0.25">
      <c r="A2878" s="102">
        <v>830000</v>
      </c>
      <c r="B2878" s="102">
        <v>2400000</v>
      </c>
      <c r="C2878" s="102">
        <v>2400000</v>
      </c>
      <c r="D2878" s="90" t="s">
        <v>374</v>
      </c>
      <c r="E2878" s="90" t="s">
        <v>68</v>
      </c>
      <c r="F2878" s="90" t="s">
        <v>375</v>
      </c>
      <c r="G2878" s="90" t="s">
        <v>376</v>
      </c>
      <c r="H2878" s="90">
        <v>0.59</v>
      </c>
      <c r="I2878" s="90">
        <v>0.64</v>
      </c>
      <c r="J2878" s="90" t="s">
        <v>381</v>
      </c>
      <c r="K2878" s="90">
        <v>0.20008524889320001</v>
      </c>
      <c r="L2878" s="90">
        <v>3751.8455631706502</v>
      </c>
      <c r="M2878" s="90">
        <v>9.8371476462871907</v>
      </c>
      <c r="N2878" s="90">
        <v>1.3008708939886</v>
      </c>
      <c r="O2878" s="90">
        <v>1.9682681352065901</v>
      </c>
      <c r="P2878" s="90">
        <v>0.26028507660163003</v>
      </c>
      <c r="Q2878" s="90">
        <v>750.688953315871</v>
      </c>
      <c r="R2878" s="90">
        <v>8140</v>
      </c>
      <c r="S2878" s="90" t="s">
        <v>386</v>
      </c>
      <c r="T2878" s="90">
        <v>8140</v>
      </c>
      <c r="U2878" s="90" t="s">
        <v>382</v>
      </c>
      <c r="V2878" s="90" t="s">
        <v>381</v>
      </c>
      <c r="Z2878" s="90">
        <v>0</v>
      </c>
      <c r="AA2878" s="90">
        <v>1</v>
      </c>
      <c r="AB2878" s="90">
        <v>1.9682681352065901</v>
      </c>
      <c r="AC2878" s="90">
        <v>0.26028507660163003</v>
      </c>
      <c r="AD2878" s="90">
        <v>838.20040787277298</v>
      </c>
      <c r="AF2878" s="90">
        <v>-1</v>
      </c>
      <c r="AG2878" s="90">
        <v>-1</v>
      </c>
      <c r="AH2878" s="90">
        <v>-1</v>
      </c>
      <c r="AI2878" s="90">
        <v>-1</v>
      </c>
      <c r="AJ2878" s="90">
        <v>0</v>
      </c>
      <c r="AM2878" s="90" t="s">
        <v>379</v>
      </c>
      <c r="AN2878" s="90">
        <v>-1</v>
      </c>
      <c r="AQ2878" s="90">
        <v>385</v>
      </c>
      <c r="AR2878" s="90" t="s">
        <v>301</v>
      </c>
      <c r="AS2878" s="90" t="s">
        <v>300</v>
      </c>
      <c r="AT2878" s="90" t="s">
        <v>244</v>
      </c>
      <c r="AU2878" s="90">
        <v>4.5650820000000003</v>
      </c>
      <c r="AV2878" s="90">
        <v>132.06895020084801</v>
      </c>
      <c r="AW2878" s="90">
        <v>809.71627451097504</v>
      </c>
      <c r="AX2878" s="90">
        <v>0.67980568360000004</v>
      </c>
    </row>
    <row r="2879" spans="1:50" x14ac:dyDescent="0.25">
      <c r="A2879" s="102">
        <v>830000</v>
      </c>
      <c r="B2879" s="102">
        <v>2400000</v>
      </c>
      <c r="C2879" s="102">
        <v>2400000</v>
      </c>
      <c r="D2879" s="90" t="s">
        <v>374</v>
      </c>
      <c r="E2879" s="90" t="s">
        <v>68</v>
      </c>
      <c r="F2879" s="90" t="s">
        <v>375</v>
      </c>
      <c r="G2879" s="90" t="s">
        <v>376</v>
      </c>
      <c r="H2879" s="90">
        <v>0.59</v>
      </c>
      <c r="I2879" s="90">
        <v>0.64</v>
      </c>
      <c r="J2879" s="90" t="s">
        <v>244</v>
      </c>
      <c r="K2879" s="90">
        <v>2.2338260397500001E-3</v>
      </c>
      <c r="L2879" s="90">
        <v>3735.7463900309599</v>
      </c>
      <c r="M2879" s="90">
        <v>9.8046623770544503</v>
      </c>
      <c r="N2879" s="90">
        <v>1.38981009479947</v>
      </c>
      <c r="O2879" s="90">
        <v>2.1901910128899998E-2</v>
      </c>
      <c r="P2879" s="90">
        <v>3.1045939800799999E-3</v>
      </c>
      <c r="Q2879" s="90">
        <v>8.3450075639831098</v>
      </c>
      <c r="R2879" s="90">
        <v>1400</v>
      </c>
      <c r="S2879" s="90" t="s">
        <v>324</v>
      </c>
      <c r="T2879" s="90">
        <v>1400</v>
      </c>
      <c r="U2879" s="90" t="s">
        <v>378</v>
      </c>
      <c r="V2879" s="90" t="s">
        <v>244</v>
      </c>
      <c r="Z2879" s="90">
        <v>0</v>
      </c>
      <c r="AA2879" s="90">
        <v>1</v>
      </c>
      <c r="AB2879" s="90">
        <v>2.1901910128899998E-2</v>
      </c>
      <c r="AC2879" s="90">
        <v>3.1045939800799999E-3</v>
      </c>
      <c r="AD2879" s="90">
        <v>316.03584387656099</v>
      </c>
      <c r="AF2879" s="90">
        <v>-1</v>
      </c>
      <c r="AG2879" s="90">
        <v>-1</v>
      </c>
      <c r="AH2879" s="90">
        <v>-1</v>
      </c>
      <c r="AI2879" s="90">
        <v>-1</v>
      </c>
      <c r="AJ2879" s="90">
        <v>0</v>
      </c>
      <c r="AM2879" s="90" t="s">
        <v>379</v>
      </c>
      <c r="AN2879" s="90">
        <v>-1</v>
      </c>
      <c r="AQ2879" s="90">
        <v>385</v>
      </c>
      <c r="AR2879" s="90" t="s">
        <v>301</v>
      </c>
      <c r="AS2879" s="90" t="s">
        <v>300</v>
      </c>
      <c r="AT2879" s="90" t="s">
        <v>244</v>
      </c>
      <c r="AU2879" s="90">
        <v>4.5650820000000003</v>
      </c>
      <c r="AV2879" s="90">
        <v>20.544351016017998</v>
      </c>
      <c r="AW2879" s="90">
        <v>9.0399732555181007</v>
      </c>
      <c r="AX2879" s="90">
        <v>0.256314553</v>
      </c>
    </row>
    <row r="2880" spans="1:50" x14ac:dyDescent="0.25">
      <c r="A2880" s="102">
        <v>830000</v>
      </c>
      <c r="B2880" s="102">
        <v>2400000</v>
      </c>
      <c r="C2880" s="102">
        <v>2400000</v>
      </c>
      <c r="D2880" s="90" t="s">
        <v>374</v>
      </c>
      <c r="E2880" s="90" t="s">
        <v>68</v>
      </c>
      <c r="F2880" s="90" t="s">
        <v>375</v>
      </c>
      <c r="G2880" s="90" t="s">
        <v>376</v>
      </c>
      <c r="H2880" s="90">
        <v>0.59</v>
      </c>
      <c r="I2880" s="90">
        <v>0.64</v>
      </c>
      <c r="J2880" s="90" t="s">
        <v>381</v>
      </c>
      <c r="K2880" s="90">
        <v>2.8755656707000002E-4</v>
      </c>
      <c r="L2880" s="90">
        <v>3735.7463900309599</v>
      </c>
      <c r="M2880" s="90">
        <v>9.8046623770544503</v>
      </c>
      <c r="N2880" s="90">
        <v>1.38981009479947</v>
      </c>
      <c r="O2880" s="90">
        <v>2.8193950544800001E-3</v>
      </c>
      <c r="P2880" s="90">
        <v>3.9964901974000002E-4</v>
      </c>
      <c r="Q2880" s="90">
        <v>1.07423840738386</v>
      </c>
      <c r="R2880" s="90">
        <v>1400</v>
      </c>
      <c r="S2880" s="90" t="s">
        <v>324</v>
      </c>
      <c r="T2880" s="90">
        <v>1400</v>
      </c>
      <c r="U2880" s="90" t="s">
        <v>382</v>
      </c>
      <c r="V2880" s="90" t="s">
        <v>381</v>
      </c>
      <c r="Z2880" s="90">
        <v>0</v>
      </c>
      <c r="AA2880" s="90">
        <v>1</v>
      </c>
      <c r="AB2880" s="90">
        <v>2.8193950544800001E-3</v>
      </c>
      <c r="AC2880" s="90">
        <v>3.9964901974000002E-4</v>
      </c>
      <c r="AD2880" s="90">
        <v>3.1799340270036698</v>
      </c>
      <c r="AF2880" s="90">
        <v>-1</v>
      </c>
      <c r="AG2880" s="90">
        <v>-1</v>
      </c>
      <c r="AH2880" s="90">
        <v>-1</v>
      </c>
      <c r="AI2880" s="90">
        <v>-1</v>
      </c>
      <c r="AJ2880" s="90">
        <v>0</v>
      </c>
      <c r="AM2880" s="90" t="s">
        <v>379</v>
      </c>
      <c r="AN2880" s="90">
        <v>-1</v>
      </c>
      <c r="AQ2880" s="90">
        <v>385</v>
      </c>
      <c r="AR2880" s="90" t="s">
        <v>301</v>
      </c>
      <c r="AS2880" s="90" t="s">
        <v>300</v>
      </c>
      <c r="AT2880" s="90" t="s">
        <v>244</v>
      </c>
      <c r="AU2880" s="90">
        <v>4.5650820000000003</v>
      </c>
      <c r="AV2880" s="90">
        <v>19.956855605077301</v>
      </c>
      <c r="AW2880" s="90">
        <v>1.16370014027558</v>
      </c>
      <c r="AX2880" s="90">
        <v>2.5790218999999998E-3</v>
      </c>
    </row>
    <row r="2881" spans="1:50" x14ac:dyDescent="0.25">
      <c r="A2881" s="102">
        <v>830000</v>
      </c>
      <c r="B2881" s="102">
        <v>2400000</v>
      </c>
      <c r="C2881" s="102">
        <v>2400000</v>
      </c>
      <c r="D2881" s="90" t="s">
        <v>374</v>
      </c>
      <c r="E2881" s="90" t="s">
        <v>68</v>
      </c>
      <c r="F2881" s="90" t="s">
        <v>375</v>
      </c>
      <c r="G2881" s="90" t="s">
        <v>376</v>
      </c>
      <c r="H2881" s="90">
        <v>0.59</v>
      </c>
      <c r="I2881" s="90">
        <v>0.64</v>
      </c>
      <c r="J2881" s="90" t="s">
        <v>381</v>
      </c>
      <c r="K2881" s="90">
        <v>8.5757194243619994E-2</v>
      </c>
      <c r="L2881" s="90">
        <v>3735.7463900309599</v>
      </c>
      <c r="M2881" s="90">
        <v>9.8046623770544503</v>
      </c>
      <c r="N2881" s="90">
        <v>1.38981009479947</v>
      </c>
      <c r="O2881" s="90">
        <v>0.84082033596221994</v>
      </c>
      <c r="P2881" s="90">
        <v>0.11918621426146001</v>
      </c>
      <c r="Q2881" s="90">
        <v>320.36712881480599</v>
      </c>
      <c r="R2881" s="90">
        <v>8140</v>
      </c>
      <c r="S2881" s="90" t="s">
        <v>386</v>
      </c>
      <c r="T2881" s="90">
        <v>8140</v>
      </c>
      <c r="U2881" s="90" t="s">
        <v>382</v>
      </c>
      <c r="V2881" s="90" t="s">
        <v>381</v>
      </c>
      <c r="Z2881" s="90">
        <v>0</v>
      </c>
      <c r="AA2881" s="90">
        <v>1</v>
      </c>
      <c r="AB2881" s="90">
        <v>0.84082033596221994</v>
      </c>
      <c r="AC2881" s="90">
        <v>0.11918621426146001</v>
      </c>
      <c r="AD2881" s="90">
        <v>732.28297074989302</v>
      </c>
      <c r="AF2881" s="90">
        <v>-1</v>
      </c>
      <c r="AG2881" s="90">
        <v>-1</v>
      </c>
      <c r="AH2881" s="90">
        <v>-1</v>
      </c>
      <c r="AI2881" s="90">
        <v>-1</v>
      </c>
      <c r="AJ2881" s="90">
        <v>0</v>
      </c>
      <c r="AM2881" s="90" t="s">
        <v>379</v>
      </c>
      <c r="AN2881" s="90">
        <v>-1</v>
      </c>
      <c r="AQ2881" s="90">
        <v>385</v>
      </c>
      <c r="AR2881" s="90" t="s">
        <v>301</v>
      </c>
      <c r="AS2881" s="90" t="s">
        <v>300</v>
      </c>
      <c r="AT2881" s="90" t="s">
        <v>244</v>
      </c>
      <c r="AU2881" s="90">
        <v>4.5650820000000003</v>
      </c>
      <c r="AV2881" s="90">
        <v>78.475322973776002</v>
      </c>
      <c r="AW2881" s="90">
        <v>347.04705229181701</v>
      </c>
      <c r="AX2881" s="90">
        <v>0.59390346370000002</v>
      </c>
    </row>
    <row r="2882" spans="1:50" x14ac:dyDescent="0.25">
      <c r="A2882" s="102">
        <v>830000</v>
      </c>
      <c r="B2882" s="102">
        <v>2400000</v>
      </c>
      <c r="C2882" s="102">
        <v>2400000</v>
      </c>
      <c r="D2882" s="90" t="s">
        <v>374</v>
      </c>
      <c r="E2882" s="90" t="s">
        <v>68</v>
      </c>
      <c r="F2882" s="90" t="s">
        <v>375</v>
      </c>
      <c r="G2882" s="90" t="s">
        <v>376</v>
      </c>
      <c r="H2882" s="90">
        <v>0.59</v>
      </c>
      <c r="I2882" s="90">
        <v>0.64</v>
      </c>
      <c r="J2882" s="90" t="s">
        <v>244</v>
      </c>
      <c r="K2882" s="90">
        <v>5.9150799685199996E-3</v>
      </c>
      <c r="L2882" s="90">
        <v>3708.0193617524901</v>
      </c>
      <c r="M2882" s="90">
        <v>8.6679520336998692</v>
      </c>
      <c r="N2882" s="90">
        <v>1.1503253976306</v>
      </c>
      <c r="O2882" s="90">
        <v>5.1271629442630001E-2</v>
      </c>
      <c r="P2882" s="90">
        <v>6.8042667168000002E-3</v>
      </c>
      <c r="Q2882" s="90">
        <v>21.933231049590201</v>
      </c>
      <c r="R2882" s="90">
        <v>1400</v>
      </c>
      <c r="S2882" s="90" t="s">
        <v>324</v>
      </c>
      <c r="T2882" s="90">
        <v>1400</v>
      </c>
      <c r="U2882" s="90" t="s">
        <v>378</v>
      </c>
      <c r="V2882" s="90" t="s">
        <v>244</v>
      </c>
      <c r="Z2882" s="90">
        <v>0</v>
      </c>
      <c r="AA2882" s="90">
        <v>1</v>
      </c>
      <c r="AB2882" s="90">
        <v>5.1271629442630001E-2</v>
      </c>
      <c r="AC2882" s="90">
        <v>6.8042667168000002E-3</v>
      </c>
      <c r="AD2882" s="90">
        <v>21.933231049591701</v>
      </c>
      <c r="AF2882" s="90">
        <v>-1</v>
      </c>
      <c r="AG2882" s="90">
        <v>-1</v>
      </c>
      <c r="AH2882" s="90">
        <v>-1</v>
      </c>
      <c r="AI2882" s="90">
        <v>-1</v>
      </c>
      <c r="AJ2882" s="90">
        <v>0</v>
      </c>
      <c r="AM2882" s="90" t="s">
        <v>379</v>
      </c>
      <c r="AN2882" s="90">
        <v>-1</v>
      </c>
      <c r="AQ2882" s="90">
        <v>385</v>
      </c>
      <c r="AR2882" s="90" t="s">
        <v>301</v>
      </c>
      <c r="AS2882" s="90" t="s">
        <v>300</v>
      </c>
      <c r="AT2882" s="90" t="s">
        <v>244</v>
      </c>
      <c r="AU2882" s="90">
        <v>4.5650820000000003</v>
      </c>
      <c r="AV2882" s="90">
        <v>20.018658122342799</v>
      </c>
      <c r="AW2882" s="90">
        <v>23.9374793596205</v>
      </c>
      <c r="AX2882" s="90">
        <v>1.7788508599999999E-2</v>
      </c>
    </row>
    <row r="2883" spans="1:50" x14ac:dyDescent="0.25">
      <c r="A2883" s="102">
        <v>830000</v>
      </c>
      <c r="B2883" s="102">
        <v>2400000</v>
      </c>
      <c r="C2883" s="102">
        <v>2400000</v>
      </c>
      <c r="D2883" s="90" t="s">
        <v>374</v>
      </c>
      <c r="E2883" s="90" t="s">
        <v>68</v>
      </c>
      <c r="F2883" s="90" t="s">
        <v>375</v>
      </c>
      <c r="G2883" s="90" t="s">
        <v>376</v>
      </c>
      <c r="H2883" s="90">
        <v>0.59</v>
      </c>
      <c r="I2883" s="90">
        <v>0.64</v>
      </c>
      <c r="J2883" s="90" t="s">
        <v>244</v>
      </c>
      <c r="K2883" s="90">
        <v>3.4145987358999999E-4</v>
      </c>
      <c r="L2883" s="90">
        <v>3708.0193617524901</v>
      </c>
      <c r="M2883" s="90">
        <v>8.6679520336998692</v>
      </c>
      <c r="N2883" s="90">
        <v>1.1503253976306</v>
      </c>
      <c r="O2883" s="90">
        <v>2.9597578057799999E-3</v>
      </c>
      <c r="P2883" s="90">
        <v>3.9278996486999997E-4</v>
      </c>
      <c r="Q2883" s="90">
        <v>1.2661398225629401</v>
      </c>
      <c r="R2883" s="90">
        <v>1400</v>
      </c>
      <c r="S2883" s="90" t="s">
        <v>324</v>
      </c>
      <c r="T2883" s="90">
        <v>1400</v>
      </c>
      <c r="U2883" s="90" t="s">
        <v>378</v>
      </c>
      <c r="V2883" s="90" t="s">
        <v>244</v>
      </c>
      <c r="Z2883" s="90">
        <v>0</v>
      </c>
      <c r="AA2883" s="90">
        <v>1</v>
      </c>
      <c r="AB2883" s="90">
        <v>2.9597578057799999E-3</v>
      </c>
      <c r="AC2883" s="90">
        <v>3.9278996486999997E-4</v>
      </c>
      <c r="AD2883" s="90">
        <v>401.91750486205501</v>
      </c>
      <c r="AF2883" s="90">
        <v>-1</v>
      </c>
      <c r="AG2883" s="90">
        <v>-1</v>
      </c>
      <c r="AH2883" s="90">
        <v>-1</v>
      </c>
      <c r="AI2883" s="90">
        <v>-1</v>
      </c>
      <c r="AJ2883" s="90">
        <v>0</v>
      </c>
      <c r="AM2883" s="90" t="s">
        <v>379</v>
      </c>
      <c r="AN2883" s="90">
        <v>-1</v>
      </c>
      <c r="AQ2883" s="90">
        <v>385</v>
      </c>
      <c r="AR2883" s="90" t="s">
        <v>301</v>
      </c>
      <c r="AS2883" s="90" t="s">
        <v>300</v>
      </c>
      <c r="AT2883" s="90" t="s">
        <v>244</v>
      </c>
      <c r="AU2883" s="90">
        <v>4.5650820000000003</v>
      </c>
      <c r="AV2883" s="90">
        <v>10.5403393268396</v>
      </c>
      <c r="AW2883" s="90">
        <v>1.38183908246077</v>
      </c>
      <c r="AX2883" s="90">
        <v>0.32596715720000002</v>
      </c>
    </row>
    <row r="2884" spans="1:50" x14ac:dyDescent="0.25">
      <c r="A2884" s="102">
        <v>830000</v>
      </c>
      <c r="B2884" s="102">
        <v>2400000</v>
      </c>
      <c r="C2884" s="102">
        <v>2400000</v>
      </c>
      <c r="D2884" s="90" t="s">
        <v>374</v>
      </c>
      <c r="E2884" s="90" t="s">
        <v>68</v>
      </c>
      <c r="F2884" s="90" t="s">
        <v>375</v>
      </c>
      <c r="G2884" s="90" t="s">
        <v>376</v>
      </c>
      <c r="H2884" s="90">
        <v>0.59</v>
      </c>
      <c r="I2884" s="90">
        <v>0.64</v>
      </c>
      <c r="J2884" s="90" t="s">
        <v>381</v>
      </c>
      <c r="K2884" s="90">
        <v>1.5529960388000001E-4</v>
      </c>
      <c r="L2884" s="90">
        <v>3708.0193617524901</v>
      </c>
      <c r="M2884" s="90">
        <v>8.6679520336998692</v>
      </c>
      <c r="N2884" s="90">
        <v>1.1503253976306</v>
      </c>
      <c r="O2884" s="90">
        <v>1.3461295173099999E-3</v>
      </c>
      <c r="P2884" s="90">
        <v>1.7864507857999999E-4</v>
      </c>
      <c r="Q2884" s="90">
        <v>0.57585393807065</v>
      </c>
      <c r="R2884" s="90">
        <v>1400</v>
      </c>
      <c r="S2884" s="90" t="s">
        <v>324</v>
      </c>
      <c r="T2884" s="90">
        <v>1400</v>
      </c>
      <c r="U2884" s="90" t="s">
        <v>382</v>
      </c>
      <c r="V2884" s="90" t="s">
        <v>381</v>
      </c>
      <c r="Z2884" s="90">
        <v>0</v>
      </c>
      <c r="AA2884" s="90">
        <v>1</v>
      </c>
      <c r="AB2884" s="90">
        <v>1.3461295173099999E-3</v>
      </c>
      <c r="AC2884" s="90">
        <v>1.7864507857999999E-4</v>
      </c>
      <c r="AD2884" s="90">
        <v>5.3981238654816703</v>
      </c>
      <c r="AF2884" s="90">
        <v>-1</v>
      </c>
      <c r="AG2884" s="90">
        <v>-1</v>
      </c>
      <c r="AH2884" s="90">
        <v>-1</v>
      </c>
      <c r="AI2884" s="90">
        <v>-1</v>
      </c>
      <c r="AJ2884" s="90">
        <v>0</v>
      </c>
      <c r="AM2884" s="90" t="s">
        <v>379</v>
      </c>
      <c r="AN2884" s="90">
        <v>-1</v>
      </c>
      <c r="AQ2884" s="90">
        <v>385</v>
      </c>
      <c r="AR2884" s="90" t="s">
        <v>301</v>
      </c>
      <c r="AS2884" s="90" t="s">
        <v>300</v>
      </c>
      <c r="AT2884" s="90" t="s">
        <v>244</v>
      </c>
      <c r="AU2884" s="90">
        <v>4.5650820000000003</v>
      </c>
      <c r="AV2884" s="90">
        <v>12.238316695141499</v>
      </c>
      <c r="AW2884" s="90">
        <v>0.62847519937055996</v>
      </c>
      <c r="AX2884" s="90">
        <v>4.3780403999999998E-3</v>
      </c>
    </row>
    <row r="2885" spans="1:50" x14ac:dyDescent="0.25">
      <c r="A2885" s="102">
        <v>830000</v>
      </c>
      <c r="B2885" s="102">
        <v>2400000</v>
      </c>
      <c r="C2885" s="102">
        <v>2400000</v>
      </c>
      <c r="D2885" s="90" t="s">
        <v>374</v>
      </c>
      <c r="E2885" s="90" t="s">
        <v>68</v>
      </c>
      <c r="F2885" s="90" t="s">
        <v>375</v>
      </c>
      <c r="G2885" s="90" t="s">
        <v>376</v>
      </c>
      <c r="H2885" s="90">
        <v>0.59</v>
      </c>
      <c r="I2885" s="90">
        <v>0.64</v>
      </c>
      <c r="J2885" s="90" t="s">
        <v>244</v>
      </c>
      <c r="K2885" s="90">
        <v>1.60405653978E-3</v>
      </c>
      <c r="L2885" s="90">
        <v>3708.0193617524901</v>
      </c>
      <c r="M2885" s="90">
        <v>8.6679520336998692</v>
      </c>
      <c r="N2885" s="90">
        <v>1.1503253976306</v>
      </c>
      <c r="O2885" s="90">
        <v>1.390388514615E-2</v>
      </c>
      <c r="P2885" s="90">
        <v>1.84518697694E-3</v>
      </c>
      <c r="Q2885" s="90">
        <v>5.9478727068499504</v>
      </c>
      <c r="R2885" s="90">
        <v>8140</v>
      </c>
      <c r="S2885" s="90" t="s">
        <v>386</v>
      </c>
      <c r="T2885" s="90">
        <v>8140</v>
      </c>
      <c r="U2885" s="90" t="s">
        <v>378</v>
      </c>
      <c r="V2885" s="90" t="s">
        <v>244</v>
      </c>
      <c r="Z2885" s="90">
        <v>0</v>
      </c>
      <c r="AA2885" s="90">
        <v>1</v>
      </c>
      <c r="AB2885" s="90">
        <v>1.390388514615E-2</v>
      </c>
      <c r="AC2885" s="90">
        <v>1.84518697694E-3</v>
      </c>
      <c r="AD2885" s="90">
        <v>5.94787270684962</v>
      </c>
      <c r="AF2885" s="90">
        <v>-1</v>
      </c>
      <c r="AG2885" s="90">
        <v>-1</v>
      </c>
      <c r="AH2885" s="90">
        <v>-1</v>
      </c>
      <c r="AI2885" s="90">
        <v>-1</v>
      </c>
      <c r="AJ2885" s="90">
        <v>0</v>
      </c>
      <c r="AM2885" s="90" t="s">
        <v>379</v>
      </c>
      <c r="AN2885" s="90">
        <v>-1</v>
      </c>
      <c r="AQ2885" s="90">
        <v>385</v>
      </c>
      <c r="AR2885" s="90" t="s">
        <v>301</v>
      </c>
      <c r="AS2885" s="90" t="s">
        <v>300</v>
      </c>
      <c r="AT2885" s="90" t="s">
        <v>244</v>
      </c>
      <c r="AU2885" s="90">
        <v>4.5650820000000003</v>
      </c>
      <c r="AV2885" s="90">
        <v>101.44226835070501</v>
      </c>
      <c r="AW2885" s="90">
        <v>6.4913865099010701</v>
      </c>
      <c r="AX2885" s="90">
        <v>4.8239032000000001E-3</v>
      </c>
    </row>
    <row r="2886" spans="1:50" x14ac:dyDescent="0.25">
      <c r="A2886" s="102">
        <v>830000</v>
      </c>
      <c r="B2886" s="102">
        <v>2400000</v>
      </c>
      <c r="C2886" s="102">
        <v>2400000</v>
      </c>
      <c r="D2886" s="90" t="s">
        <v>374</v>
      </c>
      <c r="E2886" s="90" t="s">
        <v>68</v>
      </c>
      <c r="F2886" s="90" t="s">
        <v>375</v>
      </c>
      <c r="G2886" s="90" t="s">
        <v>376</v>
      </c>
      <c r="H2886" s="90">
        <v>0.59</v>
      </c>
      <c r="I2886" s="90">
        <v>0.64</v>
      </c>
      <c r="J2886" s="90" t="s">
        <v>381</v>
      </c>
      <c r="K2886" s="90">
        <v>0.22655311177799001</v>
      </c>
      <c r="L2886" s="90">
        <v>3708.0193617524901</v>
      </c>
      <c r="M2886" s="90">
        <v>8.6679520336998692</v>
      </c>
      <c r="N2886" s="90">
        <v>1.1503253976306</v>
      </c>
      <c r="O2886" s="90">
        <v>1.96375150597711</v>
      </c>
      <c r="P2886" s="90">
        <v>0.26060979839046999</v>
      </c>
      <c r="Q2886" s="90">
        <v>840.06332493808702</v>
      </c>
      <c r="R2886" s="90">
        <v>8140</v>
      </c>
      <c r="S2886" s="90" t="s">
        <v>386</v>
      </c>
      <c r="T2886" s="90">
        <v>8140</v>
      </c>
      <c r="U2886" s="90" t="s">
        <v>382</v>
      </c>
      <c r="V2886" s="90" t="s">
        <v>381</v>
      </c>
      <c r="Z2886" s="90">
        <v>0</v>
      </c>
      <c r="AA2886" s="90">
        <v>1</v>
      </c>
      <c r="AB2886" s="90">
        <v>1.96375150597711</v>
      </c>
      <c r="AC2886" s="90">
        <v>0.26060979839046999</v>
      </c>
      <c r="AD2886" s="90">
        <v>878.77930196724901</v>
      </c>
      <c r="AF2886" s="90">
        <v>-1</v>
      </c>
      <c r="AG2886" s="90">
        <v>-1</v>
      </c>
      <c r="AH2886" s="90">
        <v>-1</v>
      </c>
      <c r="AI2886" s="90">
        <v>-1</v>
      </c>
      <c r="AJ2886" s="90">
        <v>0</v>
      </c>
      <c r="AM2886" s="90" t="s">
        <v>379</v>
      </c>
      <c r="AN2886" s="90">
        <v>-1</v>
      </c>
      <c r="AQ2886" s="90">
        <v>385</v>
      </c>
      <c r="AR2886" s="90" t="s">
        <v>301</v>
      </c>
      <c r="AS2886" s="90" t="s">
        <v>300</v>
      </c>
      <c r="AT2886" s="90" t="s">
        <v>244</v>
      </c>
      <c r="AU2886" s="90">
        <v>4.5650820000000003</v>
      </c>
      <c r="AV2886" s="90">
        <v>137.69617875310499</v>
      </c>
      <c r="AW2886" s="90">
        <v>916.82791541348797</v>
      </c>
      <c r="AX2886" s="90">
        <v>0.71271638439999996</v>
      </c>
    </row>
    <row r="2887" spans="1:50" x14ac:dyDescent="0.25">
      <c r="A2887" s="102">
        <v>830000</v>
      </c>
      <c r="B2887" s="102">
        <v>2400000</v>
      </c>
      <c r="C2887" s="102">
        <v>2400000</v>
      </c>
      <c r="D2887" s="90" t="s">
        <v>374</v>
      </c>
      <c r="E2887" s="90" t="s">
        <v>68</v>
      </c>
      <c r="F2887" s="90" t="s">
        <v>375</v>
      </c>
      <c r="G2887" s="90" t="s">
        <v>376</v>
      </c>
      <c r="H2887" s="90">
        <v>0.59</v>
      </c>
      <c r="I2887" s="90">
        <v>0.64</v>
      </c>
      <c r="J2887" s="90" t="s">
        <v>244</v>
      </c>
      <c r="K2887" s="90">
        <v>4.2545671122199997E-3</v>
      </c>
      <c r="L2887" s="90">
        <v>3666.6911608320902</v>
      </c>
      <c r="M2887" s="90">
        <v>8.2451658430068893</v>
      </c>
      <c r="N2887" s="90">
        <v>1.0921359216669</v>
      </c>
      <c r="O2887" s="90">
        <v>3.5079611430529997E-2</v>
      </c>
      <c r="P2887" s="90">
        <v>4.6465655743999999E-3</v>
      </c>
      <c r="Q2887" s="90">
        <v>15.6001836235769</v>
      </c>
      <c r="R2887" s="90">
        <v>1400</v>
      </c>
      <c r="S2887" s="90" t="s">
        <v>324</v>
      </c>
      <c r="T2887" s="90">
        <v>1400</v>
      </c>
      <c r="U2887" s="90" t="s">
        <v>378</v>
      </c>
      <c r="V2887" s="90" t="s">
        <v>244</v>
      </c>
      <c r="Z2887" s="90">
        <v>0</v>
      </c>
      <c r="AA2887" s="90">
        <v>1</v>
      </c>
      <c r="AB2887" s="90">
        <v>3.5079611430529997E-2</v>
      </c>
      <c r="AC2887" s="90">
        <v>4.6465655743999999E-3</v>
      </c>
      <c r="AD2887" s="90">
        <v>46.477364976478803</v>
      </c>
      <c r="AF2887" s="90">
        <v>-1</v>
      </c>
      <c r="AG2887" s="90">
        <v>-1</v>
      </c>
      <c r="AH2887" s="90">
        <v>-1</v>
      </c>
      <c r="AI2887" s="90">
        <v>-1</v>
      </c>
      <c r="AJ2887" s="90">
        <v>0</v>
      </c>
      <c r="AM2887" s="90" t="s">
        <v>379</v>
      </c>
      <c r="AN2887" s="90">
        <v>-1</v>
      </c>
      <c r="AQ2887" s="90">
        <v>385</v>
      </c>
      <c r="AR2887" s="90" t="s">
        <v>301</v>
      </c>
      <c r="AS2887" s="90" t="s">
        <v>300</v>
      </c>
      <c r="AT2887" s="90" t="s">
        <v>244</v>
      </c>
      <c r="AU2887" s="90">
        <v>4.5650820000000003</v>
      </c>
      <c r="AV2887" s="90">
        <v>29.0659173986365</v>
      </c>
      <c r="AW2887" s="90">
        <v>17.217622242654599</v>
      </c>
      <c r="AX2887" s="90">
        <v>3.7694537700000003E-2</v>
      </c>
    </row>
    <row r="2888" spans="1:50" x14ac:dyDescent="0.25">
      <c r="A2888" s="102">
        <v>830000</v>
      </c>
      <c r="B2888" s="102">
        <v>2400000</v>
      </c>
      <c r="C2888" s="102">
        <v>2400000</v>
      </c>
      <c r="D2888" s="90" t="s">
        <v>374</v>
      </c>
      <c r="E2888" s="90" t="s">
        <v>68</v>
      </c>
      <c r="F2888" s="90" t="s">
        <v>375</v>
      </c>
      <c r="G2888" s="90" t="s">
        <v>376</v>
      </c>
      <c r="H2888" s="90">
        <v>0.59</v>
      </c>
      <c r="I2888" s="90">
        <v>0.64</v>
      </c>
      <c r="J2888" s="90" t="s">
        <v>381</v>
      </c>
      <c r="K2888" s="90">
        <v>1.9184454221180001E-2</v>
      </c>
      <c r="L2888" s="90">
        <v>3666.6911608320902</v>
      </c>
      <c r="M2888" s="90">
        <v>8.2451658430068893</v>
      </c>
      <c r="N2888" s="90">
        <v>1.0921359216669</v>
      </c>
      <c r="O2888" s="90">
        <v>0.15817900666122001</v>
      </c>
      <c r="P2888" s="90">
        <v>2.0952031592520001E-2</v>
      </c>
      <c r="Q2888" s="90">
        <v>70.343468718199503</v>
      </c>
      <c r="R2888" s="90">
        <v>1400</v>
      </c>
      <c r="S2888" s="90" t="s">
        <v>324</v>
      </c>
      <c r="T2888" s="90">
        <v>1400</v>
      </c>
      <c r="U2888" s="90" t="s">
        <v>382</v>
      </c>
      <c r="V2888" s="90" t="s">
        <v>381</v>
      </c>
      <c r="Z2888" s="90">
        <v>0</v>
      </c>
      <c r="AA2888" s="90">
        <v>1</v>
      </c>
      <c r="AB2888" s="90">
        <v>0.15817900666122001</v>
      </c>
      <c r="AC2888" s="90">
        <v>2.0952031592520001E-2</v>
      </c>
      <c r="AD2888" s="90">
        <v>71.727230011209201</v>
      </c>
      <c r="AF2888" s="90">
        <v>-1</v>
      </c>
      <c r="AG2888" s="90">
        <v>-1</v>
      </c>
      <c r="AH2888" s="90">
        <v>-1</v>
      </c>
      <c r="AI2888" s="90">
        <v>-1</v>
      </c>
      <c r="AJ2888" s="90">
        <v>0</v>
      </c>
      <c r="AM2888" s="90" t="s">
        <v>379</v>
      </c>
      <c r="AN2888" s="90">
        <v>-1</v>
      </c>
      <c r="AQ2888" s="90">
        <v>385</v>
      </c>
      <c r="AR2888" s="90" t="s">
        <v>301</v>
      </c>
      <c r="AS2888" s="90" t="s">
        <v>300</v>
      </c>
      <c r="AT2888" s="90" t="s">
        <v>244</v>
      </c>
      <c r="AU2888" s="90">
        <v>4.5650820000000003</v>
      </c>
      <c r="AV2888" s="90">
        <v>52.895387327438698</v>
      </c>
      <c r="AW2888" s="90">
        <v>77.636731775232903</v>
      </c>
      <c r="AX2888" s="90">
        <v>5.81729359E-2</v>
      </c>
    </row>
    <row r="2889" spans="1:50" x14ac:dyDescent="0.25">
      <c r="A2889" s="102">
        <v>830000</v>
      </c>
      <c r="B2889" s="102">
        <v>2400000</v>
      </c>
      <c r="C2889" s="102">
        <v>2400000</v>
      </c>
      <c r="D2889" s="90" t="s">
        <v>374</v>
      </c>
      <c r="E2889" s="90" t="s">
        <v>68</v>
      </c>
      <c r="F2889" s="90" t="s">
        <v>375</v>
      </c>
      <c r="G2889" s="90" t="s">
        <v>376</v>
      </c>
      <c r="H2889" s="90">
        <v>0.59</v>
      </c>
      <c r="I2889" s="90">
        <v>0.64</v>
      </c>
      <c r="J2889" s="90" t="s">
        <v>381</v>
      </c>
      <c r="K2889" s="90">
        <v>0.18332553375027</v>
      </c>
      <c r="L2889" s="90">
        <v>3666.6911608320902</v>
      </c>
      <c r="M2889" s="90">
        <v>8.2451658430068893</v>
      </c>
      <c r="N2889" s="90">
        <v>1.0921359216669</v>
      </c>
      <c r="O2889" s="90">
        <v>1.5115494290288001</v>
      </c>
      <c r="P2889" s="90">
        <v>0.20021640076743</v>
      </c>
      <c r="Q2889" s="90">
        <v>672.19811415696904</v>
      </c>
      <c r="R2889" s="90">
        <v>8140</v>
      </c>
      <c r="S2889" s="90" t="s">
        <v>386</v>
      </c>
      <c r="T2889" s="90">
        <v>8140</v>
      </c>
      <c r="U2889" s="90" t="s">
        <v>382</v>
      </c>
      <c r="V2889" s="90" t="s">
        <v>381</v>
      </c>
      <c r="Z2889" s="90">
        <v>0</v>
      </c>
      <c r="AA2889" s="90">
        <v>1</v>
      </c>
      <c r="AB2889" s="90">
        <v>1.5115494290288001</v>
      </c>
      <c r="AC2889" s="90">
        <v>0.20021640076743</v>
      </c>
      <c r="AD2889" s="90">
        <v>672.19811415696904</v>
      </c>
      <c r="AF2889" s="90">
        <v>-1</v>
      </c>
      <c r="AG2889" s="90">
        <v>-1</v>
      </c>
      <c r="AH2889" s="90">
        <v>-1</v>
      </c>
      <c r="AI2889" s="90">
        <v>-1</v>
      </c>
      <c r="AJ2889" s="90">
        <v>0</v>
      </c>
      <c r="AM2889" s="90" t="s">
        <v>379</v>
      </c>
      <c r="AN2889" s="90">
        <v>-1</v>
      </c>
      <c r="AQ2889" s="90">
        <v>385</v>
      </c>
      <c r="AR2889" s="90" t="s">
        <v>301</v>
      </c>
      <c r="AS2889" s="90" t="s">
        <v>300</v>
      </c>
      <c r="AT2889" s="90" t="s">
        <v>244</v>
      </c>
      <c r="AU2889" s="90">
        <v>4.5650820000000003</v>
      </c>
      <c r="AV2889" s="90">
        <v>135.469168670263</v>
      </c>
      <c r="AW2889" s="90">
        <v>741.89211364721803</v>
      </c>
      <c r="AX2889" s="90">
        <v>0.54517284200000005</v>
      </c>
    </row>
    <row r="2890" spans="1:50" x14ac:dyDescent="0.25">
      <c r="A2890" s="102">
        <v>830000</v>
      </c>
      <c r="B2890" s="102">
        <v>2400000</v>
      </c>
      <c r="C2890" s="102">
        <v>2400000</v>
      </c>
      <c r="D2890" s="90" t="s">
        <v>374</v>
      </c>
      <c r="E2890" s="90" t="s">
        <v>68</v>
      </c>
      <c r="F2890" s="90" t="s">
        <v>375</v>
      </c>
      <c r="G2890" s="90" t="s">
        <v>376</v>
      </c>
      <c r="H2890" s="90">
        <v>0.59</v>
      </c>
      <c r="I2890" s="90">
        <v>0.64</v>
      </c>
      <c r="J2890" s="90" t="s">
        <v>244</v>
      </c>
      <c r="K2890" s="90">
        <v>1.5391038047E-3</v>
      </c>
      <c r="L2890" s="90">
        <v>3712.06764069561</v>
      </c>
      <c r="M2890" s="90">
        <v>10.6500961765539</v>
      </c>
      <c r="N2890" s="90">
        <v>2.0409906917150198</v>
      </c>
      <c r="O2890" s="90">
        <v>1.6391603545749998E-2</v>
      </c>
      <c r="P2890" s="90">
        <v>3.1412965389700002E-3</v>
      </c>
      <c r="Q2890" s="90">
        <v>5.7132574290983804</v>
      </c>
      <c r="R2890" s="90">
        <v>1400</v>
      </c>
      <c r="S2890" s="90" t="s">
        <v>324</v>
      </c>
      <c r="T2890" s="90">
        <v>1400</v>
      </c>
      <c r="U2890" s="90" t="s">
        <v>378</v>
      </c>
      <c r="V2890" s="90" t="s">
        <v>244</v>
      </c>
      <c r="Z2890" s="90">
        <v>0</v>
      </c>
      <c r="AA2890" s="90">
        <v>1</v>
      </c>
      <c r="AB2890" s="90">
        <v>1.6391603545749998E-2</v>
      </c>
      <c r="AC2890" s="90">
        <v>3.1412965389700002E-3</v>
      </c>
      <c r="AD2890" s="90">
        <v>22.715594514587199</v>
      </c>
      <c r="AF2890" s="90">
        <v>-1</v>
      </c>
      <c r="AG2890" s="90">
        <v>-1</v>
      </c>
      <c r="AH2890" s="90">
        <v>-1</v>
      </c>
      <c r="AI2890" s="90">
        <v>-1</v>
      </c>
      <c r="AJ2890" s="90">
        <v>0</v>
      </c>
      <c r="AM2890" s="90" t="s">
        <v>379</v>
      </c>
      <c r="AN2890" s="90">
        <v>-1</v>
      </c>
      <c r="AQ2890" s="90">
        <v>385</v>
      </c>
      <c r="AR2890" s="90" t="s">
        <v>301</v>
      </c>
      <c r="AS2890" s="90" t="s">
        <v>300</v>
      </c>
      <c r="AT2890" s="90" t="s">
        <v>244</v>
      </c>
      <c r="AU2890" s="90">
        <v>4.5650820000000003</v>
      </c>
      <c r="AV2890" s="90">
        <v>43.9862249822325</v>
      </c>
      <c r="AW2890" s="90">
        <v>6.2285321167921897</v>
      </c>
      <c r="AX2890" s="90">
        <v>1.8423028800000001E-2</v>
      </c>
    </row>
    <row r="2891" spans="1:50" x14ac:dyDescent="0.25">
      <c r="A2891" s="102">
        <v>830000</v>
      </c>
      <c r="B2891" s="102">
        <v>2400000</v>
      </c>
      <c r="C2891" s="102">
        <v>2400000</v>
      </c>
      <c r="D2891" s="90" t="s">
        <v>374</v>
      </c>
      <c r="E2891" s="90" t="s">
        <v>68</v>
      </c>
      <c r="F2891" s="90" t="s">
        <v>375</v>
      </c>
      <c r="G2891" s="90" t="s">
        <v>376</v>
      </c>
      <c r="H2891" s="90">
        <v>0.59</v>
      </c>
      <c r="I2891" s="90">
        <v>0.64</v>
      </c>
      <c r="J2891" s="90" t="s">
        <v>244</v>
      </c>
      <c r="K2891" s="90">
        <v>0.17168918331989999</v>
      </c>
      <c r="L2891" s="90">
        <v>3712.06764069561</v>
      </c>
      <c r="M2891" s="90">
        <v>10.6500961765539</v>
      </c>
      <c r="N2891" s="90">
        <v>2.0409906917150198</v>
      </c>
      <c r="O2891" s="90">
        <v>1.8285063148310099</v>
      </c>
      <c r="P2891" s="90">
        <v>0.35041602502407998</v>
      </c>
      <c r="Q2891" s="90">
        <v>637.32186165928397</v>
      </c>
      <c r="R2891" s="90">
        <v>1300</v>
      </c>
      <c r="S2891" s="90" t="s">
        <v>387</v>
      </c>
      <c r="T2891" s="90">
        <v>1300</v>
      </c>
      <c r="U2891" s="90" t="s">
        <v>378</v>
      </c>
      <c r="V2891" s="90" t="s">
        <v>244</v>
      </c>
      <c r="Z2891" s="90">
        <v>0</v>
      </c>
      <c r="AA2891" s="90">
        <v>1</v>
      </c>
      <c r="AB2891" s="90">
        <v>1.8285063148310099</v>
      </c>
      <c r="AC2891" s="90">
        <v>0.35041602502407998</v>
      </c>
      <c r="AD2891" s="90">
        <v>2241.4673530106802</v>
      </c>
      <c r="AF2891" s="90">
        <v>-1</v>
      </c>
      <c r="AG2891" s="90">
        <v>-1</v>
      </c>
      <c r="AH2891" s="90">
        <v>-1</v>
      </c>
      <c r="AI2891" s="90">
        <v>-1</v>
      </c>
      <c r="AJ2891" s="90">
        <v>0</v>
      </c>
      <c r="AM2891" s="90" t="s">
        <v>379</v>
      </c>
      <c r="AN2891" s="90">
        <v>-1</v>
      </c>
      <c r="AQ2891" s="90">
        <v>385</v>
      </c>
      <c r="AR2891" s="90" t="s">
        <v>301</v>
      </c>
      <c r="AS2891" s="90" t="s">
        <v>300</v>
      </c>
      <c r="AT2891" s="90" t="s">
        <v>244</v>
      </c>
      <c r="AU2891" s="90">
        <v>4.5650820000000003</v>
      </c>
      <c r="AV2891" s="90">
        <v>113.149883316928</v>
      </c>
      <c r="AW2891" s="90">
        <v>694.80147417477701</v>
      </c>
      <c r="AX2891" s="90">
        <v>1.8178972855</v>
      </c>
    </row>
    <row r="2892" spans="1:50" x14ac:dyDescent="0.25">
      <c r="A2892" s="102">
        <v>830000</v>
      </c>
      <c r="B2892" s="102">
        <v>2400000</v>
      </c>
      <c r="C2892" s="102">
        <v>2400000</v>
      </c>
      <c r="D2892" s="90" t="s">
        <v>374</v>
      </c>
      <c r="E2892" s="90" t="s">
        <v>68</v>
      </c>
      <c r="F2892" s="90" t="s">
        <v>375</v>
      </c>
      <c r="G2892" s="90" t="s">
        <v>376</v>
      </c>
      <c r="H2892" s="90">
        <v>0.59</v>
      </c>
      <c r="I2892" s="90">
        <v>0.64</v>
      </c>
      <c r="J2892" s="90" t="s">
        <v>244</v>
      </c>
      <c r="K2892" s="90">
        <v>2.4677630513150001E-2</v>
      </c>
      <c r="L2892" s="90">
        <v>3774.99789739789</v>
      </c>
      <c r="M2892" s="90">
        <v>9.2844612299036307</v>
      </c>
      <c r="N2892" s="90">
        <v>1.2335403708746</v>
      </c>
      <c r="O2892" s="90">
        <v>0.22911850374525999</v>
      </c>
      <c r="P2892" s="90">
        <v>3.0440853495499999E-2</v>
      </c>
      <c r="Q2892" s="90">
        <v>93.158003299918505</v>
      </c>
      <c r="R2892" s="90">
        <v>1400</v>
      </c>
      <c r="S2892" s="90" t="s">
        <v>324</v>
      </c>
      <c r="T2892" s="90">
        <v>1400</v>
      </c>
      <c r="U2892" s="90" t="s">
        <v>378</v>
      </c>
      <c r="V2892" s="90" t="s">
        <v>244</v>
      </c>
      <c r="Z2892" s="90">
        <v>0</v>
      </c>
      <c r="AA2892" s="90">
        <v>1</v>
      </c>
      <c r="AB2892" s="90">
        <v>0.22911850374525999</v>
      </c>
      <c r="AC2892" s="90">
        <v>3.0440853495499999E-2</v>
      </c>
      <c r="AD2892" s="90">
        <v>255.87774599278899</v>
      </c>
      <c r="AF2892" s="90">
        <v>-1</v>
      </c>
      <c r="AG2892" s="90">
        <v>-1</v>
      </c>
      <c r="AH2892" s="90">
        <v>-1</v>
      </c>
      <c r="AI2892" s="90">
        <v>-1</v>
      </c>
      <c r="AJ2892" s="90">
        <v>0</v>
      </c>
      <c r="AM2892" s="90" t="s">
        <v>379</v>
      </c>
      <c r="AN2892" s="90">
        <v>-1</v>
      </c>
      <c r="AQ2892" s="90">
        <v>385</v>
      </c>
      <c r="AR2892" s="90" t="s">
        <v>301</v>
      </c>
      <c r="AS2892" s="90" t="s">
        <v>300</v>
      </c>
      <c r="AT2892" s="90" t="s">
        <v>244</v>
      </c>
      <c r="AU2892" s="90">
        <v>4.5650820000000003</v>
      </c>
      <c r="AV2892" s="90">
        <v>50.815139638174202</v>
      </c>
      <c r="AW2892" s="90">
        <v>99.866827531773495</v>
      </c>
      <c r="AX2892" s="90">
        <v>0.20752453039999999</v>
      </c>
    </row>
    <row r="2893" spans="1:50" x14ac:dyDescent="0.25">
      <c r="A2893" s="102">
        <v>830000</v>
      </c>
      <c r="B2893" s="102">
        <v>2400000</v>
      </c>
      <c r="C2893" s="102">
        <v>2400000</v>
      </c>
      <c r="D2893" s="90" t="s">
        <v>374</v>
      </c>
      <c r="E2893" s="90" t="s">
        <v>68</v>
      </c>
      <c r="F2893" s="90" t="s">
        <v>375</v>
      </c>
      <c r="G2893" s="90" t="s">
        <v>376</v>
      </c>
      <c r="H2893" s="90">
        <v>0.59</v>
      </c>
      <c r="I2893" s="90">
        <v>0.64</v>
      </c>
      <c r="J2893" s="90" t="s">
        <v>244</v>
      </c>
      <c r="K2893" s="90">
        <v>4.0984034917999998E-4</v>
      </c>
      <c r="L2893" s="90">
        <v>3774.99789739789</v>
      </c>
      <c r="M2893" s="90">
        <v>9.2844612299036307</v>
      </c>
      <c r="N2893" s="90">
        <v>1.2335403708746</v>
      </c>
      <c r="O2893" s="90">
        <v>3.8051468324199998E-3</v>
      </c>
      <c r="P2893" s="90">
        <v>5.0555461631999999E-4</v>
      </c>
      <c r="Q2893" s="90">
        <v>1.54714645642709</v>
      </c>
      <c r="R2893" s="90">
        <v>1400</v>
      </c>
      <c r="S2893" s="90" t="s">
        <v>324</v>
      </c>
      <c r="T2893" s="90">
        <v>1400</v>
      </c>
      <c r="U2893" s="90" t="s">
        <v>378</v>
      </c>
      <c r="V2893" s="90" t="s">
        <v>244</v>
      </c>
      <c r="Z2893" s="90">
        <v>0</v>
      </c>
      <c r="AA2893" s="90">
        <v>1</v>
      </c>
      <c r="AB2893" s="90">
        <v>3.8051468324199998E-3</v>
      </c>
      <c r="AC2893" s="90">
        <v>5.0555461631999999E-4</v>
      </c>
      <c r="AD2893" s="90">
        <v>144.28988178552001</v>
      </c>
      <c r="AF2893" s="90">
        <v>-1</v>
      </c>
      <c r="AG2893" s="90">
        <v>-1</v>
      </c>
      <c r="AH2893" s="90">
        <v>-1</v>
      </c>
      <c r="AI2893" s="90">
        <v>-1</v>
      </c>
      <c r="AJ2893" s="90">
        <v>0</v>
      </c>
      <c r="AM2893" s="90" t="s">
        <v>379</v>
      </c>
      <c r="AN2893" s="90">
        <v>-1</v>
      </c>
      <c r="AQ2893" s="90">
        <v>385</v>
      </c>
      <c r="AR2893" s="90" t="s">
        <v>301</v>
      </c>
      <c r="AS2893" s="90" t="s">
        <v>300</v>
      </c>
      <c r="AT2893" s="90" t="s">
        <v>244</v>
      </c>
      <c r="AU2893" s="90">
        <v>4.5650820000000003</v>
      </c>
      <c r="AV2893" s="90">
        <v>17.297725429281801</v>
      </c>
      <c r="AW2893" s="90">
        <v>1.6585650492436299</v>
      </c>
      <c r="AX2893" s="90">
        <v>0.117023424</v>
      </c>
    </row>
    <row r="2894" spans="1:50" x14ac:dyDescent="0.25">
      <c r="A2894" s="102">
        <v>830000</v>
      </c>
      <c r="B2894" s="102">
        <v>2400000</v>
      </c>
      <c r="C2894" s="102">
        <v>2400000</v>
      </c>
      <c r="D2894" s="90" t="s">
        <v>374</v>
      </c>
      <c r="E2894" s="90" t="s">
        <v>68</v>
      </c>
      <c r="F2894" s="90" t="s">
        <v>375</v>
      </c>
      <c r="G2894" s="90" t="s">
        <v>376</v>
      </c>
      <c r="H2894" s="90">
        <v>0.59</v>
      </c>
      <c r="I2894" s="90">
        <v>0.64</v>
      </c>
      <c r="J2894" s="90" t="s">
        <v>381</v>
      </c>
      <c r="K2894" s="90">
        <v>2.8598329996999997E-4</v>
      </c>
      <c r="L2894" s="90">
        <v>3774.99789739789</v>
      </c>
      <c r="M2894" s="90">
        <v>9.2844612299036307</v>
      </c>
      <c r="N2894" s="90">
        <v>1.2335403708746</v>
      </c>
      <c r="O2894" s="90">
        <v>2.655200861E-3</v>
      </c>
      <c r="P2894" s="90">
        <v>3.5277194591E-4</v>
      </c>
      <c r="Q2894" s="90">
        <v>1.0795863560927601</v>
      </c>
      <c r="R2894" s="90">
        <v>1400</v>
      </c>
      <c r="S2894" s="90" t="s">
        <v>324</v>
      </c>
      <c r="T2894" s="90">
        <v>1400</v>
      </c>
      <c r="U2894" s="90" t="s">
        <v>382</v>
      </c>
      <c r="V2894" s="90" t="s">
        <v>381</v>
      </c>
      <c r="Z2894" s="90">
        <v>0</v>
      </c>
      <c r="AA2894" s="90">
        <v>1</v>
      </c>
      <c r="AB2894" s="90">
        <v>2.655200861E-3</v>
      </c>
      <c r="AC2894" s="90">
        <v>3.5277194591E-4</v>
      </c>
      <c r="AD2894" s="90">
        <v>5.5179581242032603</v>
      </c>
      <c r="AF2894" s="90">
        <v>-1</v>
      </c>
      <c r="AG2894" s="90">
        <v>-1</v>
      </c>
      <c r="AH2894" s="90">
        <v>-1</v>
      </c>
      <c r="AI2894" s="90">
        <v>-1</v>
      </c>
      <c r="AJ2894" s="90">
        <v>0</v>
      </c>
      <c r="AM2894" s="90" t="s">
        <v>379</v>
      </c>
      <c r="AN2894" s="90">
        <v>-1</v>
      </c>
      <c r="AQ2894" s="90">
        <v>385</v>
      </c>
      <c r="AR2894" s="90" t="s">
        <v>301</v>
      </c>
      <c r="AS2894" s="90" t="s">
        <v>300</v>
      </c>
      <c r="AT2894" s="90" t="s">
        <v>244</v>
      </c>
      <c r="AU2894" s="90">
        <v>4.5650820000000003</v>
      </c>
      <c r="AV2894" s="90">
        <v>22.149766659833201</v>
      </c>
      <c r="AW2894" s="90">
        <v>1.1573333542003801</v>
      </c>
      <c r="AX2894" s="90">
        <v>4.4752296E-3</v>
      </c>
    </row>
    <row r="2895" spans="1:50" x14ac:dyDescent="0.25">
      <c r="A2895" s="102">
        <v>830000</v>
      </c>
      <c r="B2895" s="102">
        <v>2400000</v>
      </c>
      <c r="C2895" s="102">
        <v>2400000</v>
      </c>
      <c r="D2895" s="90" t="s">
        <v>374</v>
      </c>
      <c r="E2895" s="90" t="s">
        <v>68</v>
      </c>
      <c r="F2895" s="90" t="s">
        <v>375</v>
      </c>
      <c r="G2895" s="90" t="s">
        <v>376</v>
      </c>
      <c r="H2895" s="90">
        <v>0.59</v>
      </c>
      <c r="I2895" s="90">
        <v>0.64</v>
      </c>
      <c r="J2895" s="90" t="s">
        <v>244</v>
      </c>
      <c r="K2895" s="90">
        <v>7.0460708984000002E-4</v>
      </c>
      <c r="L2895" s="90">
        <v>3774.99789739789</v>
      </c>
      <c r="M2895" s="90">
        <v>9.2844612299036307</v>
      </c>
      <c r="N2895" s="90">
        <v>1.2335403708746</v>
      </c>
      <c r="O2895" s="90">
        <v>6.5418972079899999E-3</v>
      </c>
      <c r="P2895" s="90">
        <v>8.6916129092999995E-4</v>
      </c>
      <c r="Q2895" s="90">
        <v>2.6598902826602999</v>
      </c>
      <c r="R2895" s="90">
        <v>8140</v>
      </c>
      <c r="S2895" s="90" t="s">
        <v>386</v>
      </c>
      <c r="T2895" s="90">
        <v>8140</v>
      </c>
      <c r="U2895" s="90" t="s">
        <v>378</v>
      </c>
      <c r="V2895" s="90" t="s">
        <v>244</v>
      </c>
      <c r="Z2895" s="90">
        <v>0</v>
      </c>
      <c r="AA2895" s="90">
        <v>1</v>
      </c>
      <c r="AB2895" s="90">
        <v>6.5418972079899999E-3</v>
      </c>
      <c r="AC2895" s="90">
        <v>8.6916129092999995E-4</v>
      </c>
      <c r="AD2895" s="90">
        <v>6.0567580316987799</v>
      </c>
      <c r="AF2895" s="90">
        <v>-1</v>
      </c>
      <c r="AG2895" s="90">
        <v>-1</v>
      </c>
      <c r="AH2895" s="90">
        <v>-1</v>
      </c>
      <c r="AI2895" s="90">
        <v>-1</v>
      </c>
      <c r="AJ2895" s="90">
        <v>0</v>
      </c>
      <c r="AM2895" s="90" t="s">
        <v>379</v>
      </c>
      <c r="AN2895" s="90">
        <v>-1</v>
      </c>
      <c r="AQ2895" s="90">
        <v>385</v>
      </c>
      <c r="AR2895" s="90" t="s">
        <v>301</v>
      </c>
      <c r="AS2895" s="90" t="s">
        <v>300</v>
      </c>
      <c r="AT2895" s="90" t="s">
        <v>244</v>
      </c>
      <c r="AU2895" s="90">
        <v>4.5650820000000003</v>
      </c>
      <c r="AV2895" s="90">
        <v>44.099165889306001</v>
      </c>
      <c r="AW2895" s="90">
        <v>2.8514437268107602</v>
      </c>
      <c r="AX2895" s="90">
        <v>4.9122124999999997E-3</v>
      </c>
    </row>
    <row r="2896" spans="1:50" x14ac:dyDescent="0.25">
      <c r="A2896" s="102">
        <v>830000</v>
      </c>
      <c r="B2896" s="102">
        <v>2400000</v>
      </c>
      <c r="C2896" s="102">
        <v>2400000</v>
      </c>
      <c r="D2896" s="90" t="s">
        <v>374</v>
      </c>
      <c r="E2896" s="90" t="s">
        <v>68</v>
      </c>
      <c r="F2896" s="90" t="s">
        <v>375</v>
      </c>
      <c r="G2896" s="90" t="s">
        <v>376</v>
      </c>
      <c r="H2896" s="90">
        <v>0.59</v>
      </c>
      <c r="I2896" s="90">
        <v>0.64</v>
      </c>
      <c r="J2896" s="90" t="s">
        <v>381</v>
      </c>
      <c r="K2896" s="90">
        <v>0.22190280228774001</v>
      </c>
      <c r="L2896" s="90">
        <v>3774.99789739789</v>
      </c>
      <c r="M2896" s="90">
        <v>9.2844612299036307</v>
      </c>
      <c r="N2896" s="90">
        <v>1.2335403708746</v>
      </c>
      <c r="O2896" s="90">
        <v>2.0602479646475298</v>
      </c>
      <c r="P2896" s="90">
        <v>0.27372606503212998</v>
      </c>
      <c r="Q2896" s="90">
        <v>837.68261206293403</v>
      </c>
      <c r="R2896" s="90">
        <v>8140</v>
      </c>
      <c r="S2896" s="90" t="s">
        <v>386</v>
      </c>
      <c r="T2896" s="90">
        <v>8140</v>
      </c>
      <c r="U2896" s="90" t="s">
        <v>382</v>
      </c>
      <c r="V2896" s="90" t="s">
        <v>381</v>
      </c>
      <c r="Z2896" s="90">
        <v>0</v>
      </c>
      <c r="AA2896" s="90">
        <v>1</v>
      </c>
      <c r="AB2896" s="90">
        <v>2.0602479646475298</v>
      </c>
      <c r="AC2896" s="90">
        <v>0.27372606503212998</v>
      </c>
      <c r="AD2896" s="90">
        <v>878.25775821814796</v>
      </c>
      <c r="AF2896" s="90">
        <v>-1</v>
      </c>
      <c r="AG2896" s="90">
        <v>-1</v>
      </c>
      <c r="AH2896" s="90">
        <v>-1</v>
      </c>
      <c r="AI2896" s="90">
        <v>-1</v>
      </c>
      <c r="AJ2896" s="90">
        <v>0</v>
      </c>
      <c r="AM2896" s="90" t="s">
        <v>379</v>
      </c>
      <c r="AN2896" s="90">
        <v>-1</v>
      </c>
      <c r="AQ2896" s="90">
        <v>385</v>
      </c>
      <c r="AR2896" s="90" t="s">
        <v>301</v>
      </c>
      <c r="AS2896" s="90" t="s">
        <v>300</v>
      </c>
      <c r="AT2896" s="90" t="s">
        <v>244</v>
      </c>
      <c r="AU2896" s="90">
        <v>4.5650820000000003</v>
      </c>
      <c r="AV2896" s="90">
        <v>135.566498818875</v>
      </c>
      <c r="AW2896" s="90">
        <v>898.00878058671606</v>
      </c>
      <c r="AX2896" s="90">
        <v>0.71229339680000003</v>
      </c>
    </row>
    <row r="2897" spans="1:50" x14ac:dyDescent="0.25">
      <c r="A2897" s="102">
        <v>830000</v>
      </c>
      <c r="B2897" s="102">
        <v>2400000</v>
      </c>
      <c r="C2897" s="102">
        <v>2400000</v>
      </c>
      <c r="D2897" s="90" t="s">
        <v>374</v>
      </c>
      <c r="E2897" s="90" t="s">
        <v>68</v>
      </c>
      <c r="F2897" s="90" t="s">
        <v>375</v>
      </c>
      <c r="G2897" s="90" t="s">
        <v>376</v>
      </c>
      <c r="H2897" s="90">
        <v>0.59</v>
      </c>
      <c r="I2897" s="90">
        <v>0.64</v>
      </c>
      <c r="J2897" s="90" t="s">
        <v>244</v>
      </c>
      <c r="K2897" s="90">
        <v>2.2284452142389999E-2</v>
      </c>
      <c r="L2897" s="90">
        <v>3774.99789739789</v>
      </c>
      <c r="M2897" s="90">
        <v>9.2844612299036307</v>
      </c>
      <c r="N2897" s="90">
        <v>1.2335403708746</v>
      </c>
      <c r="O2897" s="90">
        <v>0.20689913194573001</v>
      </c>
      <c r="P2897" s="90">
        <v>2.748877136047E-2</v>
      </c>
      <c r="Q2897" s="90">
        <v>84.123759982216399</v>
      </c>
      <c r="R2897" s="90">
        <v>1410</v>
      </c>
      <c r="S2897" s="90" t="s">
        <v>325</v>
      </c>
      <c r="T2897" s="90">
        <v>1410</v>
      </c>
      <c r="U2897" s="90" t="s">
        <v>378</v>
      </c>
      <c r="V2897" s="90" t="s">
        <v>244</v>
      </c>
      <c r="Z2897" s="90">
        <v>0</v>
      </c>
      <c r="AA2897" s="90">
        <v>1</v>
      </c>
      <c r="AB2897" s="90">
        <v>0.20689913194573001</v>
      </c>
      <c r="AC2897" s="90">
        <v>2.748877136047E-2</v>
      </c>
      <c r="AD2897" s="90">
        <v>146.038805802582</v>
      </c>
      <c r="AF2897" s="90">
        <v>-1</v>
      </c>
      <c r="AG2897" s="90">
        <v>-1</v>
      </c>
      <c r="AH2897" s="90">
        <v>-1</v>
      </c>
      <c r="AI2897" s="90">
        <v>-1</v>
      </c>
      <c r="AJ2897" s="90">
        <v>0</v>
      </c>
      <c r="AM2897" s="90" t="s">
        <v>379</v>
      </c>
      <c r="AN2897" s="90">
        <v>-1</v>
      </c>
      <c r="AQ2897" s="90">
        <v>385</v>
      </c>
      <c r="AR2897" s="90" t="s">
        <v>301</v>
      </c>
      <c r="AS2897" s="90" t="s">
        <v>300</v>
      </c>
      <c r="AT2897" s="90" t="s">
        <v>244</v>
      </c>
      <c r="AU2897" s="90">
        <v>4.5650820000000003</v>
      </c>
      <c r="AV2897" s="90">
        <v>42.653447506941603</v>
      </c>
      <c r="AW2897" s="90">
        <v>90.181978272127495</v>
      </c>
      <c r="AX2897" s="90">
        <v>0.1184418539</v>
      </c>
    </row>
    <row r="2898" spans="1:50" x14ac:dyDescent="0.25">
      <c r="A2898" s="102">
        <v>830000</v>
      </c>
      <c r="B2898" s="102">
        <v>2400000</v>
      </c>
      <c r="C2898" s="102">
        <v>2400000</v>
      </c>
      <c r="D2898" s="90" t="s">
        <v>374</v>
      </c>
      <c r="E2898" s="90" t="s">
        <v>68</v>
      </c>
      <c r="F2898" s="90" t="s">
        <v>375</v>
      </c>
      <c r="G2898" s="90" t="s">
        <v>376</v>
      </c>
      <c r="H2898" s="90">
        <v>0.59</v>
      </c>
      <c r="I2898" s="90">
        <v>0.64</v>
      </c>
      <c r="J2898" s="90" t="s">
        <v>244</v>
      </c>
      <c r="K2898" s="90">
        <v>6.7620913176999996E-4</v>
      </c>
      <c r="L2898" s="90">
        <v>3774.99789739789</v>
      </c>
      <c r="M2898" s="90">
        <v>9.2844612299036307</v>
      </c>
      <c r="N2898" s="90">
        <v>1.2335403708746</v>
      </c>
      <c r="O2898" s="90">
        <v>6.2782374672700004E-3</v>
      </c>
      <c r="P2898" s="90">
        <v>8.3413126318999996E-4</v>
      </c>
      <c r="Q2898" s="90">
        <v>2.5526880506518799</v>
      </c>
      <c r="R2898" s="90">
        <v>1450</v>
      </c>
      <c r="S2898" s="90" t="s">
        <v>391</v>
      </c>
      <c r="T2898" s="90">
        <v>1450</v>
      </c>
      <c r="U2898" s="90" t="s">
        <v>378</v>
      </c>
      <c r="V2898" s="90" t="s">
        <v>244</v>
      </c>
      <c r="Z2898" s="90">
        <v>0</v>
      </c>
      <c r="AA2898" s="90">
        <v>1</v>
      </c>
      <c r="AB2898" s="90">
        <v>6.2782374672700004E-3</v>
      </c>
      <c r="AC2898" s="90">
        <v>8.3413126318999996E-4</v>
      </c>
      <c r="AD2898" s="90">
        <v>327.40257196691198</v>
      </c>
      <c r="AF2898" s="90">
        <v>-1</v>
      </c>
      <c r="AG2898" s="90">
        <v>-1</v>
      </c>
      <c r="AH2898" s="90">
        <v>-1</v>
      </c>
      <c r="AI2898" s="90">
        <v>-1</v>
      </c>
      <c r="AJ2898" s="90">
        <v>0</v>
      </c>
      <c r="AM2898" s="90" t="s">
        <v>379</v>
      </c>
      <c r="AN2898" s="90">
        <v>-1</v>
      </c>
      <c r="AQ2898" s="90">
        <v>385</v>
      </c>
      <c r="AR2898" s="90" t="s">
        <v>301</v>
      </c>
      <c r="AS2898" s="90" t="s">
        <v>300</v>
      </c>
      <c r="AT2898" s="90" t="s">
        <v>244</v>
      </c>
      <c r="AU2898" s="90">
        <v>4.5650820000000003</v>
      </c>
      <c r="AV2898" s="90">
        <v>8.0310351840803396</v>
      </c>
      <c r="AW2898" s="90">
        <v>2.73652126781043</v>
      </c>
      <c r="AX2898" s="90">
        <v>0.26553331060000002</v>
      </c>
    </row>
    <row r="2899" spans="1:50" x14ac:dyDescent="0.25">
      <c r="A2899" s="102">
        <v>830000</v>
      </c>
      <c r="B2899" s="102">
        <v>2400000</v>
      </c>
      <c r="C2899" s="102">
        <v>2400000</v>
      </c>
      <c r="D2899" s="90" t="s">
        <v>374</v>
      </c>
      <c r="E2899" s="90" t="s">
        <v>68</v>
      </c>
      <c r="F2899" s="90" t="s">
        <v>375</v>
      </c>
      <c r="G2899" s="90" t="s">
        <v>376</v>
      </c>
      <c r="H2899" s="90">
        <v>0.59</v>
      </c>
      <c r="I2899" s="90">
        <v>0.64</v>
      </c>
      <c r="J2899" s="90" t="s">
        <v>244</v>
      </c>
      <c r="K2899" s="90">
        <v>0.43743122916686</v>
      </c>
      <c r="L2899" s="90">
        <v>3705.5460158799001</v>
      </c>
      <c r="M2899" s="90">
        <v>10.531581358038499</v>
      </c>
      <c r="N2899" s="90">
        <v>2.0146657860314199</v>
      </c>
      <c r="O2899" s="90">
        <v>4.6068425785176004</v>
      </c>
      <c r="P2899" s="90">
        <v>0.88127773114413999</v>
      </c>
      <c r="Q2899" s="90">
        <v>1620.92154846071</v>
      </c>
      <c r="R2899" s="90">
        <v>1300</v>
      </c>
      <c r="S2899" s="90" t="s">
        <v>387</v>
      </c>
      <c r="T2899" s="90">
        <v>1300</v>
      </c>
      <c r="U2899" s="90" t="s">
        <v>378</v>
      </c>
      <c r="V2899" s="90" t="s">
        <v>244</v>
      </c>
      <c r="Z2899" s="90">
        <v>0</v>
      </c>
      <c r="AA2899" s="90">
        <v>1</v>
      </c>
      <c r="AB2899" s="90">
        <v>4.6068425785176004</v>
      </c>
      <c r="AC2899" s="90">
        <v>0.88127773114413999</v>
      </c>
      <c r="AD2899" s="90">
        <v>2199.4189488441698</v>
      </c>
      <c r="AF2899" s="90">
        <v>-1</v>
      </c>
      <c r="AG2899" s="90">
        <v>-1</v>
      </c>
      <c r="AH2899" s="90">
        <v>-1</v>
      </c>
      <c r="AI2899" s="90">
        <v>-1</v>
      </c>
      <c r="AJ2899" s="90">
        <v>0</v>
      </c>
      <c r="AM2899" s="90" t="s">
        <v>379</v>
      </c>
      <c r="AN2899" s="90">
        <v>-1</v>
      </c>
      <c r="AQ2899" s="90">
        <v>385</v>
      </c>
      <c r="AR2899" s="90" t="s">
        <v>301</v>
      </c>
      <c r="AS2899" s="90" t="s">
        <v>300</v>
      </c>
      <c r="AT2899" s="90" t="s">
        <v>244</v>
      </c>
      <c r="AU2899" s="90">
        <v>4.5650820000000003</v>
      </c>
      <c r="AV2899" s="90">
        <v>189.18019350698799</v>
      </c>
      <c r="AW2899" s="90">
        <v>1770.2213791122299</v>
      </c>
      <c r="AX2899" s="90">
        <v>1.7837947678999999</v>
      </c>
    </row>
    <row r="2900" spans="1:50" x14ac:dyDescent="0.25">
      <c r="A2900" s="102">
        <v>830000</v>
      </c>
      <c r="B2900" s="102">
        <v>2400000</v>
      </c>
      <c r="C2900" s="102">
        <v>2400000</v>
      </c>
      <c r="D2900" s="90" t="s">
        <v>374</v>
      </c>
      <c r="E2900" s="90" t="s">
        <v>68</v>
      </c>
      <c r="F2900" s="90" t="s">
        <v>375</v>
      </c>
      <c r="G2900" s="90" t="s">
        <v>376</v>
      </c>
      <c r="H2900" s="90">
        <v>0.59</v>
      </c>
      <c r="I2900" s="90">
        <v>0.64</v>
      </c>
      <c r="J2900" s="90" t="s">
        <v>381</v>
      </c>
      <c r="K2900" s="90">
        <v>4.1401861659099998E-3</v>
      </c>
      <c r="L2900" s="90">
        <v>3638.1839443929698</v>
      </c>
      <c r="M2900" s="90">
        <v>7.1108989332351502</v>
      </c>
      <c r="N2900" s="90">
        <v>0.96275120530325997</v>
      </c>
      <c r="O2900" s="90">
        <v>2.9440445390609998E-2</v>
      </c>
      <c r="P2900" s="90">
        <v>3.9859692214100004E-3</v>
      </c>
      <c r="Q2900" s="90">
        <v>15.0627588356371</v>
      </c>
      <c r="R2900" s="90">
        <v>8140</v>
      </c>
      <c r="S2900" s="90" t="s">
        <v>386</v>
      </c>
      <c r="T2900" s="90">
        <v>8140</v>
      </c>
      <c r="U2900" s="90" t="s">
        <v>382</v>
      </c>
      <c r="V2900" s="90" t="s">
        <v>381</v>
      </c>
      <c r="Z2900" s="90">
        <v>0</v>
      </c>
      <c r="AA2900" s="90">
        <v>1</v>
      </c>
      <c r="AB2900" s="90">
        <v>2.9440445390609998E-2</v>
      </c>
      <c r="AC2900" s="90">
        <v>3.9859692214100004E-3</v>
      </c>
      <c r="AD2900" s="90">
        <v>15.062758835636901</v>
      </c>
      <c r="AF2900" s="90">
        <v>-1</v>
      </c>
      <c r="AG2900" s="90">
        <v>-1</v>
      </c>
      <c r="AH2900" s="90">
        <v>-1</v>
      </c>
      <c r="AI2900" s="90">
        <v>-1</v>
      </c>
      <c r="AJ2900" s="90">
        <v>0</v>
      </c>
      <c r="AM2900" s="90" t="s">
        <v>379</v>
      </c>
      <c r="AN2900" s="90">
        <v>-1</v>
      </c>
      <c r="AQ2900" s="90">
        <v>385</v>
      </c>
      <c r="AR2900" s="90" t="s">
        <v>301</v>
      </c>
      <c r="AS2900" s="90" t="s">
        <v>300</v>
      </c>
      <c r="AT2900" s="90" t="s">
        <v>244</v>
      </c>
      <c r="AU2900" s="90">
        <v>4.5650820000000003</v>
      </c>
      <c r="AV2900" s="90">
        <v>21.495295257293598</v>
      </c>
      <c r="AW2900" s="90">
        <v>16.754738975472598</v>
      </c>
      <c r="AX2900" s="90">
        <v>1.22163494E-2</v>
      </c>
    </row>
    <row r="2901" spans="1:50" x14ac:dyDescent="0.25">
      <c r="A2901" s="102">
        <v>830000</v>
      </c>
      <c r="B2901" s="102">
        <v>2400000</v>
      </c>
      <c r="C2901" s="102">
        <v>2400000</v>
      </c>
      <c r="D2901" s="90" t="s">
        <v>374</v>
      </c>
      <c r="E2901" s="90" t="s">
        <v>68</v>
      </c>
      <c r="F2901" s="90" t="s">
        <v>375</v>
      </c>
      <c r="G2901" s="90" t="s">
        <v>376</v>
      </c>
      <c r="H2901" s="90">
        <v>0.59</v>
      </c>
      <c r="I2901" s="90">
        <v>0.64</v>
      </c>
      <c r="J2901" s="90" t="s">
        <v>244</v>
      </c>
      <c r="K2901" s="90">
        <v>3.5556209742510003E-2</v>
      </c>
      <c r="L2901" s="90">
        <v>3739.7483514464102</v>
      </c>
      <c r="M2901" s="90">
        <v>10.933043748172899</v>
      </c>
      <c r="N2901" s="90">
        <v>1.5148136045526499</v>
      </c>
      <c r="O2901" s="90">
        <v>0.38873759663416002</v>
      </c>
      <c r="P2901" s="90">
        <v>5.3861030244290002E-2</v>
      </c>
      <c r="Q2901" s="90">
        <v>132.971276768264</v>
      </c>
      <c r="R2901" s="90">
        <v>1400</v>
      </c>
      <c r="S2901" s="90" t="s">
        <v>324</v>
      </c>
      <c r="T2901" s="90">
        <v>1400</v>
      </c>
      <c r="U2901" s="90" t="s">
        <v>378</v>
      </c>
      <c r="V2901" s="90" t="s">
        <v>244</v>
      </c>
      <c r="Z2901" s="90">
        <v>0</v>
      </c>
      <c r="AA2901" s="90">
        <v>1</v>
      </c>
      <c r="AB2901" s="90">
        <v>0.38873759663416002</v>
      </c>
      <c r="AC2901" s="90">
        <v>5.3861030244290002E-2</v>
      </c>
      <c r="AD2901" s="90">
        <v>916.92185895520095</v>
      </c>
      <c r="AF2901" s="90">
        <v>-1</v>
      </c>
      <c r="AG2901" s="90">
        <v>-1</v>
      </c>
      <c r="AH2901" s="90">
        <v>-1</v>
      </c>
      <c r="AI2901" s="90">
        <v>-1</v>
      </c>
      <c r="AJ2901" s="90">
        <v>0</v>
      </c>
      <c r="AM2901" s="90" t="s">
        <v>379</v>
      </c>
      <c r="AN2901" s="90">
        <v>-1</v>
      </c>
      <c r="AQ2901" s="90">
        <v>385</v>
      </c>
      <c r="AR2901" s="90" t="s">
        <v>301</v>
      </c>
      <c r="AS2901" s="90" t="s">
        <v>300</v>
      </c>
      <c r="AT2901" s="90" t="s">
        <v>244</v>
      </c>
      <c r="AU2901" s="90">
        <v>4.5650820000000003</v>
      </c>
      <c r="AV2901" s="90">
        <v>90.692520765621893</v>
      </c>
      <c r="AW2901" s="90">
        <v>143.89087575271</v>
      </c>
      <c r="AX2901" s="90">
        <v>0.74365114269999999</v>
      </c>
    </row>
    <row r="2902" spans="1:50" x14ac:dyDescent="0.25">
      <c r="A2902" s="102">
        <v>830000</v>
      </c>
      <c r="B2902" s="102">
        <v>2400000</v>
      </c>
      <c r="C2902" s="102">
        <v>2400000</v>
      </c>
      <c r="D2902" s="90" t="s">
        <v>374</v>
      </c>
      <c r="E2902" s="90" t="s">
        <v>68</v>
      </c>
      <c r="F2902" s="90" t="s">
        <v>375</v>
      </c>
      <c r="G2902" s="90" t="s">
        <v>376</v>
      </c>
      <c r="H2902" s="90">
        <v>0.59</v>
      </c>
      <c r="I2902" s="90">
        <v>0.64</v>
      </c>
      <c r="J2902" s="90" t="s">
        <v>381</v>
      </c>
      <c r="K2902" s="90">
        <v>8.4980099964900007E-3</v>
      </c>
      <c r="L2902" s="90">
        <v>3739.7483514464102</v>
      </c>
      <c r="M2902" s="90">
        <v>10.933043748172899</v>
      </c>
      <c r="N2902" s="90">
        <v>1.5148136045526499</v>
      </c>
      <c r="O2902" s="90">
        <v>9.2909115064109996E-2</v>
      </c>
      <c r="P2902" s="90">
        <v>1.287290115431E-2</v>
      </c>
      <c r="Q2902" s="90">
        <v>31.780418874974799</v>
      </c>
      <c r="R2902" s="90">
        <v>1400</v>
      </c>
      <c r="S2902" s="90" t="s">
        <v>324</v>
      </c>
      <c r="T2902" s="90">
        <v>1400</v>
      </c>
      <c r="U2902" s="90" t="s">
        <v>382</v>
      </c>
      <c r="V2902" s="90" t="s">
        <v>381</v>
      </c>
      <c r="Z2902" s="90">
        <v>0</v>
      </c>
      <c r="AA2902" s="90">
        <v>1</v>
      </c>
      <c r="AB2902" s="90">
        <v>9.2909115064109996E-2</v>
      </c>
      <c r="AC2902" s="90">
        <v>1.287290115431E-2</v>
      </c>
      <c r="AD2902" s="90">
        <v>31.7804188749746</v>
      </c>
      <c r="AF2902" s="90">
        <v>-1</v>
      </c>
      <c r="AG2902" s="90">
        <v>-1</v>
      </c>
      <c r="AH2902" s="90">
        <v>-1</v>
      </c>
      <c r="AI2902" s="90">
        <v>-1</v>
      </c>
      <c r="AJ2902" s="90">
        <v>0</v>
      </c>
      <c r="AM2902" s="90" t="s">
        <v>379</v>
      </c>
      <c r="AN2902" s="90">
        <v>-1</v>
      </c>
      <c r="AQ2902" s="90">
        <v>385</v>
      </c>
      <c r="AR2902" s="90" t="s">
        <v>301</v>
      </c>
      <c r="AS2902" s="90" t="s">
        <v>300</v>
      </c>
      <c r="AT2902" s="90" t="s">
        <v>244</v>
      </c>
      <c r="AU2902" s="90">
        <v>4.5650820000000003</v>
      </c>
      <c r="AV2902" s="90">
        <v>78.724157087144505</v>
      </c>
      <c r="AW2902" s="90">
        <v>34.390226331943097</v>
      </c>
      <c r="AX2902" s="90">
        <v>2.5774873399999999E-2</v>
      </c>
    </row>
    <row r="2903" spans="1:50" x14ac:dyDescent="0.25">
      <c r="A2903" s="102">
        <v>830000</v>
      </c>
      <c r="B2903" s="102">
        <v>2400000</v>
      </c>
      <c r="C2903" s="102">
        <v>2400000</v>
      </c>
      <c r="D2903" s="90" t="s">
        <v>374</v>
      </c>
      <c r="E2903" s="90" t="s">
        <v>68</v>
      </c>
      <c r="F2903" s="90" t="s">
        <v>375</v>
      </c>
      <c r="G2903" s="90" t="s">
        <v>376</v>
      </c>
      <c r="H2903" s="90">
        <v>0.59</v>
      </c>
      <c r="I2903" s="90">
        <v>0.64</v>
      </c>
      <c r="J2903" s="90" t="s">
        <v>381</v>
      </c>
      <c r="K2903" s="90">
        <v>6.119634311206E-2</v>
      </c>
      <c r="L2903" s="90">
        <v>3739.7483514464102</v>
      </c>
      <c r="M2903" s="90">
        <v>10.933043748172899</v>
      </c>
      <c r="N2903" s="90">
        <v>1.5148136045526499</v>
      </c>
      <c r="O2903" s="90">
        <v>0.66906229647240001</v>
      </c>
      <c r="P2903" s="90">
        <v>9.2701053095019997E-2</v>
      </c>
      <c r="Q2903" s="90">
        <v>228.858923267894</v>
      </c>
      <c r="R2903" s="90">
        <v>8140</v>
      </c>
      <c r="S2903" s="90" t="s">
        <v>386</v>
      </c>
      <c r="T2903" s="90">
        <v>8140</v>
      </c>
      <c r="U2903" s="90" t="s">
        <v>382</v>
      </c>
      <c r="V2903" s="90" t="s">
        <v>381</v>
      </c>
      <c r="Z2903" s="90">
        <v>0</v>
      </c>
      <c r="AA2903" s="90">
        <v>1</v>
      </c>
      <c r="AB2903" s="90">
        <v>0.66906229647240001</v>
      </c>
      <c r="AC2903" s="90">
        <v>9.2701053095019997E-2</v>
      </c>
      <c r="AD2903" s="90">
        <v>228.85892326789201</v>
      </c>
      <c r="AF2903" s="90">
        <v>-1</v>
      </c>
      <c r="AG2903" s="90">
        <v>-1</v>
      </c>
      <c r="AH2903" s="90">
        <v>-1</v>
      </c>
      <c r="AI2903" s="90">
        <v>-1</v>
      </c>
      <c r="AJ2903" s="90">
        <v>0</v>
      </c>
      <c r="AM2903" s="90" t="s">
        <v>379</v>
      </c>
      <c r="AN2903" s="90">
        <v>-1</v>
      </c>
      <c r="AQ2903" s="90">
        <v>385</v>
      </c>
      <c r="AR2903" s="90" t="s">
        <v>301</v>
      </c>
      <c r="AS2903" s="90" t="s">
        <v>300</v>
      </c>
      <c r="AT2903" s="90" t="s">
        <v>244</v>
      </c>
      <c r="AU2903" s="90">
        <v>4.5650820000000003</v>
      </c>
      <c r="AV2903" s="90">
        <v>78.841207260053807</v>
      </c>
      <c r="AW2903" s="90">
        <v>247.652814150452</v>
      </c>
      <c r="AX2903" s="90">
        <v>0.18561145439999999</v>
      </c>
    </row>
    <row r="2904" spans="1:50" x14ac:dyDescent="0.25">
      <c r="A2904" s="102">
        <v>830000</v>
      </c>
      <c r="B2904" s="102">
        <v>2400000</v>
      </c>
      <c r="C2904" s="102">
        <v>2400000</v>
      </c>
      <c r="D2904" s="90" t="s">
        <v>374</v>
      </c>
      <c r="E2904" s="90" t="s">
        <v>68</v>
      </c>
      <c r="F2904" s="90" t="s">
        <v>375</v>
      </c>
      <c r="G2904" s="90" t="s">
        <v>376</v>
      </c>
      <c r="H2904" s="90">
        <v>0.59</v>
      </c>
      <c r="I2904" s="90">
        <v>0.64</v>
      </c>
      <c r="J2904" s="90" t="s">
        <v>244</v>
      </c>
      <c r="K2904" s="90">
        <v>1.6666404308080002E-2</v>
      </c>
      <c r="L2904" s="90">
        <v>3767.4897911189</v>
      </c>
      <c r="M2904" s="90">
        <v>9.5491253366914606</v>
      </c>
      <c r="N2904" s="90">
        <v>1.2666141720820401</v>
      </c>
      <c r="O2904" s="90">
        <v>0.15914958364986001</v>
      </c>
      <c r="P2904" s="90">
        <v>2.1109903894259999E-2</v>
      </c>
      <c r="Q2904" s="90">
        <v>62.790508085366596</v>
      </c>
      <c r="R2904" s="90">
        <v>1400</v>
      </c>
      <c r="S2904" s="90" t="s">
        <v>324</v>
      </c>
      <c r="T2904" s="90">
        <v>1400</v>
      </c>
      <c r="U2904" s="90" t="s">
        <v>378</v>
      </c>
      <c r="V2904" s="90" t="s">
        <v>244</v>
      </c>
      <c r="Z2904" s="90">
        <v>0</v>
      </c>
      <c r="AA2904" s="90">
        <v>1</v>
      </c>
      <c r="AB2904" s="90">
        <v>0.15914958364986001</v>
      </c>
      <c r="AC2904" s="90">
        <v>2.1109903894259999E-2</v>
      </c>
      <c r="AD2904" s="90">
        <v>353.09275336745901</v>
      </c>
      <c r="AF2904" s="90">
        <v>-1</v>
      </c>
      <c r="AG2904" s="90">
        <v>-1</v>
      </c>
      <c r="AH2904" s="90">
        <v>-1</v>
      </c>
      <c r="AI2904" s="90">
        <v>-1</v>
      </c>
      <c r="AJ2904" s="90">
        <v>0</v>
      </c>
      <c r="AM2904" s="90" t="s">
        <v>379</v>
      </c>
      <c r="AN2904" s="90">
        <v>-1</v>
      </c>
      <c r="AQ2904" s="90">
        <v>385</v>
      </c>
      <c r="AR2904" s="90" t="s">
        <v>301</v>
      </c>
      <c r="AS2904" s="90" t="s">
        <v>300</v>
      </c>
      <c r="AT2904" s="90" t="s">
        <v>244</v>
      </c>
      <c r="AU2904" s="90">
        <v>4.5650820000000003</v>
      </c>
      <c r="AV2904" s="90">
        <v>102.24452788020101</v>
      </c>
      <c r="AW2904" s="90">
        <v>67.446545312485497</v>
      </c>
      <c r="AX2904" s="90">
        <v>0.28636881860000002</v>
      </c>
    </row>
    <row r="2905" spans="1:50" x14ac:dyDescent="0.25">
      <c r="A2905" s="102">
        <v>830000</v>
      </c>
      <c r="B2905" s="102">
        <v>2400000</v>
      </c>
      <c r="C2905" s="102">
        <v>2400000</v>
      </c>
      <c r="D2905" s="90" t="s">
        <v>374</v>
      </c>
      <c r="E2905" s="90" t="s">
        <v>68</v>
      </c>
      <c r="F2905" s="90" t="s">
        <v>375</v>
      </c>
      <c r="G2905" s="90" t="s">
        <v>376</v>
      </c>
      <c r="H2905" s="90">
        <v>0.59</v>
      </c>
      <c r="I2905" s="90">
        <v>0.64</v>
      </c>
      <c r="J2905" s="90" t="s">
        <v>381</v>
      </c>
      <c r="K2905" s="90">
        <v>1.4774948724899999E-3</v>
      </c>
      <c r="L2905" s="90">
        <v>3767.4897911189</v>
      </c>
      <c r="M2905" s="90">
        <v>9.5491253366914606</v>
      </c>
      <c r="N2905" s="90">
        <v>1.2666141720820401</v>
      </c>
      <c r="O2905" s="90">
        <v>1.4108783721769999E-2</v>
      </c>
      <c r="P2905" s="90">
        <v>1.87141594468E-3</v>
      </c>
      <c r="Q2905" s="90">
        <v>5.5664468485554401</v>
      </c>
      <c r="R2905" s="90">
        <v>1400</v>
      </c>
      <c r="S2905" s="90" t="s">
        <v>324</v>
      </c>
      <c r="T2905" s="90">
        <v>1400</v>
      </c>
      <c r="U2905" s="90" t="s">
        <v>382</v>
      </c>
      <c r="V2905" s="90" t="s">
        <v>381</v>
      </c>
      <c r="Z2905" s="90">
        <v>0</v>
      </c>
      <c r="AA2905" s="90">
        <v>1</v>
      </c>
      <c r="AB2905" s="90">
        <v>1.4108783721769999E-2</v>
      </c>
      <c r="AC2905" s="90">
        <v>1.87141594468E-3</v>
      </c>
      <c r="AD2905" s="90">
        <v>5.5664468485541603</v>
      </c>
      <c r="AF2905" s="90">
        <v>-1</v>
      </c>
      <c r="AG2905" s="90">
        <v>-1</v>
      </c>
      <c r="AH2905" s="90">
        <v>-1</v>
      </c>
      <c r="AI2905" s="90">
        <v>-1</v>
      </c>
      <c r="AJ2905" s="90">
        <v>0</v>
      </c>
      <c r="AM2905" s="90" t="s">
        <v>379</v>
      </c>
      <c r="AN2905" s="90">
        <v>-1</v>
      </c>
      <c r="AQ2905" s="90">
        <v>385</v>
      </c>
      <c r="AR2905" s="90" t="s">
        <v>301</v>
      </c>
      <c r="AS2905" s="90" t="s">
        <v>300</v>
      </c>
      <c r="AT2905" s="90" t="s">
        <v>244</v>
      </c>
      <c r="AU2905" s="90">
        <v>4.5650820000000003</v>
      </c>
      <c r="AV2905" s="90">
        <v>100.322522814566</v>
      </c>
      <c r="AW2905" s="90">
        <v>5.9792096138181003</v>
      </c>
      <c r="AX2905" s="90">
        <v>4.5145554000000001E-3</v>
      </c>
    </row>
    <row r="2906" spans="1:50" x14ac:dyDescent="0.25">
      <c r="A2906" s="102">
        <v>830000</v>
      </c>
      <c r="B2906" s="102">
        <v>2400000</v>
      </c>
      <c r="C2906" s="102">
        <v>2400000</v>
      </c>
      <c r="D2906" s="90" t="s">
        <v>374</v>
      </c>
      <c r="E2906" s="90" t="s">
        <v>68</v>
      </c>
      <c r="F2906" s="90" t="s">
        <v>375</v>
      </c>
      <c r="G2906" s="90" t="s">
        <v>376</v>
      </c>
      <c r="H2906" s="90">
        <v>0.59</v>
      </c>
      <c r="I2906" s="90">
        <v>0.64</v>
      </c>
      <c r="J2906" s="90" t="s">
        <v>381</v>
      </c>
      <c r="K2906" s="90">
        <v>0.20932077244047001</v>
      </c>
      <c r="L2906" s="90">
        <v>3767.4897911189</v>
      </c>
      <c r="M2906" s="90">
        <v>9.5491253366914606</v>
      </c>
      <c r="N2906" s="90">
        <v>1.2666141720820401</v>
      </c>
      <c r="O2906" s="90">
        <v>1.9988302916071601</v>
      </c>
      <c r="P2906" s="90">
        <v>0.26512865688426002</v>
      </c>
      <c r="Q2906" s="90">
        <v>788.613873238613</v>
      </c>
      <c r="R2906" s="90">
        <v>8140</v>
      </c>
      <c r="S2906" s="90" t="s">
        <v>386</v>
      </c>
      <c r="T2906" s="90">
        <v>8140</v>
      </c>
      <c r="U2906" s="90" t="s">
        <v>382</v>
      </c>
      <c r="V2906" s="90" t="s">
        <v>381</v>
      </c>
      <c r="Z2906" s="90">
        <v>0</v>
      </c>
      <c r="AA2906" s="90">
        <v>1</v>
      </c>
      <c r="AB2906" s="90">
        <v>1.9988302916071601</v>
      </c>
      <c r="AC2906" s="90">
        <v>0.26512865688426002</v>
      </c>
      <c r="AD2906" s="90">
        <v>819.19767568468603</v>
      </c>
      <c r="AF2906" s="90">
        <v>-1</v>
      </c>
      <c r="AG2906" s="90">
        <v>-1</v>
      </c>
      <c r="AH2906" s="90">
        <v>-1</v>
      </c>
      <c r="AI2906" s="90">
        <v>-1</v>
      </c>
      <c r="AJ2906" s="90">
        <v>0</v>
      </c>
      <c r="AM2906" s="90" t="s">
        <v>379</v>
      </c>
      <c r="AN2906" s="90">
        <v>-1</v>
      </c>
      <c r="AQ2906" s="90">
        <v>385</v>
      </c>
      <c r="AR2906" s="90" t="s">
        <v>301</v>
      </c>
      <c r="AS2906" s="90" t="s">
        <v>300</v>
      </c>
      <c r="AT2906" s="90" t="s">
        <v>244</v>
      </c>
      <c r="AU2906" s="90">
        <v>4.5650820000000003</v>
      </c>
      <c r="AV2906" s="90">
        <v>134.27765311024399</v>
      </c>
      <c r="AW2906" s="90">
        <v>847.09111229246298</v>
      </c>
      <c r="AX2906" s="90">
        <v>0.66439389760000001</v>
      </c>
    </row>
    <row r="2907" spans="1:50" x14ac:dyDescent="0.25">
      <c r="A2907" s="102">
        <v>830000</v>
      </c>
      <c r="B2907" s="102">
        <v>2400000</v>
      </c>
      <c r="C2907" s="102">
        <v>2400000</v>
      </c>
      <c r="D2907" s="90" t="s">
        <v>374</v>
      </c>
      <c r="E2907" s="90" t="s">
        <v>68</v>
      </c>
      <c r="F2907" s="90" t="s">
        <v>375</v>
      </c>
      <c r="G2907" s="90" t="s">
        <v>376</v>
      </c>
      <c r="H2907" s="90">
        <v>0.59</v>
      </c>
      <c r="I2907" s="90">
        <v>0.64</v>
      </c>
      <c r="J2907" s="90" t="s">
        <v>244</v>
      </c>
      <c r="K2907" s="90">
        <v>0.18436470354413001</v>
      </c>
      <c r="L2907" s="90">
        <v>3772.6922084645898</v>
      </c>
      <c r="M2907" s="90">
        <v>10.778642701514199</v>
      </c>
      <c r="N2907" s="90">
        <v>1.44193701871698</v>
      </c>
      <c r="O2907" s="90">
        <v>1.98720126627285</v>
      </c>
      <c r="P2907" s="90">
        <v>0.26584229098507001</v>
      </c>
      <c r="Q2907" s="90">
        <v>695.55128057685397</v>
      </c>
      <c r="R2907" s="90">
        <v>1400</v>
      </c>
      <c r="S2907" s="90" t="s">
        <v>324</v>
      </c>
      <c r="T2907" s="90">
        <v>1400</v>
      </c>
      <c r="U2907" s="90" t="s">
        <v>378</v>
      </c>
      <c r="V2907" s="90" t="s">
        <v>244</v>
      </c>
      <c r="Z2907" s="90">
        <v>0</v>
      </c>
      <c r="AA2907" s="90">
        <v>1</v>
      </c>
      <c r="AB2907" s="90">
        <v>1.98720126627285</v>
      </c>
      <c r="AC2907" s="90">
        <v>0.26584229098507001</v>
      </c>
      <c r="AD2907" s="90">
        <v>695.55128057685397</v>
      </c>
      <c r="AF2907" s="90">
        <v>-1</v>
      </c>
      <c r="AG2907" s="90">
        <v>-1</v>
      </c>
      <c r="AH2907" s="90">
        <v>-1</v>
      </c>
      <c r="AI2907" s="90">
        <v>-1</v>
      </c>
      <c r="AJ2907" s="90">
        <v>0</v>
      </c>
      <c r="AM2907" s="90" t="s">
        <v>379</v>
      </c>
      <c r="AN2907" s="90">
        <v>-1</v>
      </c>
      <c r="AQ2907" s="90">
        <v>385</v>
      </c>
      <c r="AR2907" s="90" t="s">
        <v>301</v>
      </c>
      <c r="AS2907" s="90" t="s">
        <v>300</v>
      </c>
      <c r="AT2907" s="90" t="s">
        <v>244</v>
      </c>
      <c r="AU2907" s="90">
        <v>4.5650820000000003</v>
      </c>
      <c r="AV2907" s="90">
        <v>129.87691512975101</v>
      </c>
      <c r="AW2907" s="90">
        <v>746.09748460146795</v>
      </c>
      <c r="AX2907" s="90">
        <v>0.56411296070000005</v>
      </c>
    </row>
    <row r="2908" spans="1:50" x14ac:dyDescent="0.25">
      <c r="A2908" s="102">
        <v>830000</v>
      </c>
      <c r="B2908" s="102">
        <v>2400000</v>
      </c>
      <c r="C2908" s="102">
        <v>2400000</v>
      </c>
      <c r="D2908" s="90" t="s">
        <v>374</v>
      </c>
      <c r="E2908" s="90" t="s">
        <v>68</v>
      </c>
      <c r="F2908" s="90" t="s">
        <v>375</v>
      </c>
      <c r="G2908" s="90" t="s">
        <v>376</v>
      </c>
      <c r="H2908" s="90">
        <v>0.59</v>
      </c>
      <c r="I2908" s="90">
        <v>0.64</v>
      </c>
      <c r="J2908" s="90" t="s">
        <v>244</v>
      </c>
      <c r="K2908" s="90">
        <v>1.0431025071200001E-2</v>
      </c>
      <c r="L2908" s="90">
        <v>3772.6922084645898</v>
      </c>
      <c r="M2908" s="90">
        <v>10.778642701514199</v>
      </c>
      <c r="N2908" s="90">
        <v>1.44193701871698</v>
      </c>
      <c r="O2908" s="90">
        <v>0.11243229225302</v>
      </c>
      <c r="P2908" s="90">
        <v>1.504088119333E-2</v>
      </c>
      <c r="Q2908" s="90">
        <v>39.3530470124226</v>
      </c>
      <c r="R2908" s="90">
        <v>1300</v>
      </c>
      <c r="S2908" s="90" t="s">
        <v>387</v>
      </c>
      <c r="T2908" s="90">
        <v>1300</v>
      </c>
      <c r="U2908" s="90" t="s">
        <v>378</v>
      </c>
      <c r="V2908" s="90" t="s">
        <v>244</v>
      </c>
      <c r="Z2908" s="90">
        <v>0</v>
      </c>
      <c r="AA2908" s="90">
        <v>1</v>
      </c>
      <c r="AB2908" s="90">
        <v>0.11243229225302</v>
      </c>
      <c r="AC2908" s="90">
        <v>1.504088119333E-2</v>
      </c>
      <c r="AD2908" s="90">
        <v>39.353047012421797</v>
      </c>
      <c r="AF2908" s="90">
        <v>-1</v>
      </c>
      <c r="AG2908" s="90">
        <v>-1</v>
      </c>
      <c r="AH2908" s="90">
        <v>-1</v>
      </c>
      <c r="AI2908" s="90">
        <v>-1</v>
      </c>
      <c r="AJ2908" s="90">
        <v>0</v>
      </c>
      <c r="AM2908" s="90" t="s">
        <v>379</v>
      </c>
      <c r="AN2908" s="90">
        <v>-1</v>
      </c>
      <c r="AQ2908" s="90">
        <v>385</v>
      </c>
      <c r="AR2908" s="90" t="s">
        <v>301</v>
      </c>
      <c r="AS2908" s="90" t="s">
        <v>300</v>
      </c>
      <c r="AT2908" s="90" t="s">
        <v>244</v>
      </c>
      <c r="AU2908" s="90">
        <v>4.5650820000000003</v>
      </c>
      <c r="AV2908" s="90">
        <v>101.70612730881599</v>
      </c>
      <c r="AW2908" s="90">
        <v>42.212860801608301</v>
      </c>
      <c r="AX2908" s="90">
        <v>3.1916501999999999E-2</v>
      </c>
    </row>
    <row r="2909" spans="1:50" x14ac:dyDescent="0.25">
      <c r="A2909" s="102">
        <v>830000</v>
      </c>
      <c r="B2909" s="102">
        <v>2400000</v>
      </c>
      <c r="C2909" s="102">
        <v>2400000</v>
      </c>
      <c r="D2909" s="90" t="s">
        <v>374</v>
      </c>
      <c r="E2909" s="90" t="s">
        <v>68</v>
      </c>
      <c r="F2909" s="90" t="s">
        <v>375</v>
      </c>
      <c r="G2909" s="90" t="s">
        <v>376</v>
      </c>
      <c r="H2909" s="90">
        <v>0.59</v>
      </c>
      <c r="I2909" s="90">
        <v>0.64</v>
      </c>
      <c r="J2909" s="90" t="s">
        <v>244</v>
      </c>
      <c r="K2909" s="90">
        <v>0.17132237818032001</v>
      </c>
      <c r="L2909" s="90">
        <v>3772.6922084645898</v>
      </c>
      <c r="M2909" s="90">
        <v>10.778642701514199</v>
      </c>
      <c r="N2909" s="90">
        <v>1.44193701871698</v>
      </c>
      <c r="O2909" s="90">
        <v>1.8466227011794001</v>
      </c>
      <c r="P2909" s="90">
        <v>0.24703607923283</v>
      </c>
      <c r="Q2909" s="90">
        <v>646.346601296529</v>
      </c>
      <c r="R2909" s="90">
        <v>1410</v>
      </c>
      <c r="S2909" s="90" t="s">
        <v>325</v>
      </c>
      <c r="T2909" s="90">
        <v>1410</v>
      </c>
      <c r="U2909" s="90" t="s">
        <v>378</v>
      </c>
      <c r="V2909" s="90" t="s">
        <v>244</v>
      </c>
      <c r="Z2909" s="90">
        <v>0</v>
      </c>
      <c r="AA2909" s="90">
        <v>1</v>
      </c>
      <c r="AB2909" s="90">
        <v>1.8466227011794001</v>
      </c>
      <c r="AC2909" s="90">
        <v>0.24703607923283</v>
      </c>
      <c r="AD2909" s="90">
        <v>1026.12318474468</v>
      </c>
      <c r="AF2909" s="90">
        <v>-1</v>
      </c>
      <c r="AG2909" s="90">
        <v>-1</v>
      </c>
      <c r="AH2909" s="90">
        <v>-1</v>
      </c>
      <c r="AI2909" s="90">
        <v>-1</v>
      </c>
      <c r="AJ2909" s="90">
        <v>0</v>
      </c>
      <c r="AM2909" s="90" t="s">
        <v>379</v>
      </c>
      <c r="AN2909" s="90">
        <v>-1</v>
      </c>
      <c r="AQ2909" s="90">
        <v>385</v>
      </c>
      <c r="AR2909" s="90" t="s">
        <v>301</v>
      </c>
      <c r="AS2909" s="90" t="s">
        <v>300</v>
      </c>
      <c r="AT2909" s="90" t="s">
        <v>244</v>
      </c>
      <c r="AU2909" s="90">
        <v>4.5650820000000003</v>
      </c>
      <c r="AV2909" s="90">
        <v>118.768995763771</v>
      </c>
      <c r="AW2909" s="90">
        <v>693.31706643988002</v>
      </c>
      <c r="AX2909" s="90">
        <v>0.83221669480000005</v>
      </c>
    </row>
    <row r="2910" spans="1:50" x14ac:dyDescent="0.25">
      <c r="A2910" s="102">
        <v>830000</v>
      </c>
      <c r="B2910" s="102">
        <v>2400000</v>
      </c>
      <c r="C2910" s="102">
        <v>2400000</v>
      </c>
      <c r="D2910" s="90" t="s">
        <v>374</v>
      </c>
      <c r="E2910" s="90" t="s">
        <v>68</v>
      </c>
      <c r="F2910" s="90" t="s">
        <v>375</v>
      </c>
      <c r="G2910" s="90" t="s">
        <v>376</v>
      </c>
      <c r="H2910" s="90">
        <v>0.59</v>
      </c>
      <c r="I2910" s="90">
        <v>0.64</v>
      </c>
      <c r="J2910" s="90" t="s">
        <v>244</v>
      </c>
      <c r="K2910" s="90">
        <v>6.2477457454249999E-2</v>
      </c>
      <c r="L2910" s="90">
        <v>3772.6922084645898</v>
      </c>
      <c r="M2910" s="90">
        <v>10.778642701514199</v>
      </c>
      <c r="N2910" s="90">
        <v>1.44193701871698</v>
      </c>
      <c r="O2910" s="90">
        <v>0.67342219079842003</v>
      </c>
      <c r="P2910" s="90">
        <v>9.00885587386E-2</v>
      </c>
      <c r="Q2910" s="90">
        <v>235.70821694233101</v>
      </c>
      <c r="R2910" s="90">
        <v>1450</v>
      </c>
      <c r="S2910" s="90" t="s">
        <v>391</v>
      </c>
      <c r="T2910" s="90">
        <v>1450</v>
      </c>
      <c r="U2910" s="90" t="s">
        <v>378</v>
      </c>
      <c r="V2910" s="90" t="s">
        <v>244</v>
      </c>
      <c r="Z2910" s="90">
        <v>0</v>
      </c>
      <c r="AA2910" s="90">
        <v>1</v>
      </c>
      <c r="AB2910" s="90">
        <v>0.67342219079842003</v>
      </c>
      <c r="AC2910" s="90">
        <v>9.00885587386E-2</v>
      </c>
      <c r="AD2910" s="90">
        <v>569.60385642726601</v>
      </c>
      <c r="AF2910" s="90">
        <v>-1</v>
      </c>
      <c r="AG2910" s="90">
        <v>-1</v>
      </c>
      <c r="AH2910" s="90">
        <v>-1</v>
      </c>
      <c r="AI2910" s="90">
        <v>-1</v>
      </c>
      <c r="AJ2910" s="90">
        <v>0</v>
      </c>
      <c r="AM2910" s="90" t="s">
        <v>379</v>
      </c>
      <c r="AN2910" s="90">
        <v>-1</v>
      </c>
      <c r="AQ2910" s="90">
        <v>385</v>
      </c>
      <c r="AR2910" s="90" t="s">
        <v>301</v>
      </c>
      <c r="AS2910" s="90" t="s">
        <v>300</v>
      </c>
      <c r="AT2910" s="90" t="s">
        <v>244</v>
      </c>
      <c r="AU2910" s="90">
        <v>4.5650820000000003</v>
      </c>
      <c r="AV2910" s="90">
        <v>65.244273177633204</v>
      </c>
      <c r="AW2910" s="90">
        <v>252.83729995395899</v>
      </c>
      <c r="AX2910" s="90">
        <v>0.4619658203</v>
      </c>
    </row>
    <row r="2911" spans="1:50" x14ac:dyDescent="0.25">
      <c r="A2911" s="102">
        <v>830000</v>
      </c>
      <c r="B2911" s="102">
        <v>2400000</v>
      </c>
      <c r="C2911" s="102">
        <v>2400000</v>
      </c>
      <c r="D2911" s="90" t="s">
        <v>374</v>
      </c>
      <c r="E2911" s="90" t="s">
        <v>68</v>
      </c>
      <c r="F2911" s="90" t="s">
        <v>375</v>
      </c>
      <c r="G2911" s="90" t="s">
        <v>376</v>
      </c>
      <c r="H2911" s="90">
        <v>0.59</v>
      </c>
      <c r="I2911" s="90">
        <v>0.64</v>
      </c>
      <c r="J2911" s="90" t="s">
        <v>381</v>
      </c>
      <c r="K2911" s="90">
        <v>6.1556989228700003E-3</v>
      </c>
      <c r="L2911" s="90">
        <v>3747.2550809065501</v>
      </c>
      <c r="M2911" s="90">
        <v>9.6337619029891499</v>
      </c>
      <c r="N2911" s="90">
        <v>1.2744579733302099</v>
      </c>
      <c r="O2911" s="90">
        <v>5.9302537769500001E-2</v>
      </c>
      <c r="P2911" s="90">
        <v>7.8451795736800001E-3</v>
      </c>
      <c r="Q2911" s="90">
        <v>23.066974065289301</v>
      </c>
      <c r="R2911" s="90">
        <v>1400</v>
      </c>
      <c r="S2911" s="90" t="s">
        <v>324</v>
      </c>
      <c r="T2911" s="90">
        <v>1400</v>
      </c>
      <c r="U2911" s="90" t="s">
        <v>382</v>
      </c>
      <c r="V2911" s="90" t="s">
        <v>381</v>
      </c>
      <c r="Z2911" s="90">
        <v>0</v>
      </c>
      <c r="AA2911" s="90">
        <v>1</v>
      </c>
      <c r="AB2911" s="90">
        <v>5.9302537769500001E-2</v>
      </c>
      <c r="AC2911" s="90">
        <v>7.8451795736800001E-3</v>
      </c>
      <c r="AD2911" s="90">
        <v>224.120636159708</v>
      </c>
      <c r="AF2911" s="90">
        <v>-1</v>
      </c>
      <c r="AG2911" s="90">
        <v>-1</v>
      </c>
      <c r="AH2911" s="90">
        <v>-1</v>
      </c>
      <c r="AI2911" s="90">
        <v>-1</v>
      </c>
      <c r="AJ2911" s="90">
        <v>0</v>
      </c>
      <c r="AM2911" s="90" t="s">
        <v>379</v>
      </c>
      <c r="AN2911" s="90">
        <v>-1</v>
      </c>
      <c r="AQ2911" s="90">
        <v>385</v>
      </c>
      <c r="AR2911" s="90" t="s">
        <v>301</v>
      </c>
      <c r="AS2911" s="90" t="s">
        <v>300</v>
      </c>
      <c r="AT2911" s="90" t="s">
        <v>244</v>
      </c>
      <c r="AU2911" s="90">
        <v>4.5650820000000003</v>
      </c>
      <c r="AV2911" s="90">
        <v>35.654762184873398</v>
      </c>
      <c r="AW2911" s="90">
        <v>24.9112297204118</v>
      </c>
      <c r="AX2911" s="90">
        <v>0.1817685614</v>
      </c>
    </row>
    <row r="2912" spans="1:50" x14ac:dyDescent="0.25">
      <c r="A2912" s="102">
        <v>830000</v>
      </c>
      <c r="B2912" s="102">
        <v>2400000</v>
      </c>
      <c r="C2912" s="102">
        <v>2400000</v>
      </c>
      <c r="D2912" s="90" t="s">
        <v>374</v>
      </c>
      <c r="E2912" s="90" t="s">
        <v>68</v>
      </c>
      <c r="F2912" s="90" t="s">
        <v>375</v>
      </c>
      <c r="G2912" s="90" t="s">
        <v>376</v>
      </c>
      <c r="H2912" s="90">
        <v>0.59</v>
      </c>
      <c r="I2912" s="90">
        <v>0.64</v>
      </c>
      <c r="J2912" s="90" t="s">
        <v>381</v>
      </c>
      <c r="K2912" s="90">
        <v>0.11384982616556</v>
      </c>
      <c r="L2912" s="90">
        <v>3747.2550809065501</v>
      </c>
      <c r="M2912" s="90">
        <v>9.6337619029891499</v>
      </c>
      <c r="N2912" s="90">
        <v>1.2744579733302099</v>
      </c>
      <c r="O2912" s="90">
        <v>1.0968021179757199</v>
      </c>
      <c r="P2912" s="90">
        <v>0.14509681871895</v>
      </c>
      <c r="Q2912" s="90">
        <v>426.62433955923001</v>
      </c>
      <c r="R2912" s="90">
        <v>8140</v>
      </c>
      <c r="S2912" s="90" t="s">
        <v>386</v>
      </c>
      <c r="T2912" s="90">
        <v>8140</v>
      </c>
      <c r="U2912" s="90" t="s">
        <v>382</v>
      </c>
      <c r="V2912" s="90" t="s">
        <v>381</v>
      </c>
      <c r="Z2912" s="90">
        <v>0</v>
      </c>
      <c r="AA2912" s="90">
        <v>1</v>
      </c>
      <c r="AB2912" s="90">
        <v>1.0968021179757199</v>
      </c>
      <c r="AC2912" s="90">
        <v>0.14509681871895</v>
      </c>
      <c r="AD2912" s="90">
        <v>811.14273506361098</v>
      </c>
      <c r="AF2912" s="90">
        <v>-1</v>
      </c>
      <c r="AG2912" s="90">
        <v>-1</v>
      </c>
      <c r="AH2912" s="90">
        <v>-1</v>
      </c>
      <c r="AI2912" s="90">
        <v>-1</v>
      </c>
      <c r="AJ2912" s="90">
        <v>0</v>
      </c>
      <c r="AM2912" s="90" t="s">
        <v>379</v>
      </c>
      <c r="AN2912" s="90">
        <v>-1</v>
      </c>
      <c r="AQ2912" s="90">
        <v>385</v>
      </c>
      <c r="AR2912" s="90" t="s">
        <v>301</v>
      </c>
      <c r="AS2912" s="90" t="s">
        <v>300</v>
      </c>
      <c r="AT2912" s="90" t="s">
        <v>244</v>
      </c>
      <c r="AU2912" s="90">
        <v>4.5650820000000003</v>
      </c>
      <c r="AV2912" s="90">
        <v>95.301155406546499</v>
      </c>
      <c r="AW2912" s="90">
        <v>460.73390020722599</v>
      </c>
      <c r="AX2912" s="90">
        <v>0.657861099</v>
      </c>
    </row>
    <row r="2913" spans="1:50" x14ac:dyDescent="0.25">
      <c r="A2913" s="102">
        <v>830000</v>
      </c>
      <c r="B2913" s="102">
        <v>2400000</v>
      </c>
      <c r="C2913" s="102">
        <v>2400000</v>
      </c>
      <c r="D2913" s="90" t="s">
        <v>374</v>
      </c>
      <c r="E2913" s="90" t="s">
        <v>68</v>
      </c>
      <c r="F2913" s="90" t="s">
        <v>375</v>
      </c>
      <c r="G2913" s="90" t="s">
        <v>376</v>
      </c>
      <c r="H2913" s="90">
        <v>0.59</v>
      </c>
      <c r="I2913" s="90">
        <v>0.64</v>
      </c>
      <c r="J2913" s="90" t="s">
        <v>244</v>
      </c>
      <c r="K2913" s="90">
        <v>7.7668110882100003E-3</v>
      </c>
      <c r="L2913" s="90">
        <v>3720.1448432840002</v>
      </c>
      <c r="M2913" s="90">
        <v>9.8542963554243705</v>
      </c>
      <c r="N2913" s="90">
        <v>1.3000097112692901</v>
      </c>
      <c r="O2913" s="90">
        <v>7.6536458199889995E-2</v>
      </c>
      <c r="P2913" s="90">
        <v>1.009692984027E-2</v>
      </c>
      <c r="Q2913" s="90">
        <v>28.8936622185952</v>
      </c>
      <c r="R2913" s="90">
        <v>1400</v>
      </c>
      <c r="S2913" s="90" t="s">
        <v>324</v>
      </c>
      <c r="T2913" s="90">
        <v>1400</v>
      </c>
      <c r="U2913" s="90" t="s">
        <v>378</v>
      </c>
      <c r="V2913" s="90" t="s">
        <v>244</v>
      </c>
      <c r="Z2913" s="90">
        <v>0</v>
      </c>
      <c r="AA2913" s="90">
        <v>1</v>
      </c>
      <c r="AB2913" s="90">
        <v>7.6536458199889995E-2</v>
      </c>
      <c r="AC2913" s="90">
        <v>1.009692984027E-2</v>
      </c>
      <c r="AD2913" s="90">
        <v>892.50664443949802</v>
      </c>
      <c r="AF2913" s="90">
        <v>-1</v>
      </c>
      <c r="AG2913" s="90">
        <v>-1</v>
      </c>
      <c r="AH2913" s="90">
        <v>-1</v>
      </c>
      <c r="AI2913" s="90">
        <v>-1</v>
      </c>
      <c r="AJ2913" s="90">
        <v>0</v>
      </c>
      <c r="AM2913" s="90" t="s">
        <v>379</v>
      </c>
      <c r="AN2913" s="90">
        <v>-1</v>
      </c>
      <c r="AQ2913" s="90">
        <v>385</v>
      </c>
      <c r="AR2913" s="90" t="s">
        <v>301</v>
      </c>
      <c r="AS2913" s="90" t="s">
        <v>300</v>
      </c>
      <c r="AT2913" s="90" t="s">
        <v>244</v>
      </c>
      <c r="AU2913" s="90">
        <v>4.5650820000000003</v>
      </c>
      <c r="AV2913" s="90">
        <v>82.207761781242795</v>
      </c>
      <c r="AW2913" s="90">
        <v>31.431169333921101</v>
      </c>
      <c r="AX2913" s="90">
        <v>0.72384967109999998</v>
      </c>
    </row>
    <row r="2914" spans="1:50" x14ac:dyDescent="0.25">
      <c r="A2914" s="102">
        <v>830000</v>
      </c>
      <c r="B2914" s="102">
        <v>2400000</v>
      </c>
      <c r="C2914" s="102">
        <v>2400000</v>
      </c>
      <c r="D2914" s="90" t="s">
        <v>374</v>
      </c>
      <c r="E2914" s="90" t="s">
        <v>68</v>
      </c>
      <c r="F2914" s="90" t="s">
        <v>375</v>
      </c>
      <c r="G2914" s="90" t="s">
        <v>376</v>
      </c>
      <c r="H2914" s="90">
        <v>0.59</v>
      </c>
      <c r="I2914" s="90">
        <v>0.64</v>
      </c>
      <c r="J2914" s="90" t="s">
        <v>381</v>
      </c>
      <c r="K2914" s="90">
        <v>1.1009447020300001E-3</v>
      </c>
      <c r="L2914" s="90">
        <v>3720.1448432840002</v>
      </c>
      <c r="M2914" s="90">
        <v>9.8542963554243705</v>
      </c>
      <c r="N2914" s="90">
        <v>1.3000097112692901</v>
      </c>
      <c r="O2914" s="90">
        <v>1.0849035364770001E-2</v>
      </c>
      <c r="P2914" s="90">
        <v>1.4312388042100001E-3</v>
      </c>
      <c r="Q2914" s="90">
        <v>4.09567375601263</v>
      </c>
      <c r="R2914" s="90">
        <v>1400</v>
      </c>
      <c r="S2914" s="90" t="s">
        <v>324</v>
      </c>
      <c r="T2914" s="90">
        <v>1400</v>
      </c>
      <c r="U2914" s="90" t="s">
        <v>382</v>
      </c>
      <c r="V2914" s="90" t="s">
        <v>381</v>
      </c>
      <c r="Z2914" s="90">
        <v>0</v>
      </c>
      <c r="AA2914" s="90">
        <v>1</v>
      </c>
      <c r="AB2914" s="90">
        <v>1.0849035364770001E-2</v>
      </c>
      <c r="AC2914" s="90">
        <v>1.4312388042100001E-3</v>
      </c>
      <c r="AD2914" s="90">
        <v>5.1614919644187198</v>
      </c>
      <c r="AF2914" s="90">
        <v>-1</v>
      </c>
      <c r="AG2914" s="90">
        <v>-1</v>
      </c>
      <c r="AH2914" s="90">
        <v>-1</v>
      </c>
      <c r="AI2914" s="90">
        <v>-1</v>
      </c>
      <c r="AJ2914" s="90">
        <v>0</v>
      </c>
      <c r="AM2914" s="90" t="s">
        <v>379</v>
      </c>
      <c r="AN2914" s="90">
        <v>-1</v>
      </c>
      <c r="AQ2914" s="90">
        <v>385</v>
      </c>
      <c r="AR2914" s="90" t="s">
        <v>301</v>
      </c>
      <c r="AS2914" s="90" t="s">
        <v>300</v>
      </c>
      <c r="AT2914" s="90" t="s">
        <v>244</v>
      </c>
      <c r="AU2914" s="90">
        <v>4.5650820000000003</v>
      </c>
      <c r="AV2914" s="90">
        <v>86.111962019589896</v>
      </c>
      <c r="AW2914" s="90">
        <v>4.4553651381350399</v>
      </c>
      <c r="AX2914" s="90">
        <v>4.1861249000000001E-3</v>
      </c>
    </row>
    <row r="2915" spans="1:50" x14ac:dyDescent="0.25">
      <c r="A2915" s="102">
        <v>830000</v>
      </c>
      <c r="B2915" s="102">
        <v>2400000</v>
      </c>
      <c r="C2915" s="102">
        <v>2400000</v>
      </c>
      <c r="D2915" s="90" t="s">
        <v>374</v>
      </c>
      <c r="E2915" s="90" t="s">
        <v>68</v>
      </c>
      <c r="F2915" s="90" t="s">
        <v>375</v>
      </c>
      <c r="G2915" s="90" t="s">
        <v>376</v>
      </c>
      <c r="H2915" s="90">
        <v>0.59</v>
      </c>
      <c r="I2915" s="90">
        <v>0.64</v>
      </c>
      <c r="J2915" s="90" t="s">
        <v>244</v>
      </c>
      <c r="K2915" s="90">
        <v>6.7753856730000004E-4</v>
      </c>
      <c r="L2915" s="90">
        <v>3720.1448432840002</v>
      </c>
      <c r="M2915" s="90">
        <v>9.8542963554243705</v>
      </c>
      <c r="N2915" s="90">
        <v>1.3000097112692901</v>
      </c>
      <c r="O2915" s="90">
        <v>6.6766658343999996E-3</v>
      </c>
      <c r="P2915" s="90">
        <v>8.8080671723999996E-4</v>
      </c>
      <c r="Q2915" s="90">
        <v>2.5205416072671301</v>
      </c>
      <c r="R2915" s="90">
        <v>8140</v>
      </c>
      <c r="S2915" s="90" t="s">
        <v>386</v>
      </c>
      <c r="T2915" s="90">
        <v>8140</v>
      </c>
      <c r="U2915" s="90" t="s">
        <v>378</v>
      </c>
      <c r="V2915" s="90" t="s">
        <v>244</v>
      </c>
      <c r="Z2915" s="90">
        <v>0</v>
      </c>
      <c r="AA2915" s="90">
        <v>1</v>
      </c>
      <c r="AB2915" s="90">
        <v>6.6766658343999996E-3</v>
      </c>
      <c r="AC2915" s="90">
        <v>8.8080671723999996E-4</v>
      </c>
      <c r="AD2915" s="90">
        <v>2.5205416072687599</v>
      </c>
      <c r="AF2915" s="90">
        <v>-1</v>
      </c>
      <c r="AG2915" s="90">
        <v>-1</v>
      </c>
      <c r="AH2915" s="90">
        <v>-1</v>
      </c>
      <c r="AI2915" s="90">
        <v>-1</v>
      </c>
      <c r="AJ2915" s="90">
        <v>0</v>
      </c>
      <c r="AM2915" s="90" t="s">
        <v>379</v>
      </c>
      <c r="AN2915" s="90">
        <v>-1</v>
      </c>
      <c r="AQ2915" s="90">
        <v>385</v>
      </c>
      <c r="AR2915" s="90" t="s">
        <v>301</v>
      </c>
      <c r="AS2915" s="90" t="s">
        <v>300</v>
      </c>
      <c r="AT2915" s="90" t="s">
        <v>244</v>
      </c>
      <c r="AU2915" s="90">
        <v>4.5650820000000003</v>
      </c>
      <c r="AV2915" s="90">
        <v>51.486821063752501</v>
      </c>
      <c r="AW2915" s="90">
        <v>2.7419013025034702</v>
      </c>
      <c r="AX2915" s="90">
        <v>2.0442349000000001E-3</v>
      </c>
    </row>
    <row r="2916" spans="1:50" x14ac:dyDescent="0.25">
      <c r="A2916" s="102">
        <v>830000</v>
      </c>
      <c r="B2916" s="102">
        <v>2400000</v>
      </c>
      <c r="C2916" s="102">
        <v>2400000</v>
      </c>
      <c r="D2916" s="90" t="s">
        <v>374</v>
      </c>
      <c r="E2916" s="90" t="s">
        <v>68</v>
      </c>
      <c r="F2916" s="90" t="s">
        <v>375</v>
      </c>
      <c r="G2916" s="90" t="s">
        <v>376</v>
      </c>
      <c r="H2916" s="90">
        <v>0.59</v>
      </c>
      <c r="I2916" s="90">
        <v>0.64</v>
      </c>
      <c r="J2916" s="90" t="s">
        <v>381</v>
      </c>
      <c r="K2916" s="90">
        <v>0.24328125570347001</v>
      </c>
      <c r="L2916" s="90">
        <v>3720.1448432840002</v>
      </c>
      <c r="M2916" s="90">
        <v>9.8542963554243705</v>
      </c>
      <c r="N2916" s="90">
        <v>1.3000097112692901</v>
      </c>
      <c r="O2916" s="90">
        <v>2.3973655914218499</v>
      </c>
      <c r="P2916" s="90">
        <v>0.31626799498431002</v>
      </c>
      <c r="Q2916" s="90">
        <v>905.04150887295498</v>
      </c>
      <c r="R2916" s="90">
        <v>8140</v>
      </c>
      <c r="S2916" s="90" t="s">
        <v>386</v>
      </c>
      <c r="T2916" s="90">
        <v>8140</v>
      </c>
      <c r="U2916" s="90" t="s">
        <v>382</v>
      </c>
      <c r="V2916" s="90" t="s">
        <v>381</v>
      </c>
      <c r="Z2916" s="90">
        <v>0</v>
      </c>
      <c r="AA2916" s="90">
        <v>1</v>
      </c>
      <c r="AB2916" s="90">
        <v>2.3973655914218499</v>
      </c>
      <c r="AC2916" s="90">
        <v>0.31626799498431002</v>
      </c>
      <c r="AD2916" s="90">
        <v>906.79121579280604</v>
      </c>
      <c r="AF2916" s="90">
        <v>-1</v>
      </c>
      <c r="AG2916" s="90">
        <v>-1</v>
      </c>
      <c r="AH2916" s="90">
        <v>-1</v>
      </c>
      <c r="AI2916" s="90">
        <v>-1</v>
      </c>
      <c r="AJ2916" s="90">
        <v>0</v>
      </c>
      <c r="AM2916" s="90" t="s">
        <v>379</v>
      </c>
      <c r="AN2916" s="90">
        <v>-1</v>
      </c>
      <c r="AQ2916" s="90">
        <v>385</v>
      </c>
      <c r="AR2916" s="90" t="s">
        <v>301</v>
      </c>
      <c r="AS2916" s="90" t="s">
        <v>300</v>
      </c>
      <c r="AT2916" s="90" t="s">
        <v>244</v>
      </c>
      <c r="AU2916" s="90">
        <v>4.5650820000000003</v>
      </c>
      <c r="AV2916" s="90">
        <v>141.51168799191001</v>
      </c>
      <c r="AW2916" s="90">
        <v>984.52431209316205</v>
      </c>
      <c r="AX2916" s="90">
        <v>0.73543488710000005</v>
      </c>
    </row>
    <row r="2917" spans="1:50" x14ac:dyDescent="0.25">
      <c r="A2917" s="102">
        <v>830000</v>
      </c>
      <c r="B2917" s="102">
        <v>2400000</v>
      </c>
      <c r="C2917" s="102">
        <v>2400000</v>
      </c>
      <c r="D2917" s="90" t="s">
        <v>374</v>
      </c>
      <c r="E2917" s="90" t="s">
        <v>68</v>
      </c>
      <c r="F2917" s="90" t="s">
        <v>375</v>
      </c>
      <c r="G2917" s="90" t="s">
        <v>376</v>
      </c>
      <c r="H2917" s="90">
        <v>0.59</v>
      </c>
      <c r="I2917" s="90">
        <v>0.64</v>
      </c>
      <c r="J2917" s="90" t="s">
        <v>244</v>
      </c>
      <c r="K2917" s="90">
        <v>0.10316542341069999</v>
      </c>
      <c r="L2917" s="90">
        <v>3676.5149713402202</v>
      </c>
      <c r="M2917" s="90">
        <v>9.1679297974106593</v>
      </c>
      <c r="N2917" s="90">
        <v>1.3484741990996001</v>
      </c>
      <c r="O2917" s="90">
        <v>0.94581335934945998</v>
      </c>
      <c r="P2917" s="90">
        <v>0.13911591170851001</v>
      </c>
      <c r="Q2917" s="90">
        <v>379.28922369409901</v>
      </c>
      <c r="R2917" s="90">
        <v>1200</v>
      </c>
      <c r="S2917" s="90" t="s">
        <v>384</v>
      </c>
      <c r="T2917" s="90">
        <v>1200</v>
      </c>
      <c r="U2917" s="90" t="s">
        <v>378</v>
      </c>
      <c r="V2917" s="90" t="s">
        <v>244</v>
      </c>
      <c r="Z2917" s="90">
        <v>0</v>
      </c>
      <c r="AA2917" s="90">
        <v>1</v>
      </c>
      <c r="AB2917" s="90">
        <v>0.94581335934945998</v>
      </c>
      <c r="AC2917" s="90">
        <v>0.13911591170851001</v>
      </c>
      <c r="AD2917" s="90">
        <v>698.31813779814502</v>
      </c>
      <c r="AF2917" s="90">
        <v>-1</v>
      </c>
      <c r="AG2917" s="90">
        <v>-1</v>
      </c>
      <c r="AH2917" s="90">
        <v>-1</v>
      </c>
      <c r="AI2917" s="90">
        <v>-1</v>
      </c>
      <c r="AJ2917" s="90">
        <v>0</v>
      </c>
      <c r="AM2917" s="90" t="s">
        <v>379</v>
      </c>
      <c r="AN2917" s="90">
        <v>-1</v>
      </c>
      <c r="AQ2917" s="90">
        <v>386</v>
      </c>
      <c r="AR2917" s="90" t="s">
        <v>302</v>
      </c>
      <c r="AS2917" s="90" t="s">
        <v>426</v>
      </c>
      <c r="AT2917" s="90" t="s">
        <v>244</v>
      </c>
      <c r="AU2917" s="90">
        <v>1.956413</v>
      </c>
      <c r="AV2917" s="90">
        <v>117.17824359502799</v>
      </c>
      <c r="AW2917" s="90">
        <v>417.495656299215</v>
      </c>
      <c r="AX2917" s="90">
        <v>0.56635696499999999</v>
      </c>
    </row>
    <row r="2918" spans="1:50" x14ac:dyDescent="0.25">
      <c r="A2918" s="102">
        <v>830000</v>
      </c>
      <c r="B2918" s="102">
        <v>2400000</v>
      </c>
      <c r="C2918" s="102">
        <v>2400000</v>
      </c>
      <c r="D2918" s="90" t="s">
        <v>374</v>
      </c>
      <c r="E2918" s="90" t="s">
        <v>68</v>
      </c>
      <c r="F2918" s="90" t="s">
        <v>375</v>
      </c>
      <c r="G2918" s="90" t="s">
        <v>376</v>
      </c>
      <c r="H2918" s="90">
        <v>0.59</v>
      </c>
      <c r="I2918" s="90">
        <v>0.64</v>
      </c>
      <c r="J2918" s="90" t="s">
        <v>244</v>
      </c>
      <c r="K2918" s="90">
        <v>2.4866731816869998E-2</v>
      </c>
      <c r="L2918" s="90">
        <v>3676.5149713402202</v>
      </c>
      <c r="M2918" s="90">
        <v>9.1679297974106593</v>
      </c>
      <c r="N2918" s="90">
        <v>1.3484741990996001</v>
      </c>
      <c r="O2918" s="90">
        <v>0.22797645158815</v>
      </c>
      <c r="P2918" s="90">
        <v>3.3532146270980001E-2</v>
      </c>
      <c r="Q2918" s="90">
        <v>91.422911813046795</v>
      </c>
      <c r="R2918" s="90">
        <v>1210</v>
      </c>
      <c r="S2918" s="90" t="s">
        <v>385</v>
      </c>
      <c r="T2918" s="90">
        <v>1210</v>
      </c>
      <c r="U2918" s="90" t="s">
        <v>378</v>
      </c>
      <c r="V2918" s="90" t="s">
        <v>244</v>
      </c>
      <c r="Z2918" s="90">
        <v>0</v>
      </c>
      <c r="AA2918" s="90">
        <v>1</v>
      </c>
      <c r="AB2918" s="90">
        <v>0.22797645158815</v>
      </c>
      <c r="AC2918" s="90">
        <v>3.3532146270980001E-2</v>
      </c>
      <c r="AD2918" s="90">
        <v>91.422911813048302</v>
      </c>
      <c r="AF2918" s="90">
        <v>-1</v>
      </c>
      <c r="AG2918" s="90">
        <v>-1</v>
      </c>
      <c r="AH2918" s="90">
        <v>-1</v>
      </c>
      <c r="AI2918" s="90">
        <v>-1</v>
      </c>
      <c r="AJ2918" s="90">
        <v>0</v>
      </c>
      <c r="AM2918" s="90" t="s">
        <v>379</v>
      </c>
      <c r="AN2918" s="90">
        <v>-1</v>
      </c>
      <c r="AQ2918" s="90">
        <v>386</v>
      </c>
      <c r="AR2918" s="90" t="s">
        <v>302</v>
      </c>
      <c r="AS2918" s="90" t="s">
        <v>426</v>
      </c>
      <c r="AT2918" s="90" t="s">
        <v>244</v>
      </c>
      <c r="AU2918" s="90">
        <v>1.956413</v>
      </c>
      <c r="AV2918" s="90">
        <v>54.935935952674399</v>
      </c>
      <c r="AW2918" s="90">
        <v>100.63209335722399</v>
      </c>
      <c r="AX2918" s="90">
        <v>7.4146724900000002E-2</v>
      </c>
    </row>
    <row r="2919" spans="1:50" x14ac:dyDescent="0.25">
      <c r="A2919" s="102">
        <v>830000</v>
      </c>
      <c r="B2919" s="102">
        <v>2400000</v>
      </c>
      <c r="C2919" s="102">
        <v>2400000</v>
      </c>
      <c r="D2919" s="90" t="s">
        <v>374</v>
      </c>
      <c r="E2919" s="90" t="s">
        <v>68</v>
      </c>
      <c r="F2919" s="90" t="s">
        <v>375</v>
      </c>
      <c r="G2919" s="90" t="s">
        <v>376</v>
      </c>
      <c r="H2919" s="90">
        <v>0.59</v>
      </c>
      <c r="I2919" s="90">
        <v>0.64</v>
      </c>
      <c r="J2919" s="90" t="s">
        <v>244</v>
      </c>
      <c r="K2919" s="90">
        <v>9.1366741279500004E-3</v>
      </c>
      <c r="L2919" s="90">
        <v>3676.5149713402202</v>
      </c>
      <c r="M2919" s="90">
        <v>9.1679297974106593</v>
      </c>
      <c r="N2919" s="90">
        <v>1.3484741990996001</v>
      </c>
      <c r="O2919" s="90">
        <v>8.376438698692E-2</v>
      </c>
      <c r="P2919" s="90">
        <v>1.232056932713E-2</v>
      </c>
      <c r="Q2919" s="90">
        <v>33.591119219690697</v>
      </c>
      <c r="R2919" s="90">
        <v>1210</v>
      </c>
      <c r="S2919" s="90" t="s">
        <v>385</v>
      </c>
      <c r="T2919" s="90">
        <v>1210</v>
      </c>
      <c r="U2919" s="90" t="s">
        <v>378</v>
      </c>
      <c r="V2919" s="90" t="s">
        <v>244</v>
      </c>
      <c r="Z2919" s="90">
        <v>0</v>
      </c>
      <c r="AA2919" s="90">
        <v>1</v>
      </c>
      <c r="AB2919" s="90">
        <v>8.376438698692E-2</v>
      </c>
      <c r="AC2919" s="90">
        <v>1.232056932713E-2</v>
      </c>
      <c r="AD2919" s="90">
        <v>33.59111921969</v>
      </c>
      <c r="AF2919" s="90">
        <v>-1</v>
      </c>
      <c r="AG2919" s="90">
        <v>-1</v>
      </c>
      <c r="AH2919" s="90">
        <v>-1</v>
      </c>
      <c r="AI2919" s="90">
        <v>-1</v>
      </c>
      <c r="AJ2919" s="90">
        <v>0</v>
      </c>
      <c r="AM2919" s="90" t="s">
        <v>379</v>
      </c>
      <c r="AN2919" s="90">
        <v>-1</v>
      </c>
      <c r="AQ2919" s="90">
        <v>386</v>
      </c>
      <c r="AR2919" s="90" t="s">
        <v>302</v>
      </c>
      <c r="AS2919" s="90" t="s">
        <v>426</v>
      </c>
      <c r="AT2919" s="90" t="s">
        <v>244</v>
      </c>
      <c r="AU2919" s="90">
        <v>1.956413</v>
      </c>
      <c r="AV2919" s="90">
        <v>52.697819166608603</v>
      </c>
      <c r="AW2919" s="90">
        <v>36.974808374097798</v>
      </c>
      <c r="AX2919" s="90">
        <v>2.7243405700000001E-2</v>
      </c>
    </row>
    <row r="2920" spans="1:50" x14ac:dyDescent="0.25">
      <c r="A2920" s="102">
        <v>830000</v>
      </c>
      <c r="B2920" s="102">
        <v>2400000</v>
      </c>
      <c r="C2920" s="102">
        <v>2400000</v>
      </c>
      <c r="D2920" s="90" t="s">
        <v>374</v>
      </c>
      <c r="E2920" s="90" t="s">
        <v>68</v>
      </c>
      <c r="F2920" s="90" t="s">
        <v>375</v>
      </c>
      <c r="G2920" s="90" t="s">
        <v>376</v>
      </c>
      <c r="H2920" s="90">
        <v>0.59</v>
      </c>
      <c r="I2920" s="90">
        <v>0.64</v>
      </c>
      <c r="J2920" s="90" t="s">
        <v>244</v>
      </c>
      <c r="K2920" s="90">
        <v>7.3538161700000001E-5</v>
      </c>
      <c r="L2920" s="90">
        <v>3676.5149709293401</v>
      </c>
      <c r="M2920" s="90">
        <v>9.1679297963860709</v>
      </c>
      <c r="N2920" s="90">
        <v>1.34847419894889</v>
      </c>
      <c r="O2920" s="90">
        <v>6.7419270390000003E-4</v>
      </c>
      <c r="P2920" s="90">
        <v>9.9164313700000005E-5</v>
      </c>
      <c r="Q2920" s="90">
        <v>0.27036415245776002</v>
      </c>
      <c r="R2920" s="90">
        <v>1200</v>
      </c>
      <c r="S2920" s="90" t="s">
        <v>384</v>
      </c>
      <c r="T2920" s="90">
        <v>1200</v>
      </c>
      <c r="U2920" s="90" t="s">
        <v>378</v>
      </c>
      <c r="V2920" s="90" t="s">
        <v>244</v>
      </c>
      <c r="Z2920" s="90">
        <v>0</v>
      </c>
      <c r="AA2920" s="90">
        <v>1</v>
      </c>
      <c r="AB2920" s="90">
        <v>6.7419270390000003E-4</v>
      </c>
      <c r="AC2920" s="90">
        <v>9.9164313700000005E-5</v>
      </c>
      <c r="AD2920" s="90">
        <v>0.27036415245603002</v>
      </c>
      <c r="AF2920" s="90">
        <v>-1</v>
      </c>
      <c r="AG2920" s="90">
        <v>-1</v>
      </c>
      <c r="AH2920" s="90">
        <v>-1</v>
      </c>
      <c r="AI2920" s="90">
        <v>-1</v>
      </c>
      <c r="AJ2920" s="90">
        <v>0</v>
      </c>
      <c r="AM2920" s="90" t="s">
        <v>379</v>
      </c>
      <c r="AN2920" s="90">
        <v>-1</v>
      </c>
      <c r="AQ2920" s="90">
        <v>386</v>
      </c>
      <c r="AR2920" s="90" t="s">
        <v>302</v>
      </c>
      <c r="AS2920" s="90" t="s">
        <v>426</v>
      </c>
      <c r="AT2920" s="90" t="s">
        <v>244</v>
      </c>
      <c r="AU2920" s="90">
        <v>1.956413</v>
      </c>
      <c r="AV2920" s="90">
        <v>4.72779053941969</v>
      </c>
      <c r="AW2920" s="90">
        <v>0.29759838200165001</v>
      </c>
      <c r="AX2920" s="90">
        <v>2.192734E-4</v>
      </c>
    </row>
    <row r="2921" spans="1:50" x14ac:dyDescent="0.25">
      <c r="A2921" s="102">
        <v>830000</v>
      </c>
      <c r="B2921" s="102">
        <v>2400000</v>
      </c>
      <c r="C2921" s="102">
        <v>2400000</v>
      </c>
      <c r="D2921" s="90" t="s">
        <v>374</v>
      </c>
      <c r="E2921" s="90" t="s">
        <v>68</v>
      </c>
      <c r="F2921" s="90" t="s">
        <v>375</v>
      </c>
      <c r="G2921" s="90" t="s">
        <v>376</v>
      </c>
      <c r="H2921" s="90">
        <v>0.59</v>
      </c>
      <c r="I2921" s="90">
        <v>0.64</v>
      </c>
      <c r="J2921" s="90" t="s">
        <v>244</v>
      </c>
      <c r="K2921" s="90">
        <v>5.5938593890719999E-2</v>
      </c>
      <c r="L2921" s="90">
        <v>3676.5149709293401</v>
      </c>
      <c r="M2921" s="90">
        <v>9.1679297963860709</v>
      </c>
      <c r="N2921" s="90">
        <v>1.34847419894889</v>
      </c>
      <c r="O2921" s="90">
        <v>0.51284110169872998</v>
      </c>
      <c r="P2921" s="90">
        <v>7.5431750587119997E-2</v>
      </c>
      <c r="Q2921" s="90">
        <v>205.659077891994</v>
      </c>
      <c r="R2921" s="90">
        <v>1210</v>
      </c>
      <c r="S2921" s="90" t="s">
        <v>385</v>
      </c>
      <c r="T2921" s="90">
        <v>1210</v>
      </c>
      <c r="U2921" s="90" t="s">
        <v>378</v>
      </c>
      <c r="V2921" s="90" t="s">
        <v>244</v>
      </c>
      <c r="Z2921" s="90">
        <v>0</v>
      </c>
      <c r="AA2921" s="90">
        <v>1</v>
      </c>
      <c r="AB2921" s="90">
        <v>0.51284110169872998</v>
      </c>
      <c r="AC2921" s="90">
        <v>7.5431750587119997E-2</v>
      </c>
      <c r="AD2921" s="90">
        <v>716.83254973950397</v>
      </c>
      <c r="AF2921" s="90">
        <v>-1</v>
      </c>
      <c r="AG2921" s="90">
        <v>-1</v>
      </c>
      <c r="AH2921" s="90">
        <v>-1</v>
      </c>
      <c r="AI2921" s="90">
        <v>-1</v>
      </c>
      <c r="AJ2921" s="90">
        <v>0</v>
      </c>
      <c r="AM2921" s="90" t="s">
        <v>379</v>
      </c>
      <c r="AN2921" s="90">
        <v>-1</v>
      </c>
      <c r="AQ2921" s="90">
        <v>386</v>
      </c>
      <c r="AR2921" s="90" t="s">
        <v>302</v>
      </c>
      <c r="AS2921" s="90" t="s">
        <v>426</v>
      </c>
      <c r="AT2921" s="90" t="s">
        <v>244</v>
      </c>
      <c r="AU2921" s="90">
        <v>1.956413</v>
      </c>
      <c r="AV2921" s="90">
        <v>65.491231161848901</v>
      </c>
      <c r="AW2921" s="90">
        <v>226.375457946712</v>
      </c>
      <c r="AX2921" s="90">
        <v>0.58137270860000001</v>
      </c>
    </row>
    <row r="2922" spans="1:50" x14ac:dyDescent="0.25">
      <c r="A2922" s="102">
        <v>830000</v>
      </c>
      <c r="B2922" s="102">
        <v>2400000</v>
      </c>
      <c r="C2922" s="102">
        <v>2400000</v>
      </c>
      <c r="D2922" s="90" t="s">
        <v>374</v>
      </c>
      <c r="E2922" s="90" t="s">
        <v>68</v>
      </c>
      <c r="F2922" s="90" t="s">
        <v>375</v>
      </c>
      <c r="G2922" s="90" t="s">
        <v>376</v>
      </c>
      <c r="H2922" s="90">
        <v>0.59</v>
      </c>
      <c r="I2922" s="90">
        <v>0.64</v>
      </c>
      <c r="J2922" s="90" t="s">
        <v>244</v>
      </c>
      <c r="K2922" s="90">
        <v>9.0337845591909993E-2</v>
      </c>
      <c r="L2922" s="90">
        <v>3676.5149709293401</v>
      </c>
      <c r="M2922" s="90">
        <v>9.1679297963860709</v>
      </c>
      <c r="N2922" s="90">
        <v>1.34847419894889</v>
      </c>
      <c r="O2922" s="90">
        <v>0.82821102634345001</v>
      </c>
      <c r="P2922" s="90">
        <v>0.12181825396932</v>
      </c>
      <c r="Q2922" s="90">
        <v>332.128441760182</v>
      </c>
      <c r="R2922" s="90">
        <v>1210</v>
      </c>
      <c r="S2922" s="90" t="s">
        <v>385</v>
      </c>
      <c r="T2922" s="90">
        <v>1210</v>
      </c>
      <c r="U2922" s="90" t="s">
        <v>378</v>
      </c>
      <c r="V2922" s="90" t="s">
        <v>244</v>
      </c>
      <c r="Z2922" s="90">
        <v>0</v>
      </c>
      <c r="AA2922" s="90">
        <v>1</v>
      </c>
      <c r="AB2922" s="90">
        <v>0.82821102634345001</v>
      </c>
      <c r="AC2922" s="90">
        <v>0.12181825396932</v>
      </c>
      <c r="AD2922" s="90">
        <v>970.88406395597497</v>
      </c>
      <c r="AF2922" s="90">
        <v>-1</v>
      </c>
      <c r="AG2922" s="90">
        <v>-1</v>
      </c>
      <c r="AH2922" s="90">
        <v>-1</v>
      </c>
      <c r="AI2922" s="90">
        <v>-1</v>
      </c>
      <c r="AJ2922" s="90">
        <v>0</v>
      </c>
      <c r="AM2922" s="90" t="s">
        <v>379</v>
      </c>
      <c r="AN2922" s="90">
        <v>-1</v>
      </c>
      <c r="AQ2922" s="90">
        <v>386</v>
      </c>
      <c r="AR2922" s="90" t="s">
        <v>302</v>
      </c>
      <c r="AS2922" s="90" t="s">
        <v>426</v>
      </c>
      <c r="AT2922" s="90" t="s">
        <v>244</v>
      </c>
      <c r="AU2922" s="90">
        <v>1.956413</v>
      </c>
      <c r="AV2922" s="90">
        <v>79.529501251278703</v>
      </c>
      <c r="AW2922" s="90">
        <v>365.58429061942297</v>
      </c>
      <c r="AX2922" s="90">
        <v>0.78741611030000003</v>
      </c>
    </row>
    <row r="2923" spans="1:50" x14ac:dyDescent="0.25">
      <c r="A2923" s="102">
        <v>830000</v>
      </c>
      <c r="B2923" s="102">
        <v>2400000</v>
      </c>
      <c r="C2923" s="102">
        <v>2400000</v>
      </c>
      <c r="D2923" s="90" t="s">
        <v>374</v>
      </c>
      <c r="E2923" s="90" t="s">
        <v>68</v>
      </c>
      <c r="F2923" s="90" t="s">
        <v>375</v>
      </c>
      <c r="G2923" s="90" t="s">
        <v>376</v>
      </c>
      <c r="H2923" s="90">
        <v>0.59</v>
      </c>
      <c r="I2923" s="90">
        <v>0.64</v>
      </c>
      <c r="J2923" s="90" t="s">
        <v>244</v>
      </c>
      <c r="K2923" s="90">
        <v>7.7907912949900003E-3</v>
      </c>
      <c r="L2923" s="90">
        <v>3676.5149709293401</v>
      </c>
      <c r="M2923" s="90">
        <v>9.1679297963860709</v>
      </c>
      <c r="N2923" s="90">
        <v>1.34847419894889</v>
      </c>
      <c r="O2923" s="90">
        <v>7.1425427650799997E-2</v>
      </c>
      <c r="P2923" s="90">
        <v>1.050568105069E-2</v>
      </c>
      <c r="Q2923" s="90">
        <v>28.642960831431399</v>
      </c>
      <c r="R2923" s="90">
        <v>1210</v>
      </c>
      <c r="S2923" s="90" t="s">
        <v>385</v>
      </c>
      <c r="T2923" s="90">
        <v>1210</v>
      </c>
      <c r="U2923" s="90" t="s">
        <v>378</v>
      </c>
      <c r="V2923" s="90" t="s">
        <v>244</v>
      </c>
      <c r="Z2923" s="90">
        <v>0</v>
      </c>
      <c r="AA2923" s="90">
        <v>1</v>
      </c>
      <c r="AB2923" s="90">
        <v>7.1425427650799997E-2</v>
      </c>
      <c r="AC2923" s="90">
        <v>1.050568105069E-2</v>
      </c>
      <c r="AD2923" s="90">
        <v>143.67310109475099</v>
      </c>
      <c r="AF2923" s="90">
        <v>-1</v>
      </c>
      <c r="AG2923" s="90">
        <v>-1</v>
      </c>
      <c r="AH2923" s="90">
        <v>-1</v>
      </c>
      <c r="AI2923" s="90">
        <v>-1</v>
      </c>
      <c r="AJ2923" s="90">
        <v>0</v>
      </c>
      <c r="AM2923" s="90" t="s">
        <v>379</v>
      </c>
      <c r="AN2923" s="90">
        <v>-1</v>
      </c>
      <c r="AQ2923" s="90">
        <v>386</v>
      </c>
      <c r="AR2923" s="90" t="s">
        <v>302</v>
      </c>
      <c r="AS2923" s="90" t="s">
        <v>426</v>
      </c>
      <c r="AT2923" s="90" t="s">
        <v>244</v>
      </c>
      <c r="AU2923" s="90">
        <v>1.956413</v>
      </c>
      <c r="AV2923" s="90">
        <v>34.823138134059398</v>
      </c>
      <c r="AW2923" s="90">
        <v>31.5282137877232</v>
      </c>
      <c r="AX2923" s="90">
        <v>0.11652319630000001</v>
      </c>
    </row>
    <row r="2924" spans="1:50" x14ac:dyDescent="0.25">
      <c r="A2924" s="102">
        <v>830000</v>
      </c>
      <c r="B2924" s="102">
        <v>2400000</v>
      </c>
      <c r="C2924" s="102">
        <v>2400000</v>
      </c>
      <c r="D2924" s="90" t="s">
        <v>374</v>
      </c>
      <c r="E2924" s="90" t="s">
        <v>68</v>
      </c>
      <c r="F2924" s="90" t="s">
        <v>375</v>
      </c>
      <c r="G2924" s="90" t="s">
        <v>376</v>
      </c>
      <c r="H2924" s="90">
        <v>0.59</v>
      </c>
      <c r="I2924" s="90">
        <v>0.64</v>
      </c>
      <c r="J2924" s="90" t="s">
        <v>381</v>
      </c>
      <c r="K2924" s="90">
        <v>1.7515601846000001E-2</v>
      </c>
      <c r="L2924" s="90">
        <v>3688.8151883057199</v>
      </c>
      <c r="M2924" s="90">
        <v>9.0538569533620095</v>
      </c>
      <c r="N2924" s="90">
        <v>1.29966393168446</v>
      </c>
      <c r="O2924" s="90">
        <v>0.15858375356577001</v>
      </c>
      <c r="P2924" s="90">
        <v>2.2764395960989999E-2</v>
      </c>
      <c r="Q2924" s="90">
        <v>64.611818121859002</v>
      </c>
      <c r="R2924" s="90">
        <v>8140</v>
      </c>
      <c r="S2924" s="90" t="s">
        <v>386</v>
      </c>
      <c r="T2924" s="90">
        <v>8140</v>
      </c>
      <c r="U2924" s="90" t="s">
        <v>382</v>
      </c>
      <c r="V2924" s="90" t="s">
        <v>381</v>
      </c>
      <c r="Z2924" s="90">
        <v>0</v>
      </c>
      <c r="AA2924" s="90">
        <v>1</v>
      </c>
      <c r="AB2924" s="90">
        <v>0.15858375356577001</v>
      </c>
      <c r="AC2924" s="90">
        <v>2.2764395960989999E-2</v>
      </c>
      <c r="AD2924" s="90">
        <v>431.93371798278798</v>
      </c>
      <c r="AF2924" s="90">
        <v>-1</v>
      </c>
      <c r="AG2924" s="90">
        <v>-1</v>
      </c>
      <c r="AH2924" s="90">
        <v>-1</v>
      </c>
      <c r="AI2924" s="90">
        <v>-1</v>
      </c>
      <c r="AJ2924" s="90">
        <v>0</v>
      </c>
      <c r="AM2924" s="90" t="s">
        <v>379</v>
      </c>
      <c r="AN2924" s="90">
        <v>-1</v>
      </c>
      <c r="AQ2924" s="90">
        <v>386</v>
      </c>
      <c r="AR2924" s="90" t="s">
        <v>302</v>
      </c>
      <c r="AS2924" s="90" t="s">
        <v>426</v>
      </c>
      <c r="AT2924" s="90" t="s">
        <v>244</v>
      </c>
      <c r="AU2924" s="90">
        <v>1.956413</v>
      </c>
      <c r="AV2924" s="90">
        <v>59.0023265656014</v>
      </c>
      <c r="AW2924" s="90">
        <v>70.883125822704898</v>
      </c>
      <c r="AX2924" s="90">
        <v>0.3503112068</v>
      </c>
    </row>
    <row r="2925" spans="1:50" x14ac:dyDescent="0.25">
      <c r="A2925" s="102">
        <v>830000</v>
      </c>
      <c r="B2925" s="102">
        <v>2400000</v>
      </c>
      <c r="C2925" s="102">
        <v>2400000</v>
      </c>
      <c r="D2925" s="90" t="s">
        <v>374</v>
      </c>
      <c r="E2925" s="90" t="s">
        <v>68</v>
      </c>
      <c r="F2925" s="90" t="s">
        <v>375</v>
      </c>
      <c r="G2925" s="90" t="s">
        <v>376</v>
      </c>
      <c r="H2925" s="90">
        <v>0.59</v>
      </c>
      <c r="I2925" s="90">
        <v>0.64</v>
      </c>
      <c r="J2925" s="90" t="s">
        <v>244</v>
      </c>
      <c r="K2925" s="90">
        <v>2.9780239056500001E-3</v>
      </c>
      <c r="L2925" s="90">
        <v>3685.7273752743499</v>
      </c>
      <c r="M2925" s="90">
        <v>9.2296157415098108</v>
      </c>
      <c r="N2925" s="90">
        <v>1.35886223884501</v>
      </c>
      <c r="O2925" s="90">
        <v>2.7486016318190001E-2</v>
      </c>
      <c r="P2925" s="90">
        <v>4.0467242317599999E-3</v>
      </c>
      <c r="Q2925" s="90">
        <v>10.976184233283</v>
      </c>
      <c r="R2925" s="90">
        <v>1200</v>
      </c>
      <c r="S2925" s="90" t="s">
        <v>384</v>
      </c>
      <c r="T2925" s="90">
        <v>1200</v>
      </c>
      <c r="U2925" s="90" t="s">
        <v>378</v>
      </c>
      <c r="V2925" s="90" t="s">
        <v>244</v>
      </c>
      <c r="Z2925" s="90">
        <v>0</v>
      </c>
      <c r="AA2925" s="90">
        <v>1</v>
      </c>
      <c r="AB2925" s="90">
        <v>2.7486016318190001E-2</v>
      </c>
      <c r="AC2925" s="90">
        <v>4.0467242317599999E-3</v>
      </c>
      <c r="AD2925" s="90">
        <v>865.99991299891406</v>
      </c>
      <c r="AF2925" s="90">
        <v>-1</v>
      </c>
      <c r="AG2925" s="90">
        <v>-1</v>
      </c>
      <c r="AH2925" s="90">
        <v>-1</v>
      </c>
      <c r="AI2925" s="90">
        <v>-1</v>
      </c>
      <c r="AJ2925" s="90">
        <v>0</v>
      </c>
      <c r="AM2925" s="90" t="s">
        <v>379</v>
      </c>
      <c r="AN2925" s="90">
        <v>-1</v>
      </c>
      <c r="AQ2925" s="90">
        <v>386</v>
      </c>
      <c r="AR2925" s="90" t="s">
        <v>302</v>
      </c>
      <c r="AS2925" s="90" t="s">
        <v>426</v>
      </c>
      <c r="AT2925" s="90" t="s">
        <v>244</v>
      </c>
      <c r="AU2925" s="90">
        <v>1.956413</v>
      </c>
      <c r="AV2925" s="90">
        <v>29.627166006494999</v>
      </c>
      <c r="AW2925" s="90">
        <v>12.0516351686472</v>
      </c>
      <c r="AX2925" s="90">
        <v>0.70235191649999995</v>
      </c>
    </row>
    <row r="2926" spans="1:50" x14ac:dyDescent="0.25">
      <c r="A2926" s="102">
        <v>830000</v>
      </c>
      <c r="B2926" s="102">
        <v>2400000</v>
      </c>
      <c r="C2926" s="102">
        <v>2400000</v>
      </c>
      <c r="D2926" s="90" t="s">
        <v>374</v>
      </c>
      <c r="E2926" s="90" t="s">
        <v>68</v>
      </c>
      <c r="F2926" s="90" t="s">
        <v>375</v>
      </c>
      <c r="G2926" s="90" t="s">
        <v>376</v>
      </c>
      <c r="H2926" s="90">
        <v>0.59</v>
      </c>
      <c r="I2926" s="90">
        <v>0.64</v>
      </c>
      <c r="J2926" s="90" t="s">
        <v>244</v>
      </c>
      <c r="K2926" s="90">
        <v>4.0548728614210001E-2</v>
      </c>
      <c r="L2926" s="90">
        <v>3682.4933670356299</v>
      </c>
      <c r="M2926" s="90">
        <v>9.1820781403385094</v>
      </c>
      <c r="N2926" s="90">
        <v>1.35052942043086</v>
      </c>
      <c r="O2926" s="90">
        <v>0.37232159462712999</v>
      </c>
      <c r="P2926" s="90">
        <v>5.4762250954559999E-2</v>
      </c>
      <c r="Q2926" s="90">
        <v>149.32042416358499</v>
      </c>
      <c r="R2926" s="90">
        <v>1200</v>
      </c>
      <c r="S2926" s="90" t="s">
        <v>384</v>
      </c>
      <c r="T2926" s="90">
        <v>1200</v>
      </c>
      <c r="U2926" s="90" t="s">
        <v>378</v>
      </c>
      <c r="V2926" s="90" t="s">
        <v>244</v>
      </c>
      <c r="Z2926" s="90">
        <v>0</v>
      </c>
      <c r="AA2926" s="90">
        <v>1</v>
      </c>
      <c r="AB2926" s="90">
        <v>0.37232159462712999</v>
      </c>
      <c r="AC2926" s="90">
        <v>5.4762250954559999E-2</v>
      </c>
      <c r="AD2926" s="90">
        <v>149.32042416358399</v>
      </c>
      <c r="AF2926" s="90">
        <v>-1</v>
      </c>
      <c r="AG2926" s="90">
        <v>-1</v>
      </c>
      <c r="AH2926" s="90">
        <v>-1</v>
      </c>
      <c r="AI2926" s="90">
        <v>-1</v>
      </c>
      <c r="AJ2926" s="90">
        <v>0</v>
      </c>
      <c r="AM2926" s="90" t="s">
        <v>379</v>
      </c>
      <c r="AN2926" s="90">
        <v>-1</v>
      </c>
      <c r="AQ2926" s="90">
        <v>386</v>
      </c>
      <c r="AR2926" s="90" t="s">
        <v>302</v>
      </c>
      <c r="AS2926" s="90" t="s">
        <v>426</v>
      </c>
      <c r="AT2926" s="90" t="s">
        <v>244</v>
      </c>
      <c r="AU2926" s="90">
        <v>1.956413</v>
      </c>
      <c r="AV2926" s="90">
        <v>106.92600179586501</v>
      </c>
      <c r="AW2926" s="90">
        <v>164.09488281260101</v>
      </c>
      <c r="AX2926" s="90">
        <v>0.1211033448</v>
      </c>
    </row>
    <row r="2927" spans="1:50" x14ac:dyDescent="0.25">
      <c r="A2927" s="102">
        <v>830000</v>
      </c>
      <c r="B2927" s="102">
        <v>2400000</v>
      </c>
      <c r="C2927" s="102">
        <v>2400000</v>
      </c>
      <c r="D2927" s="90" t="s">
        <v>374</v>
      </c>
      <c r="E2927" s="90" t="s">
        <v>68</v>
      </c>
      <c r="F2927" s="90" t="s">
        <v>375</v>
      </c>
      <c r="G2927" s="90" t="s">
        <v>376</v>
      </c>
      <c r="H2927" s="90">
        <v>0.59</v>
      </c>
      <c r="I2927" s="90">
        <v>0.64</v>
      </c>
      <c r="J2927" s="90" t="s">
        <v>244</v>
      </c>
      <c r="K2927" s="90">
        <v>8.6202955270770001E-2</v>
      </c>
      <c r="L2927" s="90">
        <v>3682.4933670356299</v>
      </c>
      <c r="M2927" s="90">
        <v>9.1820781403385094</v>
      </c>
      <c r="N2927" s="90">
        <v>1.35052942043086</v>
      </c>
      <c r="O2927" s="90">
        <v>0.79152227122433005</v>
      </c>
      <c r="P2927" s="90">
        <v>0.11641962722125999</v>
      </c>
      <c r="Q2927" s="90">
        <v>317.44181100348698</v>
      </c>
      <c r="R2927" s="90">
        <v>1210</v>
      </c>
      <c r="S2927" s="90" t="s">
        <v>385</v>
      </c>
      <c r="T2927" s="90">
        <v>1210</v>
      </c>
      <c r="U2927" s="90" t="s">
        <v>378</v>
      </c>
      <c r="V2927" s="90" t="s">
        <v>244</v>
      </c>
      <c r="Z2927" s="90">
        <v>0</v>
      </c>
      <c r="AA2927" s="90">
        <v>1</v>
      </c>
      <c r="AB2927" s="90">
        <v>0.79152227122433005</v>
      </c>
      <c r="AC2927" s="90">
        <v>0.11641962722125999</v>
      </c>
      <c r="AD2927" s="90">
        <v>862.19417031352305</v>
      </c>
      <c r="AF2927" s="90">
        <v>-1</v>
      </c>
      <c r="AG2927" s="90">
        <v>-1</v>
      </c>
      <c r="AH2927" s="90">
        <v>-1</v>
      </c>
      <c r="AI2927" s="90">
        <v>-1</v>
      </c>
      <c r="AJ2927" s="90">
        <v>0</v>
      </c>
      <c r="AM2927" s="90" t="s">
        <v>379</v>
      </c>
      <c r="AN2927" s="90">
        <v>-1</v>
      </c>
      <c r="AQ2927" s="90">
        <v>386</v>
      </c>
      <c r="AR2927" s="90" t="s">
        <v>302</v>
      </c>
      <c r="AS2927" s="90" t="s">
        <v>426</v>
      </c>
      <c r="AT2927" s="90" t="s">
        <v>244</v>
      </c>
      <c r="AU2927" s="90">
        <v>1.956413</v>
      </c>
      <c r="AV2927" s="90">
        <v>76.784009727062397</v>
      </c>
      <c r="AW2927" s="90">
        <v>348.85098316738498</v>
      </c>
      <c r="AX2927" s="90">
        <v>0.69926534490000003</v>
      </c>
    </row>
    <row r="2928" spans="1:50" x14ac:dyDescent="0.25">
      <c r="A2928" s="102">
        <v>830000</v>
      </c>
      <c r="B2928" s="102">
        <v>2400000</v>
      </c>
      <c r="C2928" s="102">
        <v>2400000</v>
      </c>
      <c r="D2928" s="90" t="s">
        <v>374</v>
      </c>
      <c r="E2928" s="90" t="s">
        <v>68</v>
      </c>
      <c r="F2928" s="90" t="s">
        <v>375</v>
      </c>
      <c r="G2928" s="90" t="s">
        <v>376</v>
      </c>
      <c r="H2928" s="90">
        <v>0.59</v>
      </c>
      <c r="I2928" s="90">
        <v>0.64</v>
      </c>
      <c r="J2928" s="90" t="s">
        <v>244</v>
      </c>
      <c r="K2928" s="90">
        <v>8.5306454869500004E-2</v>
      </c>
      <c r="L2928" s="90">
        <v>3682.4933670356299</v>
      </c>
      <c r="M2928" s="90">
        <v>9.1820781403385094</v>
      </c>
      <c r="N2928" s="90">
        <v>1.35052942043086</v>
      </c>
      <c r="O2928" s="90">
        <v>0.78329053448708996</v>
      </c>
      <c r="P2928" s="90">
        <v>0.11520887705393</v>
      </c>
      <c r="Q2928" s="90">
        <v>314.140454222291</v>
      </c>
      <c r="R2928" s="90">
        <v>1210</v>
      </c>
      <c r="S2928" s="90" t="s">
        <v>385</v>
      </c>
      <c r="T2928" s="90">
        <v>1210</v>
      </c>
      <c r="U2928" s="90" t="s">
        <v>378</v>
      </c>
      <c r="V2928" s="90" t="s">
        <v>244</v>
      </c>
      <c r="Z2928" s="90">
        <v>0</v>
      </c>
      <c r="AA2928" s="90">
        <v>1</v>
      </c>
      <c r="AB2928" s="90">
        <v>0.78329053448708996</v>
      </c>
      <c r="AC2928" s="90">
        <v>0.11520887705393</v>
      </c>
      <c r="AD2928" s="90">
        <v>1005.94587400707</v>
      </c>
      <c r="AF2928" s="90">
        <v>-1</v>
      </c>
      <c r="AG2928" s="90">
        <v>-1</v>
      </c>
      <c r="AH2928" s="90">
        <v>-1</v>
      </c>
      <c r="AI2928" s="90">
        <v>-1</v>
      </c>
      <c r="AJ2928" s="90">
        <v>0</v>
      </c>
      <c r="AM2928" s="90" t="s">
        <v>379</v>
      </c>
      <c r="AN2928" s="90">
        <v>-1</v>
      </c>
      <c r="AQ2928" s="90">
        <v>386</v>
      </c>
      <c r="AR2928" s="90" t="s">
        <v>302</v>
      </c>
      <c r="AS2928" s="90" t="s">
        <v>426</v>
      </c>
      <c r="AT2928" s="90" t="s">
        <v>244</v>
      </c>
      <c r="AU2928" s="90">
        <v>1.956413</v>
      </c>
      <c r="AV2928" s="90">
        <v>80.193137955322598</v>
      </c>
      <c r="AW2928" s="90">
        <v>345.22297476084901</v>
      </c>
      <c r="AX2928" s="90">
        <v>0.81585229039999996</v>
      </c>
    </row>
    <row r="2929" spans="1:50" x14ac:dyDescent="0.25">
      <c r="A2929" s="102">
        <v>830000</v>
      </c>
      <c r="B2929" s="102">
        <v>2400000</v>
      </c>
      <c r="C2929" s="102">
        <v>2400000</v>
      </c>
      <c r="D2929" s="90" t="s">
        <v>374</v>
      </c>
      <c r="E2929" s="90" t="s">
        <v>68</v>
      </c>
      <c r="F2929" s="90" t="s">
        <v>375</v>
      </c>
      <c r="G2929" s="90" t="s">
        <v>376</v>
      </c>
      <c r="H2929" s="90">
        <v>0.59</v>
      </c>
      <c r="I2929" s="90">
        <v>0.64</v>
      </c>
      <c r="J2929" s="90" t="s">
        <v>244</v>
      </c>
      <c r="K2929" s="90">
        <v>2.5277502583299998E-3</v>
      </c>
      <c r="L2929" s="90">
        <v>3682.4933670356299</v>
      </c>
      <c r="M2929" s="90">
        <v>9.1820781403385094</v>
      </c>
      <c r="N2929" s="90">
        <v>1.35052942043086</v>
      </c>
      <c r="O2929" s="90">
        <v>2.3210000391260002E-2</v>
      </c>
      <c r="P2929" s="90">
        <v>3.4138010913699998E-3</v>
      </c>
      <c r="Q2929" s="90">
        <v>9.3084235598301905</v>
      </c>
      <c r="R2929" s="90">
        <v>1210</v>
      </c>
      <c r="S2929" s="90" t="s">
        <v>385</v>
      </c>
      <c r="T2929" s="90">
        <v>1210</v>
      </c>
      <c r="U2929" s="90" t="s">
        <v>378</v>
      </c>
      <c r="V2929" s="90" t="s">
        <v>244</v>
      </c>
      <c r="Z2929" s="90">
        <v>0</v>
      </c>
      <c r="AA2929" s="90">
        <v>1</v>
      </c>
      <c r="AB2929" s="90">
        <v>2.3210000391260002E-2</v>
      </c>
      <c r="AC2929" s="90">
        <v>3.4138010913699998E-3</v>
      </c>
      <c r="AD2929" s="90">
        <v>91.426112185940795</v>
      </c>
      <c r="AF2929" s="90">
        <v>-1</v>
      </c>
      <c r="AG2929" s="90">
        <v>-1</v>
      </c>
      <c r="AH2929" s="90">
        <v>-1</v>
      </c>
      <c r="AI2929" s="90">
        <v>-1</v>
      </c>
      <c r="AJ2929" s="90">
        <v>0</v>
      </c>
      <c r="AM2929" s="90" t="s">
        <v>379</v>
      </c>
      <c r="AN2929" s="90">
        <v>-1</v>
      </c>
      <c r="AQ2929" s="90">
        <v>386</v>
      </c>
      <c r="AR2929" s="90" t="s">
        <v>302</v>
      </c>
      <c r="AS2929" s="90" t="s">
        <v>426</v>
      </c>
      <c r="AT2929" s="90" t="s">
        <v>244</v>
      </c>
      <c r="AU2929" s="90">
        <v>1.956413</v>
      </c>
      <c r="AV2929" s="90">
        <v>27.9030985659628</v>
      </c>
      <c r="AW2929" s="90">
        <v>10.229442367155199</v>
      </c>
      <c r="AX2929" s="90">
        <v>7.4149320500000004E-2</v>
      </c>
    </row>
    <row r="2930" spans="1:50" x14ac:dyDescent="0.25">
      <c r="A2930" s="102">
        <v>830000</v>
      </c>
      <c r="B2930" s="102">
        <v>2400000</v>
      </c>
      <c r="C2930" s="102">
        <v>2400000</v>
      </c>
      <c r="D2930" s="90" t="s">
        <v>374</v>
      </c>
      <c r="E2930" s="90" t="s">
        <v>68</v>
      </c>
      <c r="F2930" s="90" t="s">
        <v>375</v>
      </c>
      <c r="G2930" s="90" t="s">
        <v>376</v>
      </c>
      <c r="H2930" s="90">
        <v>0.59</v>
      </c>
      <c r="I2930" s="90">
        <v>0.64</v>
      </c>
      <c r="J2930" s="90" t="s">
        <v>244</v>
      </c>
      <c r="K2930" s="90">
        <v>0.1017445903446</v>
      </c>
      <c r="L2930" s="90">
        <v>3686.47868703839</v>
      </c>
      <c r="M2930" s="90">
        <v>9.1915098277003793</v>
      </c>
      <c r="N2930" s="90">
        <v>1.3518994934617401</v>
      </c>
      <c r="O2930" s="90">
        <v>0.93518640206779002</v>
      </c>
      <c r="P2930" s="90">
        <v>0.13754846014934</v>
      </c>
      <c r="Q2930" s="90">
        <v>375.07926382684201</v>
      </c>
      <c r="R2930" s="90">
        <v>1200</v>
      </c>
      <c r="S2930" s="90" t="s">
        <v>384</v>
      </c>
      <c r="T2930" s="90">
        <v>1200</v>
      </c>
      <c r="U2930" s="90" t="s">
        <v>378</v>
      </c>
      <c r="V2930" s="90" t="s">
        <v>244</v>
      </c>
      <c r="Z2930" s="90">
        <v>0</v>
      </c>
      <c r="AA2930" s="90">
        <v>1</v>
      </c>
      <c r="AB2930" s="90">
        <v>0.93518640206779002</v>
      </c>
      <c r="AC2930" s="90">
        <v>0.13754846014934</v>
      </c>
      <c r="AD2930" s="90">
        <v>1070.05316542692</v>
      </c>
      <c r="AF2930" s="90">
        <v>-1</v>
      </c>
      <c r="AG2930" s="90">
        <v>-1</v>
      </c>
      <c r="AH2930" s="90">
        <v>-1</v>
      </c>
      <c r="AI2930" s="90">
        <v>-1</v>
      </c>
      <c r="AJ2930" s="90">
        <v>0</v>
      </c>
      <c r="AM2930" s="90" t="s">
        <v>379</v>
      </c>
      <c r="AN2930" s="90">
        <v>-1</v>
      </c>
      <c r="AQ2930" s="90">
        <v>386</v>
      </c>
      <c r="AR2930" s="90" t="s">
        <v>302</v>
      </c>
      <c r="AS2930" s="90" t="s">
        <v>426</v>
      </c>
      <c r="AT2930" s="90" t="s">
        <v>244</v>
      </c>
      <c r="AU2930" s="90">
        <v>1.956413</v>
      </c>
      <c r="AV2930" s="90">
        <v>130.52370965050801</v>
      </c>
      <c r="AW2930" s="90">
        <v>411.74574888052598</v>
      </c>
      <c r="AX2930" s="90">
        <v>0.86784522740000003</v>
      </c>
    </row>
    <row r="2931" spans="1:50" x14ac:dyDescent="0.25">
      <c r="A2931" s="102">
        <v>830000</v>
      </c>
      <c r="B2931" s="102">
        <v>2400000</v>
      </c>
      <c r="C2931" s="102">
        <v>2400000</v>
      </c>
      <c r="D2931" s="90" t="s">
        <v>374</v>
      </c>
      <c r="E2931" s="90" t="s">
        <v>68</v>
      </c>
      <c r="F2931" s="90" t="s">
        <v>375</v>
      </c>
      <c r="G2931" s="90" t="s">
        <v>376</v>
      </c>
      <c r="H2931" s="90">
        <v>0.59</v>
      </c>
      <c r="I2931" s="90">
        <v>0.64</v>
      </c>
      <c r="J2931" s="90" t="s">
        <v>244</v>
      </c>
      <c r="K2931" s="90">
        <v>4.304791593E-5</v>
      </c>
      <c r="L2931" s="90">
        <v>3686.47868703839</v>
      </c>
      <c r="M2931" s="90">
        <v>9.1915098277003793</v>
      </c>
      <c r="N2931" s="90">
        <v>1.3518994934617401</v>
      </c>
      <c r="O2931" s="90">
        <v>3.9567534238000001E-4</v>
      </c>
      <c r="P2931" s="90">
        <v>5.8196455740000002E-5</v>
      </c>
      <c r="Q2931" s="90">
        <v>0.15869522461947999</v>
      </c>
      <c r="R2931" s="90">
        <v>1210</v>
      </c>
      <c r="S2931" s="90" t="s">
        <v>385</v>
      </c>
      <c r="T2931" s="90">
        <v>1210</v>
      </c>
      <c r="U2931" s="90" t="s">
        <v>378</v>
      </c>
      <c r="V2931" s="90" t="s">
        <v>244</v>
      </c>
      <c r="Z2931" s="90">
        <v>0</v>
      </c>
      <c r="AA2931" s="90">
        <v>1</v>
      </c>
      <c r="AB2931" s="90">
        <v>3.9567534238000001E-4</v>
      </c>
      <c r="AC2931" s="90">
        <v>5.8196455740000002E-5</v>
      </c>
      <c r="AD2931" s="90">
        <v>0.15869522462093</v>
      </c>
      <c r="AF2931" s="90">
        <v>-1</v>
      </c>
      <c r="AG2931" s="90">
        <v>-1</v>
      </c>
      <c r="AH2931" s="90">
        <v>-1</v>
      </c>
      <c r="AI2931" s="90">
        <v>-1</v>
      </c>
      <c r="AJ2931" s="90">
        <v>0</v>
      </c>
      <c r="AM2931" s="90" t="s">
        <v>379</v>
      </c>
      <c r="AN2931" s="90">
        <v>-1</v>
      </c>
      <c r="AQ2931" s="90">
        <v>386</v>
      </c>
      <c r="AR2931" s="90" t="s">
        <v>302</v>
      </c>
      <c r="AS2931" s="90" t="s">
        <v>426</v>
      </c>
      <c r="AT2931" s="90" t="s">
        <v>244</v>
      </c>
      <c r="AU2931" s="90">
        <v>1.956413</v>
      </c>
      <c r="AV2931" s="90">
        <v>3.6348613972208601</v>
      </c>
      <c r="AW2931" s="90">
        <v>0.17420873507813001</v>
      </c>
      <c r="AX2931" s="90">
        <v>1.2870660000000001E-4</v>
      </c>
    </row>
    <row r="2932" spans="1:50" x14ac:dyDescent="0.25">
      <c r="A2932" s="102">
        <v>830000</v>
      </c>
      <c r="B2932" s="102">
        <v>2400000</v>
      </c>
      <c r="C2932" s="102">
        <v>2400000</v>
      </c>
      <c r="D2932" s="90" t="s">
        <v>374</v>
      </c>
      <c r="E2932" s="90" t="s">
        <v>68</v>
      </c>
      <c r="F2932" s="90" t="s">
        <v>375</v>
      </c>
      <c r="G2932" s="90" t="s">
        <v>376</v>
      </c>
      <c r="H2932" s="90">
        <v>0.59</v>
      </c>
      <c r="I2932" s="90">
        <v>0.64</v>
      </c>
      <c r="J2932" s="90" t="s">
        <v>244</v>
      </c>
      <c r="K2932" s="90">
        <v>0.12273003372022</v>
      </c>
      <c r="L2932" s="90">
        <v>3686.47868703839</v>
      </c>
      <c r="M2932" s="90">
        <v>9.1915098277003793</v>
      </c>
      <c r="N2932" s="90">
        <v>1.3518994934617401</v>
      </c>
      <c r="O2932" s="90">
        <v>1.1280743110934599</v>
      </c>
      <c r="P2932" s="90">
        <v>0.16591867041891001</v>
      </c>
      <c r="Q2932" s="90">
        <v>452.44165356911998</v>
      </c>
      <c r="R2932" s="90">
        <v>1210</v>
      </c>
      <c r="S2932" s="90" t="s">
        <v>385</v>
      </c>
      <c r="T2932" s="90">
        <v>1210</v>
      </c>
      <c r="U2932" s="90" t="s">
        <v>378</v>
      </c>
      <c r="V2932" s="90" t="s">
        <v>244</v>
      </c>
      <c r="Z2932" s="90">
        <v>0</v>
      </c>
      <c r="AA2932" s="90">
        <v>1</v>
      </c>
      <c r="AB2932" s="90">
        <v>1.1280743110934599</v>
      </c>
      <c r="AC2932" s="90">
        <v>0.16591867041891001</v>
      </c>
      <c r="AD2932" s="90">
        <v>902.20162030713504</v>
      </c>
      <c r="AF2932" s="90">
        <v>-1</v>
      </c>
      <c r="AG2932" s="90">
        <v>-1</v>
      </c>
      <c r="AH2932" s="90">
        <v>-1</v>
      </c>
      <c r="AI2932" s="90">
        <v>-1</v>
      </c>
      <c r="AJ2932" s="90">
        <v>0</v>
      </c>
      <c r="AM2932" s="90" t="s">
        <v>379</v>
      </c>
      <c r="AN2932" s="90">
        <v>-1</v>
      </c>
      <c r="AQ2932" s="90">
        <v>386</v>
      </c>
      <c r="AR2932" s="90" t="s">
        <v>302</v>
      </c>
      <c r="AS2932" s="90" t="s">
        <v>426</v>
      </c>
      <c r="AT2932" s="90" t="s">
        <v>244</v>
      </c>
      <c r="AU2932" s="90">
        <v>1.956413</v>
      </c>
      <c r="AV2932" s="90">
        <v>91.005071758593701</v>
      </c>
      <c r="AW2932" s="90">
        <v>496.670825182069</v>
      </c>
      <c r="AX2932" s="90">
        <v>0.7317125874</v>
      </c>
    </row>
    <row r="2933" spans="1:50" x14ac:dyDescent="0.25">
      <c r="A2933" s="102">
        <v>830000</v>
      </c>
      <c r="B2933" s="102">
        <v>2400000</v>
      </c>
      <c r="C2933" s="102">
        <v>2400000</v>
      </c>
      <c r="D2933" s="90" t="s">
        <v>374</v>
      </c>
      <c r="E2933" s="90" t="s">
        <v>68</v>
      </c>
      <c r="F2933" s="90" t="s">
        <v>375</v>
      </c>
      <c r="G2933" s="90" t="s">
        <v>376</v>
      </c>
      <c r="H2933" s="90">
        <v>0.59</v>
      </c>
      <c r="I2933" s="90">
        <v>0.64</v>
      </c>
      <c r="J2933" s="90" t="s">
        <v>381</v>
      </c>
      <c r="K2933" s="90">
        <v>2.3211332973270001E-2</v>
      </c>
      <c r="L2933" s="90">
        <v>3678.80686335871</v>
      </c>
      <c r="M2933" s="90">
        <v>9.1467762742201906</v>
      </c>
      <c r="N2933" s="90">
        <v>1.33941775501181</v>
      </c>
      <c r="O2933" s="90">
        <v>0.21230886973296001</v>
      </c>
      <c r="P2933" s="90">
        <v>3.1089671501890001E-2</v>
      </c>
      <c r="Q2933" s="90">
        <v>85.390011049784903</v>
      </c>
      <c r="R2933" s="90">
        <v>1200</v>
      </c>
      <c r="S2933" s="90" t="s">
        <v>384</v>
      </c>
      <c r="T2933" s="90">
        <v>1200</v>
      </c>
      <c r="U2933" s="90" t="s">
        <v>382</v>
      </c>
      <c r="V2933" s="90" t="s">
        <v>381</v>
      </c>
      <c r="Z2933" s="90">
        <v>0</v>
      </c>
      <c r="AA2933" s="90">
        <v>1</v>
      </c>
      <c r="AB2933" s="90">
        <v>0.21230886973296001</v>
      </c>
      <c r="AC2933" s="90">
        <v>3.1089671501890001E-2</v>
      </c>
      <c r="AD2933" s="90">
        <v>336.03113285997199</v>
      </c>
      <c r="AF2933" s="90">
        <v>-1</v>
      </c>
      <c r="AG2933" s="90">
        <v>-1</v>
      </c>
      <c r="AH2933" s="90">
        <v>-1</v>
      </c>
      <c r="AI2933" s="90">
        <v>-1</v>
      </c>
      <c r="AJ2933" s="90">
        <v>0</v>
      </c>
      <c r="AM2933" s="90" t="s">
        <v>379</v>
      </c>
      <c r="AN2933" s="90">
        <v>-1</v>
      </c>
      <c r="AQ2933" s="90">
        <v>386</v>
      </c>
      <c r="AR2933" s="90" t="s">
        <v>302</v>
      </c>
      <c r="AS2933" s="90" t="s">
        <v>426</v>
      </c>
      <c r="AT2933" s="90" t="s">
        <v>244</v>
      </c>
      <c r="AU2933" s="90">
        <v>1.956413</v>
      </c>
      <c r="AV2933" s="90">
        <v>53.286359457457898</v>
      </c>
      <c r="AW2933" s="90">
        <v>93.932931915358907</v>
      </c>
      <c r="AX2933" s="90">
        <v>0.27253133239999999</v>
      </c>
    </row>
    <row r="2934" spans="1:50" x14ac:dyDescent="0.25">
      <c r="A2934" s="102">
        <v>830000</v>
      </c>
      <c r="B2934" s="102">
        <v>2400000</v>
      </c>
      <c r="C2934" s="102">
        <v>2400000</v>
      </c>
      <c r="D2934" s="90" t="s">
        <v>374</v>
      </c>
      <c r="E2934" s="90" t="s">
        <v>68</v>
      </c>
      <c r="F2934" s="90" t="s">
        <v>375</v>
      </c>
      <c r="G2934" s="90" t="s">
        <v>376</v>
      </c>
      <c r="H2934" s="90">
        <v>0.59</v>
      </c>
      <c r="I2934" s="90">
        <v>0.64</v>
      </c>
      <c r="J2934" s="90" t="s">
        <v>381</v>
      </c>
      <c r="K2934" s="90">
        <v>2.1106188228930001E-2</v>
      </c>
      <c r="L2934" s="90">
        <v>3678.80686335871</v>
      </c>
      <c r="M2934" s="90">
        <v>9.1467762742201906</v>
      </c>
      <c r="N2934" s="90">
        <v>1.33941775501181</v>
      </c>
      <c r="O2934" s="90">
        <v>0.19305358173166001</v>
      </c>
      <c r="P2934" s="90">
        <v>2.827000325446E-2</v>
      </c>
      <c r="Q2934" s="90">
        <v>77.645590115954406</v>
      </c>
      <c r="R2934" s="90">
        <v>8140</v>
      </c>
      <c r="S2934" s="90" t="s">
        <v>386</v>
      </c>
      <c r="T2934" s="90">
        <v>8140</v>
      </c>
      <c r="U2934" s="90" t="s">
        <v>382</v>
      </c>
      <c r="V2934" s="90" t="s">
        <v>381</v>
      </c>
      <c r="Z2934" s="90">
        <v>0</v>
      </c>
      <c r="AA2934" s="90">
        <v>1</v>
      </c>
      <c r="AB2934" s="90">
        <v>0.19305358173166001</v>
      </c>
      <c r="AC2934" s="90">
        <v>2.827000325446E-2</v>
      </c>
      <c r="AD2934" s="90">
        <v>94.603730192942095</v>
      </c>
      <c r="AF2934" s="90">
        <v>-1</v>
      </c>
      <c r="AG2934" s="90">
        <v>-1</v>
      </c>
      <c r="AH2934" s="90">
        <v>-1</v>
      </c>
      <c r="AI2934" s="90">
        <v>-1</v>
      </c>
      <c r="AJ2934" s="90">
        <v>0</v>
      </c>
      <c r="AM2934" s="90" t="s">
        <v>379</v>
      </c>
      <c r="AN2934" s="90">
        <v>-1</v>
      </c>
      <c r="AQ2934" s="90">
        <v>386</v>
      </c>
      <c r="AR2934" s="90" t="s">
        <v>302</v>
      </c>
      <c r="AS2934" s="90" t="s">
        <v>426</v>
      </c>
      <c r="AT2934" s="90" t="s">
        <v>244</v>
      </c>
      <c r="AU2934" s="90">
        <v>1.956413</v>
      </c>
      <c r="AV2934" s="90">
        <v>55.8020975453747</v>
      </c>
      <c r="AW2934" s="90">
        <v>85.413713386656994</v>
      </c>
      <c r="AX2934" s="90">
        <v>7.6726464100000002E-2</v>
      </c>
    </row>
    <row r="2935" spans="1:50" x14ac:dyDescent="0.25">
      <c r="A2935" s="102">
        <v>830000</v>
      </c>
      <c r="B2935" s="102">
        <v>2400000</v>
      </c>
      <c r="C2935" s="102">
        <v>2400000</v>
      </c>
      <c r="D2935" s="90" t="s">
        <v>374</v>
      </c>
      <c r="E2935" s="90" t="s">
        <v>68</v>
      </c>
      <c r="F2935" s="90" t="s">
        <v>375</v>
      </c>
      <c r="G2935" s="90" t="s">
        <v>376</v>
      </c>
      <c r="H2935" s="90">
        <v>0.59</v>
      </c>
      <c r="I2935" s="90">
        <v>0.64</v>
      </c>
      <c r="J2935" s="90" t="s">
        <v>244</v>
      </c>
      <c r="K2935" s="90">
        <v>1.0321487668270001E-2</v>
      </c>
      <c r="L2935" s="90">
        <v>3678.80686335871</v>
      </c>
      <c r="M2935" s="90">
        <v>9.1467762742201906</v>
      </c>
      <c r="N2935" s="90">
        <v>1.33941775501181</v>
      </c>
      <c r="O2935" s="90">
        <v>9.4408338518779999E-2</v>
      </c>
      <c r="P2935" s="90">
        <v>1.382478384101E-2</v>
      </c>
      <c r="Q2935" s="90">
        <v>37.970759674104002</v>
      </c>
      <c r="R2935" s="90">
        <v>1210</v>
      </c>
      <c r="S2935" s="90" t="s">
        <v>385</v>
      </c>
      <c r="T2935" s="90">
        <v>1210</v>
      </c>
      <c r="U2935" s="90" t="s">
        <v>378</v>
      </c>
      <c r="V2935" s="90" t="s">
        <v>244</v>
      </c>
      <c r="Z2935" s="90">
        <v>0</v>
      </c>
      <c r="AA2935" s="90">
        <v>1</v>
      </c>
      <c r="AB2935" s="90">
        <v>9.4408338518779999E-2</v>
      </c>
      <c r="AC2935" s="90">
        <v>1.382478384101E-2</v>
      </c>
      <c r="AD2935" s="90">
        <v>440.236617847042</v>
      </c>
      <c r="AF2935" s="90">
        <v>-1</v>
      </c>
      <c r="AG2935" s="90">
        <v>-1</v>
      </c>
      <c r="AH2935" s="90">
        <v>-1</v>
      </c>
      <c r="AI2935" s="90">
        <v>-1</v>
      </c>
      <c r="AJ2935" s="90">
        <v>0</v>
      </c>
      <c r="AM2935" s="90" t="s">
        <v>379</v>
      </c>
      <c r="AN2935" s="90">
        <v>-1</v>
      </c>
      <c r="AQ2935" s="90">
        <v>386</v>
      </c>
      <c r="AR2935" s="90" t="s">
        <v>302</v>
      </c>
      <c r="AS2935" s="90" t="s">
        <v>426</v>
      </c>
      <c r="AT2935" s="90" t="s">
        <v>244</v>
      </c>
      <c r="AU2935" s="90">
        <v>1.956413</v>
      </c>
      <c r="AV2935" s="90">
        <v>31.2963501791284</v>
      </c>
      <c r="AW2935" s="90">
        <v>41.769578659059299</v>
      </c>
      <c r="AX2935" s="90">
        <v>0.35704510769999998</v>
      </c>
    </row>
    <row r="2936" spans="1:50" x14ac:dyDescent="0.25">
      <c r="A2936" s="102">
        <v>830000</v>
      </c>
      <c r="B2936" s="102">
        <v>2400000</v>
      </c>
      <c r="C2936" s="102">
        <v>2400000</v>
      </c>
      <c r="D2936" s="90" t="s">
        <v>374</v>
      </c>
      <c r="E2936" s="90" t="s">
        <v>68</v>
      </c>
      <c r="F2936" s="90" t="s">
        <v>375</v>
      </c>
      <c r="G2936" s="90" t="s">
        <v>376</v>
      </c>
      <c r="H2936" s="90">
        <v>0.59</v>
      </c>
      <c r="I2936" s="90">
        <v>0.64</v>
      </c>
      <c r="J2936" s="90" t="s">
        <v>381</v>
      </c>
      <c r="K2936" s="90">
        <v>1.9209961437079998E-2</v>
      </c>
      <c r="L2936" s="90">
        <v>3678.80686335871</v>
      </c>
      <c r="M2936" s="90">
        <v>9.1467762742201906</v>
      </c>
      <c r="N2936" s="90">
        <v>1.33941775501181</v>
      </c>
      <c r="O2936" s="90">
        <v>0.17570921950144999</v>
      </c>
      <c r="P2936" s="90">
        <v>2.5730163421919999E-2</v>
      </c>
      <c r="Q2936" s="90">
        <v>70.669737979619299</v>
      </c>
      <c r="R2936" s="90">
        <v>1210</v>
      </c>
      <c r="S2936" s="90" t="s">
        <v>385</v>
      </c>
      <c r="T2936" s="90">
        <v>1210</v>
      </c>
      <c r="U2936" s="90" t="s">
        <v>382</v>
      </c>
      <c r="V2936" s="90" t="s">
        <v>381</v>
      </c>
      <c r="Z2936" s="90">
        <v>0</v>
      </c>
      <c r="AA2936" s="90">
        <v>1</v>
      </c>
      <c r="AB2936" s="90">
        <v>0.17570921950144999</v>
      </c>
      <c r="AC2936" s="90">
        <v>2.5730163421919999E-2</v>
      </c>
      <c r="AD2936" s="90">
        <v>114.33362287073</v>
      </c>
      <c r="AF2936" s="90">
        <v>-1</v>
      </c>
      <c r="AG2936" s="90">
        <v>-1</v>
      </c>
      <c r="AH2936" s="90">
        <v>-1</v>
      </c>
      <c r="AI2936" s="90">
        <v>-1</v>
      </c>
      <c r="AJ2936" s="90">
        <v>0</v>
      </c>
      <c r="AM2936" s="90" t="s">
        <v>379</v>
      </c>
      <c r="AN2936" s="90">
        <v>-1</v>
      </c>
      <c r="AQ2936" s="90">
        <v>386</v>
      </c>
      <c r="AR2936" s="90" t="s">
        <v>302</v>
      </c>
      <c r="AS2936" s="90" t="s">
        <v>426</v>
      </c>
      <c r="AT2936" s="90" t="s">
        <v>244</v>
      </c>
      <c r="AU2936" s="90">
        <v>1.956413</v>
      </c>
      <c r="AV2936" s="90">
        <v>42.358278046677903</v>
      </c>
      <c r="AW2936" s="90">
        <v>77.739955815739705</v>
      </c>
      <c r="AX2936" s="90">
        <v>9.27279991E-2</v>
      </c>
    </row>
    <row r="2937" spans="1:50" x14ac:dyDescent="0.25">
      <c r="A2937" s="102">
        <v>830000</v>
      </c>
      <c r="B2937" s="102">
        <v>2400000</v>
      </c>
      <c r="C2937" s="102">
        <v>2400000</v>
      </c>
      <c r="D2937" s="90" t="s">
        <v>374</v>
      </c>
      <c r="E2937" s="90" t="s">
        <v>68</v>
      </c>
      <c r="F2937" s="90" t="s">
        <v>375</v>
      </c>
      <c r="G2937" s="90" t="s">
        <v>376</v>
      </c>
      <c r="H2937" s="90">
        <v>0.59</v>
      </c>
      <c r="I2937" s="90">
        <v>0.64</v>
      </c>
      <c r="J2937" s="90" t="s">
        <v>244</v>
      </c>
      <c r="K2937" s="90">
        <v>2.9414203258439998E-2</v>
      </c>
      <c r="L2937" s="90">
        <v>3676.5149706554098</v>
      </c>
      <c r="M2937" s="90">
        <v>9.1679297957029995</v>
      </c>
      <c r="N2937" s="90">
        <v>1.3484741988484199</v>
      </c>
      <c r="O2937" s="90">
        <v>0.26966735046992002</v>
      </c>
      <c r="P2937" s="90">
        <v>3.9664294173690003E-2</v>
      </c>
      <c r="Q2937" s="90">
        <v>108.14175862955901</v>
      </c>
      <c r="R2937" s="90">
        <v>1210</v>
      </c>
      <c r="S2937" s="90" t="s">
        <v>385</v>
      </c>
      <c r="T2937" s="90">
        <v>1210</v>
      </c>
      <c r="U2937" s="90" t="s">
        <v>378</v>
      </c>
      <c r="V2937" s="90" t="s">
        <v>244</v>
      </c>
      <c r="Z2937" s="90">
        <v>0</v>
      </c>
      <c r="AA2937" s="90">
        <v>1</v>
      </c>
      <c r="AB2937" s="90">
        <v>0.26966735046992002</v>
      </c>
      <c r="AC2937" s="90">
        <v>3.9664294173690003E-2</v>
      </c>
      <c r="AD2937" s="90">
        <v>552.43597233883997</v>
      </c>
      <c r="AF2937" s="90">
        <v>-1</v>
      </c>
      <c r="AG2937" s="90">
        <v>-1</v>
      </c>
      <c r="AH2937" s="90">
        <v>-1</v>
      </c>
      <c r="AI2937" s="90">
        <v>-1</v>
      </c>
      <c r="AJ2937" s="90">
        <v>0</v>
      </c>
      <c r="AM2937" s="90" t="s">
        <v>379</v>
      </c>
      <c r="AN2937" s="90">
        <v>-1</v>
      </c>
      <c r="AQ2937" s="90">
        <v>386</v>
      </c>
      <c r="AR2937" s="90" t="s">
        <v>302</v>
      </c>
      <c r="AS2937" s="90" t="s">
        <v>426</v>
      </c>
      <c r="AT2937" s="90" t="s">
        <v>244</v>
      </c>
      <c r="AU2937" s="90">
        <v>1.956413</v>
      </c>
      <c r="AV2937" s="90">
        <v>52.880484888443803</v>
      </c>
      <c r="AW2937" s="90">
        <v>119.03505736619999</v>
      </c>
      <c r="AX2937" s="90">
        <v>0.44804215110000001</v>
      </c>
    </row>
    <row r="2938" spans="1:50" x14ac:dyDescent="0.25">
      <c r="A2938" s="102">
        <v>830000</v>
      </c>
      <c r="B2938" s="102">
        <v>2400000</v>
      </c>
      <c r="C2938" s="102">
        <v>2400000</v>
      </c>
      <c r="D2938" s="90" t="s">
        <v>374</v>
      </c>
      <c r="E2938" s="90" t="s">
        <v>68</v>
      </c>
      <c r="F2938" s="90" t="s">
        <v>375</v>
      </c>
      <c r="G2938" s="90" t="s">
        <v>376</v>
      </c>
      <c r="H2938" s="90">
        <v>0.59</v>
      </c>
      <c r="I2938" s="90">
        <v>0.64</v>
      </c>
      <c r="J2938" s="90" t="s">
        <v>244</v>
      </c>
      <c r="K2938" s="90">
        <v>4.9159564942359998E-2</v>
      </c>
      <c r="L2938" s="90">
        <v>3676.5149706554098</v>
      </c>
      <c r="M2938" s="90">
        <v>9.1679297957029995</v>
      </c>
      <c r="N2938" s="90">
        <v>1.3484741988484199</v>
      </c>
      <c r="O2938" s="90">
        <v>0.4506914401789</v>
      </c>
      <c r="P2938" s="90">
        <v>6.6290404951390006E-2</v>
      </c>
      <c r="Q2938" s="90">
        <v>180.73587646151199</v>
      </c>
      <c r="R2938" s="90">
        <v>1210</v>
      </c>
      <c r="S2938" s="90" t="s">
        <v>385</v>
      </c>
      <c r="T2938" s="90">
        <v>1210</v>
      </c>
      <c r="U2938" s="90" t="s">
        <v>378</v>
      </c>
      <c r="V2938" s="90" t="s">
        <v>244</v>
      </c>
      <c r="Z2938" s="90">
        <v>0</v>
      </c>
      <c r="AA2938" s="90">
        <v>1</v>
      </c>
      <c r="AB2938" s="90">
        <v>0.4506914401789</v>
      </c>
      <c r="AC2938" s="90">
        <v>6.6290404951390006E-2</v>
      </c>
      <c r="AD2938" s="90">
        <v>824.51613771924099</v>
      </c>
      <c r="AF2938" s="90">
        <v>-1</v>
      </c>
      <c r="AG2938" s="90">
        <v>-1</v>
      </c>
      <c r="AH2938" s="90">
        <v>-1</v>
      </c>
      <c r="AI2938" s="90">
        <v>-1</v>
      </c>
      <c r="AJ2938" s="90">
        <v>0</v>
      </c>
      <c r="AM2938" s="90" t="s">
        <v>379</v>
      </c>
      <c r="AN2938" s="90">
        <v>-1</v>
      </c>
      <c r="AQ2938" s="90">
        <v>386</v>
      </c>
      <c r="AR2938" s="90" t="s">
        <v>302</v>
      </c>
      <c r="AS2938" s="90" t="s">
        <v>426</v>
      </c>
      <c r="AT2938" s="90" t="s">
        <v>244</v>
      </c>
      <c r="AU2938" s="90">
        <v>1.956413</v>
      </c>
      <c r="AV2938" s="90">
        <v>67.165498894036801</v>
      </c>
      <c r="AW2938" s="90">
        <v>198.94170110939899</v>
      </c>
      <c r="AX2938" s="90">
        <v>0.66870732990000004</v>
      </c>
    </row>
    <row r="2939" spans="1:50" x14ac:dyDescent="0.25">
      <c r="A2939" s="102">
        <v>830000</v>
      </c>
      <c r="B2939" s="102">
        <v>2400000</v>
      </c>
      <c r="C2939" s="102">
        <v>2400000</v>
      </c>
      <c r="D2939" s="90" t="s">
        <v>374</v>
      </c>
      <c r="E2939" s="90" t="s">
        <v>68</v>
      </c>
      <c r="F2939" s="90" t="s">
        <v>375</v>
      </c>
      <c r="G2939" s="90" t="s">
        <v>376</v>
      </c>
      <c r="H2939" s="90">
        <v>0.59</v>
      </c>
      <c r="I2939" s="90">
        <v>0.64</v>
      </c>
      <c r="J2939" s="90" t="s">
        <v>244</v>
      </c>
      <c r="K2939" s="90">
        <v>7.8557647365900003E-3</v>
      </c>
      <c r="L2939" s="90">
        <v>3676.5149706554098</v>
      </c>
      <c r="M2939" s="90">
        <v>9.1679297957029995</v>
      </c>
      <c r="N2939" s="90">
        <v>1.3484741988484199</v>
      </c>
      <c r="O2939" s="90">
        <v>7.2021099596640006E-2</v>
      </c>
      <c r="P2939" s="90">
        <v>1.059329605951E-2</v>
      </c>
      <c r="Q2939" s="90">
        <v>28.881836660030999</v>
      </c>
      <c r="R2939" s="90">
        <v>1210</v>
      </c>
      <c r="S2939" s="90" t="s">
        <v>385</v>
      </c>
      <c r="T2939" s="90">
        <v>1210</v>
      </c>
      <c r="U2939" s="90" t="s">
        <v>378</v>
      </c>
      <c r="V2939" s="90" t="s">
        <v>244</v>
      </c>
      <c r="Z2939" s="90">
        <v>0</v>
      </c>
      <c r="AA2939" s="90">
        <v>1</v>
      </c>
      <c r="AB2939" s="90">
        <v>7.2021099596640006E-2</v>
      </c>
      <c r="AC2939" s="90">
        <v>1.059329605951E-2</v>
      </c>
      <c r="AD2939" s="90">
        <v>180.90116701779399</v>
      </c>
      <c r="AF2939" s="90">
        <v>-1</v>
      </c>
      <c r="AG2939" s="90">
        <v>-1</v>
      </c>
      <c r="AH2939" s="90">
        <v>-1</v>
      </c>
      <c r="AI2939" s="90">
        <v>-1</v>
      </c>
      <c r="AJ2939" s="90">
        <v>0</v>
      </c>
      <c r="AM2939" s="90" t="s">
        <v>379</v>
      </c>
      <c r="AN2939" s="90">
        <v>-1</v>
      </c>
      <c r="AQ2939" s="90">
        <v>386</v>
      </c>
      <c r="AR2939" s="90" t="s">
        <v>302</v>
      </c>
      <c r="AS2939" s="90" t="s">
        <v>426</v>
      </c>
      <c r="AT2939" s="90" t="s">
        <v>244</v>
      </c>
      <c r="AU2939" s="90">
        <v>1.956413</v>
      </c>
      <c r="AV2939" s="90">
        <v>24.594535152752702</v>
      </c>
      <c r="AW2939" s="90">
        <v>31.791151977145699</v>
      </c>
      <c r="AX2939" s="90">
        <v>0.14671627500000001</v>
      </c>
    </row>
    <row r="2940" spans="1:50" x14ac:dyDescent="0.25">
      <c r="A2940" s="102">
        <v>830000</v>
      </c>
      <c r="B2940" s="102">
        <v>2400000</v>
      </c>
      <c r="C2940" s="102">
        <v>2400000</v>
      </c>
      <c r="D2940" s="90" t="s">
        <v>374</v>
      </c>
      <c r="E2940" s="90" t="s">
        <v>68</v>
      </c>
      <c r="F2940" s="90" t="s">
        <v>375</v>
      </c>
      <c r="G2940" s="90" t="s">
        <v>376</v>
      </c>
      <c r="H2940" s="90">
        <v>0.59</v>
      </c>
      <c r="I2940" s="90">
        <v>0.64</v>
      </c>
      <c r="J2940" s="90" t="s">
        <v>381</v>
      </c>
      <c r="K2940" s="90">
        <v>7.2129294894709997E-2</v>
      </c>
      <c r="L2940" s="90">
        <v>3693.0431339332199</v>
      </c>
      <c r="M2940" s="90">
        <v>9.0143298737518496</v>
      </c>
      <c r="N2940" s="90">
        <v>1.28276681606152</v>
      </c>
      <c r="O2940" s="90">
        <v>0.65019725774207004</v>
      </c>
      <c r="P2940" s="90">
        <v>9.2525065956850006E-2</v>
      </c>
      <c r="Q2940" s="90">
        <v>266.37659726636798</v>
      </c>
      <c r="R2940" s="90">
        <v>8140</v>
      </c>
      <c r="S2940" s="90" t="s">
        <v>386</v>
      </c>
      <c r="T2940" s="90">
        <v>8140</v>
      </c>
      <c r="U2940" s="90" t="s">
        <v>382</v>
      </c>
      <c r="V2940" s="90" t="s">
        <v>381</v>
      </c>
      <c r="Z2940" s="90">
        <v>0</v>
      </c>
      <c r="AA2940" s="90">
        <v>1</v>
      </c>
      <c r="AB2940" s="90">
        <v>0.65019725774207004</v>
      </c>
      <c r="AC2940" s="90">
        <v>9.2525065956850006E-2</v>
      </c>
      <c r="AD2940" s="90">
        <v>606.94846971817401</v>
      </c>
      <c r="AF2940" s="90">
        <v>-1</v>
      </c>
      <c r="AG2940" s="90">
        <v>-1</v>
      </c>
      <c r="AH2940" s="90">
        <v>-1</v>
      </c>
      <c r="AI2940" s="90">
        <v>-1</v>
      </c>
      <c r="AJ2940" s="90">
        <v>0</v>
      </c>
      <c r="AM2940" s="90" t="s">
        <v>379</v>
      </c>
      <c r="AN2940" s="90">
        <v>-1</v>
      </c>
      <c r="AQ2940" s="90">
        <v>386</v>
      </c>
      <c r="AR2940" s="90" t="s">
        <v>302</v>
      </c>
      <c r="AS2940" s="90" t="s">
        <v>426</v>
      </c>
      <c r="AT2940" s="90" t="s">
        <v>244</v>
      </c>
      <c r="AU2940" s="90">
        <v>1.956413</v>
      </c>
      <c r="AV2940" s="90">
        <v>111.848490936747</v>
      </c>
      <c r="AW2940" s="90">
        <v>291.89690028785498</v>
      </c>
      <c r="AX2940" s="90">
        <v>0.49225342230000002</v>
      </c>
    </row>
    <row r="2941" spans="1:50" x14ac:dyDescent="0.25">
      <c r="A2941" s="102">
        <v>830000</v>
      </c>
      <c r="B2941" s="102">
        <v>2400000</v>
      </c>
      <c r="C2941" s="102">
        <v>2400000</v>
      </c>
      <c r="D2941" s="90" t="s">
        <v>374</v>
      </c>
      <c r="E2941" s="90" t="s">
        <v>68</v>
      </c>
      <c r="F2941" s="90" t="s">
        <v>375</v>
      </c>
      <c r="G2941" s="90" t="s">
        <v>376</v>
      </c>
      <c r="H2941" s="90">
        <v>0.59</v>
      </c>
      <c r="I2941" s="90">
        <v>0.64</v>
      </c>
      <c r="J2941" s="90" t="s">
        <v>244</v>
      </c>
      <c r="K2941" s="90">
        <v>6.0014151752459999E-2</v>
      </c>
      <c r="L2941" s="90">
        <v>3682.4933674471799</v>
      </c>
      <c r="M2941" s="90">
        <v>9.1820781413646895</v>
      </c>
      <c r="N2941" s="90">
        <v>1.3505294205817899</v>
      </c>
      <c r="O2941" s="90">
        <v>0.55105463097887997</v>
      </c>
      <c r="P2941" s="90">
        <v>8.105087759297E-2</v>
      </c>
      <c r="Q2941" s="90">
        <v>221.001715781435</v>
      </c>
      <c r="R2941" s="90">
        <v>1200</v>
      </c>
      <c r="S2941" s="90" t="s">
        <v>384</v>
      </c>
      <c r="T2941" s="90">
        <v>1200</v>
      </c>
      <c r="U2941" s="90" t="s">
        <v>378</v>
      </c>
      <c r="V2941" s="90" t="s">
        <v>244</v>
      </c>
      <c r="Z2941" s="90">
        <v>0</v>
      </c>
      <c r="AA2941" s="90">
        <v>1</v>
      </c>
      <c r="AB2941" s="90">
        <v>0.55105463097887997</v>
      </c>
      <c r="AC2941" s="90">
        <v>8.105087759297E-2</v>
      </c>
      <c r="AD2941" s="90">
        <v>550.49871567346304</v>
      </c>
      <c r="AF2941" s="90">
        <v>-1</v>
      </c>
      <c r="AG2941" s="90">
        <v>-1</v>
      </c>
      <c r="AH2941" s="90">
        <v>-1</v>
      </c>
      <c r="AI2941" s="90">
        <v>-1</v>
      </c>
      <c r="AJ2941" s="90">
        <v>0</v>
      </c>
      <c r="AM2941" s="90" t="s">
        <v>379</v>
      </c>
      <c r="AN2941" s="90">
        <v>-1</v>
      </c>
      <c r="AQ2941" s="90">
        <v>386</v>
      </c>
      <c r="AR2941" s="90" t="s">
        <v>302</v>
      </c>
      <c r="AS2941" s="90" t="s">
        <v>426</v>
      </c>
      <c r="AT2941" s="90" t="s">
        <v>244</v>
      </c>
      <c r="AU2941" s="90">
        <v>1.956413</v>
      </c>
      <c r="AV2941" s="90">
        <v>110.103197315605</v>
      </c>
      <c r="AW2941" s="90">
        <v>242.868655454367</v>
      </c>
      <c r="AX2941" s="90">
        <v>0.4464709778</v>
      </c>
    </row>
    <row r="2942" spans="1:50" x14ac:dyDescent="0.25">
      <c r="A2942" s="102">
        <v>830000</v>
      </c>
      <c r="B2942" s="102">
        <v>2400000</v>
      </c>
      <c r="C2942" s="102">
        <v>2400000</v>
      </c>
      <c r="D2942" s="90" t="s">
        <v>374</v>
      </c>
      <c r="E2942" s="90" t="s">
        <v>68</v>
      </c>
      <c r="F2942" s="90" t="s">
        <v>375</v>
      </c>
      <c r="G2942" s="90" t="s">
        <v>376</v>
      </c>
      <c r="H2942" s="90">
        <v>0.59</v>
      </c>
      <c r="I2942" s="90">
        <v>0.64</v>
      </c>
      <c r="J2942" s="90" t="s">
        <v>244</v>
      </c>
      <c r="K2942" s="90">
        <v>6.5912572802300007E-2</v>
      </c>
      <c r="L2942" s="90">
        <v>3688.6581817451201</v>
      </c>
      <c r="M2942" s="90">
        <v>9.0553216233600704</v>
      </c>
      <c r="N2942" s="90">
        <v>1.3002902112957999</v>
      </c>
      <c r="O2942" s="90">
        <v>0.59685954574799005</v>
      </c>
      <c r="P2942" s="90">
        <v>8.5705473216150005E-2</v>
      </c>
      <c r="Q2942" s="90">
        <v>243.12895094709</v>
      </c>
      <c r="R2942" s="90">
        <v>1200</v>
      </c>
      <c r="S2942" s="90" t="s">
        <v>384</v>
      </c>
      <c r="T2942" s="90">
        <v>1200</v>
      </c>
      <c r="U2942" s="90" t="s">
        <v>378</v>
      </c>
      <c r="V2942" s="90" t="s">
        <v>244</v>
      </c>
      <c r="Z2942" s="90">
        <v>0</v>
      </c>
      <c r="AA2942" s="90">
        <v>1</v>
      </c>
      <c r="AB2942" s="90">
        <v>0.59685954574799005</v>
      </c>
      <c r="AC2942" s="90">
        <v>8.5705473216150005E-2</v>
      </c>
      <c r="AD2942" s="90">
        <v>421.38338159962802</v>
      </c>
      <c r="AF2942" s="90">
        <v>-1</v>
      </c>
      <c r="AG2942" s="90">
        <v>-1</v>
      </c>
      <c r="AH2942" s="90">
        <v>-1</v>
      </c>
      <c r="AI2942" s="90">
        <v>-1</v>
      </c>
      <c r="AJ2942" s="90">
        <v>0</v>
      </c>
      <c r="AM2942" s="90" t="s">
        <v>379</v>
      </c>
      <c r="AN2942" s="90">
        <v>-1</v>
      </c>
      <c r="AQ2942" s="90">
        <v>386</v>
      </c>
      <c r="AR2942" s="90" t="s">
        <v>302</v>
      </c>
      <c r="AS2942" s="90" t="s">
        <v>426</v>
      </c>
      <c r="AT2942" s="90" t="s">
        <v>244</v>
      </c>
      <c r="AU2942" s="90">
        <v>1.956413</v>
      </c>
      <c r="AV2942" s="90">
        <v>78.701031741333793</v>
      </c>
      <c r="AW2942" s="90">
        <v>266.73871856190999</v>
      </c>
      <c r="AX2942" s="90">
        <v>0.34175456739999999</v>
      </c>
    </row>
    <row r="2943" spans="1:50" x14ac:dyDescent="0.25">
      <c r="A2943" s="102">
        <v>830000</v>
      </c>
      <c r="B2943" s="102">
        <v>2400000</v>
      </c>
      <c r="C2943" s="102">
        <v>2400000</v>
      </c>
      <c r="D2943" s="90" t="s">
        <v>374</v>
      </c>
      <c r="E2943" s="90" t="s">
        <v>68</v>
      </c>
      <c r="F2943" s="90" t="s">
        <v>375</v>
      </c>
      <c r="G2943" s="90" t="s">
        <v>376</v>
      </c>
      <c r="H2943" s="90">
        <v>0.59</v>
      </c>
      <c r="I2943" s="90">
        <v>0.64</v>
      </c>
      <c r="J2943" s="90" t="s">
        <v>381</v>
      </c>
      <c r="K2943" s="90">
        <v>3.6194684095199998E-2</v>
      </c>
      <c r="L2943" s="90">
        <v>3688.6581817451201</v>
      </c>
      <c r="M2943" s="90">
        <v>9.0553216233600704</v>
      </c>
      <c r="N2943" s="90">
        <v>1.3002902112957999</v>
      </c>
      <c r="O2943" s="90">
        <v>0.32775450553794999</v>
      </c>
      <c r="P2943" s="90">
        <v>4.7063593429930002E-2</v>
      </c>
      <c r="Q2943" s="90">
        <v>133.50981762343901</v>
      </c>
      <c r="R2943" s="90">
        <v>1200</v>
      </c>
      <c r="S2943" s="90" t="s">
        <v>384</v>
      </c>
      <c r="T2943" s="90">
        <v>1200</v>
      </c>
      <c r="U2943" s="90" t="s">
        <v>382</v>
      </c>
      <c r="V2943" s="90" t="s">
        <v>381</v>
      </c>
      <c r="Z2943" s="90">
        <v>0</v>
      </c>
      <c r="AA2943" s="90">
        <v>1</v>
      </c>
      <c r="AB2943" s="90">
        <v>0.32775450553794999</v>
      </c>
      <c r="AC2943" s="90">
        <v>4.7063593429930002E-2</v>
      </c>
      <c r="AD2943" s="90">
        <v>267.590538323212</v>
      </c>
      <c r="AF2943" s="90">
        <v>-1</v>
      </c>
      <c r="AG2943" s="90">
        <v>-1</v>
      </c>
      <c r="AH2943" s="90">
        <v>-1</v>
      </c>
      <c r="AI2943" s="90">
        <v>-1</v>
      </c>
      <c r="AJ2943" s="90">
        <v>0</v>
      </c>
      <c r="AM2943" s="90" t="s">
        <v>379</v>
      </c>
      <c r="AN2943" s="90">
        <v>-1</v>
      </c>
      <c r="AQ2943" s="90">
        <v>386</v>
      </c>
      <c r="AR2943" s="90" t="s">
        <v>302</v>
      </c>
      <c r="AS2943" s="90" t="s">
        <v>426</v>
      </c>
      <c r="AT2943" s="90" t="s">
        <v>244</v>
      </c>
      <c r="AU2943" s="90">
        <v>1.956413</v>
      </c>
      <c r="AV2943" s="90">
        <v>67.721394474265196</v>
      </c>
      <c r="AW2943" s="90">
        <v>146.4746897874</v>
      </c>
      <c r="AX2943" s="90">
        <v>0.2170239565</v>
      </c>
    </row>
    <row r="2944" spans="1:50" x14ac:dyDescent="0.25">
      <c r="A2944" s="102">
        <v>830000</v>
      </c>
      <c r="B2944" s="102">
        <v>2400000</v>
      </c>
      <c r="C2944" s="102">
        <v>2400000</v>
      </c>
      <c r="D2944" s="90" t="s">
        <v>374</v>
      </c>
      <c r="E2944" s="90" t="s">
        <v>68</v>
      </c>
      <c r="F2944" s="90" t="s">
        <v>375</v>
      </c>
      <c r="G2944" s="90" t="s">
        <v>376</v>
      </c>
      <c r="H2944" s="90">
        <v>0.59</v>
      </c>
      <c r="I2944" s="90">
        <v>0.64</v>
      </c>
      <c r="J2944" s="90" t="s">
        <v>381</v>
      </c>
      <c r="K2944" s="90">
        <v>6.5902741308880006E-2</v>
      </c>
      <c r="L2944" s="90">
        <v>3688.6581817451201</v>
      </c>
      <c r="M2944" s="90">
        <v>9.0553216233600704</v>
      </c>
      <c r="N2944" s="90">
        <v>1.3002902112957999</v>
      </c>
      <c r="O2944" s="90">
        <v>0.596770518413</v>
      </c>
      <c r="P2944" s="90">
        <v>8.5692689421489998E-2</v>
      </c>
      <c r="Q2944" s="90">
        <v>243.09268592843199</v>
      </c>
      <c r="R2944" s="90">
        <v>8140</v>
      </c>
      <c r="S2944" s="90" t="s">
        <v>386</v>
      </c>
      <c r="T2944" s="90">
        <v>8140</v>
      </c>
      <c r="U2944" s="90" t="s">
        <v>382</v>
      </c>
      <c r="V2944" s="90" t="s">
        <v>381</v>
      </c>
      <c r="Z2944" s="90">
        <v>0</v>
      </c>
      <c r="AA2944" s="90">
        <v>1</v>
      </c>
      <c r="AB2944" s="90">
        <v>0.596770518413</v>
      </c>
      <c r="AC2944" s="90">
        <v>8.5692689421489998E-2</v>
      </c>
      <c r="AD2944" s="90">
        <v>504.55699842562501</v>
      </c>
      <c r="AF2944" s="90">
        <v>-1</v>
      </c>
      <c r="AG2944" s="90">
        <v>-1</v>
      </c>
      <c r="AH2944" s="90">
        <v>-1</v>
      </c>
      <c r="AI2944" s="90">
        <v>-1</v>
      </c>
      <c r="AJ2944" s="90">
        <v>0</v>
      </c>
      <c r="AM2944" s="90" t="s">
        <v>379</v>
      </c>
      <c r="AN2944" s="90">
        <v>-1</v>
      </c>
      <c r="AQ2944" s="90">
        <v>386</v>
      </c>
      <c r="AR2944" s="90" t="s">
        <v>302</v>
      </c>
      <c r="AS2944" s="90" t="s">
        <v>426</v>
      </c>
      <c r="AT2944" s="90" t="s">
        <v>244</v>
      </c>
      <c r="AU2944" s="90">
        <v>1.956413</v>
      </c>
      <c r="AV2944" s="90">
        <v>72.640063479127804</v>
      </c>
      <c r="AW2944" s="90">
        <v>266.698931919605</v>
      </c>
      <c r="AX2944" s="90">
        <v>0.40921086649999999</v>
      </c>
    </row>
    <row r="2945" spans="1:50" x14ac:dyDescent="0.25">
      <c r="A2945" s="102">
        <v>830000</v>
      </c>
      <c r="B2945" s="102">
        <v>2400000</v>
      </c>
      <c r="C2945" s="102">
        <v>2400000</v>
      </c>
      <c r="D2945" s="90" t="s">
        <v>374</v>
      </c>
      <c r="E2945" s="90" t="s">
        <v>68</v>
      </c>
      <c r="F2945" s="90" t="s">
        <v>375</v>
      </c>
      <c r="G2945" s="90" t="s">
        <v>376</v>
      </c>
      <c r="H2945" s="90">
        <v>0.59</v>
      </c>
      <c r="I2945" s="90">
        <v>0.64</v>
      </c>
      <c r="J2945" s="90" t="s">
        <v>244</v>
      </c>
      <c r="K2945" s="90">
        <v>9.2234659191070004E-2</v>
      </c>
      <c r="L2945" s="90">
        <v>3688.6581817451201</v>
      </c>
      <c r="M2945" s="90">
        <v>9.0553216233600704</v>
      </c>
      <c r="N2945" s="90">
        <v>1.3002902112957999</v>
      </c>
      <c r="O2945" s="90">
        <v>0.83521450379617002</v>
      </c>
      <c r="P2945" s="90">
        <v>0.11993182448835001</v>
      </c>
      <c r="Q2945" s="90">
        <v>340.22213026562798</v>
      </c>
      <c r="R2945" s="90">
        <v>1210</v>
      </c>
      <c r="S2945" s="90" t="s">
        <v>385</v>
      </c>
      <c r="T2945" s="90">
        <v>1210</v>
      </c>
      <c r="U2945" s="90" t="s">
        <v>378</v>
      </c>
      <c r="V2945" s="90" t="s">
        <v>244</v>
      </c>
      <c r="Z2945" s="90">
        <v>0</v>
      </c>
      <c r="AA2945" s="90">
        <v>1</v>
      </c>
      <c r="AB2945" s="90">
        <v>0.83521450379617002</v>
      </c>
      <c r="AC2945" s="90">
        <v>0.11993182448835001</v>
      </c>
      <c r="AD2945" s="90">
        <v>340.222130265629</v>
      </c>
      <c r="AF2945" s="90">
        <v>-1</v>
      </c>
      <c r="AG2945" s="90">
        <v>-1</v>
      </c>
      <c r="AH2945" s="90">
        <v>-1</v>
      </c>
      <c r="AI2945" s="90">
        <v>-1</v>
      </c>
      <c r="AJ2945" s="90">
        <v>0</v>
      </c>
      <c r="AM2945" s="90" t="s">
        <v>379</v>
      </c>
      <c r="AN2945" s="90">
        <v>-1</v>
      </c>
      <c r="AQ2945" s="90">
        <v>386</v>
      </c>
      <c r="AR2945" s="90" t="s">
        <v>302</v>
      </c>
      <c r="AS2945" s="90" t="s">
        <v>426</v>
      </c>
      <c r="AT2945" s="90" t="s">
        <v>244</v>
      </c>
      <c r="AU2945" s="90">
        <v>1.956413</v>
      </c>
      <c r="AV2945" s="90">
        <v>81.578810119177902</v>
      </c>
      <c r="AW2945" s="90">
        <v>373.26042291527301</v>
      </c>
      <c r="AX2945" s="90">
        <v>0.27593035710000002</v>
      </c>
    </row>
    <row r="2946" spans="1:50" x14ac:dyDescent="0.25">
      <c r="A2946" s="102">
        <v>830000</v>
      </c>
      <c r="B2946" s="102">
        <v>2400000</v>
      </c>
      <c r="C2946" s="102">
        <v>2400000</v>
      </c>
      <c r="D2946" s="90" t="s">
        <v>374</v>
      </c>
      <c r="E2946" s="90" t="s">
        <v>68</v>
      </c>
      <c r="F2946" s="90" t="s">
        <v>375</v>
      </c>
      <c r="G2946" s="90" t="s">
        <v>376</v>
      </c>
      <c r="H2946" s="90">
        <v>0.59</v>
      </c>
      <c r="I2946" s="90">
        <v>0.64</v>
      </c>
      <c r="J2946" s="90" t="s">
        <v>381</v>
      </c>
      <c r="K2946" s="90">
        <v>1.7657572650029998E-2</v>
      </c>
      <c r="L2946" s="90">
        <v>3688.6581817451201</v>
      </c>
      <c r="M2946" s="90">
        <v>9.0553216233600704</v>
      </c>
      <c r="N2946" s="90">
        <v>1.3002902112957999</v>
      </c>
      <c r="O2946" s="90">
        <v>0.15989499943388</v>
      </c>
      <c r="P2946" s="90">
        <v>2.2959968872079999E-2</v>
      </c>
      <c r="Q2946" s="90">
        <v>65.132749825299499</v>
      </c>
      <c r="R2946" s="90">
        <v>1210</v>
      </c>
      <c r="S2946" s="90" t="s">
        <v>385</v>
      </c>
      <c r="T2946" s="90">
        <v>1210</v>
      </c>
      <c r="U2946" s="90" t="s">
        <v>382</v>
      </c>
      <c r="V2946" s="90" t="s">
        <v>381</v>
      </c>
      <c r="Z2946" s="90">
        <v>0</v>
      </c>
      <c r="AA2946" s="90">
        <v>1</v>
      </c>
      <c r="AB2946" s="90">
        <v>0.15989499943388</v>
      </c>
      <c r="AC2946" s="90">
        <v>2.2959968872079999E-2</v>
      </c>
      <c r="AD2946" s="90">
        <v>65.132749825299101</v>
      </c>
      <c r="AF2946" s="90">
        <v>-1</v>
      </c>
      <c r="AG2946" s="90">
        <v>-1</v>
      </c>
      <c r="AH2946" s="90">
        <v>-1</v>
      </c>
      <c r="AI2946" s="90">
        <v>-1</v>
      </c>
      <c r="AJ2946" s="90">
        <v>0</v>
      </c>
      <c r="AM2946" s="90" t="s">
        <v>379</v>
      </c>
      <c r="AN2946" s="90">
        <v>-1</v>
      </c>
      <c r="AQ2946" s="90">
        <v>386</v>
      </c>
      <c r="AR2946" s="90" t="s">
        <v>302</v>
      </c>
      <c r="AS2946" s="90" t="s">
        <v>426</v>
      </c>
      <c r="AT2946" s="90" t="s">
        <v>244</v>
      </c>
      <c r="AU2946" s="90">
        <v>1.956413</v>
      </c>
      <c r="AV2946" s="90">
        <v>40.672537583405202</v>
      </c>
      <c r="AW2946" s="90">
        <v>71.457661282776101</v>
      </c>
      <c r="AX2946" s="90">
        <v>5.28246146E-2</v>
      </c>
    </row>
    <row r="2947" spans="1:50" x14ac:dyDescent="0.25">
      <c r="A2947" s="102">
        <v>830000</v>
      </c>
      <c r="B2947" s="102">
        <v>2400000</v>
      </c>
      <c r="C2947" s="102">
        <v>2400000</v>
      </c>
      <c r="D2947" s="90" t="s">
        <v>374</v>
      </c>
      <c r="E2947" s="90" t="s">
        <v>68</v>
      </c>
      <c r="F2947" s="90" t="s">
        <v>375</v>
      </c>
      <c r="G2947" s="90" t="s">
        <v>376</v>
      </c>
      <c r="H2947" s="90">
        <v>0.59</v>
      </c>
      <c r="I2947" s="90">
        <v>0.64</v>
      </c>
      <c r="J2947" s="90" t="s">
        <v>244</v>
      </c>
      <c r="K2947" s="90">
        <v>1.357595459996E-2</v>
      </c>
      <c r="L2947" s="90">
        <v>3688.6581817451201</v>
      </c>
      <c r="M2947" s="90">
        <v>9.0553216233600704</v>
      </c>
      <c r="N2947" s="90">
        <v>1.3002902112957999</v>
      </c>
      <c r="O2947" s="90">
        <v>0.12293463524683999</v>
      </c>
      <c r="P2947" s="90">
        <v>1.765268087533E-2</v>
      </c>
      <c r="Q2947" s="90">
        <v>50.077056010172299</v>
      </c>
      <c r="R2947" s="90">
        <v>1210</v>
      </c>
      <c r="S2947" s="90" t="s">
        <v>385</v>
      </c>
      <c r="T2947" s="90">
        <v>1210</v>
      </c>
      <c r="U2947" s="90" t="s">
        <v>378</v>
      </c>
      <c r="V2947" s="90" t="s">
        <v>244</v>
      </c>
      <c r="Z2947" s="90">
        <v>0</v>
      </c>
      <c r="AA2947" s="90">
        <v>1</v>
      </c>
      <c r="AB2947" s="90">
        <v>0.12293463524683999</v>
      </c>
      <c r="AC2947" s="90">
        <v>1.765268087533E-2</v>
      </c>
      <c r="AD2947" s="90">
        <v>50.077056010172299</v>
      </c>
      <c r="AF2947" s="90">
        <v>-1</v>
      </c>
      <c r="AG2947" s="90">
        <v>-1</v>
      </c>
      <c r="AH2947" s="90">
        <v>-1</v>
      </c>
      <c r="AI2947" s="90">
        <v>-1</v>
      </c>
      <c r="AJ2947" s="90">
        <v>0</v>
      </c>
      <c r="AM2947" s="90" t="s">
        <v>379</v>
      </c>
      <c r="AN2947" s="90">
        <v>-1</v>
      </c>
      <c r="AQ2947" s="90">
        <v>386</v>
      </c>
      <c r="AR2947" s="90" t="s">
        <v>302</v>
      </c>
      <c r="AS2947" s="90" t="s">
        <v>426</v>
      </c>
      <c r="AT2947" s="90" t="s">
        <v>244</v>
      </c>
      <c r="AU2947" s="90">
        <v>1.956413</v>
      </c>
      <c r="AV2947" s="90">
        <v>33.266587791230201</v>
      </c>
      <c r="AW2947" s="90">
        <v>54.939939063091302</v>
      </c>
      <c r="AX2947" s="90">
        <v>4.0613995100000001E-2</v>
      </c>
    </row>
    <row r="2948" spans="1:50" x14ac:dyDescent="0.25">
      <c r="A2948" s="102">
        <v>830000</v>
      </c>
      <c r="B2948" s="102">
        <v>2400000</v>
      </c>
      <c r="C2948" s="102">
        <v>2400000</v>
      </c>
      <c r="D2948" s="90" t="s">
        <v>374</v>
      </c>
      <c r="E2948" s="90" t="s">
        <v>68</v>
      </c>
      <c r="F2948" s="90" t="s">
        <v>375</v>
      </c>
      <c r="G2948" s="90" t="s">
        <v>376</v>
      </c>
      <c r="H2948" s="90">
        <v>0.59</v>
      </c>
      <c r="I2948" s="90">
        <v>0.64</v>
      </c>
      <c r="J2948" s="90" t="s">
        <v>381</v>
      </c>
      <c r="K2948" s="90">
        <v>5.8853157824389997E-2</v>
      </c>
      <c r="L2948" s="90">
        <v>3698.2326025676398</v>
      </c>
      <c r="M2948" s="90">
        <v>8.9655838478567595</v>
      </c>
      <c r="N2948" s="90">
        <v>1.2619402701629501</v>
      </c>
      <c r="O2948" s="90">
        <v>0.52765292118571006</v>
      </c>
      <c r="P2948" s="90">
        <v>7.4269169884849995E-2</v>
      </c>
      <c r="Q2948" s="90">
        <v>217.652667030218</v>
      </c>
      <c r="R2948" s="90">
        <v>8140</v>
      </c>
      <c r="S2948" s="90" t="s">
        <v>386</v>
      </c>
      <c r="T2948" s="90">
        <v>8140</v>
      </c>
      <c r="U2948" s="90" t="s">
        <v>382</v>
      </c>
      <c r="V2948" s="90" t="s">
        <v>381</v>
      </c>
      <c r="Z2948" s="90">
        <v>0</v>
      </c>
      <c r="AA2948" s="90">
        <v>1</v>
      </c>
      <c r="AB2948" s="90">
        <v>0.52765292118571006</v>
      </c>
      <c r="AC2948" s="90">
        <v>7.4269169884849995E-2</v>
      </c>
      <c r="AD2948" s="90">
        <v>749.023354276041</v>
      </c>
      <c r="AF2948" s="90">
        <v>-1</v>
      </c>
      <c r="AG2948" s="90">
        <v>-1</v>
      </c>
      <c r="AH2948" s="90">
        <v>-1</v>
      </c>
      <c r="AI2948" s="90">
        <v>-1</v>
      </c>
      <c r="AJ2948" s="90">
        <v>0</v>
      </c>
      <c r="AM2948" s="90" t="s">
        <v>379</v>
      </c>
      <c r="AN2948" s="90">
        <v>-1</v>
      </c>
      <c r="AQ2948" s="90">
        <v>386</v>
      </c>
      <c r="AR2948" s="90" t="s">
        <v>302</v>
      </c>
      <c r="AS2948" s="90" t="s">
        <v>426</v>
      </c>
      <c r="AT2948" s="90" t="s">
        <v>244</v>
      </c>
      <c r="AU2948" s="90">
        <v>1.956413</v>
      </c>
      <c r="AV2948" s="90">
        <v>71.705488209366393</v>
      </c>
      <c r="AW2948" s="90">
        <v>238.170279720151</v>
      </c>
      <c r="AX2948" s="90">
        <v>0.6074804171</v>
      </c>
    </row>
    <row r="2949" spans="1:50" x14ac:dyDescent="0.25">
      <c r="A2949" s="102">
        <v>830000</v>
      </c>
      <c r="B2949" s="102">
        <v>2400000</v>
      </c>
      <c r="C2949" s="102">
        <v>2400000</v>
      </c>
      <c r="D2949" s="90" t="s">
        <v>374</v>
      </c>
      <c r="E2949" s="90" t="s">
        <v>68</v>
      </c>
      <c r="F2949" s="90" t="s">
        <v>375</v>
      </c>
      <c r="G2949" s="90" t="s">
        <v>376</v>
      </c>
      <c r="H2949" s="90">
        <v>0.59</v>
      </c>
      <c r="I2949" s="90">
        <v>0.64</v>
      </c>
      <c r="J2949" s="90" t="s">
        <v>381</v>
      </c>
      <c r="K2949" s="90">
        <v>4.8583785498479998E-2</v>
      </c>
      <c r="L2949" s="90">
        <v>3684.7036721086001</v>
      </c>
      <c r="M2949" s="90">
        <v>9.0921379452283997</v>
      </c>
      <c r="N2949" s="90">
        <v>1.31603626066477</v>
      </c>
      <c r="O2949" s="90">
        <v>0.44173047965360002</v>
      </c>
      <c r="P2949" s="90">
        <v>6.3938023396359997E-2</v>
      </c>
      <c r="Q2949" s="90">
        <v>179.0168528312</v>
      </c>
      <c r="R2949" s="90">
        <v>1200</v>
      </c>
      <c r="S2949" s="90" t="s">
        <v>384</v>
      </c>
      <c r="T2949" s="90">
        <v>1200</v>
      </c>
      <c r="U2949" s="90" t="s">
        <v>382</v>
      </c>
      <c r="V2949" s="90" t="s">
        <v>381</v>
      </c>
      <c r="Z2949" s="90">
        <v>0</v>
      </c>
      <c r="AA2949" s="90">
        <v>1</v>
      </c>
      <c r="AB2949" s="90">
        <v>0.44173047965360002</v>
      </c>
      <c r="AC2949" s="90">
        <v>6.3938023396359997E-2</v>
      </c>
      <c r="AD2949" s="90">
        <v>179.0168528312</v>
      </c>
      <c r="AF2949" s="90">
        <v>-1</v>
      </c>
      <c r="AG2949" s="90">
        <v>-1</v>
      </c>
      <c r="AH2949" s="90">
        <v>-1</v>
      </c>
      <c r="AI2949" s="90">
        <v>-1</v>
      </c>
      <c r="AJ2949" s="90">
        <v>0</v>
      </c>
      <c r="AM2949" s="90" t="s">
        <v>379</v>
      </c>
      <c r="AN2949" s="90">
        <v>-1</v>
      </c>
      <c r="AQ2949" s="90">
        <v>386</v>
      </c>
      <c r="AR2949" s="90" t="s">
        <v>302</v>
      </c>
      <c r="AS2949" s="90" t="s">
        <v>426</v>
      </c>
      <c r="AT2949" s="90" t="s">
        <v>244</v>
      </c>
      <c r="AU2949" s="90">
        <v>1.956413</v>
      </c>
      <c r="AV2949" s="90">
        <v>108.842158535794</v>
      </c>
      <c r="AW2949" s="90">
        <v>196.61160436904299</v>
      </c>
      <c r="AX2949" s="90">
        <v>0.14518803960000001</v>
      </c>
    </row>
    <row r="2950" spans="1:50" x14ac:dyDescent="0.25">
      <c r="A2950" s="102">
        <v>830000</v>
      </c>
      <c r="B2950" s="102">
        <v>2400000</v>
      </c>
      <c r="C2950" s="102">
        <v>2400000</v>
      </c>
      <c r="D2950" s="90" t="s">
        <v>374</v>
      </c>
      <c r="E2950" s="90" t="s">
        <v>68</v>
      </c>
      <c r="F2950" s="90" t="s">
        <v>375</v>
      </c>
      <c r="G2950" s="90" t="s">
        <v>376</v>
      </c>
      <c r="H2950" s="90">
        <v>0.59</v>
      </c>
      <c r="I2950" s="90">
        <v>0.64</v>
      </c>
      <c r="J2950" s="90" t="s">
        <v>381</v>
      </c>
      <c r="K2950" s="90">
        <v>9.2095125579430004E-2</v>
      </c>
      <c r="L2950" s="90">
        <v>3684.7036721086001</v>
      </c>
      <c r="M2950" s="90">
        <v>9.0921379452283997</v>
      </c>
      <c r="N2950" s="90">
        <v>1.31603626066477</v>
      </c>
      <c r="O2950" s="90">
        <v>0.83734158585134999</v>
      </c>
      <c r="P2950" s="90">
        <v>0.12120052469301</v>
      </c>
      <c r="Q2950" s="90">
        <v>339.34324740584702</v>
      </c>
      <c r="R2950" s="90">
        <v>8140</v>
      </c>
      <c r="S2950" s="90" t="s">
        <v>386</v>
      </c>
      <c r="T2950" s="90">
        <v>8140</v>
      </c>
      <c r="U2950" s="90" t="s">
        <v>382</v>
      </c>
      <c r="V2950" s="90" t="s">
        <v>381</v>
      </c>
      <c r="Z2950" s="90">
        <v>0</v>
      </c>
      <c r="AA2950" s="90">
        <v>1</v>
      </c>
      <c r="AB2950" s="90">
        <v>0.83734158585134999</v>
      </c>
      <c r="AC2950" s="90">
        <v>0.12120052469301</v>
      </c>
      <c r="AD2950" s="90">
        <v>339.34324740584799</v>
      </c>
      <c r="AF2950" s="90">
        <v>-1</v>
      </c>
      <c r="AG2950" s="90">
        <v>-1</v>
      </c>
      <c r="AH2950" s="90">
        <v>-1</v>
      </c>
      <c r="AI2950" s="90">
        <v>-1</v>
      </c>
      <c r="AJ2950" s="90">
        <v>0</v>
      </c>
      <c r="AM2950" s="90" t="s">
        <v>379</v>
      </c>
      <c r="AN2950" s="90">
        <v>-1</v>
      </c>
      <c r="AQ2950" s="90">
        <v>386</v>
      </c>
      <c r="AR2950" s="90" t="s">
        <v>302</v>
      </c>
      <c r="AS2950" s="90" t="s">
        <v>426</v>
      </c>
      <c r="AT2950" s="90" t="s">
        <v>244</v>
      </c>
      <c r="AU2950" s="90">
        <v>1.956413</v>
      </c>
      <c r="AV2950" s="90">
        <v>114.523677626143</v>
      </c>
      <c r="AW2950" s="90">
        <v>372.69575042287198</v>
      </c>
      <c r="AX2950" s="90">
        <v>0.27521755669999998</v>
      </c>
    </row>
    <row r="2951" spans="1:50" x14ac:dyDescent="0.25">
      <c r="A2951" s="102">
        <v>830000</v>
      </c>
      <c r="B2951" s="102">
        <v>2400000</v>
      </c>
      <c r="C2951" s="102">
        <v>2400000</v>
      </c>
      <c r="D2951" s="90" t="s">
        <v>374</v>
      </c>
      <c r="E2951" s="90" t="s">
        <v>68</v>
      </c>
      <c r="F2951" s="90" t="s">
        <v>375</v>
      </c>
      <c r="G2951" s="90" t="s">
        <v>376</v>
      </c>
      <c r="H2951" s="90">
        <v>0.59</v>
      </c>
      <c r="I2951" s="90">
        <v>0.64</v>
      </c>
      <c r="J2951" s="90" t="s">
        <v>244</v>
      </c>
      <c r="K2951" s="90">
        <v>8.4894945152539994E-2</v>
      </c>
      <c r="L2951" s="90">
        <v>3684.7036721086001</v>
      </c>
      <c r="M2951" s="90">
        <v>9.0921379452283997</v>
      </c>
      <c r="N2951" s="90">
        <v>1.31603626066477</v>
      </c>
      <c r="O2951" s="90">
        <v>0.77187655217950002</v>
      </c>
      <c r="P2951" s="90">
        <v>0.11172482616789001</v>
      </c>
      <c r="Q2951" s="90">
        <v>312.81271614702598</v>
      </c>
      <c r="R2951" s="90">
        <v>1210</v>
      </c>
      <c r="S2951" s="90" t="s">
        <v>385</v>
      </c>
      <c r="T2951" s="90">
        <v>1210</v>
      </c>
      <c r="U2951" s="90" t="s">
        <v>378</v>
      </c>
      <c r="V2951" s="90" t="s">
        <v>244</v>
      </c>
      <c r="Z2951" s="90">
        <v>0</v>
      </c>
      <c r="AA2951" s="90">
        <v>1</v>
      </c>
      <c r="AB2951" s="90">
        <v>0.77187655217950002</v>
      </c>
      <c r="AC2951" s="90">
        <v>0.11172482616789001</v>
      </c>
      <c r="AD2951" s="90">
        <v>673.09787665828003</v>
      </c>
      <c r="AF2951" s="90">
        <v>-1</v>
      </c>
      <c r="AG2951" s="90">
        <v>-1</v>
      </c>
      <c r="AH2951" s="90">
        <v>-1</v>
      </c>
      <c r="AI2951" s="90">
        <v>-1</v>
      </c>
      <c r="AJ2951" s="90">
        <v>0</v>
      </c>
      <c r="AM2951" s="90" t="s">
        <v>379</v>
      </c>
      <c r="AN2951" s="90">
        <v>-1</v>
      </c>
      <c r="AQ2951" s="90">
        <v>386</v>
      </c>
      <c r="AR2951" s="90" t="s">
        <v>302</v>
      </c>
      <c r="AS2951" s="90" t="s">
        <v>426</v>
      </c>
      <c r="AT2951" s="90" t="s">
        <v>244</v>
      </c>
      <c r="AU2951" s="90">
        <v>1.956413</v>
      </c>
      <c r="AV2951" s="90">
        <v>107.38601247352101</v>
      </c>
      <c r="AW2951" s="90">
        <v>343.55765401985599</v>
      </c>
      <c r="AX2951" s="90">
        <v>0.54590257639999995</v>
      </c>
    </row>
    <row r="2952" spans="1:50" x14ac:dyDescent="0.25">
      <c r="A2952" s="102">
        <v>830000</v>
      </c>
      <c r="B2952" s="102">
        <v>2400000</v>
      </c>
      <c r="C2952" s="102">
        <v>2400000</v>
      </c>
      <c r="D2952" s="90" t="s">
        <v>374</v>
      </c>
      <c r="E2952" s="90" t="s">
        <v>68</v>
      </c>
      <c r="F2952" s="90" t="s">
        <v>375</v>
      </c>
      <c r="G2952" s="90" t="s">
        <v>376</v>
      </c>
      <c r="H2952" s="90">
        <v>0.59</v>
      </c>
      <c r="I2952" s="90">
        <v>0.64</v>
      </c>
      <c r="J2952" s="90" t="s">
        <v>381</v>
      </c>
      <c r="K2952" s="90">
        <v>3.3017770468270001E-2</v>
      </c>
      <c r="L2952" s="90">
        <v>3684.7036721086001</v>
      </c>
      <c r="M2952" s="90">
        <v>9.0921379452283997</v>
      </c>
      <c r="N2952" s="90">
        <v>1.31603626066477</v>
      </c>
      <c r="O2952" s="90">
        <v>0.30020212374140998</v>
      </c>
      <c r="P2952" s="90">
        <v>4.3452583182549999E-2</v>
      </c>
      <c r="Q2952" s="90">
        <v>121.66070008928</v>
      </c>
      <c r="R2952" s="90">
        <v>1210</v>
      </c>
      <c r="S2952" s="90" t="s">
        <v>385</v>
      </c>
      <c r="T2952" s="90">
        <v>1210</v>
      </c>
      <c r="U2952" s="90" t="s">
        <v>382</v>
      </c>
      <c r="V2952" s="90" t="s">
        <v>381</v>
      </c>
      <c r="Z2952" s="90">
        <v>0</v>
      </c>
      <c r="AA2952" s="90">
        <v>1</v>
      </c>
      <c r="AB2952" s="90">
        <v>0.30020212374140998</v>
      </c>
      <c r="AC2952" s="90">
        <v>4.3452583182549999E-2</v>
      </c>
      <c r="AD2952" s="90">
        <v>121.66070008928</v>
      </c>
      <c r="AF2952" s="90">
        <v>-1</v>
      </c>
      <c r="AG2952" s="90">
        <v>-1</v>
      </c>
      <c r="AH2952" s="90">
        <v>-1</v>
      </c>
      <c r="AI2952" s="90">
        <v>-1</v>
      </c>
      <c r="AJ2952" s="90">
        <v>0</v>
      </c>
      <c r="AM2952" s="90" t="s">
        <v>379</v>
      </c>
      <c r="AN2952" s="90">
        <v>-1</v>
      </c>
      <c r="AQ2952" s="90">
        <v>386</v>
      </c>
      <c r="AR2952" s="90" t="s">
        <v>302</v>
      </c>
      <c r="AS2952" s="90" t="s">
        <v>426</v>
      </c>
      <c r="AT2952" s="90" t="s">
        <v>244</v>
      </c>
      <c r="AU2952" s="90">
        <v>1.956413</v>
      </c>
      <c r="AV2952" s="90">
        <v>63.895220605378398</v>
      </c>
      <c r="AW2952" s="90">
        <v>133.618176472854</v>
      </c>
      <c r="AX2952" s="90">
        <v>9.86704786E-2</v>
      </c>
    </row>
    <row r="2953" spans="1:50" x14ac:dyDescent="0.25">
      <c r="A2953" s="102">
        <v>830000</v>
      </c>
      <c r="B2953" s="102">
        <v>2400000</v>
      </c>
      <c r="C2953" s="102">
        <v>2400000</v>
      </c>
      <c r="D2953" s="90" t="s">
        <v>374</v>
      </c>
      <c r="E2953" s="90" t="s">
        <v>68</v>
      </c>
      <c r="F2953" s="90" t="s">
        <v>375</v>
      </c>
      <c r="G2953" s="90" t="s">
        <v>376</v>
      </c>
      <c r="H2953" s="90">
        <v>0.59</v>
      </c>
      <c r="I2953" s="90">
        <v>0.64</v>
      </c>
      <c r="J2953" s="90" t="s">
        <v>244</v>
      </c>
      <c r="K2953" s="90">
        <v>7.4735006448700004E-3</v>
      </c>
      <c r="L2953" s="90">
        <v>3684.7036721086001</v>
      </c>
      <c r="M2953" s="90">
        <v>9.0921379452283997</v>
      </c>
      <c r="N2953" s="90">
        <v>1.31603626066477</v>
      </c>
      <c r="O2953" s="90">
        <v>6.7950098796920003E-2</v>
      </c>
      <c r="P2953" s="90">
        <v>9.8353978427499992E-3</v>
      </c>
      <c r="Q2953" s="90">
        <v>27.5376352696622</v>
      </c>
      <c r="R2953" s="90">
        <v>1210</v>
      </c>
      <c r="S2953" s="90" t="s">
        <v>385</v>
      </c>
      <c r="T2953" s="90">
        <v>1210</v>
      </c>
      <c r="U2953" s="90" t="s">
        <v>378</v>
      </c>
      <c r="V2953" s="90" t="s">
        <v>244</v>
      </c>
      <c r="Z2953" s="90">
        <v>0</v>
      </c>
      <c r="AA2953" s="90">
        <v>1</v>
      </c>
      <c r="AB2953" s="90">
        <v>6.7950098796920003E-2</v>
      </c>
      <c r="AC2953" s="90">
        <v>9.8353978427499992E-3</v>
      </c>
      <c r="AD2953" s="90">
        <v>199.311173584805</v>
      </c>
      <c r="AF2953" s="90">
        <v>-1</v>
      </c>
      <c r="AG2953" s="90">
        <v>-1</v>
      </c>
      <c r="AH2953" s="90">
        <v>-1</v>
      </c>
      <c r="AI2953" s="90">
        <v>-1</v>
      </c>
      <c r="AJ2953" s="90">
        <v>0</v>
      </c>
      <c r="AM2953" s="90" t="s">
        <v>379</v>
      </c>
      <c r="AN2953" s="90">
        <v>-1</v>
      </c>
      <c r="AQ2953" s="90">
        <v>386</v>
      </c>
      <c r="AR2953" s="90" t="s">
        <v>302</v>
      </c>
      <c r="AS2953" s="90" t="s">
        <v>426</v>
      </c>
      <c r="AT2953" s="90" t="s">
        <v>244</v>
      </c>
      <c r="AU2953" s="90">
        <v>1.956413</v>
      </c>
      <c r="AV2953" s="90">
        <v>22.043774793583399</v>
      </c>
      <c r="AW2953" s="90">
        <v>30.244184082508198</v>
      </c>
      <c r="AX2953" s="90">
        <v>0.1616473427</v>
      </c>
    </row>
    <row r="2954" spans="1:50" x14ac:dyDescent="0.25">
      <c r="A2954" s="102">
        <v>830000</v>
      </c>
      <c r="B2954" s="102">
        <v>2400000</v>
      </c>
      <c r="C2954" s="102">
        <v>2400000</v>
      </c>
      <c r="D2954" s="90" t="s">
        <v>374</v>
      </c>
      <c r="E2954" s="90" t="s">
        <v>68</v>
      </c>
      <c r="F2954" s="90" t="s">
        <v>375</v>
      </c>
      <c r="G2954" s="90" t="s">
        <v>376</v>
      </c>
      <c r="H2954" s="90">
        <v>0.59</v>
      </c>
      <c r="I2954" s="90">
        <v>0.64</v>
      </c>
      <c r="J2954" s="90" t="s">
        <v>244</v>
      </c>
      <c r="K2954" s="90">
        <v>5.1498322957139998E-2</v>
      </c>
      <c r="L2954" s="90">
        <v>3684.7036721086001</v>
      </c>
      <c r="M2954" s="90">
        <v>9.0921379452283997</v>
      </c>
      <c r="N2954" s="90">
        <v>1.31603626066477</v>
      </c>
      <c r="O2954" s="90">
        <v>0.46822985627425001</v>
      </c>
      <c r="P2954" s="90">
        <v>6.7773660375020001E-2</v>
      </c>
      <c r="Q2954" s="90">
        <v>189.756059707616</v>
      </c>
      <c r="R2954" s="90">
        <v>1210</v>
      </c>
      <c r="S2954" s="90" t="s">
        <v>385</v>
      </c>
      <c r="T2954" s="90">
        <v>1210</v>
      </c>
      <c r="U2954" s="90" t="s">
        <v>378</v>
      </c>
      <c r="V2954" s="90" t="s">
        <v>244</v>
      </c>
      <c r="Z2954" s="90">
        <v>0</v>
      </c>
      <c r="AA2954" s="90">
        <v>1</v>
      </c>
      <c r="AB2954" s="90">
        <v>0.46822985627425001</v>
      </c>
      <c r="AC2954" s="90">
        <v>6.7773660375020001E-2</v>
      </c>
      <c r="AD2954" s="90">
        <v>473.01887653010101</v>
      </c>
      <c r="AF2954" s="90">
        <v>-1</v>
      </c>
      <c r="AG2954" s="90">
        <v>-1</v>
      </c>
      <c r="AH2954" s="90">
        <v>-1</v>
      </c>
      <c r="AI2954" s="90">
        <v>-1</v>
      </c>
      <c r="AJ2954" s="90">
        <v>0</v>
      </c>
      <c r="AM2954" s="90" t="s">
        <v>379</v>
      </c>
      <c r="AN2954" s="90">
        <v>-1</v>
      </c>
      <c r="AQ2954" s="90">
        <v>386</v>
      </c>
      <c r="AR2954" s="90" t="s">
        <v>302</v>
      </c>
      <c r="AS2954" s="90" t="s">
        <v>426</v>
      </c>
      <c r="AT2954" s="90" t="s">
        <v>244</v>
      </c>
      <c r="AU2954" s="90">
        <v>1.956413</v>
      </c>
      <c r="AV2954" s="90">
        <v>62.4506778921074</v>
      </c>
      <c r="AW2954" s="90">
        <v>208.40631900194001</v>
      </c>
      <c r="AX2954" s="90">
        <v>0.38363250329999998</v>
      </c>
    </row>
    <row r="2955" spans="1:50" x14ac:dyDescent="0.25">
      <c r="A2955" s="102">
        <v>830000</v>
      </c>
      <c r="B2955" s="102">
        <v>2400000</v>
      </c>
      <c r="C2955" s="102">
        <v>2400000</v>
      </c>
      <c r="D2955" s="90" t="s">
        <v>374</v>
      </c>
      <c r="E2955" s="90" t="s">
        <v>68</v>
      </c>
      <c r="F2955" s="90" t="s">
        <v>375</v>
      </c>
      <c r="G2955" s="90" t="s">
        <v>376</v>
      </c>
      <c r="H2955" s="90">
        <v>0.59</v>
      </c>
      <c r="I2955" s="90">
        <v>0.64</v>
      </c>
      <c r="J2955" s="90" t="s">
        <v>381</v>
      </c>
      <c r="K2955" s="90">
        <v>3.0865637259299999E-2</v>
      </c>
      <c r="L2955" s="90">
        <v>3684.7036721086001</v>
      </c>
      <c r="M2955" s="90">
        <v>9.0921379452283997</v>
      </c>
      <c r="N2955" s="90">
        <v>1.31603626066477</v>
      </c>
      <c r="O2955" s="90">
        <v>0.28063463172896003</v>
      </c>
      <c r="P2955" s="90">
        <v>4.0620297841760002E-2</v>
      </c>
      <c r="Q2955" s="90">
        <v>113.73072695132601</v>
      </c>
      <c r="R2955" s="90">
        <v>1210</v>
      </c>
      <c r="S2955" s="90" t="s">
        <v>385</v>
      </c>
      <c r="T2955" s="90">
        <v>1210</v>
      </c>
      <c r="U2955" s="90" t="s">
        <v>382</v>
      </c>
      <c r="V2955" s="90" t="s">
        <v>381</v>
      </c>
      <c r="Z2955" s="90">
        <v>0</v>
      </c>
      <c r="AA2955" s="90">
        <v>1</v>
      </c>
      <c r="AB2955" s="90">
        <v>0.28063463172896003</v>
      </c>
      <c r="AC2955" s="90">
        <v>4.0620297841760002E-2</v>
      </c>
      <c r="AD2955" s="90">
        <v>113.730726951327</v>
      </c>
      <c r="AF2955" s="90">
        <v>-1</v>
      </c>
      <c r="AG2955" s="90">
        <v>-1</v>
      </c>
      <c r="AH2955" s="90">
        <v>-1</v>
      </c>
      <c r="AI2955" s="90">
        <v>-1</v>
      </c>
      <c r="AJ2955" s="90">
        <v>0</v>
      </c>
      <c r="AM2955" s="90" t="s">
        <v>379</v>
      </c>
      <c r="AN2955" s="90">
        <v>-1</v>
      </c>
      <c r="AQ2955" s="90">
        <v>386</v>
      </c>
      <c r="AR2955" s="90" t="s">
        <v>302</v>
      </c>
      <c r="AS2955" s="90" t="s">
        <v>426</v>
      </c>
      <c r="AT2955" s="90" t="s">
        <v>244</v>
      </c>
      <c r="AU2955" s="90">
        <v>1.956413</v>
      </c>
      <c r="AV2955" s="90">
        <v>57.106154087972399</v>
      </c>
      <c r="AW2955" s="90">
        <v>124.90880237428</v>
      </c>
      <c r="AX2955" s="90">
        <v>9.2239032400000004E-2</v>
      </c>
    </row>
    <row r="2956" spans="1:50" x14ac:dyDescent="0.25">
      <c r="A2956" s="102">
        <v>830000</v>
      </c>
      <c r="B2956" s="102">
        <v>2400000</v>
      </c>
      <c r="C2956" s="102">
        <v>2400000</v>
      </c>
      <c r="D2956" s="90" t="s">
        <v>374</v>
      </c>
      <c r="E2956" s="90" t="s">
        <v>68</v>
      </c>
      <c r="F2956" s="90" t="s">
        <v>375</v>
      </c>
      <c r="G2956" s="90" t="s">
        <v>376</v>
      </c>
      <c r="H2956" s="90">
        <v>0.59</v>
      </c>
      <c r="I2956" s="90">
        <v>0.64</v>
      </c>
      <c r="J2956" s="90" t="s">
        <v>244</v>
      </c>
      <c r="K2956" s="90">
        <v>0.10591430354263</v>
      </c>
      <c r="L2956" s="90">
        <v>3676.5149710662999</v>
      </c>
      <c r="M2956" s="90">
        <v>9.1679297967276003</v>
      </c>
      <c r="N2956" s="90">
        <v>1.34847419899913</v>
      </c>
      <c r="O2956" s="90">
        <v>0.97101489934813001</v>
      </c>
      <c r="P2956" s="90">
        <v>0.14282270563220001</v>
      </c>
      <c r="Q2956" s="90">
        <v>389.39552262454299</v>
      </c>
      <c r="R2956" s="90">
        <v>1200</v>
      </c>
      <c r="S2956" s="90" t="s">
        <v>384</v>
      </c>
      <c r="T2956" s="90">
        <v>1200</v>
      </c>
      <c r="U2956" s="90" t="s">
        <v>378</v>
      </c>
      <c r="V2956" s="90" t="s">
        <v>244</v>
      </c>
      <c r="Z2956" s="90">
        <v>0</v>
      </c>
      <c r="AA2956" s="90">
        <v>1</v>
      </c>
      <c r="AB2956" s="90">
        <v>0.97101489934813001</v>
      </c>
      <c r="AC2956" s="90">
        <v>0.14282270563220001</v>
      </c>
      <c r="AD2956" s="90">
        <v>698.528085865967</v>
      </c>
      <c r="AF2956" s="90">
        <v>-1</v>
      </c>
      <c r="AG2956" s="90">
        <v>-1</v>
      </c>
      <c r="AH2956" s="90">
        <v>-1</v>
      </c>
      <c r="AI2956" s="90">
        <v>-1</v>
      </c>
      <c r="AJ2956" s="90">
        <v>0</v>
      </c>
      <c r="AM2956" s="90" t="s">
        <v>379</v>
      </c>
      <c r="AN2956" s="90">
        <v>-1</v>
      </c>
      <c r="AQ2956" s="90">
        <v>386</v>
      </c>
      <c r="AR2956" s="90" t="s">
        <v>302</v>
      </c>
      <c r="AS2956" s="90" t="s">
        <v>426</v>
      </c>
      <c r="AT2956" s="90" t="s">
        <v>244</v>
      </c>
      <c r="AU2956" s="90">
        <v>1.956413</v>
      </c>
      <c r="AV2956" s="90">
        <v>117.89537016136801</v>
      </c>
      <c r="AW2956" s="90">
        <v>428.619979515517</v>
      </c>
      <c r="AX2956" s="90">
        <v>0.56652723910000002</v>
      </c>
    </row>
    <row r="2957" spans="1:50" x14ac:dyDescent="0.25">
      <c r="A2957" s="102">
        <v>830000</v>
      </c>
      <c r="B2957" s="102">
        <v>2400000</v>
      </c>
      <c r="C2957" s="102">
        <v>2400000</v>
      </c>
      <c r="D2957" s="90" t="s">
        <v>374</v>
      </c>
      <c r="E2957" s="90" t="s">
        <v>68</v>
      </c>
      <c r="F2957" s="90" t="s">
        <v>375</v>
      </c>
      <c r="G2957" s="90" t="s">
        <v>376</v>
      </c>
      <c r="H2957" s="90">
        <v>0.59</v>
      </c>
      <c r="I2957" s="90">
        <v>0.64</v>
      </c>
      <c r="J2957" s="90" t="s">
        <v>244</v>
      </c>
      <c r="K2957" s="90">
        <v>5.5290271689459998E-2</v>
      </c>
      <c r="L2957" s="90">
        <v>3676.5149710662999</v>
      </c>
      <c r="M2957" s="90">
        <v>9.1679297967276003</v>
      </c>
      <c r="N2957" s="90">
        <v>1.34847419899913</v>
      </c>
      <c r="O2957" s="90">
        <v>0.50689732929095999</v>
      </c>
      <c r="P2957" s="90">
        <v>7.4557504828880003E-2</v>
      </c>
      <c r="Q2957" s="90">
        <v>203.27551162062201</v>
      </c>
      <c r="R2957" s="90">
        <v>1210</v>
      </c>
      <c r="S2957" s="90" t="s">
        <v>385</v>
      </c>
      <c r="T2957" s="90">
        <v>1210</v>
      </c>
      <c r="U2957" s="90" t="s">
        <v>378</v>
      </c>
      <c r="V2957" s="90" t="s">
        <v>244</v>
      </c>
      <c r="Z2957" s="90">
        <v>0</v>
      </c>
      <c r="AA2957" s="90">
        <v>1</v>
      </c>
      <c r="AB2957" s="90">
        <v>0.50689732929095999</v>
      </c>
      <c r="AC2957" s="90">
        <v>7.4557504828880003E-2</v>
      </c>
      <c r="AD2957" s="90">
        <v>203.27551162062301</v>
      </c>
      <c r="AF2957" s="90">
        <v>-1</v>
      </c>
      <c r="AG2957" s="90">
        <v>-1</v>
      </c>
      <c r="AH2957" s="90">
        <v>-1</v>
      </c>
      <c r="AI2957" s="90">
        <v>-1</v>
      </c>
      <c r="AJ2957" s="90">
        <v>0</v>
      </c>
      <c r="AM2957" s="90" t="s">
        <v>379</v>
      </c>
      <c r="AN2957" s="90">
        <v>-1</v>
      </c>
      <c r="AQ2957" s="90">
        <v>386</v>
      </c>
      <c r="AR2957" s="90" t="s">
        <v>302</v>
      </c>
      <c r="AS2957" s="90" t="s">
        <v>426</v>
      </c>
      <c r="AT2957" s="90" t="s">
        <v>244</v>
      </c>
      <c r="AU2957" s="90">
        <v>1.956413</v>
      </c>
      <c r="AV2957" s="90">
        <v>63.764092776129203</v>
      </c>
      <c r="AW2957" s="90">
        <v>223.75179108273201</v>
      </c>
      <c r="AX2957" s="90">
        <v>0.16486253980000001</v>
      </c>
    </row>
    <row r="2958" spans="1:50" x14ac:dyDescent="0.25">
      <c r="A2958" s="102">
        <v>830000</v>
      </c>
      <c r="B2958" s="102">
        <v>2400000</v>
      </c>
      <c r="C2958" s="102">
        <v>2400000</v>
      </c>
      <c r="D2958" s="90" t="s">
        <v>374</v>
      </c>
      <c r="E2958" s="90" t="s">
        <v>68</v>
      </c>
      <c r="F2958" s="90" t="s">
        <v>375</v>
      </c>
      <c r="G2958" s="90" t="s">
        <v>376</v>
      </c>
      <c r="H2958" s="90">
        <v>0.59</v>
      </c>
      <c r="I2958" s="90">
        <v>0.64</v>
      </c>
      <c r="J2958" s="90" t="s">
        <v>244</v>
      </c>
      <c r="K2958" s="90">
        <v>4.8950758226619998E-2</v>
      </c>
      <c r="L2958" s="90">
        <v>3676.5149710662999</v>
      </c>
      <c r="M2958" s="90">
        <v>9.1679297967276003</v>
      </c>
      <c r="N2958" s="90">
        <v>1.34847419899913</v>
      </c>
      <c r="O2958" s="90">
        <v>0.44877711491832001</v>
      </c>
      <c r="P2958" s="90">
        <v>6.6008834490050003E-2</v>
      </c>
      <c r="Q2958" s="90">
        <v>179.96819546524799</v>
      </c>
      <c r="R2958" s="90">
        <v>1210</v>
      </c>
      <c r="S2958" s="90" t="s">
        <v>385</v>
      </c>
      <c r="T2958" s="90">
        <v>1210</v>
      </c>
      <c r="U2958" s="90" t="s">
        <v>378</v>
      </c>
      <c r="V2958" s="90" t="s">
        <v>244</v>
      </c>
      <c r="Z2958" s="90">
        <v>0</v>
      </c>
      <c r="AA2958" s="90">
        <v>1</v>
      </c>
      <c r="AB2958" s="90">
        <v>0.44877711491832001</v>
      </c>
      <c r="AC2958" s="90">
        <v>6.6008834490050003E-2</v>
      </c>
      <c r="AD2958" s="90">
        <v>179.96819546524799</v>
      </c>
      <c r="AF2958" s="90">
        <v>-1</v>
      </c>
      <c r="AG2958" s="90">
        <v>-1</v>
      </c>
      <c r="AH2958" s="90">
        <v>-1</v>
      </c>
      <c r="AI2958" s="90">
        <v>-1</v>
      </c>
      <c r="AJ2958" s="90">
        <v>0</v>
      </c>
      <c r="AM2958" s="90" t="s">
        <v>379</v>
      </c>
      <c r="AN2958" s="90">
        <v>-1</v>
      </c>
      <c r="AQ2958" s="90">
        <v>386</v>
      </c>
      <c r="AR2958" s="90" t="s">
        <v>302</v>
      </c>
      <c r="AS2958" s="90" t="s">
        <v>426</v>
      </c>
      <c r="AT2958" s="90" t="s">
        <v>244</v>
      </c>
      <c r="AU2958" s="90">
        <v>1.956413</v>
      </c>
      <c r="AV2958" s="90">
        <v>67.220163671537506</v>
      </c>
      <c r="AW2958" s="90">
        <v>198.096690310783</v>
      </c>
      <c r="AX2958" s="90">
        <v>0.14595960699999999</v>
      </c>
    </row>
    <row r="2959" spans="1:50" x14ac:dyDescent="0.25">
      <c r="A2959" s="102">
        <v>830000</v>
      </c>
      <c r="B2959" s="102">
        <v>2400000</v>
      </c>
      <c r="C2959" s="102">
        <v>2400000</v>
      </c>
      <c r="D2959" s="90" t="s">
        <v>374</v>
      </c>
      <c r="E2959" s="90" t="s">
        <v>68</v>
      </c>
      <c r="F2959" s="90" t="s">
        <v>375</v>
      </c>
      <c r="G2959" s="90" t="s">
        <v>376</v>
      </c>
      <c r="H2959" s="90">
        <v>0.59</v>
      </c>
      <c r="I2959" s="90">
        <v>0.64</v>
      </c>
      <c r="J2959" s="90" t="s">
        <v>244</v>
      </c>
      <c r="K2959" s="90">
        <v>4.1681735771600002E-3</v>
      </c>
      <c r="L2959" s="90">
        <v>3676.5149710662999</v>
      </c>
      <c r="M2959" s="90">
        <v>9.1679297967276003</v>
      </c>
      <c r="N2959" s="90">
        <v>1.34847419899913</v>
      </c>
      <c r="O2959" s="90">
        <v>3.8213522736059997E-2</v>
      </c>
      <c r="P2959" s="90">
        <v>5.6206745257599998E-3</v>
      </c>
      <c r="Q2959" s="90">
        <v>15.324352558464801</v>
      </c>
      <c r="R2959" s="90">
        <v>1210</v>
      </c>
      <c r="S2959" s="90" t="s">
        <v>385</v>
      </c>
      <c r="T2959" s="90">
        <v>1210</v>
      </c>
      <c r="U2959" s="90" t="s">
        <v>378</v>
      </c>
      <c r="V2959" s="90" t="s">
        <v>244</v>
      </c>
      <c r="Z2959" s="90">
        <v>0</v>
      </c>
      <c r="AA2959" s="90">
        <v>1</v>
      </c>
      <c r="AB2959" s="90">
        <v>3.8213522736059997E-2</v>
      </c>
      <c r="AC2959" s="90">
        <v>5.6206745257599998E-3</v>
      </c>
      <c r="AD2959" s="90">
        <v>15.324352558466</v>
      </c>
      <c r="AF2959" s="90">
        <v>-1</v>
      </c>
      <c r="AG2959" s="90">
        <v>-1</v>
      </c>
      <c r="AH2959" s="90">
        <v>-1</v>
      </c>
      <c r="AI2959" s="90">
        <v>-1</v>
      </c>
      <c r="AJ2959" s="90">
        <v>0</v>
      </c>
      <c r="AM2959" s="90" t="s">
        <v>379</v>
      </c>
      <c r="AN2959" s="90">
        <v>-1</v>
      </c>
      <c r="AQ2959" s="90">
        <v>386</v>
      </c>
      <c r="AR2959" s="90" t="s">
        <v>302</v>
      </c>
      <c r="AS2959" s="90" t="s">
        <v>426</v>
      </c>
      <c r="AT2959" s="90" t="s">
        <v>244</v>
      </c>
      <c r="AU2959" s="90">
        <v>1.956413</v>
      </c>
      <c r="AV2959" s="90">
        <v>17.570918629639198</v>
      </c>
      <c r="AW2959" s="90">
        <v>16.868000010445702</v>
      </c>
      <c r="AX2959" s="90">
        <v>1.2428509799999999E-2</v>
      </c>
    </row>
    <row r="2960" spans="1:50" x14ac:dyDescent="0.25">
      <c r="A2960" s="102">
        <v>830000</v>
      </c>
      <c r="B2960" s="102">
        <v>2400000</v>
      </c>
      <c r="C2960" s="102">
        <v>2400000</v>
      </c>
      <c r="D2960" s="90" t="s">
        <v>374</v>
      </c>
      <c r="E2960" s="90" t="s">
        <v>68</v>
      </c>
      <c r="F2960" s="90" t="s">
        <v>375</v>
      </c>
      <c r="G2960" s="90" t="s">
        <v>376</v>
      </c>
      <c r="H2960" s="90">
        <v>0.59</v>
      </c>
      <c r="I2960" s="90">
        <v>0.64</v>
      </c>
      <c r="J2960" s="90" t="s">
        <v>244</v>
      </c>
      <c r="K2960" s="90">
        <v>5.672825510579E-2</v>
      </c>
      <c r="L2960" s="90">
        <v>3679.5933121150802</v>
      </c>
      <c r="M2960" s="90">
        <v>9.1751705456820396</v>
      </c>
      <c r="N2960" s="90">
        <v>1.3495244185545301</v>
      </c>
      <c r="O2960" s="90">
        <v>0.52049141535461996</v>
      </c>
      <c r="P2960" s="90">
        <v>7.6556165487260006E-2</v>
      </c>
      <c r="Q2960" s="90">
        <v>208.73690809524101</v>
      </c>
      <c r="R2960" s="90">
        <v>1200</v>
      </c>
      <c r="S2960" s="90" t="s">
        <v>384</v>
      </c>
      <c r="T2960" s="90">
        <v>1200</v>
      </c>
      <c r="U2960" s="90" t="s">
        <v>378</v>
      </c>
      <c r="V2960" s="90" t="s">
        <v>244</v>
      </c>
      <c r="Z2960" s="90">
        <v>0</v>
      </c>
      <c r="AA2960" s="90">
        <v>1</v>
      </c>
      <c r="AB2960" s="90">
        <v>0.52049141535461996</v>
      </c>
      <c r="AC2960" s="90">
        <v>7.6556165487260006E-2</v>
      </c>
      <c r="AD2960" s="90">
        <v>856.82480023980702</v>
      </c>
      <c r="AF2960" s="90">
        <v>-1</v>
      </c>
      <c r="AG2960" s="90">
        <v>-1</v>
      </c>
      <c r="AH2960" s="90">
        <v>-1</v>
      </c>
      <c r="AI2960" s="90">
        <v>-1</v>
      </c>
      <c r="AJ2960" s="90">
        <v>0</v>
      </c>
      <c r="AM2960" s="90" t="s">
        <v>379</v>
      </c>
      <c r="AN2960" s="90">
        <v>-1</v>
      </c>
      <c r="AQ2960" s="90">
        <v>388</v>
      </c>
      <c r="AR2960" s="90" t="s">
        <v>304</v>
      </c>
      <c r="AS2960" s="90" t="s">
        <v>427</v>
      </c>
      <c r="AT2960" s="90" t="s">
        <v>244</v>
      </c>
      <c r="AU2960" s="90">
        <v>1.0789029999999999</v>
      </c>
      <c r="AV2960" s="90">
        <v>70.959988789037098</v>
      </c>
      <c r="AW2960" s="90">
        <v>229.571103506432</v>
      </c>
      <c r="AX2960" s="90">
        <v>0.69491062469999998</v>
      </c>
    </row>
    <row r="2961" spans="1:50" x14ac:dyDescent="0.25">
      <c r="A2961" s="102">
        <v>830000</v>
      </c>
      <c r="B2961" s="102">
        <v>2400000</v>
      </c>
      <c r="C2961" s="102">
        <v>2400000</v>
      </c>
      <c r="D2961" s="90" t="s">
        <v>374</v>
      </c>
      <c r="E2961" s="90" t="s">
        <v>68</v>
      </c>
      <c r="F2961" s="90" t="s">
        <v>375</v>
      </c>
      <c r="G2961" s="90" t="s">
        <v>376</v>
      </c>
      <c r="H2961" s="90">
        <v>0.59</v>
      </c>
      <c r="I2961" s="90">
        <v>0.64</v>
      </c>
      <c r="J2961" s="90" t="s">
        <v>244</v>
      </c>
      <c r="K2961" s="90">
        <v>3.5006041046480002E-2</v>
      </c>
      <c r="L2961" s="90">
        <v>3679.5933121150802</v>
      </c>
      <c r="M2961" s="90">
        <v>9.1751705456820396</v>
      </c>
      <c r="N2961" s="90">
        <v>1.3495244185545301</v>
      </c>
      <c r="O2961" s="90">
        <v>0.32118639673061999</v>
      </c>
      <c r="P2961" s="90">
        <v>4.7241507189150003E-2</v>
      </c>
      <c r="Q2961" s="90">
        <v>128.807994518264</v>
      </c>
      <c r="R2961" s="90">
        <v>1210</v>
      </c>
      <c r="S2961" s="90" t="s">
        <v>385</v>
      </c>
      <c r="T2961" s="90">
        <v>1210</v>
      </c>
      <c r="U2961" s="90" t="s">
        <v>378</v>
      </c>
      <c r="V2961" s="90" t="s">
        <v>244</v>
      </c>
      <c r="Z2961" s="90">
        <v>0</v>
      </c>
      <c r="AA2961" s="90">
        <v>1</v>
      </c>
      <c r="AB2961" s="90">
        <v>0.32118639673061999</v>
      </c>
      <c r="AC2961" s="90">
        <v>4.7241507189150003E-2</v>
      </c>
      <c r="AD2961" s="90">
        <v>499.34936616799001</v>
      </c>
      <c r="AF2961" s="90">
        <v>-1</v>
      </c>
      <c r="AG2961" s="90">
        <v>-1</v>
      </c>
      <c r="AH2961" s="90">
        <v>-1</v>
      </c>
      <c r="AI2961" s="90">
        <v>-1</v>
      </c>
      <c r="AJ2961" s="90">
        <v>0</v>
      </c>
      <c r="AM2961" s="90" t="s">
        <v>379</v>
      </c>
      <c r="AN2961" s="90">
        <v>-1</v>
      </c>
      <c r="AQ2961" s="90">
        <v>388</v>
      </c>
      <c r="AR2961" s="90" t="s">
        <v>304</v>
      </c>
      <c r="AS2961" s="90" t="s">
        <v>427</v>
      </c>
      <c r="AT2961" s="90" t="s">
        <v>244</v>
      </c>
      <c r="AU2961" s="90">
        <v>1.0789029999999999</v>
      </c>
      <c r="AV2961" s="90">
        <v>52.595575348532599</v>
      </c>
      <c r="AW2961" s="90">
        <v>141.66442203175799</v>
      </c>
      <c r="AX2961" s="90">
        <v>0.40498732050000003</v>
      </c>
    </row>
    <row r="2962" spans="1:50" x14ac:dyDescent="0.25">
      <c r="A2962" s="102">
        <v>830000</v>
      </c>
      <c r="B2962" s="102">
        <v>2400000</v>
      </c>
      <c r="C2962" s="102">
        <v>2400000</v>
      </c>
      <c r="D2962" s="90" t="s">
        <v>374</v>
      </c>
      <c r="E2962" s="90" t="s">
        <v>68</v>
      </c>
      <c r="F2962" s="90" t="s">
        <v>375</v>
      </c>
      <c r="G2962" s="90" t="s">
        <v>376</v>
      </c>
      <c r="H2962" s="90">
        <v>0.59</v>
      </c>
      <c r="I2962" s="90">
        <v>0.64</v>
      </c>
      <c r="J2962" s="90" t="s">
        <v>244</v>
      </c>
      <c r="K2962" s="90">
        <v>4.0082119118000003E-3</v>
      </c>
      <c r="L2962" s="90">
        <v>3679.5933121150802</v>
      </c>
      <c r="M2962" s="90">
        <v>9.1751705456820396</v>
      </c>
      <c r="N2962" s="90">
        <v>1.3495244185545301</v>
      </c>
      <c r="O2962" s="90">
        <v>3.6776027874009999E-2</v>
      </c>
      <c r="P2962" s="90">
        <v>5.4091798497100003E-3</v>
      </c>
      <c r="Q2962" s="90">
        <v>14.748589744206599</v>
      </c>
      <c r="R2962" s="90">
        <v>1210</v>
      </c>
      <c r="S2962" s="90" t="s">
        <v>385</v>
      </c>
      <c r="T2962" s="90">
        <v>1210</v>
      </c>
      <c r="U2962" s="90" t="s">
        <v>378</v>
      </c>
      <c r="V2962" s="90" t="s">
        <v>244</v>
      </c>
      <c r="Z2962" s="90">
        <v>0</v>
      </c>
      <c r="AA2962" s="90">
        <v>1</v>
      </c>
      <c r="AB2962" s="90">
        <v>3.6776027874009999E-2</v>
      </c>
      <c r="AC2962" s="90">
        <v>5.4091798497100003E-3</v>
      </c>
      <c r="AD2962" s="90">
        <v>729.65198408941899</v>
      </c>
      <c r="AF2962" s="90">
        <v>-1</v>
      </c>
      <c r="AG2962" s="90">
        <v>-1</v>
      </c>
      <c r="AH2962" s="90">
        <v>-1</v>
      </c>
      <c r="AI2962" s="90">
        <v>-1</v>
      </c>
      <c r="AJ2962" s="90">
        <v>0</v>
      </c>
      <c r="AM2962" s="90" t="s">
        <v>379</v>
      </c>
      <c r="AN2962" s="90">
        <v>-1</v>
      </c>
      <c r="AQ2962" s="90">
        <v>388</v>
      </c>
      <c r="AR2962" s="90" t="s">
        <v>304</v>
      </c>
      <c r="AS2962" s="90" t="s">
        <v>427</v>
      </c>
      <c r="AT2962" s="90" t="s">
        <v>244</v>
      </c>
      <c r="AU2962" s="90">
        <v>1.0789029999999999</v>
      </c>
      <c r="AV2962" s="90">
        <v>19.5091862200488</v>
      </c>
      <c r="AW2962" s="90">
        <v>16.220658117617301</v>
      </c>
      <c r="AX2962" s="90">
        <v>0.59176965459999997</v>
      </c>
    </row>
    <row r="2963" spans="1:50" x14ac:dyDescent="0.25">
      <c r="A2963" s="102">
        <v>830000</v>
      </c>
      <c r="B2963" s="102">
        <v>2400000</v>
      </c>
      <c r="C2963" s="102">
        <v>2400000</v>
      </c>
      <c r="D2963" s="90" t="s">
        <v>374</v>
      </c>
      <c r="E2963" s="90" t="s">
        <v>68</v>
      </c>
      <c r="F2963" s="90" t="s">
        <v>375</v>
      </c>
      <c r="G2963" s="90" t="s">
        <v>376</v>
      </c>
      <c r="H2963" s="90">
        <v>0.59</v>
      </c>
      <c r="I2963" s="90">
        <v>0.64</v>
      </c>
      <c r="J2963" s="90" t="s">
        <v>244</v>
      </c>
      <c r="K2963" s="90">
        <v>1.019930855839E-2</v>
      </c>
      <c r="L2963" s="90">
        <v>3696.3952718925898</v>
      </c>
      <c r="M2963" s="90">
        <v>8.9471193945755907</v>
      </c>
      <c r="N2963" s="90">
        <v>1.2560851798363999</v>
      </c>
      <c r="O2963" s="90">
        <v>9.125443141405E-2</v>
      </c>
      <c r="P2963" s="90">
        <v>1.2811200324770001E-2</v>
      </c>
      <c r="Q2963" s="90">
        <v>37.7006759318175</v>
      </c>
      <c r="R2963" s="90">
        <v>1210</v>
      </c>
      <c r="S2963" s="90" t="s">
        <v>385</v>
      </c>
      <c r="T2963" s="90">
        <v>1210</v>
      </c>
      <c r="U2963" s="90" t="s">
        <v>378</v>
      </c>
      <c r="V2963" s="90" t="s">
        <v>244</v>
      </c>
      <c r="Z2963" s="90">
        <v>0</v>
      </c>
      <c r="AA2963" s="90">
        <v>1</v>
      </c>
      <c r="AB2963" s="90">
        <v>9.125443141405E-2</v>
      </c>
      <c r="AC2963" s="90">
        <v>1.2811200324770001E-2</v>
      </c>
      <c r="AD2963" s="90">
        <v>184.34044293871901</v>
      </c>
      <c r="AF2963" s="90">
        <v>-1</v>
      </c>
      <c r="AG2963" s="90">
        <v>-1</v>
      </c>
      <c r="AH2963" s="90">
        <v>-1</v>
      </c>
      <c r="AI2963" s="90">
        <v>-1</v>
      </c>
      <c r="AJ2963" s="90">
        <v>0</v>
      </c>
      <c r="AM2963" s="90" t="s">
        <v>379</v>
      </c>
      <c r="AN2963" s="90">
        <v>-1</v>
      </c>
      <c r="AQ2963" s="90">
        <v>388</v>
      </c>
      <c r="AR2963" s="90" t="s">
        <v>304</v>
      </c>
      <c r="AS2963" s="90" t="s">
        <v>427</v>
      </c>
      <c r="AT2963" s="90" t="s">
        <v>244</v>
      </c>
      <c r="AU2963" s="90">
        <v>1.0789029999999999</v>
      </c>
      <c r="AV2963" s="90">
        <v>27.3275383575447</v>
      </c>
      <c r="AW2963" s="90">
        <v>41.2751373435704</v>
      </c>
      <c r="AX2963" s="90">
        <v>0.14950563089999999</v>
      </c>
    </row>
    <row r="2964" spans="1:50" x14ac:dyDescent="0.25">
      <c r="A2964" s="102">
        <v>830000</v>
      </c>
      <c r="B2964" s="102">
        <v>2400000</v>
      </c>
      <c r="C2964" s="102">
        <v>2400000</v>
      </c>
      <c r="D2964" s="90" t="s">
        <v>374</v>
      </c>
      <c r="E2964" s="90" t="s">
        <v>68</v>
      </c>
      <c r="F2964" s="90" t="s">
        <v>375</v>
      </c>
      <c r="G2964" s="90" t="s">
        <v>376</v>
      </c>
      <c r="H2964" s="90">
        <v>0.59</v>
      </c>
      <c r="I2964" s="90">
        <v>0.64</v>
      </c>
      <c r="J2964" s="90" t="s">
        <v>381</v>
      </c>
      <c r="K2964" s="90">
        <v>9.669270767E-4</v>
      </c>
      <c r="L2964" s="90">
        <v>3696.3952718925898</v>
      </c>
      <c r="M2964" s="90">
        <v>8.9471193945755907</v>
      </c>
      <c r="N2964" s="90">
        <v>1.2560851798363999</v>
      </c>
      <c r="O2964" s="90">
        <v>8.6512120010800008E-3</v>
      </c>
      <c r="P2964" s="90">
        <v>1.2145427710199999E-3</v>
      </c>
      <c r="Q2964" s="90">
        <v>3.5741446745788101</v>
      </c>
      <c r="R2964" s="90">
        <v>1210</v>
      </c>
      <c r="S2964" s="90" t="s">
        <v>385</v>
      </c>
      <c r="T2964" s="90">
        <v>1210</v>
      </c>
      <c r="U2964" s="90" t="s">
        <v>382</v>
      </c>
      <c r="V2964" s="90" t="s">
        <v>381</v>
      </c>
      <c r="Z2964" s="90">
        <v>0</v>
      </c>
      <c r="AA2964" s="90">
        <v>1</v>
      </c>
      <c r="AB2964" s="90">
        <v>8.6512120010800008E-3</v>
      </c>
      <c r="AC2964" s="90">
        <v>1.2145427710199999E-3</v>
      </c>
      <c r="AD2964" s="90">
        <v>213.354256053157</v>
      </c>
      <c r="AF2964" s="90">
        <v>-1</v>
      </c>
      <c r="AG2964" s="90">
        <v>-1</v>
      </c>
      <c r="AH2964" s="90">
        <v>-1</v>
      </c>
      <c r="AI2964" s="90">
        <v>-1</v>
      </c>
      <c r="AJ2964" s="90">
        <v>0</v>
      </c>
      <c r="AM2964" s="90" t="s">
        <v>379</v>
      </c>
      <c r="AN2964" s="90">
        <v>-1</v>
      </c>
      <c r="AQ2964" s="90">
        <v>388</v>
      </c>
      <c r="AR2964" s="90" t="s">
        <v>304</v>
      </c>
      <c r="AS2964" s="90" t="s">
        <v>427</v>
      </c>
      <c r="AT2964" s="90" t="s">
        <v>244</v>
      </c>
      <c r="AU2964" s="90">
        <v>1.0789029999999999</v>
      </c>
      <c r="AV2964" s="90">
        <v>10.2732903398178</v>
      </c>
      <c r="AW2964" s="90">
        <v>3.9130150503347201</v>
      </c>
      <c r="AX2964" s="90">
        <v>0.17303670400000001</v>
      </c>
    </row>
    <row r="2965" spans="1:50" x14ac:dyDescent="0.25">
      <c r="A2965" s="102">
        <v>830000</v>
      </c>
      <c r="B2965" s="102">
        <v>2400000</v>
      </c>
      <c r="C2965" s="102">
        <v>2400000</v>
      </c>
      <c r="D2965" s="90" t="s">
        <v>374</v>
      </c>
      <c r="E2965" s="90" t="s">
        <v>68</v>
      </c>
      <c r="F2965" s="90" t="s">
        <v>375</v>
      </c>
      <c r="G2965" s="90" t="s">
        <v>376</v>
      </c>
      <c r="H2965" s="90">
        <v>0.59</v>
      </c>
      <c r="I2965" s="90">
        <v>0.64</v>
      </c>
      <c r="J2965" s="90" t="s">
        <v>244</v>
      </c>
      <c r="K2965" s="90">
        <v>9.5730898736040002E-2</v>
      </c>
      <c r="L2965" s="90">
        <v>3673.4181151697098</v>
      </c>
      <c r="M2965" s="90">
        <v>9.1605557876678692</v>
      </c>
      <c r="N2965" s="90">
        <v>1.34740142071922</v>
      </c>
      <c r="O2965" s="90">
        <v>0.87694823847508996</v>
      </c>
      <c r="P2965" s="90">
        <v>0.12898794896367</v>
      </c>
      <c r="Q2965" s="90">
        <v>351.65961759845402</v>
      </c>
      <c r="R2965" s="90">
        <v>1200</v>
      </c>
      <c r="S2965" s="90" t="s">
        <v>384</v>
      </c>
      <c r="T2965" s="90">
        <v>1200</v>
      </c>
      <c r="U2965" s="90" t="s">
        <v>378</v>
      </c>
      <c r="V2965" s="90" t="s">
        <v>244</v>
      </c>
      <c r="Z2965" s="90">
        <v>0</v>
      </c>
      <c r="AA2965" s="90">
        <v>1</v>
      </c>
      <c r="AB2965" s="90">
        <v>0.87694823847508996</v>
      </c>
      <c r="AC2965" s="90">
        <v>0.12898794896367</v>
      </c>
      <c r="AD2965" s="90">
        <v>699.24624956684499</v>
      </c>
      <c r="AF2965" s="90">
        <v>-1</v>
      </c>
      <c r="AG2965" s="90">
        <v>-1</v>
      </c>
      <c r="AH2965" s="90">
        <v>-1</v>
      </c>
      <c r="AI2965" s="90">
        <v>-1</v>
      </c>
      <c r="AJ2965" s="90">
        <v>0</v>
      </c>
      <c r="AM2965" s="90" t="s">
        <v>379</v>
      </c>
      <c r="AN2965" s="90">
        <v>-1</v>
      </c>
      <c r="AQ2965" s="90">
        <v>388</v>
      </c>
      <c r="AR2965" s="90" t="s">
        <v>304</v>
      </c>
      <c r="AS2965" s="90" t="s">
        <v>427</v>
      </c>
      <c r="AT2965" s="90" t="s">
        <v>244</v>
      </c>
      <c r="AU2965" s="90">
        <v>1.0789029999999999</v>
      </c>
      <c r="AV2965" s="90">
        <v>116.283985605118</v>
      </c>
      <c r="AW2965" s="90">
        <v>387.40920237207598</v>
      </c>
      <c r="AX2965" s="90">
        <v>0.56710969150000001</v>
      </c>
    </row>
    <row r="2966" spans="1:50" x14ac:dyDescent="0.25">
      <c r="A2966" s="102">
        <v>830000</v>
      </c>
      <c r="B2966" s="102">
        <v>2400000</v>
      </c>
      <c r="C2966" s="102">
        <v>2400000</v>
      </c>
      <c r="D2966" s="90" t="s">
        <v>374</v>
      </c>
      <c r="E2966" s="90" t="s">
        <v>68</v>
      </c>
      <c r="F2966" s="90" t="s">
        <v>375</v>
      </c>
      <c r="G2966" s="90" t="s">
        <v>376</v>
      </c>
      <c r="H2966" s="90">
        <v>0.59</v>
      </c>
      <c r="I2966" s="90">
        <v>0.64</v>
      </c>
      <c r="J2966" s="90" t="s">
        <v>244</v>
      </c>
      <c r="K2966" s="90">
        <v>6.3413890879069998E-2</v>
      </c>
      <c r="L2966" s="90">
        <v>3673.4181151697098</v>
      </c>
      <c r="M2966" s="90">
        <v>9.1605557876678692</v>
      </c>
      <c r="N2966" s="90">
        <v>1.34740142071922</v>
      </c>
      <c r="O2966" s="90">
        <v>0.58090648511086995</v>
      </c>
      <c r="P2966" s="90">
        <v>8.5443966663799997E-2</v>
      </c>
      <c r="Q2966" s="90">
        <v>232.9457355086</v>
      </c>
      <c r="R2966" s="90">
        <v>1210</v>
      </c>
      <c r="S2966" s="90" t="s">
        <v>385</v>
      </c>
      <c r="T2966" s="90">
        <v>1210</v>
      </c>
      <c r="U2966" s="90" t="s">
        <v>378</v>
      </c>
      <c r="V2966" s="90" t="s">
        <v>244</v>
      </c>
      <c r="Z2966" s="90">
        <v>0</v>
      </c>
      <c r="AA2966" s="90">
        <v>1</v>
      </c>
      <c r="AB2966" s="90">
        <v>0.58090648511086995</v>
      </c>
      <c r="AC2966" s="90">
        <v>8.5443966663799997E-2</v>
      </c>
      <c r="AD2966" s="90">
        <v>232.94573550860201</v>
      </c>
      <c r="AF2966" s="90">
        <v>-1</v>
      </c>
      <c r="AG2966" s="90">
        <v>-1</v>
      </c>
      <c r="AH2966" s="90">
        <v>-1</v>
      </c>
      <c r="AI2966" s="90">
        <v>-1</v>
      </c>
      <c r="AJ2966" s="90">
        <v>0</v>
      </c>
      <c r="AM2966" s="90" t="s">
        <v>379</v>
      </c>
      <c r="AN2966" s="90">
        <v>-1</v>
      </c>
      <c r="AQ2966" s="90">
        <v>388</v>
      </c>
      <c r="AR2966" s="90" t="s">
        <v>304</v>
      </c>
      <c r="AS2966" s="90" t="s">
        <v>427</v>
      </c>
      <c r="AT2966" s="90" t="s">
        <v>244</v>
      </c>
      <c r="AU2966" s="90">
        <v>1.0789029999999999</v>
      </c>
      <c r="AV2966" s="90">
        <v>64.1927099921039</v>
      </c>
      <c r="AW2966" s="90">
        <v>256.62691157337099</v>
      </c>
      <c r="AX2966" s="90">
        <v>0.1889259818</v>
      </c>
    </row>
    <row r="2967" spans="1:50" x14ac:dyDescent="0.25">
      <c r="A2967" s="102">
        <v>830000</v>
      </c>
      <c r="B2967" s="102">
        <v>2400000</v>
      </c>
      <c r="C2967" s="102">
        <v>2400000</v>
      </c>
      <c r="D2967" s="90" t="s">
        <v>374</v>
      </c>
      <c r="E2967" s="90" t="s">
        <v>68</v>
      </c>
      <c r="F2967" s="90" t="s">
        <v>375</v>
      </c>
      <c r="G2967" s="90" t="s">
        <v>376</v>
      </c>
      <c r="H2967" s="90">
        <v>0.59</v>
      </c>
      <c r="I2967" s="90">
        <v>0.64</v>
      </c>
      <c r="J2967" s="90" t="s">
        <v>244</v>
      </c>
      <c r="K2967" s="90">
        <v>0.11646244850020999</v>
      </c>
      <c r="L2967" s="90">
        <v>3673.4181151697098</v>
      </c>
      <c r="M2967" s="90">
        <v>9.1605557876678692</v>
      </c>
      <c r="N2967" s="90">
        <v>1.34740142071922</v>
      </c>
      <c r="O2967" s="90">
        <v>1.0668607566546</v>
      </c>
      <c r="P2967" s="90">
        <v>0.15692166856962</v>
      </c>
      <c r="Q2967" s="90">
        <v>427.81526805770602</v>
      </c>
      <c r="R2967" s="90">
        <v>1210</v>
      </c>
      <c r="S2967" s="90" t="s">
        <v>385</v>
      </c>
      <c r="T2967" s="90">
        <v>1210</v>
      </c>
      <c r="U2967" s="90" t="s">
        <v>378</v>
      </c>
      <c r="V2967" s="90" t="s">
        <v>244</v>
      </c>
      <c r="Z2967" s="90">
        <v>0</v>
      </c>
      <c r="AA2967" s="90">
        <v>1</v>
      </c>
      <c r="AB2967" s="90">
        <v>1.0668607566546</v>
      </c>
      <c r="AC2967" s="90">
        <v>0.15692166856962</v>
      </c>
      <c r="AD2967" s="90">
        <v>436.12389151235601</v>
      </c>
      <c r="AF2967" s="90">
        <v>-1</v>
      </c>
      <c r="AG2967" s="90">
        <v>-1</v>
      </c>
      <c r="AH2967" s="90">
        <v>-1</v>
      </c>
      <c r="AI2967" s="90">
        <v>-1</v>
      </c>
      <c r="AJ2967" s="90">
        <v>0</v>
      </c>
      <c r="AM2967" s="90" t="s">
        <v>379</v>
      </c>
      <c r="AN2967" s="90">
        <v>-1</v>
      </c>
      <c r="AQ2967" s="90">
        <v>388</v>
      </c>
      <c r="AR2967" s="90" t="s">
        <v>304</v>
      </c>
      <c r="AS2967" s="90" t="s">
        <v>427</v>
      </c>
      <c r="AT2967" s="90" t="s">
        <v>244</v>
      </c>
      <c r="AU2967" s="90">
        <v>1.0789029999999999</v>
      </c>
      <c r="AV2967" s="90">
        <v>87.125905773861405</v>
      </c>
      <c r="AW2967" s="90">
        <v>471.30680768152001</v>
      </c>
      <c r="AX2967" s="90">
        <v>0.35370956329999997</v>
      </c>
    </row>
    <row r="2968" spans="1:50" x14ac:dyDescent="0.25">
      <c r="A2968" s="102">
        <v>830000</v>
      </c>
      <c r="B2968" s="102">
        <v>2400000</v>
      </c>
      <c r="C2968" s="102">
        <v>2400000</v>
      </c>
      <c r="D2968" s="90" t="s">
        <v>374</v>
      </c>
      <c r="E2968" s="90" t="s">
        <v>68</v>
      </c>
      <c r="F2968" s="90" t="s">
        <v>375</v>
      </c>
      <c r="G2968" s="90" t="s">
        <v>376</v>
      </c>
      <c r="H2968" s="90">
        <v>0.59</v>
      </c>
      <c r="I2968" s="90">
        <v>0.64</v>
      </c>
      <c r="J2968" s="90" t="s">
        <v>244</v>
      </c>
      <c r="K2968" s="90">
        <v>3.7086791989089998E-2</v>
      </c>
      <c r="L2968" s="90">
        <v>3673.4181151697098</v>
      </c>
      <c r="M2968" s="90">
        <v>9.1605557876678692</v>
      </c>
      <c r="N2968" s="90">
        <v>1.34740142071922</v>
      </c>
      <c r="O2968" s="90">
        <v>0.33973562700170001</v>
      </c>
      <c r="P2968" s="90">
        <v>4.9970796216009999E-2</v>
      </c>
      <c r="Q2968" s="90">
        <v>136.235293526258</v>
      </c>
      <c r="R2968" s="90">
        <v>1210</v>
      </c>
      <c r="S2968" s="90" t="s">
        <v>385</v>
      </c>
      <c r="T2968" s="90">
        <v>1210</v>
      </c>
      <c r="U2968" s="90" t="s">
        <v>378</v>
      </c>
      <c r="V2968" s="90" t="s">
        <v>244</v>
      </c>
      <c r="Z2968" s="90">
        <v>0</v>
      </c>
      <c r="AA2968" s="90">
        <v>1</v>
      </c>
      <c r="AB2968" s="90">
        <v>0.33973562700170001</v>
      </c>
      <c r="AC2968" s="90">
        <v>4.9970796216009999E-2</v>
      </c>
      <c r="AD2968" s="90">
        <v>152.98259475826401</v>
      </c>
      <c r="AF2968" s="90">
        <v>-1</v>
      </c>
      <c r="AG2968" s="90">
        <v>-1</v>
      </c>
      <c r="AH2968" s="90">
        <v>-1</v>
      </c>
      <c r="AI2968" s="90">
        <v>-1</v>
      </c>
      <c r="AJ2968" s="90">
        <v>0</v>
      </c>
      <c r="AM2968" s="90" t="s">
        <v>379</v>
      </c>
      <c r="AN2968" s="90">
        <v>-1</v>
      </c>
      <c r="AQ2968" s="90">
        <v>388</v>
      </c>
      <c r="AR2968" s="90" t="s">
        <v>304</v>
      </c>
      <c r="AS2968" s="90" t="s">
        <v>427</v>
      </c>
      <c r="AT2968" s="90" t="s">
        <v>244</v>
      </c>
      <c r="AU2968" s="90">
        <v>1.0789029999999999</v>
      </c>
      <c r="AV2968" s="90">
        <v>52.822567706943403</v>
      </c>
      <c r="AW2968" s="90">
        <v>150.08492234726299</v>
      </c>
      <c r="AX2968" s="90">
        <v>0.1240734751</v>
      </c>
    </row>
    <row r="2969" spans="1:50" x14ac:dyDescent="0.25">
      <c r="A2969" s="102">
        <v>830000</v>
      </c>
      <c r="B2969" s="102">
        <v>2400000</v>
      </c>
      <c r="C2969" s="102">
        <v>2400000</v>
      </c>
      <c r="D2969" s="90" t="s">
        <v>374</v>
      </c>
      <c r="E2969" s="90" t="s">
        <v>68</v>
      </c>
      <c r="F2969" s="90" t="s">
        <v>375</v>
      </c>
      <c r="G2969" s="90" t="s">
        <v>376</v>
      </c>
      <c r="H2969" s="90">
        <v>0.59</v>
      </c>
      <c r="I2969" s="90">
        <v>0.64</v>
      </c>
      <c r="J2969" s="90" t="s">
        <v>244</v>
      </c>
      <c r="K2969" s="90">
        <v>0.10218738439902</v>
      </c>
      <c r="L2969" s="90">
        <v>3673.4181154434</v>
      </c>
      <c r="M2969" s="90">
        <v>9.1605557883503899</v>
      </c>
      <c r="N2969" s="90">
        <v>1.3474014208196099</v>
      </c>
      <c r="O2969" s="90">
        <v>0.93609323565286995</v>
      </c>
      <c r="P2969" s="90">
        <v>0.13768742692908001</v>
      </c>
      <c r="Q2969" s="90">
        <v>375.37698902115699</v>
      </c>
      <c r="R2969" s="90">
        <v>1200</v>
      </c>
      <c r="S2969" s="90" t="s">
        <v>384</v>
      </c>
      <c r="T2969" s="90">
        <v>1200</v>
      </c>
      <c r="U2969" s="90" t="s">
        <v>378</v>
      </c>
      <c r="V2969" s="90" t="s">
        <v>244</v>
      </c>
      <c r="Z2969" s="90">
        <v>0</v>
      </c>
      <c r="AA2969" s="90">
        <v>1</v>
      </c>
      <c r="AB2969" s="90">
        <v>0.93609323565286995</v>
      </c>
      <c r="AC2969" s="90">
        <v>0.13768742692908001</v>
      </c>
      <c r="AD2969" s="90">
        <v>698.756448424361</v>
      </c>
      <c r="AF2969" s="90">
        <v>-1</v>
      </c>
      <c r="AG2969" s="90">
        <v>-1</v>
      </c>
      <c r="AH2969" s="90">
        <v>-1</v>
      </c>
      <c r="AI2969" s="90">
        <v>-1</v>
      </c>
      <c r="AJ2969" s="90">
        <v>0</v>
      </c>
      <c r="AM2969" s="90" t="s">
        <v>379</v>
      </c>
      <c r="AN2969" s="90">
        <v>-1</v>
      </c>
      <c r="AQ2969" s="90">
        <v>388</v>
      </c>
      <c r="AR2969" s="90" t="s">
        <v>304</v>
      </c>
      <c r="AS2969" s="90" t="s">
        <v>427</v>
      </c>
      <c r="AT2969" s="90" t="s">
        <v>244</v>
      </c>
      <c r="AU2969" s="90">
        <v>1.0789029999999999</v>
      </c>
      <c r="AV2969" s="90">
        <v>117.329226473432</v>
      </c>
      <c r="AW2969" s="90">
        <v>413.53767284345003</v>
      </c>
      <c r="AX2969" s="90">
        <v>0.56671244799999998</v>
      </c>
    </row>
    <row r="2970" spans="1:50" x14ac:dyDescent="0.25">
      <c r="A2970" s="102">
        <v>830000</v>
      </c>
      <c r="B2970" s="102">
        <v>2400000</v>
      </c>
      <c r="C2970" s="102">
        <v>2400000</v>
      </c>
      <c r="D2970" s="90" t="s">
        <v>374</v>
      </c>
      <c r="E2970" s="90" t="s">
        <v>68</v>
      </c>
      <c r="F2970" s="90" t="s">
        <v>375</v>
      </c>
      <c r="G2970" s="90" t="s">
        <v>376</v>
      </c>
      <c r="H2970" s="90">
        <v>0.59</v>
      </c>
      <c r="I2970" s="90">
        <v>0.64</v>
      </c>
      <c r="J2970" s="90" t="s">
        <v>244</v>
      </c>
      <c r="K2970" s="90">
        <v>7.2457572619660002E-2</v>
      </c>
      <c r="L2970" s="90">
        <v>3673.4181154434</v>
      </c>
      <c r="M2970" s="90">
        <v>9.1605557883503899</v>
      </c>
      <c r="N2970" s="90">
        <v>1.3474014208196099</v>
      </c>
      <c r="O2970" s="90">
        <v>0.66375163627087996</v>
      </c>
      <c r="P2970" s="90">
        <v>9.7629436296870001E-2</v>
      </c>
      <c r="Q2970" s="90">
        <v>266.16695986213</v>
      </c>
      <c r="R2970" s="90">
        <v>1210</v>
      </c>
      <c r="S2970" s="90" t="s">
        <v>385</v>
      </c>
      <c r="T2970" s="90">
        <v>1210</v>
      </c>
      <c r="U2970" s="90" t="s">
        <v>378</v>
      </c>
      <c r="V2970" s="90" t="s">
        <v>244</v>
      </c>
      <c r="Z2970" s="90">
        <v>0</v>
      </c>
      <c r="AA2970" s="90">
        <v>1</v>
      </c>
      <c r="AB2970" s="90">
        <v>0.66375163627087996</v>
      </c>
      <c r="AC2970" s="90">
        <v>9.7629436296870001E-2</v>
      </c>
      <c r="AD2970" s="90">
        <v>356.21658117794198</v>
      </c>
      <c r="AF2970" s="90">
        <v>-1</v>
      </c>
      <c r="AG2970" s="90">
        <v>-1</v>
      </c>
      <c r="AH2970" s="90">
        <v>-1</v>
      </c>
      <c r="AI2970" s="90">
        <v>-1</v>
      </c>
      <c r="AJ2970" s="90">
        <v>0</v>
      </c>
      <c r="AM2970" s="90" t="s">
        <v>379</v>
      </c>
      <c r="AN2970" s="90">
        <v>-1</v>
      </c>
      <c r="AQ2970" s="90">
        <v>388</v>
      </c>
      <c r="AR2970" s="90" t="s">
        <v>304</v>
      </c>
      <c r="AS2970" s="90" t="s">
        <v>427</v>
      </c>
      <c r="AT2970" s="90" t="s">
        <v>244</v>
      </c>
      <c r="AU2970" s="90">
        <v>1.0789029999999999</v>
      </c>
      <c r="AV2970" s="90">
        <v>68.821600783146806</v>
      </c>
      <c r="AW2970" s="90">
        <v>293.22539310740001</v>
      </c>
      <c r="AX2970" s="90">
        <v>0.28890233669999998</v>
      </c>
    </row>
    <row r="2971" spans="1:50" x14ac:dyDescent="0.25">
      <c r="A2971" s="102">
        <v>830000</v>
      </c>
      <c r="B2971" s="102">
        <v>2400000</v>
      </c>
      <c r="C2971" s="102">
        <v>2400000</v>
      </c>
      <c r="D2971" s="90" t="s">
        <v>374</v>
      </c>
      <c r="E2971" s="90" t="s">
        <v>68</v>
      </c>
      <c r="F2971" s="90" t="s">
        <v>375</v>
      </c>
      <c r="G2971" s="90" t="s">
        <v>376</v>
      </c>
      <c r="H2971" s="90">
        <v>0.59</v>
      </c>
      <c r="I2971" s="90">
        <v>0.64</v>
      </c>
      <c r="J2971" s="90" t="s">
        <v>244</v>
      </c>
      <c r="K2971" s="90">
        <v>9.0293284171020005E-2</v>
      </c>
      <c r="L2971" s="90">
        <v>3673.4181154434</v>
      </c>
      <c r="M2971" s="90">
        <v>9.1605557883503899</v>
      </c>
      <c r="N2971" s="90">
        <v>1.3474014208196099</v>
      </c>
      <c r="O2971" s="90">
        <v>0.82713666696205002</v>
      </c>
      <c r="P2971" s="90">
        <v>0.1216612993825</v>
      </c>
      <c r="Q2971" s="90">
        <v>331.68498577672199</v>
      </c>
      <c r="R2971" s="90">
        <v>1210</v>
      </c>
      <c r="S2971" s="90" t="s">
        <v>385</v>
      </c>
      <c r="T2971" s="90">
        <v>1210</v>
      </c>
      <c r="U2971" s="90" t="s">
        <v>378</v>
      </c>
      <c r="V2971" s="90" t="s">
        <v>244</v>
      </c>
      <c r="Z2971" s="90">
        <v>0</v>
      </c>
      <c r="AA2971" s="90">
        <v>1</v>
      </c>
      <c r="AB2971" s="90">
        <v>0.82713666696205002</v>
      </c>
      <c r="AC2971" s="90">
        <v>0.1216612993825</v>
      </c>
      <c r="AD2971" s="90">
        <v>582.27866427142101</v>
      </c>
      <c r="AF2971" s="90">
        <v>-1</v>
      </c>
      <c r="AG2971" s="90">
        <v>-1</v>
      </c>
      <c r="AH2971" s="90">
        <v>-1</v>
      </c>
      <c r="AI2971" s="90">
        <v>-1</v>
      </c>
      <c r="AJ2971" s="90">
        <v>0</v>
      </c>
      <c r="AM2971" s="90" t="s">
        <v>379</v>
      </c>
      <c r="AN2971" s="90">
        <v>-1</v>
      </c>
      <c r="AQ2971" s="90">
        <v>388</v>
      </c>
      <c r="AR2971" s="90" t="s">
        <v>304</v>
      </c>
      <c r="AS2971" s="90" t="s">
        <v>427</v>
      </c>
      <c r="AT2971" s="90" t="s">
        <v>244</v>
      </c>
      <c r="AU2971" s="90">
        <v>1.0789029999999999</v>
      </c>
      <c r="AV2971" s="90">
        <v>79.505757160967406</v>
      </c>
      <c r="AW2971" s="90">
        <v>365.40395694710003</v>
      </c>
      <c r="AX2971" s="90">
        <v>0.47224546979999998</v>
      </c>
    </row>
    <row r="2972" spans="1:50" x14ac:dyDescent="0.25">
      <c r="A2972" s="102">
        <v>830000</v>
      </c>
      <c r="B2972" s="102">
        <v>2400000</v>
      </c>
      <c r="C2972" s="102">
        <v>2400000</v>
      </c>
      <c r="D2972" s="90" t="s">
        <v>374</v>
      </c>
      <c r="E2972" s="90" t="s">
        <v>68</v>
      </c>
      <c r="F2972" s="90" t="s">
        <v>375</v>
      </c>
      <c r="G2972" s="90" t="s">
        <v>376</v>
      </c>
      <c r="H2972" s="90">
        <v>0.59</v>
      </c>
      <c r="I2972" s="90">
        <v>0.64</v>
      </c>
      <c r="J2972" s="90" t="s">
        <v>244</v>
      </c>
      <c r="K2972" s="90">
        <v>1.9445868950339999E-2</v>
      </c>
      <c r="L2972" s="90">
        <v>3673.4181154434</v>
      </c>
      <c r="M2972" s="90">
        <v>9.1605557883503899</v>
      </c>
      <c r="N2972" s="90">
        <v>1.3474014208196099</v>
      </c>
      <c r="O2972" s="90">
        <v>0.17813496737257001</v>
      </c>
      <c r="P2972" s="90">
        <v>2.6201391452760001E-2</v>
      </c>
      <c r="Q2972" s="90">
        <v>71.432807272732106</v>
      </c>
      <c r="R2972" s="90">
        <v>1210</v>
      </c>
      <c r="S2972" s="90" t="s">
        <v>385</v>
      </c>
      <c r="T2972" s="90">
        <v>1210</v>
      </c>
      <c r="U2972" s="90" t="s">
        <v>378</v>
      </c>
      <c r="V2972" s="90" t="s">
        <v>244</v>
      </c>
      <c r="Z2972" s="90">
        <v>0</v>
      </c>
      <c r="AA2972" s="90">
        <v>1</v>
      </c>
      <c r="AB2972" s="90">
        <v>0.17813496737257001</v>
      </c>
      <c r="AC2972" s="90">
        <v>2.6201391452760001E-2</v>
      </c>
      <c r="AD2972" s="90">
        <v>156.83852793533001</v>
      </c>
      <c r="AF2972" s="90">
        <v>-1</v>
      </c>
      <c r="AG2972" s="90">
        <v>-1</v>
      </c>
      <c r="AH2972" s="90">
        <v>-1</v>
      </c>
      <c r="AI2972" s="90">
        <v>-1</v>
      </c>
      <c r="AJ2972" s="90">
        <v>0</v>
      </c>
      <c r="AM2972" s="90" t="s">
        <v>379</v>
      </c>
      <c r="AN2972" s="90">
        <v>-1</v>
      </c>
      <c r="AQ2972" s="90">
        <v>388</v>
      </c>
      <c r="AR2972" s="90" t="s">
        <v>304</v>
      </c>
      <c r="AS2972" s="90" t="s">
        <v>427</v>
      </c>
      <c r="AT2972" s="90" t="s">
        <v>244</v>
      </c>
      <c r="AU2972" s="90">
        <v>1.0789029999999999</v>
      </c>
      <c r="AV2972" s="90">
        <v>36.408657803798</v>
      </c>
      <c r="AW2972" s="90">
        <v>78.694639650847805</v>
      </c>
      <c r="AX2972" s="90">
        <v>0.12720075259999999</v>
      </c>
    </row>
    <row r="2973" spans="1:50" x14ac:dyDescent="0.25">
      <c r="A2973" s="102">
        <v>830000</v>
      </c>
      <c r="B2973" s="102">
        <v>2400000</v>
      </c>
      <c r="C2973" s="102">
        <v>2400000</v>
      </c>
      <c r="D2973" s="90" t="s">
        <v>374</v>
      </c>
      <c r="E2973" s="90" t="s">
        <v>68</v>
      </c>
      <c r="F2973" s="90" t="s">
        <v>375</v>
      </c>
      <c r="G2973" s="90" t="s">
        <v>376</v>
      </c>
      <c r="H2973" s="90">
        <v>0.59</v>
      </c>
      <c r="I2973" s="90">
        <v>0.64</v>
      </c>
      <c r="J2973" s="90" t="s">
        <v>244</v>
      </c>
      <c r="K2973" s="90">
        <v>1.9756365617509999E-2</v>
      </c>
      <c r="L2973" s="90">
        <v>3673.4181154434</v>
      </c>
      <c r="M2973" s="90">
        <v>9.1605557883503899</v>
      </c>
      <c r="N2973" s="90">
        <v>1.3474014208196099</v>
      </c>
      <c r="O2973" s="90">
        <v>0.18097928941433</v>
      </c>
      <c r="P2973" s="90">
        <v>2.6619755103269999E-2</v>
      </c>
      <c r="Q2973" s="90">
        <v>72.5733913547176</v>
      </c>
      <c r="R2973" s="90">
        <v>1210</v>
      </c>
      <c r="S2973" s="90" t="s">
        <v>385</v>
      </c>
      <c r="T2973" s="90">
        <v>1210</v>
      </c>
      <c r="U2973" s="90" t="s">
        <v>378</v>
      </c>
      <c r="V2973" s="90" t="s">
        <v>244</v>
      </c>
      <c r="Z2973" s="90">
        <v>0</v>
      </c>
      <c r="AA2973" s="90">
        <v>1</v>
      </c>
      <c r="AB2973" s="90">
        <v>0.18097928941433</v>
      </c>
      <c r="AC2973" s="90">
        <v>2.6619755103269999E-2</v>
      </c>
      <c r="AD2973" s="90">
        <v>400.65425536766003</v>
      </c>
      <c r="AF2973" s="90">
        <v>-1</v>
      </c>
      <c r="AG2973" s="90">
        <v>-1</v>
      </c>
      <c r="AH2973" s="90">
        <v>-1</v>
      </c>
      <c r="AI2973" s="90">
        <v>-1</v>
      </c>
      <c r="AJ2973" s="90">
        <v>0</v>
      </c>
      <c r="AM2973" s="90" t="s">
        <v>379</v>
      </c>
      <c r="AN2973" s="90">
        <v>-1</v>
      </c>
      <c r="AQ2973" s="90">
        <v>388</v>
      </c>
      <c r="AR2973" s="90" t="s">
        <v>304</v>
      </c>
      <c r="AS2973" s="90" t="s">
        <v>427</v>
      </c>
      <c r="AT2973" s="90" t="s">
        <v>244</v>
      </c>
      <c r="AU2973" s="90">
        <v>1.0789029999999999</v>
      </c>
      <c r="AV2973" s="90">
        <v>40.953104742003603</v>
      </c>
      <c r="AW2973" s="90">
        <v>79.951175082539393</v>
      </c>
      <c r="AX2973" s="90">
        <v>0.32494262400000001</v>
      </c>
    </row>
    <row r="2974" spans="1:50" x14ac:dyDescent="0.25">
      <c r="A2974" s="102">
        <v>830000</v>
      </c>
      <c r="B2974" s="102">
        <v>2400000</v>
      </c>
      <c r="C2974" s="102">
        <v>2400000</v>
      </c>
      <c r="D2974" s="90" t="s">
        <v>374</v>
      </c>
      <c r="E2974" s="90" t="s">
        <v>68</v>
      </c>
      <c r="F2974" s="90" t="s">
        <v>375</v>
      </c>
      <c r="G2974" s="90" t="s">
        <v>376</v>
      </c>
      <c r="H2974" s="90">
        <v>0.59</v>
      </c>
      <c r="I2974" s="90">
        <v>0.64</v>
      </c>
      <c r="J2974" s="90" t="s">
        <v>244</v>
      </c>
      <c r="K2974" s="90">
        <v>2.313982947795E-2</v>
      </c>
      <c r="L2974" s="90">
        <v>3673.4181154434</v>
      </c>
      <c r="M2974" s="90">
        <v>9.1605557883503899</v>
      </c>
      <c r="N2974" s="90">
        <v>1.3474014208196099</v>
      </c>
      <c r="O2974" s="90">
        <v>0.21197369886574</v>
      </c>
      <c r="P2974" s="90">
        <v>3.117863911612E-2</v>
      </c>
      <c r="Q2974" s="90">
        <v>85.002268792602294</v>
      </c>
      <c r="R2974" s="90">
        <v>1210</v>
      </c>
      <c r="S2974" s="90" t="s">
        <v>385</v>
      </c>
      <c r="T2974" s="90">
        <v>1210</v>
      </c>
      <c r="U2974" s="90" t="s">
        <v>378</v>
      </c>
      <c r="V2974" s="90" t="s">
        <v>244</v>
      </c>
      <c r="Z2974" s="90">
        <v>0</v>
      </c>
      <c r="AA2974" s="90">
        <v>1</v>
      </c>
      <c r="AB2974" s="90">
        <v>0.21197369886574</v>
      </c>
      <c r="AC2974" s="90">
        <v>3.117863911612E-2</v>
      </c>
      <c r="AD2974" s="90">
        <v>570.26773102115601</v>
      </c>
      <c r="AF2974" s="90">
        <v>-1</v>
      </c>
      <c r="AG2974" s="90">
        <v>-1</v>
      </c>
      <c r="AH2974" s="90">
        <v>-1</v>
      </c>
      <c r="AI2974" s="90">
        <v>-1</v>
      </c>
      <c r="AJ2974" s="90">
        <v>0</v>
      </c>
      <c r="AM2974" s="90" t="s">
        <v>379</v>
      </c>
      <c r="AN2974" s="90">
        <v>-1</v>
      </c>
      <c r="AQ2974" s="90">
        <v>388</v>
      </c>
      <c r="AR2974" s="90" t="s">
        <v>304</v>
      </c>
      <c r="AS2974" s="90" t="s">
        <v>427</v>
      </c>
      <c r="AT2974" s="90" t="s">
        <v>244</v>
      </c>
      <c r="AU2974" s="90">
        <v>1.0789029999999999</v>
      </c>
      <c r="AV2974" s="90">
        <v>59.031552843701299</v>
      </c>
      <c r="AW2974" s="90">
        <v>93.643567536117203</v>
      </c>
      <c r="AX2974" s="90">
        <v>0.4625042425</v>
      </c>
    </row>
    <row r="2975" spans="1:50" x14ac:dyDescent="0.25">
      <c r="A2975" s="102">
        <v>830000</v>
      </c>
      <c r="B2975" s="102">
        <v>2400000</v>
      </c>
      <c r="C2975" s="102">
        <v>2400000</v>
      </c>
      <c r="D2975" s="90" t="s">
        <v>374</v>
      </c>
      <c r="E2975" s="90" t="s">
        <v>68</v>
      </c>
      <c r="F2975" s="90" t="s">
        <v>375</v>
      </c>
      <c r="G2975" s="90" t="s">
        <v>376</v>
      </c>
      <c r="H2975" s="90">
        <v>0.59</v>
      </c>
      <c r="I2975" s="90">
        <v>0.64</v>
      </c>
      <c r="J2975" s="90" t="s">
        <v>244</v>
      </c>
      <c r="K2975" s="90">
        <v>4.1271055781300003E-3</v>
      </c>
      <c r="L2975" s="90">
        <v>3673.4181154434</v>
      </c>
      <c r="M2975" s="90">
        <v>9.1605557883503899</v>
      </c>
      <c r="N2975" s="90">
        <v>1.3474014208196099</v>
      </c>
      <c r="O2975" s="90">
        <v>3.780658089287E-2</v>
      </c>
      <c r="P2975" s="90">
        <v>5.5608679198399999E-3</v>
      </c>
      <c r="Q2975" s="90">
        <v>15.160584395050201</v>
      </c>
      <c r="R2975" s="90">
        <v>1210</v>
      </c>
      <c r="S2975" s="90" t="s">
        <v>385</v>
      </c>
      <c r="T2975" s="90">
        <v>1210</v>
      </c>
      <c r="U2975" s="90" t="s">
        <v>378</v>
      </c>
      <c r="V2975" s="90" t="s">
        <v>244</v>
      </c>
      <c r="Z2975" s="90">
        <v>0</v>
      </c>
      <c r="AA2975" s="90">
        <v>1</v>
      </c>
      <c r="AB2975" s="90">
        <v>3.780658089287E-2</v>
      </c>
      <c r="AC2975" s="90">
        <v>5.5608679198399999E-3</v>
      </c>
      <c r="AD2975" s="90">
        <v>155.76161354631199</v>
      </c>
      <c r="AF2975" s="90">
        <v>-1</v>
      </c>
      <c r="AG2975" s="90">
        <v>-1</v>
      </c>
      <c r="AH2975" s="90">
        <v>-1</v>
      </c>
      <c r="AI2975" s="90">
        <v>-1</v>
      </c>
      <c r="AJ2975" s="90">
        <v>0</v>
      </c>
      <c r="AM2975" s="90" t="s">
        <v>379</v>
      </c>
      <c r="AN2975" s="90">
        <v>-1</v>
      </c>
      <c r="AQ2975" s="90">
        <v>388</v>
      </c>
      <c r="AR2975" s="90" t="s">
        <v>304</v>
      </c>
      <c r="AS2975" s="90" t="s">
        <v>427</v>
      </c>
      <c r="AT2975" s="90" t="s">
        <v>244</v>
      </c>
      <c r="AU2975" s="90">
        <v>1.0789029999999999</v>
      </c>
      <c r="AV2975" s="90">
        <v>21.6750158598932</v>
      </c>
      <c r="AW2975" s="90">
        <v>16.7018037147791</v>
      </c>
      <c r="AX2975" s="90">
        <v>0.12632734270000001</v>
      </c>
    </row>
    <row r="2976" spans="1:50" x14ac:dyDescent="0.25">
      <c r="A2976" s="102">
        <v>830000</v>
      </c>
      <c r="B2976" s="102">
        <v>2400000</v>
      </c>
      <c r="C2976" s="102">
        <v>2400000</v>
      </c>
      <c r="D2976" s="90" t="s">
        <v>374</v>
      </c>
      <c r="E2976" s="90" t="s">
        <v>68</v>
      </c>
      <c r="F2976" s="90" t="s">
        <v>375</v>
      </c>
      <c r="G2976" s="90" t="s">
        <v>376</v>
      </c>
      <c r="H2976" s="90">
        <v>0.59</v>
      </c>
      <c r="I2976" s="90">
        <v>0.64</v>
      </c>
      <c r="J2976" s="90" t="s">
        <v>244</v>
      </c>
      <c r="K2976" s="90">
        <v>8.877088809698E-2</v>
      </c>
      <c r="L2976" s="90">
        <v>3673.4181154434</v>
      </c>
      <c r="M2976" s="90">
        <v>9.1605557883503899</v>
      </c>
      <c r="N2976" s="90">
        <v>1.3474014208196099</v>
      </c>
      <c r="O2976" s="90">
        <v>0.81319067279386004</v>
      </c>
      <c r="P2976" s="90">
        <v>0.11961002074929999</v>
      </c>
      <c r="Q2976" s="90">
        <v>326.092588459475</v>
      </c>
      <c r="R2976" s="90">
        <v>1200</v>
      </c>
      <c r="S2976" s="90" t="s">
        <v>384</v>
      </c>
      <c r="T2976" s="90">
        <v>1200</v>
      </c>
      <c r="U2976" s="90" t="s">
        <v>378</v>
      </c>
      <c r="V2976" s="90" t="s">
        <v>244</v>
      </c>
      <c r="Z2976" s="90">
        <v>0</v>
      </c>
      <c r="AA2976" s="90">
        <v>1</v>
      </c>
      <c r="AB2976" s="90">
        <v>0.81319067279386004</v>
      </c>
      <c r="AC2976" s="90">
        <v>0.11961002074929999</v>
      </c>
      <c r="AD2976" s="90">
        <v>699.74811326249198</v>
      </c>
      <c r="AF2976" s="90">
        <v>-1</v>
      </c>
      <c r="AG2976" s="90">
        <v>-1</v>
      </c>
      <c r="AH2976" s="90">
        <v>-1</v>
      </c>
      <c r="AI2976" s="90">
        <v>-1</v>
      </c>
      <c r="AJ2976" s="90">
        <v>0</v>
      </c>
      <c r="AM2976" s="90" t="s">
        <v>379</v>
      </c>
      <c r="AN2976" s="90">
        <v>-1</v>
      </c>
      <c r="AQ2976" s="90">
        <v>388</v>
      </c>
      <c r="AR2976" s="90" t="s">
        <v>304</v>
      </c>
      <c r="AS2976" s="90" t="s">
        <v>427</v>
      </c>
      <c r="AT2976" s="90" t="s">
        <v>244</v>
      </c>
      <c r="AU2976" s="90">
        <v>1.0789029999999999</v>
      </c>
      <c r="AV2976" s="90">
        <v>115.097531037032</v>
      </c>
      <c r="AW2976" s="90">
        <v>359.24303861744602</v>
      </c>
      <c r="AX2976" s="90">
        <v>0.56751671800000003</v>
      </c>
    </row>
    <row r="2977" spans="1:50" x14ac:dyDescent="0.25">
      <c r="A2977" s="102">
        <v>830000</v>
      </c>
      <c r="B2977" s="102">
        <v>2400000</v>
      </c>
      <c r="C2977" s="102">
        <v>2400000</v>
      </c>
      <c r="D2977" s="90" t="s">
        <v>374</v>
      </c>
      <c r="E2977" s="90" t="s">
        <v>68</v>
      </c>
      <c r="F2977" s="90" t="s">
        <v>375</v>
      </c>
      <c r="G2977" s="90" t="s">
        <v>376</v>
      </c>
      <c r="H2977" s="90">
        <v>0.59</v>
      </c>
      <c r="I2977" s="90">
        <v>0.64</v>
      </c>
      <c r="J2977" s="90" t="s">
        <v>244</v>
      </c>
      <c r="K2977" s="90">
        <v>3.5032345237639997E-2</v>
      </c>
      <c r="L2977" s="90">
        <v>3673.4181154434</v>
      </c>
      <c r="M2977" s="90">
        <v>9.1605557883503899</v>
      </c>
      <c r="N2977" s="90">
        <v>1.3474014208196099</v>
      </c>
      <c r="O2977" s="90">
        <v>0.32091575294621999</v>
      </c>
      <c r="P2977" s="90">
        <v>4.7202631747849999E-2</v>
      </c>
      <c r="Q2977" s="90">
        <v>128.68845162244301</v>
      </c>
      <c r="R2977" s="90">
        <v>1210</v>
      </c>
      <c r="S2977" s="90" t="s">
        <v>385</v>
      </c>
      <c r="T2977" s="90">
        <v>1210</v>
      </c>
      <c r="U2977" s="90" t="s">
        <v>378</v>
      </c>
      <c r="V2977" s="90" t="s">
        <v>244</v>
      </c>
      <c r="Z2977" s="90">
        <v>0</v>
      </c>
      <c r="AA2977" s="90">
        <v>1</v>
      </c>
      <c r="AB2977" s="90">
        <v>0.32091575294621999</v>
      </c>
      <c r="AC2977" s="90">
        <v>4.7202631747849999E-2</v>
      </c>
      <c r="AD2977" s="90">
        <v>128.688451622445</v>
      </c>
      <c r="AF2977" s="90">
        <v>-1</v>
      </c>
      <c r="AG2977" s="90">
        <v>-1</v>
      </c>
      <c r="AH2977" s="90">
        <v>-1</v>
      </c>
      <c r="AI2977" s="90">
        <v>-1</v>
      </c>
      <c r="AJ2977" s="90">
        <v>0</v>
      </c>
      <c r="AM2977" s="90" t="s">
        <v>379</v>
      </c>
      <c r="AN2977" s="90">
        <v>-1</v>
      </c>
      <c r="AQ2977" s="90">
        <v>388</v>
      </c>
      <c r="AR2977" s="90" t="s">
        <v>304</v>
      </c>
      <c r="AS2977" s="90" t="s">
        <v>427</v>
      </c>
      <c r="AT2977" s="90" t="s">
        <v>244</v>
      </c>
      <c r="AU2977" s="90">
        <v>1.0789029999999999</v>
      </c>
      <c r="AV2977" s="90">
        <v>48.508761296730398</v>
      </c>
      <c r="AW2977" s="90">
        <v>141.77087131671101</v>
      </c>
      <c r="AX2977" s="90">
        <v>0.104370196</v>
      </c>
    </row>
    <row r="2978" spans="1:50" x14ac:dyDescent="0.25">
      <c r="A2978" s="102">
        <v>830000</v>
      </c>
      <c r="B2978" s="102">
        <v>2400000</v>
      </c>
      <c r="C2978" s="102">
        <v>2400000</v>
      </c>
      <c r="D2978" s="90" t="s">
        <v>374</v>
      </c>
      <c r="E2978" s="90" t="s">
        <v>68</v>
      </c>
      <c r="F2978" s="90" t="s">
        <v>375</v>
      </c>
      <c r="G2978" s="90" t="s">
        <v>376</v>
      </c>
      <c r="H2978" s="90">
        <v>0.59</v>
      </c>
      <c r="I2978" s="90">
        <v>0.64</v>
      </c>
      <c r="J2978" s="90" t="s">
        <v>244</v>
      </c>
      <c r="K2978" s="90">
        <v>7.8937908408820007E-2</v>
      </c>
      <c r="L2978" s="90">
        <v>3673.4181154434</v>
      </c>
      <c r="M2978" s="90">
        <v>9.1605557883503899</v>
      </c>
      <c r="N2978" s="90">
        <v>1.3474014208196099</v>
      </c>
      <c r="O2978" s="90">
        <v>0.72311511379468996</v>
      </c>
      <c r="P2978" s="90">
        <v>0.10636104994657</v>
      </c>
      <c r="Q2978" s="90">
        <v>289.97194274417501</v>
      </c>
      <c r="R2978" s="90">
        <v>1210</v>
      </c>
      <c r="S2978" s="90" t="s">
        <v>385</v>
      </c>
      <c r="T2978" s="90">
        <v>1210</v>
      </c>
      <c r="U2978" s="90" t="s">
        <v>378</v>
      </c>
      <c r="V2978" s="90" t="s">
        <v>244</v>
      </c>
      <c r="Z2978" s="90">
        <v>0</v>
      </c>
      <c r="AA2978" s="90">
        <v>1</v>
      </c>
      <c r="AB2978" s="90">
        <v>0.72311511379468996</v>
      </c>
      <c r="AC2978" s="90">
        <v>0.10636104994657</v>
      </c>
      <c r="AD2978" s="90">
        <v>289.97194274417598</v>
      </c>
      <c r="AF2978" s="90">
        <v>-1</v>
      </c>
      <c r="AG2978" s="90">
        <v>-1</v>
      </c>
      <c r="AH2978" s="90">
        <v>-1</v>
      </c>
      <c r="AI2978" s="90">
        <v>-1</v>
      </c>
      <c r="AJ2978" s="90">
        <v>0</v>
      </c>
      <c r="AM2978" s="90" t="s">
        <v>379</v>
      </c>
      <c r="AN2978" s="90">
        <v>-1</v>
      </c>
      <c r="AQ2978" s="90">
        <v>388</v>
      </c>
      <c r="AR2978" s="90" t="s">
        <v>304</v>
      </c>
      <c r="AS2978" s="90" t="s">
        <v>427</v>
      </c>
      <c r="AT2978" s="90" t="s">
        <v>244</v>
      </c>
      <c r="AU2978" s="90">
        <v>1.0789029999999999</v>
      </c>
      <c r="AV2978" s="90">
        <v>76.606640023794498</v>
      </c>
      <c r="AW2978" s="90">
        <v>319.45038161506102</v>
      </c>
      <c r="AX2978" s="90">
        <v>0.2351759471</v>
      </c>
    </row>
    <row r="2979" spans="1:50" x14ac:dyDescent="0.25">
      <c r="A2979" s="102">
        <v>830000</v>
      </c>
      <c r="B2979" s="102">
        <v>2400000</v>
      </c>
      <c r="C2979" s="102">
        <v>2400000</v>
      </c>
      <c r="D2979" s="90" t="s">
        <v>374</v>
      </c>
      <c r="E2979" s="90" t="s">
        <v>68</v>
      </c>
      <c r="F2979" s="90" t="s">
        <v>375</v>
      </c>
      <c r="G2979" s="90" t="s">
        <v>376</v>
      </c>
      <c r="H2979" s="90">
        <v>0.59</v>
      </c>
      <c r="I2979" s="90">
        <v>0.64</v>
      </c>
      <c r="J2979" s="90" t="s">
        <v>244</v>
      </c>
      <c r="K2979" s="90">
        <v>3.5416979164639997E-2</v>
      </c>
      <c r="L2979" s="90">
        <v>3673.4181154434</v>
      </c>
      <c r="M2979" s="90">
        <v>9.1605557883503899</v>
      </c>
      <c r="N2979" s="90">
        <v>1.3474014208196099</v>
      </c>
      <c r="O2979" s="90">
        <v>0.32443921349254001</v>
      </c>
      <c r="P2979" s="90">
        <v>4.772088804757E-2</v>
      </c>
      <c r="Q2979" s="90">
        <v>130.10137285767701</v>
      </c>
      <c r="R2979" s="90">
        <v>1210</v>
      </c>
      <c r="S2979" s="90" t="s">
        <v>385</v>
      </c>
      <c r="T2979" s="90">
        <v>1210</v>
      </c>
      <c r="U2979" s="90" t="s">
        <v>378</v>
      </c>
      <c r="V2979" s="90" t="s">
        <v>244</v>
      </c>
      <c r="Z2979" s="90">
        <v>0</v>
      </c>
      <c r="AA2979" s="90">
        <v>1</v>
      </c>
      <c r="AB2979" s="90">
        <v>0.32443921349254001</v>
      </c>
      <c r="AC2979" s="90">
        <v>4.772088804757E-2</v>
      </c>
      <c r="AD2979" s="90">
        <v>130.101372857679</v>
      </c>
      <c r="AF2979" s="90">
        <v>-1</v>
      </c>
      <c r="AG2979" s="90">
        <v>-1</v>
      </c>
      <c r="AH2979" s="90">
        <v>-1</v>
      </c>
      <c r="AI2979" s="90">
        <v>-1</v>
      </c>
      <c r="AJ2979" s="90">
        <v>0</v>
      </c>
      <c r="AM2979" s="90" t="s">
        <v>379</v>
      </c>
      <c r="AN2979" s="90">
        <v>-1</v>
      </c>
      <c r="AQ2979" s="90">
        <v>388</v>
      </c>
      <c r="AR2979" s="90" t="s">
        <v>304</v>
      </c>
      <c r="AS2979" s="90" t="s">
        <v>427</v>
      </c>
      <c r="AT2979" s="90" t="s">
        <v>244</v>
      </c>
      <c r="AU2979" s="90">
        <v>1.0789029999999999</v>
      </c>
      <c r="AV2979" s="90">
        <v>48.844188946219603</v>
      </c>
      <c r="AW2979" s="90">
        <v>143.32742959443999</v>
      </c>
      <c r="AX2979" s="90">
        <v>0.10551611750000001</v>
      </c>
    </row>
    <row r="2980" spans="1:50" x14ac:dyDescent="0.25">
      <c r="A2980" s="102">
        <v>830000</v>
      </c>
      <c r="B2980" s="102">
        <v>2400000</v>
      </c>
      <c r="C2980" s="102">
        <v>2400000</v>
      </c>
      <c r="D2980" s="90" t="s">
        <v>374</v>
      </c>
      <c r="E2980" s="90" t="s">
        <v>68</v>
      </c>
      <c r="F2980" s="90" t="s">
        <v>375</v>
      </c>
      <c r="G2980" s="90" t="s">
        <v>376</v>
      </c>
      <c r="H2980" s="90">
        <v>0.59</v>
      </c>
      <c r="I2980" s="90">
        <v>0.64</v>
      </c>
      <c r="J2980" s="90" t="s">
        <v>244</v>
      </c>
      <c r="K2980" s="90">
        <v>5.12602349089E-3</v>
      </c>
      <c r="L2980" s="90">
        <v>3673.4181151697098</v>
      </c>
      <c r="M2980" s="90">
        <v>9.1605557876678692</v>
      </c>
      <c r="N2980" s="90">
        <v>1.34740142071922</v>
      </c>
      <c r="O2980" s="90">
        <v>4.6957224157239998E-2</v>
      </c>
      <c r="P2980" s="90">
        <v>6.9068113342700002E-3</v>
      </c>
      <c r="Q2980" s="90">
        <v>18.8300275502428</v>
      </c>
      <c r="R2980" s="90">
        <v>1210</v>
      </c>
      <c r="S2980" s="90" t="s">
        <v>385</v>
      </c>
      <c r="T2980" s="90">
        <v>1210</v>
      </c>
      <c r="U2980" s="90" t="s">
        <v>378</v>
      </c>
      <c r="V2980" s="90" t="s">
        <v>244</v>
      </c>
      <c r="Z2980" s="90">
        <v>0</v>
      </c>
      <c r="AA2980" s="90">
        <v>1</v>
      </c>
      <c r="AB2980" s="90">
        <v>4.6957224157239998E-2</v>
      </c>
      <c r="AC2980" s="90">
        <v>6.9068113342700002E-3</v>
      </c>
      <c r="AD2980" s="90">
        <v>341.42682449738402</v>
      </c>
      <c r="AF2980" s="90">
        <v>-1</v>
      </c>
      <c r="AG2980" s="90">
        <v>-1</v>
      </c>
      <c r="AH2980" s="90">
        <v>-1</v>
      </c>
      <c r="AI2980" s="90">
        <v>-1</v>
      </c>
      <c r="AJ2980" s="90">
        <v>0</v>
      </c>
      <c r="AM2980" s="90" t="s">
        <v>379</v>
      </c>
      <c r="AN2980" s="90">
        <v>-1</v>
      </c>
      <c r="AQ2980" s="90">
        <v>388</v>
      </c>
      <c r="AR2980" s="90" t="s">
        <v>304</v>
      </c>
      <c r="AS2980" s="90" t="s">
        <v>427</v>
      </c>
      <c r="AT2980" s="90" t="s">
        <v>244</v>
      </c>
      <c r="AU2980" s="90">
        <v>1.0789029999999999</v>
      </c>
      <c r="AV2980" s="90">
        <v>36.5347240930966</v>
      </c>
      <c r="AW2980" s="90">
        <v>20.744281085506898</v>
      </c>
      <c r="AX2980" s="90">
        <v>0.27690740019999999</v>
      </c>
    </row>
    <row r="2981" spans="1:50" x14ac:dyDescent="0.25">
      <c r="A2981" s="102">
        <v>830000</v>
      </c>
      <c r="B2981" s="102">
        <v>2400000</v>
      </c>
      <c r="C2981" s="102">
        <v>2400000</v>
      </c>
      <c r="D2981" s="90" t="s">
        <v>374</v>
      </c>
      <c r="E2981" s="90" t="s">
        <v>68</v>
      </c>
      <c r="F2981" s="90" t="s">
        <v>375</v>
      </c>
      <c r="G2981" s="90" t="s">
        <v>376</v>
      </c>
      <c r="H2981" s="90">
        <v>0.59</v>
      </c>
      <c r="I2981" s="90">
        <v>0.64</v>
      </c>
      <c r="J2981" s="90" t="s">
        <v>244</v>
      </c>
      <c r="K2981" s="90">
        <v>2.6794198326699999E-3</v>
      </c>
      <c r="L2981" s="90">
        <v>3673.4181151697098</v>
      </c>
      <c r="M2981" s="90">
        <v>9.1605557876678692</v>
      </c>
      <c r="N2981" s="90">
        <v>1.34740142071922</v>
      </c>
      <c r="O2981" s="90">
        <v>2.4544974855830001E-2</v>
      </c>
      <c r="P2981" s="90">
        <v>3.61025408925E-3</v>
      </c>
      <c r="Q2981" s="90">
        <v>9.8426293515043799</v>
      </c>
      <c r="R2981" s="90">
        <v>1210</v>
      </c>
      <c r="S2981" s="90" t="s">
        <v>385</v>
      </c>
      <c r="T2981" s="90">
        <v>1210</v>
      </c>
      <c r="U2981" s="90" t="s">
        <v>378</v>
      </c>
      <c r="V2981" s="90" t="s">
        <v>244</v>
      </c>
      <c r="Z2981" s="90">
        <v>0</v>
      </c>
      <c r="AA2981" s="90">
        <v>1</v>
      </c>
      <c r="AB2981" s="90">
        <v>2.4544974855830001E-2</v>
      </c>
      <c r="AC2981" s="90">
        <v>3.61025408925E-3</v>
      </c>
      <c r="AD2981" s="90">
        <v>424.11262790356801</v>
      </c>
      <c r="AF2981" s="90">
        <v>-1</v>
      </c>
      <c r="AG2981" s="90">
        <v>-1</v>
      </c>
      <c r="AH2981" s="90">
        <v>-1</v>
      </c>
      <c r="AI2981" s="90">
        <v>-1</v>
      </c>
      <c r="AJ2981" s="90">
        <v>0</v>
      </c>
      <c r="AM2981" s="90" t="s">
        <v>379</v>
      </c>
      <c r="AN2981" s="90">
        <v>-1</v>
      </c>
      <c r="AQ2981" s="90">
        <v>388</v>
      </c>
      <c r="AR2981" s="90" t="s">
        <v>304</v>
      </c>
      <c r="AS2981" s="90" t="s">
        <v>427</v>
      </c>
      <c r="AT2981" s="90" t="s">
        <v>244</v>
      </c>
      <c r="AU2981" s="90">
        <v>1.0789029999999999</v>
      </c>
      <c r="AV2981" s="90">
        <v>33.522019074006202</v>
      </c>
      <c r="AW2981" s="90">
        <v>10.8432273581807</v>
      </c>
      <c r="AX2981" s="90">
        <v>0.34396806800000002</v>
      </c>
    </row>
    <row r="2982" spans="1:50" x14ac:dyDescent="0.25">
      <c r="A2982" s="102">
        <v>830000</v>
      </c>
      <c r="B2982" s="102">
        <v>2400000</v>
      </c>
      <c r="C2982" s="102">
        <v>2400000</v>
      </c>
      <c r="D2982" s="90" t="s">
        <v>374</v>
      </c>
      <c r="E2982" s="90" t="s">
        <v>68</v>
      </c>
      <c r="F2982" s="90" t="s">
        <v>375</v>
      </c>
      <c r="G2982" s="90" t="s">
        <v>376</v>
      </c>
      <c r="H2982" s="90">
        <v>0.59</v>
      </c>
      <c r="I2982" s="90">
        <v>0.64</v>
      </c>
      <c r="J2982" s="90" t="s">
        <v>244</v>
      </c>
      <c r="K2982" s="90">
        <v>1.7515354810029998E-2</v>
      </c>
      <c r="L2982" s="90">
        <v>3695.1569297418901</v>
      </c>
      <c r="M2982" s="90">
        <v>8.9587466605989103</v>
      </c>
      <c r="N2982" s="90">
        <v>1.26105350545918</v>
      </c>
      <c r="O2982" s="90">
        <v>0.15691562641362</v>
      </c>
      <c r="P2982" s="90">
        <v>2.208779958255E-2</v>
      </c>
      <c r="Q2982" s="90">
        <v>64.721984703196199</v>
      </c>
      <c r="R2982" s="90">
        <v>1200</v>
      </c>
      <c r="S2982" s="90" t="s">
        <v>384</v>
      </c>
      <c r="T2982" s="90">
        <v>1200</v>
      </c>
      <c r="U2982" s="90" t="s">
        <v>378</v>
      </c>
      <c r="V2982" s="90" t="s">
        <v>244</v>
      </c>
      <c r="Z2982" s="90">
        <v>0</v>
      </c>
      <c r="AA2982" s="90">
        <v>1</v>
      </c>
      <c r="AB2982" s="90">
        <v>0.15691562641362</v>
      </c>
      <c r="AC2982" s="90">
        <v>2.208779958255E-2</v>
      </c>
      <c r="AD2982" s="90">
        <v>156.84811043289599</v>
      </c>
      <c r="AF2982" s="90">
        <v>-1</v>
      </c>
      <c r="AG2982" s="90">
        <v>-1</v>
      </c>
      <c r="AH2982" s="90">
        <v>-1</v>
      </c>
      <c r="AI2982" s="90">
        <v>-1</v>
      </c>
      <c r="AJ2982" s="90">
        <v>0</v>
      </c>
      <c r="AM2982" s="90" t="s">
        <v>379</v>
      </c>
      <c r="AN2982" s="90">
        <v>-1</v>
      </c>
      <c r="AQ2982" s="90">
        <v>388</v>
      </c>
      <c r="AR2982" s="90" t="s">
        <v>304</v>
      </c>
      <c r="AS2982" s="90" t="s">
        <v>427</v>
      </c>
      <c r="AT2982" s="90" t="s">
        <v>244</v>
      </c>
      <c r="AU2982" s="90">
        <v>1.0789029999999999</v>
      </c>
      <c r="AV2982" s="90">
        <v>34.668931056232999</v>
      </c>
      <c r="AW2982" s="90">
        <v>70.882126103611597</v>
      </c>
      <c r="AX2982" s="90">
        <v>0.12720852429999999</v>
      </c>
    </row>
    <row r="2983" spans="1:50" x14ac:dyDescent="0.25">
      <c r="A2983" s="102">
        <v>830000</v>
      </c>
      <c r="B2983" s="102">
        <v>2400000</v>
      </c>
      <c r="C2983" s="102">
        <v>2400000</v>
      </c>
      <c r="D2983" s="90" t="s">
        <v>374</v>
      </c>
      <c r="E2983" s="90" t="s">
        <v>68</v>
      </c>
      <c r="F2983" s="90" t="s">
        <v>375</v>
      </c>
      <c r="G2983" s="90" t="s">
        <v>376</v>
      </c>
      <c r="H2983" s="90">
        <v>0.59</v>
      </c>
      <c r="I2983" s="90">
        <v>0.64</v>
      </c>
      <c r="J2983" s="90" t="s">
        <v>381</v>
      </c>
      <c r="K2983" s="90">
        <v>2.6526597989889999E-2</v>
      </c>
      <c r="L2983" s="90">
        <v>3695.1569297418901</v>
      </c>
      <c r="M2983" s="90">
        <v>8.9587466605989103</v>
      </c>
      <c r="N2983" s="90">
        <v>1.26105350545918</v>
      </c>
      <c r="O2983" s="90">
        <v>0.23764507115903</v>
      </c>
      <c r="P2983" s="90">
        <v>3.3451459383060003E-2</v>
      </c>
      <c r="Q2983" s="90">
        <v>98.019942384841599</v>
      </c>
      <c r="R2983" s="90">
        <v>1200</v>
      </c>
      <c r="S2983" s="90" t="s">
        <v>384</v>
      </c>
      <c r="T2983" s="90">
        <v>1200</v>
      </c>
      <c r="U2983" s="90" t="s">
        <v>382</v>
      </c>
      <c r="V2983" s="90" t="s">
        <v>381</v>
      </c>
      <c r="Z2983" s="90">
        <v>0</v>
      </c>
      <c r="AA2983" s="90">
        <v>1</v>
      </c>
      <c r="AB2983" s="90">
        <v>0.23764507115903</v>
      </c>
      <c r="AC2983" s="90">
        <v>3.3451459383060003E-2</v>
      </c>
      <c r="AD2983" s="90">
        <v>429.87316315588498</v>
      </c>
      <c r="AF2983" s="90">
        <v>-1</v>
      </c>
      <c r="AG2983" s="90">
        <v>-1</v>
      </c>
      <c r="AH2983" s="90">
        <v>-1</v>
      </c>
      <c r="AI2983" s="90">
        <v>-1</v>
      </c>
      <c r="AJ2983" s="90">
        <v>0</v>
      </c>
      <c r="AM2983" s="90" t="s">
        <v>379</v>
      </c>
      <c r="AN2983" s="90">
        <v>-1</v>
      </c>
      <c r="AQ2983" s="90">
        <v>388</v>
      </c>
      <c r="AR2983" s="90" t="s">
        <v>304</v>
      </c>
      <c r="AS2983" s="90" t="s">
        <v>427</v>
      </c>
      <c r="AT2983" s="90" t="s">
        <v>244</v>
      </c>
      <c r="AU2983" s="90">
        <v>1.0789029999999999</v>
      </c>
      <c r="AV2983" s="90">
        <v>48.764788364789602</v>
      </c>
      <c r="AW2983" s="90">
        <v>107.349333439834</v>
      </c>
      <c r="AX2983" s="90">
        <v>0.34864003500000001</v>
      </c>
    </row>
    <row r="2984" spans="1:50" x14ac:dyDescent="0.25">
      <c r="A2984" s="102">
        <v>830000</v>
      </c>
      <c r="B2984" s="102">
        <v>2400000</v>
      </c>
      <c r="C2984" s="102">
        <v>2400000</v>
      </c>
      <c r="D2984" s="90" t="s">
        <v>374</v>
      </c>
      <c r="E2984" s="90" t="s">
        <v>68</v>
      </c>
      <c r="F2984" s="90" t="s">
        <v>375</v>
      </c>
      <c r="G2984" s="90" t="s">
        <v>376</v>
      </c>
      <c r="H2984" s="90">
        <v>0.59</v>
      </c>
      <c r="I2984" s="90">
        <v>0.64</v>
      </c>
      <c r="J2984" s="90" t="s">
        <v>381</v>
      </c>
      <c r="K2984" s="90">
        <v>4.0025899425599996E-3</v>
      </c>
      <c r="L2984" s="90">
        <v>3695.1569297418901</v>
      </c>
      <c r="M2984" s="90">
        <v>8.9587466605989103</v>
      </c>
      <c r="N2984" s="90">
        <v>1.26105350545918</v>
      </c>
      <c r="O2984" s="90">
        <v>3.585818928172E-2</v>
      </c>
      <c r="P2984" s="90">
        <v>5.0474800779899999E-3</v>
      </c>
      <c r="Q2984" s="90">
        <v>14.7901979631953</v>
      </c>
      <c r="R2984" s="90">
        <v>8140</v>
      </c>
      <c r="S2984" s="90" t="s">
        <v>386</v>
      </c>
      <c r="T2984" s="90">
        <v>8140</v>
      </c>
      <c r="U2984" s="90" t="s">
        <v>382</v>
      </c>
      <c r="V2984" s="90" t="s">
        <v>381</v>
      </c>
      <c r="Z2984" s="90">
        <v>0</v>
      </c>
      <c r="AA2984" s="90">
        <v>1</v>
      </c>
      <c r="AB2984" s="90">
        <v>3.585818928172E-2</v>
      </c>
      <c r="AC2984" s="90">
        <v>5.0474800779899999E-3</v>
      </c>
      <c r="AD2984" s="90">
        <v>690.49011911161801</v>
      </c>
      <c r="AF2984" s="90">
        <v>-1</v>
      </c>
      <c r="AG2984" s="90">
        <v>-1</v>
      </c>
      <c r="AH2984" s="90">
        <v>-1</v>
      </c>
      <c r="AI2984" s="90">
        <v>-1</v>
      </c>
      <c r="AJ2984" s="90">
        <v>0</v>
      </c>
      <c r="AM2984" s="90" t="s">
        <v>379</v>
      </c>
      <c r="AN2984" s="90">
        <v>-1</v>
      </c>
      <c r="AQ2984" s="90">
        <v>388</v>
      </c>
      <c r="AR2984" s="90" t="s">
        <v>304</v>
      </c>
      <c r="AS2984" s="90" t="s">
        <v>427</v>
      </c>
      <c r="AT2984" s="90" t="s">
        <v>244</v>
      </c>
      <c r="AU2984" s="90">
        <v>1.0789029999999999</v>
      </c>
      <c r="AV2984" s="90">
        <v>20.646599494452499</v>
      </c>
      <c r="AW2984" s="90">
        <v>16.197906815313601</v>
      </c>
      <c r="AX2984" s="90">
        <v>0.56000820689999997</v>
      </c>
    </row>
    <row r="2985" spans="1:50" x14ac:dyDescent="0.25">
      <c r="A2985" s="102">
        <v>830000</v>
      </c>
      <c r="B2985" s="102">
        <v>2400000</v>
      </c>
      <c r="C2985" s="102">
        <v>2400000</v>
      </c>
      <c r="D2985" s="90" t="s">
        <v>374</v>
      </c>
      <c r="E2985" s="90" t="s">
        <v>68</v>
      </c>
      <c r="F2985" s="90" t="s">
        <v>375</v>
      </c>
      <c r="G2985" s="90" t="s">
        <v>376</v>
      </c>
      <c r="H2985" s="90">
        <v>0.59</v>
      </c>
      <c r="I2985" s="90">
        <v>0.64</v>
      </c>
      <c r="J2985" s="90" t="s">
        <v>244</v>
      </c>
      <c r="K2985" s="90">
        <v>2.0510129574359999E-2</v>
      </c>
      <c r="L2985" s="90">
        <v>3695.1569297418901</v>
      </c>
      <c r="M2985" s="90">
        <v>8.9587466605989103</v>
      </c>
      <c r="N2985" s="90">
        <v>1.26105350545918</v>
      </c>
      <c r="O2985" s="90">
        <v>0.18374505483282</v>
      </c>
      <c r="P2985" s="90">
        <v>2.5864370797170001E-2</v>
      </c>
      <c r="Q2985" s="90">
        <v>75.788147426630104</v>
      </c>
      <c r="R2985" s="90">
        <v>1210</v>
      </c>
      <c r="S2985" s="90" t="s">
        <v>385</v>
      </c>
      <c r="T2985" s="90">
        <v>1210</v>
      </c>
      <c r="U2985" s="90" t="s">
        <v>378</v>
      </c>
      <c r="V2985" s="90" t="s">
        <v>244</v>
      </c>
      <c r="Z2985" s="90">
        <v>0</v>
      </c>
      <c r="AA2985" s="90">
        <v>1</v>
      </c>
      <c r="AB2985" s="90">
        <v>0.18374505483282</v>
      </c>
      <c r="AC2985" s="90">
        <v>2.5864370797170001E-2</v>
      </c>
      <c r="AD2985" s="90">
        <v>75.788147426629294</v>
      </c>
      <c r="AF2985" s="90">
        <v>-1</v>
      </c>
      <c r="AG2985" s="90">
        <v>-1</v>
      </c>
      <c r="AH2985" s="90">
        <v>-1</v>
      </c>
      <c r="AI2985" s="90">
        <v>-1</v>
      </c>
      <c r="AJ2985" s="90">
        <v>0</v>
      </c>
      <c r="AM2985" s="90" t="s">
        <v>379</v>
      </c>
      <c r="AN2985" s="90">
        <v>-1</v>
      </c>
      <c r="AQ2985" s="90">
        <v>388</v>
      </c>
      <c r="AR2985" s="90" t="s">
        <v>304</v>
      </c>
      <c r="AS2985" s="90" t="s">
        <v>427</v>
      </c>
      <c r="AT2985" s="90" t="s">
        <v>244</v>
      </c>
      <c r="AU2985" s="90">
        <v>1.0789029999999999</v>
      </c>
      <c r="AV2985" s="90">
        <v>36.599037544349699</v>
      </c>
      <c r="AW2985" s="90">
        <v>83.001549592286494</v>
      </c>
      <c r="AX2985" s="90">
        <v>6.1466461799999997E-2</v>
      </c>
    </row>
    <row r="2986" spans="1:50" x14ac:dyDescent="0.25">
      <c r="A2986" s="102">
        <v>830000</v>
      </c>
      <c r="B2986" s="102">
        <v>2400000</v>
      </c>
      <c r="C2986" s="102">
        <v>2400000</v>
      </c>
      <c r="D2986" s="90" t="s">
        <v>374</v>
      </c>
      <c r="E2986" s="90" t="s">
        <v>68</v>
      </c>
      <c r="F2986" s="90" t="s">
        <v>375</v>
      </c>
      <c r="G2986" s="90" t="s">
        <v>376</v>
      </c>
      <c r="H2986" s="90">
        <v>0.59</v>
      </c>
      <c r="I2986" s="90">
        <v>0.64</v>
      </c>
      <c r="J2986" s="90" t="s">
        <v>381</v>
      </c>
      <c r="K2986" s="90">
        <v>1.3374344208719999E-2</v>
      </c>
      <c r="L2986" s="90">
        <v>3695.1569297418901</v>
      </c>
      <c r="M2986" s="90">
        <v>8.9587466605989103</v>
      </c>
      <c r="N2986" s="90">
        <v>1.26105350545918</v>
      </c>
      <c r="O2986" s="90">
        <v>0.11981736151760999</v>
      </c>
      <c r="P2986" s="90">
        <v>1.6865763647630001E-2</v>
      </c>
      <c r="Q2986" s="90">
        <v>49.420300683623502</v>
      </c>
      <c r="R2986" s="90">
        <v>1210</v>
      </c>
      <c r="S2986" s="90" t="s">
        <v>385</v>
      </c>
      <c r="T2986" s="90">
        <v>1210</v>
      </c>
      <c r="U2986" s="90" t="s">
        <v>382</v>
      </c>
      <c r="V2986" s="90" t="s">
        <v>381</v>
      </c>
      <c r="Z2986" s="90">
        <v>0</v>
      </c>
      <c r="AA2986" s="90">
        <v>1</v>
      </c>
      <c r="AB2986" s="90">
        <v>0.11981736151760999</v>
      </c>
      <c r="AC2986" s="90">
        <v>1.6865763647630001E-2</v>
      </c>
      <c r="AD2986" s="90">
        <v>54.814326409408999</v>
      </c>
      <c r="AF2986" s="90">
        <v>-1</v>
      </c>
      <c r="AG2986" s="90">
        <v>-1</v>
      </c>
      <c r="AH2986" s="90">
        <v>-1</v>
      </c>
      <c r="AI2986" s="90">
        <v>-1</v>
      </c>
      <c r="AJ2986" s="90">
        <v>0</v>
      </c>
      <c r="AM2986" s="90" t="s">
        <v>379</v>
      </c>
      <c r="AN2986" s="90">
        <v>-1</v>
      </c>
      <c r="AQ2986" s="90">
        <v>388</v>
      </c>
      <c r="AR2986" s="90" t="s">
        <v>304</v>
      </c>
      <c r="AS2986" s="90" t="s">
        <v>427</v>
      </c>
      <c r="AT2986" s="90" t="s">
        <v>244</v>
      </c>
      <c r="AU2986" s="90">
        <v>1.0789029999999999</v>
      </c>
      <c r="AV2986" s="90">
        <v>29.476428227519701</v>
      </c>
      <c r="AW2986" s="90">
        <v>54.124050756465302</v>
      </c>
      <c r="AX2986" s="90">
        <v>4.4456063599999998E-2</v>
      </c>
    </row>
    <row r="2987" spans="1:50" x14ac:dyDescent="0.25">
      <c r="A2987" s="102">
        <v>830000</v>
      </c>
      <c r="B2987" s="102">
        <v>2400000</v>
      </c>
      <c r="C2987" s="102">
        <v>2400000</v>
      </c>
      <c r="D2987" s="90" t="s">
        <v>374</v>
      </c>
      <c r="E2987" s="90" t="s">
        <v>68</v>
      </c>
      <c r="F2987" s="90" t="s">
        <v>375</v>
      </c>
      <c r="G2987" s="90" t="s">
        <v>376</v>
      </c>
      <c r="H2987" s="90">
        <v>0.59</v>
      </c>
      <c r="I2987" s="90">
        <v>0.64</v>
      </c>
      <c r="J2987" s="90" t="s">
        <v>244</v>
      </c>
      <c r="K2987" s="90">
        <v>8.6438122032350004E-2</v>
      </c>
      <c r="L2987" s="90">
        <v>3679.5933121150802</v>
      </c>
      <c r="M2987" s="90">
        <v>9.1751705456820396</v>
      </c>
      <c r="N2987" s="90">
        <v>1.3495244185545301</v>
      </c>
      <c r="O2987" s="90">
        <v>0.79308451129534996</v>
      </c>
      <c r="P2987" s="90">
        <v>0.11665035637666001</v>
      </c>
      <c r="Q2987" s="90">
        <v>318.05713574204799</v>
      </c>
      <c r="R2987" s="90">
        <v>1200</v>
      </c>
      <c r="S2987" s="90" t="s">
        <v>384</v>
      </c>
      <c r="T2987" s="90">
        <v>1200</v>
      </c>
      <c r="U2987" s="90" t="s">
        <v>378</v>
      </c>
      <c r="V2987" s="90" t="s">
        <v>244</v>
      </c>
      <c r="Z2987" s="90">
        <v>0</v>
      </c>
      <c r="AA2987" s="90">
        <v>1</v>
      </c>
      <c r="AB2987" s="90">
        <v>0.79308451129534996</v>
      </c>
      <c r="AC2987" s="90">
        <v>0.11665035637666001</v>
      </c>
      <c r="AD2987" s="90">
        <v>856.82480023980702</v>
      </c>
      <c r="AF2987" s="90">
        <v>-1</v>
      </c>
      <c r="AG2987" s="90">
        <v>-1</v>
      </c>
      <c r="AH2987" s="90">
        <v>-1</v>
      </c>
      <c r="AI2987" s="90">
        <v>-1</v>
      </c>
      <c r="AJ2987" s="90">
        <v>0</v>
      </c>
      <c r="AM2987" s="90" t="s">
        <v>379</v>
      </c>
      <c r="AN2987" s="90">
        <v>-1</v>
      </c>
      <c r="AQ2987" s="90">
        <v>387</v>
      </c>
      <c r="AR2987" s="90" t="s">
        <v>306</v>
      </c>
      <c r="AS2987" s="90" t="s">
        <v>427</v>
      </c>
      <c r="AT2987" s="90" t="s">
        <v>244</v>
      </c>
      <c r="AU2987" s="90">
        <v>2.2521870000000002</v>
      </c>
      <c r="AV2987" s="90">
        <v>127.914948819896</v>
      </c>
      <c r="AW2987" s="90">
        <v>349.80266928683898</v>
      </c>
      <c r="AX2987" s="90">
        <v>0.69491062469999998</v>
      </c>
    </row>
    <row r="2988" spans="1:50" x14ac:dyDescent="0.25">
      <c r="A2988" s="102">
        <v>830000</v>
      </c>
      <c r="B2988" s="102">
        <v>2400000</v>
      </c>
      <c r="C2988" s="102">
        <v>2400000</v>
      </c>
      <c r="D2988" s="90" t="s">
        <v>374</v>
      </c>
      <c r="E2988" s="90" t="s">
        <v>68</v>
      </c>
      <c r="F2988" s="90" t="s">
        <v>375</v>
      </c>
      <c r="G2988" s="90" t="s">
        <v>376</v>
      </c>
      <c r="H2988" s="90">
        <v>0.59</v>
      </c>
      <c r="I2988" s="90">
        <v>0.64</v>
      </c>
      <c r="J2988" s="90" t="s">
        <v>244</v>
      </c>
      <c r="K2988" s="90">
        <v>0.10070171896705001</v>
      </c>
      <c r="L2988" s="90">
        <v>3679.5933121150802</v>
      </c>
      <c r="M2988" s="90">
        <v>9.1751705456820396</v>
      </c>
      <c r="N2988" s="90">
        <v>1.3495244185545301</v>
      </c>
      <c r="O2988" s="90">
        <v>0.92395544576601996</v>
      </c>
      <c r="P2988" s="90">
        <v>0.13589942873645</v>
      </c>
      <c r="Q2988" s="90">
        <v>370.54137162964901</v>
      </c>
      <c r="R2988" s="90">
        <v>1210</v>
      </c>
      <c r="S2988" s="90" t="s">
        <v>385</v>
      </c>
      <c r="T2988" s="90">
        <v>1210</v>
      </c>
      <c r="U2988" s="90" t="s">
        <v>378</v>
      </c>
      <c r="V2988" s="90" t="s">
        <v>244</v>
      </c>
      <c r="Z2988" s="90">
        <v>0</v>
      </c>
      <c r="AA2988" s="90">
        <v>1</v>
      </c>
      <c r="AB2988" s="90">
        <v>0.92395544576601996</v>
      </c>
      <c r="AC2988" s="90">
        <v>0.13589942873645</v>
      </c>
      <c r="AD2988" s="90">
        <v>499.34936616799001</v>
      </c>
      <c r="AF2988" s="90">
        <v>-1</v>
      </c>
      <c r="AG2988" s="90">
        <v>-1</v>
      </c>
      <c r="AH2988" s="90">
        <v>-1</v>
      </c>
      <c r="AI2988" s="90">
        <v>-1</v>
      </c>
      <c r="AJ2988" s="90">
        <v>0</v>
      </c>
      <c r="AM2988" s="90" t="s">
        <v>379</v>
      </c>
      <c r="AN2988" s="90">
        <v>-1</v>
      </c>
      <c r="AQ2988" s="90">
        <v>387</v>
      </c>
      <c r="AR2988" s="90" t="s">
        <v>306</v>
      </c>
      <c r="AS2988" s="90" t="s">
        <v>427</v>
      </c>
      <c r="AT2988" s="90" t="s">
        <v>244</v>
      </c>
      <c r="AU2988" s="90">
        <v>2.2521870000000002</v>
      </c>
      <c r="AV2988" s="90">
        <v>82.131027954211106</v>
      </c>
      <c r="AW2988" s="90">
        <v>407.525398148524</v>
      </c>
      <c r="AX2988" s="90">
        <v>0.40498732050000003</v>
      </c>
    </row>
    <row r="2989" spans="1:50" x14ac:dyDescent="0.25">
      <c r="A2989" s="102">
        <v>830000</v>
      </c>
      <c r="B2989" s="102">
        <v>2400000</v>
      </c>
      <c r="C2989" s="102">
        <v>2400000</v>
      </c>
      <c r="D2989" s="90" t="s">
        <v>374</v>
      </c>
      <c r="E2989" s="90" t="s">
        <v>68</v>
      </c>
      <c r="F2989" s="90" t="s">
        <v>375</v>
      </c>
      <c r="G2989" s="90" t="s">
        <v>376</v>
      </c>
      <c r="H2989" s="90">
        <v>0.59</v>
      </c>
      <c r="I2989" s="90">
        <v>0.64</v>
      </c>
      <c r="J2989" s="90" t="s">
        <v>244</v>
      </c>
      <c r="K2989" s="90">
        <v>0.19428869815512001</v>
      </c>
      <c r="L2989" s="90">
        <v>3679.5933121150802</v>
      </c>
      <c r="M2989" s="90">
        <v>9.1751705456820396</v>
      </c>
      <c r="N2989" s="90">
        <v>1.3495244185545301</v>
      </c>
      <c r="O2989" s="90">
        <v>1.7826319406718401</v>
      </c>
      <c r="P2989" s="90">
        <v>0.26219734240950998</v>
      </c>
      <c r="Q2989" s="90">
        <v>714.903394351158</v>
      </c>
      <c r="R2989" s="90">
        <v>1210</v>
      </c>
      <c r="S2989" s="90" t="s">
        <v>385</v>
      </c>
      <c r="T2989" s="90">
        <v>1210</v>
      </c>
      <c r="U2989" s="90" t="s">
        <v>378</v>
      </c>
      <c r="V2989" s="90" t="s">
        <v>244</v>
      </c>
      <c r="Z2989" s="90">
        <v>0</v>
      </c>
      <c r="AA2989" s="90">
        <v>1</v>
      </c>
      <c r="AB2989" s="90">
        <v>1.7826319406718401</v>
      </c>
      <c r="AC2989" s="90">
        <v>0.26219734240950998</v>
      </c>
      <c r="AD2989" s="90">
        <v>729.65198408941899</v>
      </c>
      <c r="AF2989" s="90">
        <v>-1</v>
      </c>
      <c r="AG2989" s="90">
        <v>-1</v>
      </c>
      <c r="AH2989" s="90">
        <v>-1</v>
      </c>
      <c r="AI2989" s="90">
        <v>-1</v>
      </c>
      <c r="AJ2989" s="90">
        <v>0</v>
      </c>
      <c r="AM2989" s="90" t="s">
        <v>379</v>
      </c>
      <c r="AN2989" s="90">
        <v>-1</v>
      </c>
      <c r="AQ2989" s="90">
        <v>387</v>
      </c>
      <c r="AR2989" s="90" t="s">
        <v>306</v>
      </c>
      <c r="AS2989" s="90" t="s">
        <v>427</v>
      </c>
      <c r="AT2989" s="90" t="s">
        <v>244</v>
      </c>
      <c r="AU2989" s="90">
        <v>2.2521870000000002</v>
      </c>
      <c r="AV2989" s="90">
        <v>110.645771314757</v>
      </c>
      <c r="AW2989" s="90">
        <v>786.25846592881896</v>
      </c>
      <c r="AX2989" s="90">
        <v>0.59176965459999997</v>
      </c>
    </row>
    <row r="2990" spans="1:50" x14ac:dyDescent="0.25">
      <c r="A2990" s="102">
        <v>830000</v>
      </c>
      <c r="B2990" s="102">
        <v>2400000</v>
      </c>
      <c r="C2990" s="102">
        <v>2400000</v>
      </c>
      <c r="D2990" s="90" t="s">
        <v>374</v>
      </c>
      <c r="E2990" s="90" t="s">
        <v>68</v>
      </c>
      <c r="F2990" s="90" t="s">
        <v>375</v>
      </c>
      <c r="G2990" s="90" t="s">
        <v>376</v>
      </c>
      <c r="H2990" s="90">
        <v>0.59</v>
      </c>
      <c r="I2990" s="90">
        <v>0.64</v>
      </c>
      <c r="J2990" s="90" t="s">
        <v>244</v>
      </c>
      <c r="K2990" s="90">
        <v>8.1864348755699996E-3</v>
      </c>
      <c r="L2990" s="90">
        <v>3679.5933121150802</v>
      </c>
      <c r="M2990" s="90">
        <v>9.1751705456820396</v>
      </c>
      <c r="N2990" s="90">
        <v>1.3495244185545301</v>
      </c>
      <c r="O2990" s="90">
        <v>7.5111936144530003E-2</v>
      </c>
      <c r="P2990" s="90">
        <v>1.104779376549E-2</v>
      </c>
      <c r="Q2990" s="90">
        <v>30.122751018238802</v>
      </c>
      <c r="R2990" s="90">
        <v>1200</v>
      </c>
      <c r="S2990" s="90" t="s">
        <v>384</v>
      </c>
      <c r="T2990" s="90">
        <v>1200</v>
      </c>
      <c r="U2990" s="90" t="s">
        <v>378</v>
      </c>
      <c r="V2990" s="90" t="s">
        <v>244</v>
      </c>
      <c r="Z2990" s="90">
        <v>0</v>
      </c>
      <c r="AA2990" s="90">
        <v>1</v>
      </c>
      <c r="AB2990" s="90">
        <v>7.5111936144530003E-2</v>
      </c>
      <c r="AC2990" s="90">
        <v>1.104779376549E-2</v>
      </c>
      <c r="AD2990" s="90">
        <v>317.62931919542302</v>
      </c>
      <c r="AF2990" s="90">
        <v>-1</v>
      </c>
      <c r="AG2990" s="90">
        <v>-1</v>
      </c>
      <c r="AH2990" s="90">
        <v>-1</v>
      </c>
      <c r="AI2990" s="90">
        <v>-1</v>
      </c>
      <c r="AJ2990" s="90">
        <v>0</v>
      </c>
      <c r="AM2990" s="90" t="s">
        <v>379</v>
      </c>
      <c r="AN2990" s="90">
        <v>-1</v>
      </c>
      <c r="AQ2990" s="90">
        <v>387</v>
      </c>
      <c r="AR2990" s="90" t="s">
        <v>306</v>
      </c>
      <c r="AS2990" s="90" t="s">
        <v>427</v>
      </c>
      <c r="AT2990" s="90" t="s">
        <v>244</v>
      </c>
      <c r="AU2990" s="90">
        <v>2.2521870000000002</v>
      </c>
      <c r="AV2990" s="90">
        <v>50.125219689532202</v>
      </c>
      <c r="AW2990" s="90">
        <v>33.1293265527895</v>
      </c>
      <c r="AX2990" s="90">
        <v>0.25760690930000002</v>
      </c>
    </row>
    <row r="2991" spans="1:50" x14ac:dyDescent="0.25">
      <c r="A2991" s="102">
        <v>830000</v>
      </c>
      <c r="B2991" s="102">
        <v>2400000</v>
      </c>
      <c r="C2991" s="102">
        <v>2400000</v>
      </c>
      <c r="D2991" s="90" t="s">
        <v>374</v>
      </c>
      <c r="E2991" s="90" t="s">
        <v>68</v>
      </c>
      <c r="F2991" s="90" t="s">
        <v>375</v>
      </c>
      <c r="G2991" s="90" t="s">
        <v>376</v>
      </c>
      <c r="H2991" s="90">
        <v>0.59</v>
      </c>
      <c r="I2991" s="90">
        <v>0.64</v>
      </c>
      <c r="J2991" s="90" t="s">
        <v>244</v>
      </c>
      <c r="K2991" s="90">
        <v>0.13633064726134</v>
      </c>
      <c r="L2991" s="90">
        <v>3679.5933121150802</v>
      </c>
      <c r="M2991" s="90">
        <v>9.1751705456820396</v>
      </c>
      <c r="N2991" s="90">
        <v>1.3495244185545301</v>
      </c>
      <c r="O2991" s="90">
        <v>1.25085693922603</v>
      </c>
      <c r="P2991" s="90">
        <v>0.18398153747651999</v>
      </c>
      <c r="Q2991" s="90">
        <v>501.641337899154</v>
      </c>
      <c r="R2991" s="90">
        <v>1210</v>
      </c>
      <c r="S2991" s="90" t="s">
        <v>385</v>
      </c>
      <c r="T2991" s="90">
        <v>1210</v>
      </c>
      <c r="U2991" s="90" t="s">
        <v>378</v>
      </c>
      <c r="V2991" s="90" t="s">
        <v>244</v>
      </c>
      <c r="Z2991" s="90">
        <v>0</v>
      </c>
      <c r="AA2991" s="90">
        <v>1</v>
      </c>
      <c r="AB2991" s="90">
        <v>1.25085693922603</v>
      </c>
      <c r="AC2991" s="90">
        <v>0.18398153747651999</v>
      </c>
      <c r="AD2991" s="90">
        <v>809.47829218823199</v>
      </c>
      <c r="AF2991" s="90">
        <v>-1</v>
      </c>
      <c r="AG2991" s="90">
        <v>-1</v>
      </c>
      <c r="AH2991" s="90">
        <v>-1</v>
      </c>
      <c r="AI2991" s="90">
        <v>-1</v>
      </c>
      <c r="AJ2991" s="90">
        <v>0</v>
      </c>
      <c r="AM2991" s="90" t="s">
        <v>379</v>
      </c>
      <c r="AN2991" s="90">
        <v>-1</v>
      </c>
      <c r="AQ2991" s="90">
        <v>387</v>
      </c>
      <c r="AR2991" s="90" t="s">
        <v>306</v>
      </c>
      <c r="AS2991" s="90" t="s">
        <v>427</v>
      </c>
      <c r="AT2991" s="90" t="s">
        <v>244</v>
      </c>
      <c r="AU2991" s="90">
        <v>2.2521870000000002</v>
      </c>
      <c r="AV2991" s="90">
        <v>94.488601410666604</v>
      </c>
      <c r="AW2991" s="90">
        <v>551.71055543951002</v>
      </c>
      <c r="AX2991" s="90">
        <v>0.65651118590000002</v>
      </c>
    </row>
    <row r="2992" spans="1:50" x14ac:dyDescent="0.25">
      <c r="A2992" s="102">
        <v>830000</v>
      </c>
      <c r="B2992" s="102">
        <v>2400000</v>
      </c>
      <c r="C2992" s="102">
        <v>2400000</v>
      </c>
      <c r="D2992" s="90" t="s">
        <v>374</v>
      </c>
      <c r="E2992" s="90" t="s">
        <v>68</v>
      </c>
      <c r="F2992" s="90" t="s">
        <v>375</v>
      </c>
      <c r="G2992" s="90" t="s">
        <v>376</v>
      </c>
      <c r="H2992" s="90">
        <v>0.59</v>
      </c>
      <c r="I2992" s="90">
        <v>0.64</v>
      </c>
      <c r="J2992" s="90" t="s">
        <v>244</v>
      </c>
      <c r="K2992" s="90">
        <v>0.15266801969898999</v>
      </c>
      <c r="L2992" s="90">
        <v>3679.5933121150802</v>
      </c>
      <c r="M2992" s="90">
        <v>9.1751705456820396</v>
      </c>
      <c r="N2992" s="90">
        <v>1.3495244185545301</v>
      </c>
      <c r="O2992" s="90">
        <v>1.4007551176098001</v>
      </c>
      <c r="P2992" s="90">
        <v>0.20602922051615</v>
      </c>
      <c r="Q2992" s="90">
        <v>561.75622425826805</v>
      </c>
      <c r="R2992" s="90">
        <v>1210</v>
      </c>
      <c r="S2992" s="90" t="s">
        <v>385</v>
      </c>
      <c r="T2992" s="90">
        <v>1210</v>
      </c>
      <c r="U2992" s="90" t="s">
        <v>378</v>
      </c>
      <c r="V2992" s="90" t="s">
        <v>244</v>
      </c>
      <c r="Z2992" s="90">
        <v>0</v>
      </c>
      <c r="AA2992" s="90">
        <v>1</v>
      </c>
      <c r="AB2992" s="90">
        <v>1.4007551176098001</v>
      </c>
      <c r="AC2992" s="90">
        <v>0.20602922051615</v>
      </c>
      <c r="AD2992" s="90">
        <v>846.07557793649698</v>
      </c>
      <c r="AF2992" s="90">
        <v>-1</v>
      </c>
      <c r="AG2992" s="90">
        <v>-1</v>
      </c>
      <c r="AH2992" s="90">
        <v>-1</v>
      </c>
      <c r="AI2992" s="90">
        <v>-1</v>
      </c>
      <c r="AJ2992" s="90">
        <v>0</v>
      </c>
      <c r="AM2992" s="90" t="s">
        <v>379</v>
      </c>
      <c r="AN2992" s="90">
        <v>-1</v>
      </c>
      <c r="AQ2992" s="90">
        <v>387</v>
      </c>
      <c r="AR2992" s="90" t="s">
        <v>306</v>
      </c>
      <c r="AS2992" s="90" t="s">
        <v>427</v>
      </c>
      <c r="AT2992" s="90" t="s">
        <v>244</v>
      </c>
      <c r="AU2992" s="90">
        <v>2.2521870000000002</v>
      </c>
      <c r="AV2992" s="90">
        <v>99.108857013860799</v>
      </c>
      <c r="AW2992" s="90">
        <v>617.82555601395802</v>
      </c>
      <c r="AX2992" s="90">
        <v>0.68619268280000001</v>
      </c>
    </row>
    <row r="2993" spans="1:50" x14ac:dyDescent="0.25">
      <c r="A2993" s="102">
        <v>830000</v>
      </c>
      <c r="B2993" s="102">
        <v>2400000</v>
      </c>
      <c r="C2993" s="102">
        <v>2400000</v>
      </c>
      <c r="D2993" s="90" t="s">
        <v>374</v>
      </c>
      <c r="E2993" s="90" t="s">
        <v>68</v>
      </c>
      <c r="F2993" s="90" t="s">
        <v>375</v>
      </c>
      <c r="G2993" s="90" t="s">
        <v>376</v>
      </c>
      <c r="H2993" s="90">
        <v>0.59</v>
      </c>
      <c r="I2993" s="90">
        <v>0.64</v>
      </c>
      <c r="J2993" s="90" t="s">
        <v>244</v>
      </c>
      <c r="K2993" s="90">
        <v>4.5166174768419998E-2</v>
      </c>
      <c r="L2993" s="90">
        <v>3679.5933121150802</v>
      </c>
      <c r="M2993" s="90">
        <v>9.1751705456820396</v>
      </c>
      <c r="N2993" s="90">
        <v>1.3495244185545301</v>
      </c>
      <c r="O2993" s="90">
        <v>0.41440735639634002</v>
      </c>
      <c r="P2993" s="90">
        <v>6.0952855742680001E-2</v>
      </c>
      <c r="Q2993" s="90">
        <v>166.193154611702</v>
      </c>
      <c r="R2993" s="90">
        <v>1210</v>
      </c>
      <c r="S2993" s="90" t="s">
        <v>385</v>
      </c>
      <c r="T2993" s="90">
        <v>1210</v>
      </c>
      <c r="U2993" s="90" t="s">
        <v>378</v>
      </c>
      <c r="V2993" s="90" t="s">
        <v>244</v>
      </c>
      <c r="Z2993" s="90">
        <v>0</v>
      </c>
      <c r="AA2993" s="90">
        <v>1</v>
      </c>
      <c r="AB2993" s="90">
        <v>0.41440735639634002</v>
      </c>
      <c r="AC2993" s="90">
        <v>6.0952855742680001E-2</v>
      </c>
      <c r="AD2993" s="90">
        <v>166.193154611702</v>
      </c>
      <c r="AF2993" s="90">
        <v>-1</v>
      </c>
      <c r="AG2993" s="90">
        <v>-1</v>
      </c>
      <c r="AH2993" s="90">
        <v>-1</v>
      </c>
      <c r="AI2993" s="90">
        <v>-1</v>
      </c>
      <c r="AJ2993" s="90">
        <v>0</v>
      </c>
      <c r="AM2993" s="90" t="s">
        <v>379</v>
      </c>
      <c r="AN2993" s="90">
        <v>-1</v>
      </c>
      <c r="AQ2993" s="90">
        <v>387</v>
      </c>
      <c r="AR2993" s="90" t="s">
        <v>306</v>
      </c>
      <c r="AS2993" s="90" t="s">
        <v>427</v>
      </c>
      <c r="AT2993" s="90" t="s">
        <v>244</v>
      </c>
      <c r="AU2993" s="90">
        <v>2.2521870000000002</v>
      </c>
      <c r="AV2993" s="90">
        <v>60.248967902760697</v>
      </c>
      <c r="AW2993" s="90">
        <v>182.781024436824</v>
      </c>
      <c r="AX2993" s="90">
        <v>0.1347876355</v>
      </c>
    </row>
    <row r="2994" spans="1:50" x14ac:dyDescent="0.25">
      <c r="A2994" s="102">
        <v>830000</v>
      </c>
      <c r="B2994" s="102">
        <v>2400000</v>
      </c>
      <c r="C2994" s="102">
        <v>2400000</v>
      </c>
      <c r="D2994" s="90" t="s">
        <v>374</v>
      </c>
      <c r="E2994" s="90" t="s">
        <v>68</v>
      </c>
      <c r="F2994" s="90" t="s">
        <v>375</v>
      </c>
      <c r="G2994" s="90" t="s">
        <v>376</v>
      </c>
      <c r="H2994" s="90">
        <v>0.59</v>
      </c>
      <c r="I2994" s="90">
        <v>0.64</v>
      </c>
      <c r="J2994" s="90" t="s">
        <v>244</v>
      </c>
      <c r="K2994" s="90">
        <v>3.5881855533889999E-2</v>
      </c>
      <c r="L2994" s="90">
        <v>3679.5933121150802</v>
      </c>
      <c r="M2994" s="90">
        <v>9.1751705456820396</v>
      </c>
      <c r="N2994" s="90">
        <v>1.3495244185545301</v>
      </c>
      <c r="O2994" s="90">
        <v>0.32922214401902999</v>
      </c>
      <c r="P2994" s="90">
        <v>4.8423440226039997E-2</v>
      </c>
      <c r="Q2994" s="90">
        <v>132.03063564881001</v>
      </c>
      <c r="R2994" s="90">
        <v>1210</v>
      </c>
      <c r="S2994" s="90" t="s">
        <v>385</v>
      </c>
      <c r="T2994" s="90">
        <v>1210</v>
      </c>
      <c r="U2994" s="90" t="s">
        <v>378</v>
      </c>
      <c r="V2994" s="90" t="s">
        <v>244</v>
      </c>
      <c r="Z2994" s="90">
        <v>0</v>
      </c>
      <c r="AA2994" s="90">
        <v>1</v>
      </c>
      <c r="AB2994" s="90">
        <v>0.32922214401902999</v>
      </c>
      <c r="AC2994" s="90">
        <v>4.8423440226039997E-2</v>
      </c>
      <c r="AD2994" s="90">
        <v>132.030635648811</v>
      </c>
      <c r="AF2994" s="90">
        <v>-1</v>
      </c>
      <c r="AG2994" s="90">
        <v>-1</v>
      </c>
      <c r="AH2994" s="90">
        <v>-1</v>
      </c>
      <c r="AI2994" s="90">
        <v>-1</v>
      </c>
      <c r="AJ2994" s="90">
        <v>0</v>
      </c>
      <c r="AM2994" s="90" t="s">
        <v>379</v>
      </c>
      <c r="AN2994" s="90">
        <v>-1</v>
      </c>
      <c r="AQ2994" s="90">
        <v>387</v>
      </c>
      <c r="AR2994" s="90" t="s">
        <v>306</v>
      </c>
      <c r="AS2994" s="90" t="s">
        <v>427</v>
      </c>
      <c r="AT2994" s="90" t="s">
        <v>244</v>
      </c>
      <c r="AU2994" s="90">
        <v>2.2521870000000002</v>
      </c>
      <c r="AV2994" s="90">
        <v>63.129501940924399</v>
      </c>
      <c r="AW2994" s="90">
        <v>145.20871751498399</v>
      </c>
      <c r="AX2994" s="90">
        <v>0.1070808075</v>
      </c>
    </row>
    <row r="2995" spans="1:50" x14ac:dyDescent="0.25">
      <c r="A2995" s="102">
        <v>830000</v>
      </c>
      <c r="B2995" s="102">
        <v>2400000</v>
      </c>
      <c r="C2995" s="102">
        <v>2400000</v>
      </c>
      <c r="D2995" s="90" t="s">
        <v>374</v>
      </c>
      <c r="E2995" s="90" t="s">
        <v>68</v>
      </c>
      <c r="F2995" s="90" t="s">
        <v>375</v>
      </c>
      <c r="G2995" s="90" t="s">
        <v>376</v>
      </c>
      <c r="H2995" s="90">
        <v>0.59</v>
      </c>
      <c r="I2995" s="90">
        <v>0.64</v>
      </c>
      <c r="J2995" s="90" t="s">
        <v>244</v>
      </c>
      <c r="K2995" s="90">
        <v>9.3726011223759995E-2</v>
      </c>
      <c r="L2995" s="90">
        <v>3683.70981387647</v>
      </c>
      <c r="M2995" s="90">
        <v>9.1849131389234593</v>
      </c>
      <c r="N2995" s="90">
        <v>1.3509396707455501</v>
      </c>
      <c r="O2995" s="90">
        <v>0.86086527194808005</v>
      </c>
      <c r="P2995" s="90">
        <v>0.12661818674292999</v>
      </c>
      <c r="Q2995" s="90">
        <v>345.25942736049399</v>
      </c>
      <c r="R2995" s="90">
        <v>1200</v>
      </c>
      <c r="S2995" s="90" t="s">
        <v>384</v>
      </c>
      <c r="T2995" s="90">
        <v>1200</v>
      </c>
      <c r="U2995" s="90" t="s">
        <v>378</v>
      </c>
      <c r="V2995" s="90" t="s">
        <v>244</v>
      </c>
      <c r="Z2995" s="90">
        <v>0</v>
      </c>
      <c r="AA2995" s="90">
        <v>1</v>
      </c>
      <c r="AB2995" s="90">
        <v>0.86086527194808005</v>
      </c>
      <c r="AC2995" s="90">
        <v>0.12661818674292999</v>
      </c>
      <c r="AD2995" s="90">
        <v>1234.99207554707</v>
      </c>
      <c r="AF2995" s="90">
        <v>-1</v>
      </c>
      <c r="AG2995" s="90">
        <v>-1</v>
      </c>
      <c r="AH2995" s="90">
        <v>-1</v>
      </c>
      <c r="AI2995" s="90">
        <v>-1</v>
      </c>
      <c r="AJ2995" s="90">
        <v>0</v>
      </c>
      <c r="AM2995" s="90" t="s">
        <v>379</v>
      </c>
      <c r="AN2995" s="90">
        <v>-1</v>
      </c>
      <c r="AQ2995" s="90">
        <v>387</v>
      </c>
      <c r="AR2995" s="90" t="s">
        <v>306</v>
      </c>
      <c r="AS2995" s="90" t="s">
        <v>427</v>
      </c>
      <c r="AT2995" s="90" t="s">
        <v>244</v>
      </c>
      <c r="AU2995" s="90">
        <v>2.2521870000000002</v>
      </c>
      <c r="AV2995" s="90">
        <v>81.139264215878498</v>
      </c>
      <c r="AW2995" s="90">
        <v>379.29571046684401</v>
      </c>
      <c r="AX2995" s="90">
        <v>1.0016156329999999</v>
      </c>
    </row>
    <row r="2996" spans="1:50" x14ac:dyDescent="0.25">
      <c r="A2996" s="102">
        <v>830000</v>
      </c>
      <c r="B2996" s="102">
        <v>2400000</v>
      </c>
      <c r="C2996" s="102">
        <v>2400000</v>
      </c>
      <c r="D2996" s="90" t="s">
        <v>374</v>
      </c>
      <c r="E2996" s="90" t="s">
        <v>68</v>
      </c>
      <c r="F2996" s="90" t="s">
        <v>375</v>
      </c>
      <c r="G2996" s="90" t="s">
        <v>376</v>
      </c>
      <c r="H2996" s="90">
        <v>0.59</v>
      </c>
      <c r="I2996" s="90">
        <v>0.64</v>
      </c>
      <c r="J2996" s="90" t="s">
        <v>244</v>
      </c>
      <c r="K2996" s="90">
        <v>3.1066705773000002E-4</v>
      </c>
      <c r="L2996" s="90">
        <v>3683.70981387647</v>
      </c>
      <c r="M2996" s="90">
        <v>9.1849131389234593</v>
      </c>
      <c r="N2996" s="90">
        <v>1.3509396707455501</v>
      </c>
      <c r="O2996" s="90">
        <v>2.8534499404200002E-3</v>
      </c>
      <c r="P2996" s="90">
        <v>4.1969245267999998E-4</v>
      </c>
      <c r="Q2996" s="90">
        <v>1.14440728942654</v>
      </c>
      <c r="R2996" s="90">
        <v>1210</v>
      </c>
      <c r="S2996" s="90" t="s">
        <v>385</v>
      </c>
      <c r="T2996" s="90">
        <v>1210</v>
      </c>
      <c r="U2996" s="90" t="s">
        <v>378</v>
      </c>
      <c r="V2996" s="90" t="s">
        <v>244</v>
      </c>
      <c r="Z2996" s="90">
        <v>0</v>
      </c>
      <c r="AA2996" s="90">
        <v>1</v>
      </c>
      <c r="AB2996" s="90">
        <v>2.8534499404200002E-3</v>
      </c>
      <c r="AC2996" s="90">
        <v>4.1969245267999998E-4</v>
      </c>
      <c r="AD2996" s="90">
        <v>15.6275510956643</v>
      </c>
      <c r="AF2996" s="90">
        <v>-1</v>
      </c>
      <c r="AG2996" s="90">
        <v>-1</v>
      </c>
      <c r="AH2996" s="90">
        <v>-1</v>
      </c>
      <c r="AI2996" s="90">
        <v>-1</v>
      </c>
      <c r="AJ2996" s="90">
        <v>0</v>
      </c>
      <c r="AM2996" s="90" t="s">
        <v>379</v>
      </c>
      <c r="AN2996" s="90">
        <v>-1</v>
      </c>
      <c r="AQ2996" s="90">
        <v>387</v>
      </c>
      <c r="AR2996" s="90" t="s">
        <v>306</v>
      </c>
      <c r="AS2996" s="90" t="s">
        <v>427</v>
      </c>
      <c r="AT2996" s="90" t="s">
        <v>244</v>
      </c>
      <c r="AU2996" s="90">
        <v>2.2521870000000002</v>
      </c>
      <c r="AV2996" s="90">
        <v>9.7639573073639205</v>
      </c>
      <c r="AW2996" s="90">
        <v>1.2572249778229001</v>
      </c>
      <c r="AX2996" s="90">
        <v>1.2674412899999999E-2</v>
      </c>
    </row>
    <row r="2997" spans="1:50" x14ac:dyDescent="0.25">
      <c r="A2997" s="102">
        <v>830000</v>
      </c>
      <c r="B2997" s="102">
        <v>2400000</v>
      </c>
      <c r="C2997" s="102">
        <v>2400000</v>
      </c>
      <c r="D2997" s="90" t="s">
        <v>374</v>
      </c>
      <c r="E2997" s="90" t="s">
        <v>68</v>
      </c>
      <c r="F2997" s="90" t="s">
        <v>375</v>
      </c>
      <c r="G2997" s="90" t="s">
        <v>376</v>
      </c>
      <c r="H2997" s="90">
        <v>0.59</v>
      </c>
      <c r="I2997" s="90">
        <v>0.64</v>
      </c>
      <c r="J2997" s="90" t="s">
        <v>244</v>
      </c>
      <c r="K2997" s="90">
        <v>0.10275143683082</v>
      </c>
      <c r="L2997" s="90">
        <v>3683.70981387647</v>
      </c>
      <c r="M2997" s="90">
        <v>9.1849131389234593</v>
      </c>
      <c r="N2997" s="90">
        <v>1.3509396707455501</v>
      </c>
      <c r="O2997" s="90">
        <v>0.94376302219070995</v>
      </c>
      <c r="P2997" s="90">
        <v>0.13881099224085999</v>
      </c>
      <c r="Q2997" s="90">
        <v>378.50647624362199</v>
      </c>
      <c r="R2997" s="90">
        <v>1210</v>
      </c>
      <c r="S2997" s="90" t="s">
        <v>385</v>
      </c>
      <c r="T2997" s="90">
        <v>1210</v>
      </c>
      <c r="U2997" s="90" t="s">
        <v>378</v>
      </c>
      <c r="V2997" s="90" t="s">
        <v>244</v>
      </c>
      <c r="Z2997" s="90">
        <v>0</v>
      </c>
      <c r="AA2997" s="90">
        <v>1</v>
      </c>
      <c r="AB2997" s="90">
        <v>0.94376302219070995</v>
      </c>
      <c r="AC2997" s="90">
        <v>0.13881099224085999</v>
      </c>
      <c r="AD2997" s="90">
        <v>981.14886167479494</v>
      </c>
      <c r="AF2997" s="90">
        <v>-1</v>
      </c>
      <c r="AG2997" s="90">
        <v>-1</v>
      </c>
      <c r="AH2997" s="90">
        <v>-1</v>
      </c>
      <c r="AI2997" s="90">
        <v>-1</v>
      </c>
      <c r="AJ2997" s="90">
        <v>0</v>
      </c>
      <c r="AM2997" s="90" t="s">
        <v>379</v>
      </c>
      <c r="AN2997" s="90">
        <v>-1</v>
      </c>
      <c r="AQ2997" s="90">
        <v>387</v>
      </c>
      <c r="AR2997" s="90" t="s">
        <v>306</v>
      </c>
      <c r="AS2997" s="90" t="s">
        <v>427</v>
      </c>
      <c r="AT2997" s="90" t="s">
        <v>244</v>
      </c>
      <c r="AU2997" s="90">
        <v>2.2521870000000002</v>
      </c>
      <c r="AV2997" s="90">
        <v>80.422287288081407</v>
      </c>
      <c r="AW2997" s="90">
        <v>415.82031204965398</v>
      </c>
      <c r="AX2997" s="90">
        <v>0.79574116920000004</v>
      </c>
    </row>
    <row r="2998" spans="1:50" x14ac:dyDescent="0.25">
      <c r="A2998" s="102">
        <v>830000</v>
      </c>
      <c r="B2998" s="102">
        <v>2400000</v>
      </c>
      <c r="C2998" s="102">
        <v>2400000</v>
      </c>
      <c r="D2998" s="90" t="s">
        <v>374</v>
      </c>
      <c r="E2998" s="90" t="s">
        <v>68</v>
      </c>
      <c r="F2998" s="90" t="s">
        <v>375</v>
      </c>
      <c r="G2998" s="90" t="s">
        <v>376</v>
      </c>
      <c r="H2998" s="90">
        <v>0.59</v>
      </c>
      <c r="I2998" s="90">
        <v>0.64</v>
      </c>
      <c r="J2998" s="90" t="s">
        <v>244</v>
      </c>
      <c r="K2998" s="90">
        <v>1.9425674310199999E-3</v>
      </c>
      <c r="L2998" s="90">
        <v>3683.70981387647</v>
      </c>
      <c r="M2998" s="90">
        <v>9.1849131389234593</v>
      </c>
      <c r="N2998" s="90">
        <v>1.3509396707455501</v>
      </c>
      <c r="O2998" s="90">
        <v>1.7842313120470001E-2</v>
      </c>
      <c r="P2998" s="90">
        <v>2.6242914056700001E-3</v>
      </c>
      <c r="Q2998" s="90">
        <v>7.15585470978729</v>
      </c>
      <c r="R2998" s="90">
        <v>1210</v>
      </c>
      <c r="S2998" s="90" t="s">
        <v>385</v>
      </c>
      <c r="T2998" s="90">
        <v>1210</v>
      </c>
      <c r="U2998" s="90" t="s">
        <v>378</v>
      </c>
      <c r="V2998" s="90" t="s">
        <v>244</v>
      </c>
      <c r="Z2998" s="90">
        <v>0</v>
      </c>
      <c r="AA2998" s="90">
        <v>1</v>
      </c>
      <c r="AB2998" s="90">
        <v>1.7842313120470001E-2</v>
      </c>
      <c r="AC2998" s="90">
        <v>2.6242914056700001E-3</v>
      </c>
      <c r="AD2998" s="90">
        <v>7.1558547097878797</v>
      </c>
      <c r="AF2998" s="90">
        <v>-1</v>
      </c>
      <c r="AG2998" s="90">
        <v>-1</v>
      </c>
      <c r="AH2998" s="90">
        <v>-1</v>
      </c>
      <c r="AI2998" s="90">
        <v>-1</v>
      </c>
      <c r="AJ2998" s="90">
        <v>0</v>
      </c>
      <c r="AM2998" s="90" t="s">
        <v>379</v>
      </c>
      <c r="AN2998" s="90">
        <v>-1</v>
      </c>
      <c r="AQ2998" s="90">
        <v>387</v>
      </c>
      <c r="AR2998" s="90" t="s">
        <v>306</v>
      </c>
      <c r="AS2998" s="90" t="s">
        <v>427</v>
      </c>
      <c r="AT2998" s="90" t="s">
        <v>244</v>
      </c>
      <c r="AU2998" s="90">
        <v>2.2521870000000002</v>
      </c>
      <c r="AV2998" s="90">
        <v>24.545141999662199</v>
      </c>
      <c r="AW2998" s="90">
        <v>7.8612914841932602</v>
      </c>
      <c r="AX2998" s="90">
        <v>5.8036129000000004E-3</v>
      </c>
    </row>
    <row r="2999" spans="1:50" x14ac:dyDescent="0.25">
      <c r="A2999" s="102">
        <v>830000</v>
      </c>
      <c r="B2999" s="102">
        <v>2400000</v>
      </c>
      <c r="C2999" s="102">
        <v>2400000</v>
      </c>
      <c r="D2999" s="90" t="s">
        <v>374</v>
      </c>
      <c r="E2999" s="90" t="s">
        <v>68</v>
      </c>
      <c r="F2999" s="90" t="s">
        <v>375</v>
      </c>
      <c r="G2999" s="90" t="s">
        <v>376</v>
      </c>
      <c r="H2999" s="90">
        <v>0.59</v>
      </c>
      <c r="I2999" s="90">
        <v>0.64</v>
      </c>
      <c r="J2999" s="90" t="s">
        <v>244</v>
      </c>
      <c r="K2999" s="90">
        <v>2.2618234837399999E-3</v>
      </c>
      <c r="L2999" s="90">
        <v>3673.4181151697098</v>
      </c>
      <c r="M2999" s="90">
        <v>9.1605557876678692</v>
      </c>
      <c r="N2999" s="90">
        <v>1.34740142071922</v>
      </c>
      <c r="O2999" s="90">
        <v>2.071956020471E-2</v>
      </c>
      <c r="P2999" s="90">
        <v>3.0475841754100002E-3</v>
      </c>
      <c r="Q2999" s="90">
        <v>8.3086233585088305</v>
      </c>
      <c r="R2999" s="90">
        <v>1210</v>
      </c>
      <c r="S2999" s="90" t="s">
        <v>385</v>
      </c>
      <c r="T2999" s="90">
        <v>1210</v>
      </c>
      <c r="U2999" s="90" t="s">
        <v>378</v>
      </c>
      <c r="V2999" s="90" t="s">
        <v>244</v>
      </c>
      <c r="Z2999" s="90">
        <v>0</v>
      </c>
      <c r="AA2999" s="90">
        <v>1</v>
      </c>
      <c r="AB2999" s="90">
        <v>2.071956020471E-2</v>
      </c>
      <c r="AC2999" s="90">
        <v>3.0475841754100002E-3</v>
      </c>
      <c r="AD2999" s="90">
        <v>436.12389151235601</v>
      </c>
      <c r="AF2999" s="90">
        <v>-1</v>
      </c>
      <c r="AG2999" s="90">
        <v>-1</v>
      </c>
      <c r="AH2999" s="90">
        <v>-1</v>
      </c>
      <c r="AI2999" s="90">
        <v>-1</v>
      </c>
      <c r="AJ2999" s="90">
        <v>0</v>
      </c>
      <c r="AM2999" s="90" t="s">
        <v>379</v>
      </c>
      <c r="AN2999" s="90">
        <v>-1</v>
      </c>
      <c r="AQ2999" s="90">
        <v>387</v>
      </c>
      <c r="AR2999" s="90" t="s">
        <v>306</v>
      </c>
      <c r="AS2999" s="90" t="s">
        <v>427</v>
      </c>
      <c r="AT2999" s="90" t="s">
        <v>244</v>
      </c>
      <c r="AU2999" s="90">
        <v>2.2521870000000002</v>
      </c>
      <c r="AV2999" s="90">
        <v>21.319050296927301</v>
      </c>
      <c r="AW2999" s="90">
        <v>9.15327489153462</v>
      </c>
      <c r="AX2999" s="90">
        <v>0.35370956329999997</v>
      </c>
    </row>
    <row r="3000" spans="1:50" x14ac:dyDescent="0.25">
      <c r="A3000" s="102">
        <v>830000</v>
      </c>
      <c r="B3000" s="102">
        <v>2400000</v>
      </c>
      <c r="C3000" s="102">
        <v>2400000</v>
      </c>
      <c r="D3000" s="90" t="s">
        <v>374</v>
      </c>
      <c r="E3000" s="90" t="s">
        <v>68</v>
      </c>
      <c r="F3000" s="90" t="s">
        <v>375</v>
      </c>
      <c r="G3000" s="90" t="s">
        <v>376</v>
      </c>
      <c r="H3000" s="90">
        <v>0.59</v>
      </c>
      <c r="I3000" s="90">
        <v>0.64</v>
      </c>
      <c r="J3000" s="90" t="s">
        <v>244</v>
      </c>
      <c r="K3000" s="90">
        <v>4.5590512169000003E-3</v>
      </c>
      <c r="L3000" s="90">
        <v>3673.4181151697098</v>
      </c>
      <c r="M3000" s="90">
        <v>9.1605557876678692</v>
      </c>
      <c r="N3000" s="90">
        <v>1.34740142071922</v>
      </c>
      <c r="O3000" s="90">
        <v>4.1763443011239999E-2</v>
      </c>
      <c r="P3000" s="90">
        <v>6.1428720867799996E-3</v>
      </c>
      <c r="Q3000" s="90">
        <v>16.747301328147</v>
      </c>
      <c r="R3000" s="90">
        <v>1210</v>
      </c>
      <c r="S3000" s="90" t="s">
        <v>385</v>
      </c>
      <c r="T3000" s="90">
        <v>1210</v>
      </c>
      <c r="U3000" s="90" t="s">
        <v>378</v>
      </c>
      <c r="V3000" s="90" t="s">
        <v>244</v>
      </c>
      <c r="Z3000" s="90">
        <v>0</v>
      </c>
      <c r="AA3000" s="90">
        <v>1</v>
      </c>
      <c r="AB3000" s="90">
        <v>4.1763443011239999E-2</v>
      </c>
      <c r="AC3000" s="90">
        <v>6.1428720867799996E-3</v>
      </c>
      <c r="AD3000" s="90">
        <v>152.98259475826401</v>
      </c>
      <c r="AF3000" s="90">
        <v>-1</v>
      </c>
      <c r="AG3000" s="90">
        <v>-1</v>
      </c>
      <c r="AH3000" s="90">
        <v>-1</v>
      </c>
      <c r="AI3000" s="90">
        <v>-1</v>
      </c>
      <c r="AJ3000" s="90">
        <v>0</v>
      </c>
      <c r="AM3000" s="90" t="s">
        <v>379</v>
      </c>
      <c r="AN3000" s="90">
        <v>-1</v>
      </c>
      <c r="AQ3000" s="90">
        <v>387</v>
      </c>
      <c r="AR3000" s="90" t="s">
        <v>306</v>
      </c>
      <c r="AS3000" s="90" t="s">
        <v>427</v>
      </c>
      <c r="AT3000" s="90" t="s">
        <v>244</v>
      </c>
      <c r="AU3000" s="90">
        <v>2.2521870000000002</v>
      </c>
      <c r="AV3000" s="90">
        <v>19.508121085768199</v>
      </c>
      <c r="AW3000" s="90">
        <v>18.449825697162701</v>
      </c>
      <c r="AX3000" s="90">
        <v>0.1240734751</v>
      </c>
    </row>
    <row r="3001" spans="1:50" x14ac:dyDescent="0.25">
      <c r="A3001" s="102">
        <v>830000</v>
      </c>
      <c r="B3001" s="102">
        <v>2400000</v>
      </c>
      <c r="C3001" s="102">
        <v>2400000</v>
      </c>
      <c r="D3001" s="90" t="s">
        <v>374</v>
      </c>
      <c r="E3001" s="90" t="s">
        <v>68</v>
      </c>
      <c r="F3001" s="90" t="s">
        <v>375</v>
      </c>
      <c r="G3001" s="90" t="s">
        <v>376</v>
      </c>
      <c r="H3001" s="90">
        <v>0.59</v>
      </c>
      <c r="I3001" s="90">
        <v>0.64</v>
      </c>
      <c r="J3001" s="90" t="s">
        <v>244</v>
      </c>
      <c r="K3001" s="90">
        <v>2.4513850144899998E-2</v>
      </c>
      <c r="L3001" s="90">
        <v>3673.4181154434</v>
      </c>
      <c r="M3001" s="90">
        <v>9.1605557883503899</v>
      </c>
      <c r="N3001" s="90">
        <v>1.3474014208196099</v>
      </c>
      <c r="O3001" s="90">
        <v>0.22456049183967999</v>
      </c>
      <c r="P3001" s="90">
        <v>3.3029996515E-2</v>
      </c>
      <c r="Q3001" s="90">
        <v>90.049621201566396</v>
      </c>
      <c r="R3001" s="90">
        <v>1210</v>
      </c>
      <c r="S3001" s="90" t="s">
        <v>385</v>
      </c>
      <c r="T3001" s="90">
        <v>1210</v>
      </c>
      <c r="U3001" s="90" t="s">
        <v>378</v>
      </c>
      <c r="V3001" s="90" t="s">
        <v>244</v>
      </c>
      <c r="Z3001" s="90">
        <v>0</v>
      </c>
      <c r="AA3001" s="90">
        <v>1</v>
      </c>
      <c r="AB3001" s="90">
        <v>0.22456049183967999</v>
      </c>
      <c r="AC3001" s="90">
        <v>3.3029996515E-2</v>
      </c>
      <c r="AD3001" s="90">
        <v>356.21658117794198</v>
      </c>
      <c r="AF3001" s="90">
        <v>-1</v>
      </c>
      <c r="AG3001" s="90">
        <v>-1</v>
      </c>
      <c r="AH3001" s="90">
        <v>-1</v>
      </c>
      <c r="AI3001" s="90">
        <v>-1</v>
      </c>
      <c r="AJ3001" s="90">
        <v>0</v>
      </c>
      <c r="AM3001" s="90" t="s">
        <v>379</v>
      </c>
      <c r="AN3001" s="90">
        <v>-1</v>
      </c>
      <c r="AQ3001" s="90">
        <v>387</v>
      </c>
      <c r="AR3001" s="90" t="s">
        <v>306</v>
      </c>
      <c r="AS3001" s="90" t="s">
        <v>427</v>
      </c>
      <c r="AT3001" s="90" t="s">
        <v>244</v>
      </c>
      <c r="AU3001" s="90">
        <v>2.2521870000000002</v>
      </c>
      <c r="AV3001" s="90">
        <v>48.306938292461801</v>
      </c>
      <c r="AW3001" s="90">
        <v>99.204031896666805</v>
      </c>
      <c r="AX3001" s="90">
        <v>0.28890233669999998</v>
      </c>
    </row>
    <row r="3002" spans="1:50" x14ac:dyDescent="0.25">
      <c r="A3002" s="102">
        <v>830000</v>
      </c>
      <c r="B3002" s="102">
        <v>2400000</v>
      </c>
      <c r="C3002" s="102">
        <v>2400000</v>
      </c>
      <c r="D3002" s="90" t="s">
        <v>374</v>
      </c>
      <c r="E3002" s="90" t="s">
        <v>68</v>
      </c>
      <c r="F3002" s="90" t="s">
        <v>375</v>
      </c>
      <c r="G3002" s="90" t="s">
        <v>376</v>
      </c>
      <c r="H3002" s="90">
        <v>0.59</v>
      </c>
      <c r="I3002" s="90">
        <v>0.64</v>
      </c>
      <c r="J3002" s="90" t="s">
        <v>244</v>
      </c>
      <c r="K3002" s="90">
        <v>6.8218120202519994E-2</v>
      </c>
      <c r="L3002" s="90">
        <v>3673.4181154434</v>
      </c>
      <c r="M3002" s="90">
        <v>9.1605557883503899</v>
      </c>
      <c r="N3002" s="90">
        <v>1.3474014208196099</v>
      </c>
      <c r="O3002" s="90">
        <v>0.62491589589159002</v>
      </c>
      <c r="P3002" s="90">
        <v>9.1917192086519994E-2</v>
      </c>
      <c r="Q3002" s="90">
        <v>250.59367855343999</v>
      </c>
      <c r="R3002" s="90">
        <v>1210</v>
      </c>
      <c r="S3002" s="90" t="s">
        <v>385</v>
      </c>
      <c r="T3002" s="90">
        <v>1210</v>
      </c>
      <c r="U3002" s="90" t="s">
        <v>378</v>
      </c>
      <c r="V3002" s="90" t="s">
        <v>244</v>
      </c>
      <c r="Z3002" s="90">
        <v>0</v>
      </c>
      <c r="AA3002" s="90">
        <v>1</v>
      </c>
      <c r="AB3002" s="90">
        <v>0.62491589589159002</v>
      </c>
      <c r="AC3002" s="90">
        <v>9.1917192086519994E-2</v>
      </c>
      <c r="AD3002" s="90">
        <v>582.27866427142101</v>
      </c>
      <c r="AF3002" s="90">
        <v>-1</v>
      </c>
      <c r="AG3002" s="90">
        <v>-1</v>
      </c>
      <c r="AH3002" s="90">
        <v>-1</v>
      </c>
      <c r="AI3002" s="90">
        <v>-1</v>
      </c>
      <c r="AJ3002" s="90">
        <v>0</v>
      </c>
      <c r="AM3002" s="90" t="s">
        <v>379</v>
      </c>
      <c r="AN3002" s="90">
        <v>-1</v>
      </c>
      <c r="AQ3002" s="90">
        <v>387</v>
      </c>
      <c r="AR3002" s="90" t="s">
        <v>306</v>
      </c>
      <c r="AS3002" s="90" t="s">
        <v>427</v>
      </c>
      <c r="AT3002" s="90" t="s">
        <v>244</v>
      </c>
      <c r="AU3002" s="90">
        <v>2.2521870000000002</v>
      </c>
      <c r="AV3002" s="90">
        <v>74.6687773550629</v>
      </c>
      <c r="AW3002" s="90">
        <v>276.06893786563001</v>
      </c>
      <c r="AX3002" s="90">
        <v>0.47224546979999998</v>
      </c>
    </row>
    <row r="3003" spans="1:50" x14ac:dyDescent="0.25">
      <c r="A3003" s="102">
        <v>830000</v>
      </c>
      <c r="B3003" s="102">
        <v>2400000</v>
      </c>
      <c r="C3003" s="102">
        <v>2400000</v>
      </c>
      <c r="D3003" s="90" t="s">
        <v>374</v>
      </c>
      <c r="E3003" s="90" t="s">
        <v>68</v>
      </c>
      <c r="F3003" s="90" t="s">
        <v>375</v>
      </c>
      <c r="G3003" s="90" t="s">
        <v>376</v>
      </c>
      <c r="H3003" s="90">
        <v>0.59</v>
      </c>
      <c r="I3003" s="90">
        <v>0.64</v>
      </c>
      <c r="J3003" s="90" t="s">
        <v>244</v>
      </c>
      <c r="K3003" s="90">
        <v>2.324965959062E-2</v>
      </c>
      <c r="L3003" s="90">
        <v>3673.4181154434</v>
      </c>
      <c r="M3003" s="90">
        <v>9.1605557883503899</v>
      </c>
      <c r="N3003" s="90">
        <v>1.3474014208196099</v>
      </c>
      <c r="O3003" s="90">
        <v>0.21297980374011</v>
      </c>
      <c r="P3003" s="90">
        <v>3.1326624365980001E-2</v>
      </c>
      <c r="Q3003" s="90">
        <v>85.405720718109094</v>
      </c>
      <c r="R3003" s="90">
        <v>1210</v>
      </c>
      <c r="S3003" s="90" t="s">
        <v>385</v>
      </c>
      <c r="T3003" s="90">
        <v>1210</v>
      </c>
      <c r="U3003" s="90" t="s">
        <v>378</v>
      </c>
      <c r="V3003" s="90" t="s">
        <v>244</v>
      </c>
      <c r="Z3003" s="90">
        <v>0</v>
      </c>
      <c r="AA3003" s="90">
        <v>1</v>
      </c>
      <c r="AB3003" s="90">
        <v>0.21297980374011</v>
      </c>
      <c r="AC3003" s="90">
        <v>3.1326624365980001E-2</v>
      </c>
      <c r="AD3003" s="90">
        <v>156.83852793533001</v>
      </c>
      <c r="AF3003" s="90">
        <v>-1</v>
      </c>
      <c r="AG3003" s="90">
        <v>-1</v>
      </c>
      <c r="AH3003" s="90">
        <v>-1</v>
      </c>
      <c r="AI3003" s="90">
        <v>-1</v>
      </c>
      <c r="AJ3003" s="90">
        <v>0</v>
      </c>
      <c r="AM3003" s="90" t="s">
        <v>379</v>
      </c>
      <c r="AN3003" s="90">
        <v>-1</v>
      </c>
      <c r="AQ3003" s="90">
        <v>387</v>
      </c>
      <c r="AR3003" s="90" t="s">
        <v>306</v>
      </c>
      <c r="AS3003" s="90" t="s">
        <v>427</v>
      </c>
      <c r="AT3003" s="90" t="s">
        <v>244</v>
      </c>
      <c r="AU3003" s="90">
        <v>2.2521870000000002</v>
      </c>
      <c r="AV3003" s="90">
        <v>44.215827698476197</v>
      </c>
      <c r="AW3003" s="90">
        <v>94.088034232949497</v>
      </c>
      <c r="AX3003" s="90">
        <v>0.12720075259999999</v>
      </c>
    </row>
    <row r="3004" spans="1:50" x14ac:dyDescent="0.25">
      <c r="A3004" s="102">
        <v>830000</v>
      </c>
      <c r="B3004" s="102">
        <v>2400000</v>
      </c>
      <c r="C3004" s="102">
        <v>2400000</v>
      </c>
      <c r="D3004" s="90" t="s">
        <v>374</v>
      </c>
      <c r="E3004" s="90" t="s">
        <v>68</v>
      </c>
      <c r="F3004" s="90" t="s">
        <v>375</v>
      </c>
      <c r="G3004" s="90" t="s">
        <v>376</v>
      </c>
      <c r="H3004" s="90">
        <v>0.59</v>
      </c>
      <c r="I3004" s="90">
        <v>0.64</v>
      </c>
      <c r="J3004" s="90" t="s">
        <v>244</v>
      </c>
      <c r="K3004" s="90">
        <v>0.15729400554350001</v>
      </c>
      <c r="L3004" s="90">
        <v>3673.4181154434</v>
      </c>
      <c r="M3004" s="90">
        <v>9.1605557883503899</v>
      </c>
      <c r="N3004" s="90">
        <v>1.3474014208196099</v>
      </c>
      <c r="O3004" s="90">
        <v>1.44090051295433</v>
      </c>
      <c r="P3004" s="90">
        <v>0.21193816655572001</v>
      </c>
      <c r="Q3004" s="90">
        <v>577.80664941415205</v>
      </c>
      <c r="R3004" s="90">
        <v>1210</v>
      </c>
      <c r="S3004" s="90" t="s">
        <v>385</v>
      </c>
      <c r="T3004" s="90">
        <v>1210</v>
      </c>
      <c r="U3004" s="90" t="s">
        <v>378</v>
      </c>
      <c r="V3004" s="90" t="s">
        <v>244</v>
      </c>
      <c r="Z3004" s="90">
        <v>0</v>
      </c>
      <c r="AA3004" s="90">
        <v>1</v>
      </c>
      <c r="AB3004" s="90">
        <v>1.44090051295433</v>
      </c>
      <c r="AC3004" s="90">
        <v>0.21193816655572001</v>
      </c>
      <c r="AD3004" s="90">
        <v>858.52959187713395</v>
      </c>
      <c r="AF3004" s="90">
        <v>-1</v>
      </c>
      <c r="AG3004" s="90">
        <v>-1</v>
      </c>
      <c r="AH3004" s="90">
        <v>-1</v>
      </c>
      <c r="AI3004" s="90">
        <v>-1</v>
      </c>
      <c r="AJ3004" s="90">
        <v>0</v>
      </c>
      <c r="AM3004" s="90" t="s">
        <v>379</v>
      </c>
      <c r="AN3004" s="90">
        <v>-1</v>
      </c>
      <c r="AQ3004" s="90">
        <v>387</v>
      </c>
      <c r="AR3004" s="90" t="s">
        <v>306</v>
      </c>
      <c r="AS3004" s="90" t="s">
        <v>427</v>
      </c>
      <c r="AT3004" s="90" t="s">
        <v>244</v>
      </c>
      <c r="AU3004" s="90">
        <v>2.2521870000000002</v>
      </c>
      <c r="AV3004" s="90">
        <v>100.411696383349</v>
      </c>
      <c r="AW3004" s="90">
        <v>636.54625653873904</v>
      </c>
      <c r="AX3004" s="90">
        <v>0.69629326189999996</v>
      </c>
    </row>
    <row r="3005" spans="1:50" x14ac:dyDescent="0.25">
      <c r="A3005" s="102">
        <v>830000</v>
      </c>
      <c r="B3005" s="102">
        <v>2400000</v>
      </c>
      <c r="C3005" s="102">
        <v>2400000</v>
      </c>
      <c r="D3005" s="90" t="s">
        <v>374</v>
      </c>
      <c r="E3005" s="90" t="s">
        <v>68</v>
      </c>
      <c r="F3005" s="90" t="s">
        <v>375</v>
      </c>
      <c r="G3005" s="90" t="s">
        <v>376</v>
      </c>
      <c r="H3005" s="90">
        <v>0.59</v>
      </c>
      <c r="I3005" s="90">
        <v>0.64</v>
      </c>
      <c r="J3005" s="90" t="s">
        <v>244</v>
      </c>
      <c r="K3005" s="90">
        <v>1.3370623253099999E-2</v>
      </c>
      <c r="L3005" s="90">
        <v>3673.4181154434</v>
      </c>
      <c r="M3005" s="90">
        <v>9.1605557883503899</v>
      </c>
      <c r="N3005" s="90">
        <v>1.3474014208196099</v>
      </c>
      <c r="O3005" s="90">
        <v>0.12248234023505999</v>
      </c>
      <c r="P3005" s="90">
        <v>1.8015596768470001E-2</v>
      </c>
      <c r="Q3005" s="90">
        <v>49.115889672717401</v>
      </c>
      <c r="R3005" s="90">
        <v>1210</v>
      </c>
      <c r="S3005" s="90" t="s">
        <v>385</v>
      </c>
      <c r="T3005" s="90">
        <v>1210</v>
      </c>
      <c r="U3005" s="90" t="s">
        <v>378</v>
      </c>
      <c r="V3005" s="90" t="s">
        <v>244</v>
      </c>
      <c r="Z3005" s="90">
        <v>0</v>
      </c>
      <c r="AA3005" s="90">
        <v>1</v>
      </c>
      <c r="AB3005" s="90">
        <v>0.12248234023505999</v>
      </c>
      <c r="AC3005" s="90">
        <v>1.8015596768470001E-2</v>
      </c>
      <c r="AD3005" s="90">
        <v>52.118784598892802</v>
      </c>
      <c r="AF3005" s="90">
        <v>-1</v>
      </c>
      <c r="AG3005" s="90">
        <v>-1</v>
      </c>
      <c r="AH3005" s="90">
        <v>-1</v>
      </c>
      <c r="AI3005" s="90">
        <v>-1</v>
      </c>
      <c r="AJ3005" s="90">
        <v>0</v>
      </c>
      <c r="AM3005" s="90" t="s">
        <v>379</v>
      </c>
      <c r="AN3005" s="90">
        <v>-1</v>
      </c>
      <c r="AQ3005" s="90">
        <v>387</v>
      </c>
      <c r="AR3005" s="90" t="s">
        <v>306</v>
      </c>
      <c r="AS3005" s="90" t="s">
        <v>427</v>
      </c>
      <c r="AT3005" s="90" t="s">
        <v>244</v>
      </c>
      <c r="AU3005" s="90">
        <v>2.2521870000000002</v>
      </c>
      <c r="AV3005" s="90">
        <v>51.933352971230697</v>
      </c>
      <c r="AW3005" s="90">
        <v>54.108992583312002</v>
      </c>
      <c r="AX3005" s="90">
        <v>4.2269898299999997E-2</v>
      </c>
    </row>
    <row r="3006" spans="1:50" x14ac:dyDescent="0.25">
      <c r="A3006" s="102">
        <v>830000</v>
      </c>
      <c r="B3006" s="102">
        <v>2400000</v>
      </c>
      <c r="C3006" s="102">
        <v>2400000</v>
      </c>
      <c r="D3006" s="90" t="s">
        <v>374</v>
      </c>
      <c r="E3006" s="90" t="s">
        <v>68</v>
      </c>
      <c r="F3006" s="90" t="s">
        <v>375</v>
      </c>
      <c r="G3006" s="90" t="s">
        <v>376</v>
      </c>
      <c r="H3006" s="90">
        <v>0.59</v>
      </c>
      <c r="I3006" s="90">
        <v>0.64</v>
      </c>
      <c r="J3006" s="90" t="s">
        <v>244</v>
      </c>
      <c r="K3006" s="90">
        <v>0.13382044463911</v>
      </c>
      <c r="L3006" s="90">
        <v>3673.4181154434</v>
      </c>
      <c r="M3006" s="90">
        <v>9.1605557883503899</v>
      </c>
      <c r="N3006" s="90">
        <v>1.3474014208196099</v>
      </c>
      <c r="O3006" s="90">
        <v>1.2258696487384999</v>
      </c>
      <c r="P3006" s="90">
        <v>0.18030985724146001</v>
      </c>
      <c r="Q3006" s="90">
        <v>491.57844555403102</v>
      </c>
      <c r="R3006" s="90">
        <v>1210</v>
      </c>
      <c r="S3006" s="90" t="s">
        <v>385</v>
      </c>
      <c r="T3006" s="90">
        <v>1210</v>
      </c>
      <c r="U3006" s="90" t="s">
        <v>378</v>
      </c>
      <c r="V3006" s="90" t="s">
        <v>244</v>
      </c>
      <c r="Z3006" s="90">
        <v>0</v>
      </c>
      <c r="AA3006" s="90">
        <v>1</v>
      </c>
      <c r="AB3006" s="90">
        <v>1.2258696487384999</v>
      </c>
      <c r="AC3006" s="90">
        <v>0.18030985724146001</v>
      </c>
      <c r="AD3006" s="90">
        <v>737.16605788378604</v>
      </c>
      <c r="AF3006" s="90">
        <v>-1</v>
      </c>
      <c r="AG3006" s="90">
        <v>-1</v>
      </c>
      <c r="AH3006" s="90">
        <v>-1</v>
      </c>
      <c r="AI3006" s="90">
        <v>-1</v>
      </c>
      <c r="AJ3006" s="90">
        <v>0</v>
      </c>
      <c r="AM3006" s="90" t="s">
        <v>379</v>
      </c>
      <c r="AN3006" s="90">
        <v>-1</v>
      </c>
      <c r="AQ3006" s="90">
        <v>387</v>
      </c>
      <c r="AR3006" s="90" t="s">
        <v>306</v>
      </c>
      <c r="AS3006" s="90" t="s">
        <v>427</v>
      </c>
      <c r="AT3006" s="90" t="s">
        <v>244</v>
      </c>
      <c r="AU3006" s="90">
        <v>2.2521870000000002</v>
      </c>
      <c r="AV3006" s="90">
        <v>93.415346486532698</v>
      </c>
      <c r="AW3006" s="90">
        <v>541.55212583624302</v>
      </c>
      <c r="AX3006" s="90">
        <v>0.5978637939</v>
      </c>
    </row>
    <row r="3007" spans="1:50" x14ac:dyDescent="0.25">
      <c r="A3007" s="102">
        <v>830000</v>
      </c>
      <c r="B3007" s="102">
        <v>2400000</v>
      </c>
      <c r="C3007" s="102">
        <v>2400000</v>
      </c>
      <c r="D3007" s="90" t="s">
        <v>374</v>
      </c>
      <c r="E3007" s="90" t="s">
        <v>68</v>
      </c>
      <c r="F3007" s="90" t="s">
        <v>375</v>
      </c>
      <c r="G3007" s="90" t="s">
        <v>376</v>
      </c>
      <c r="H3007" s="90">
        <v>0.59</v>
      </c>
      <c r="I3007" s="90">
        <v>0.64</v>
      </c>
      <c r="J3007" s="90" t="s">
        <v>244</v>
      </c>
      <c r="K3007" s="90">
        <v>7.1645394305460006E-2</v>
      </c>
      <c r="L3007" s="90">
        <v>3673.4181154434</v>
      </c>
      <c r="M3007" s="90">
        <v>9.1605557883503899</v>
      </c>
      <c r="N3007" s="90">
        <v>1.3474014208196099</v>
      </c>
      <c r="O3007" s="90">
        <v>0.65631163151359995</v>
      </c>
      <c r="P3007" s="90">
        <v>9.6535106082360003E-2</v>
      </c>
      <c r="Q3007" s="90">
        <v>263.183489329792</v>
      </c>
      <c r="R3007" s="90">
        <v>1210</v>
      </c>
      <c r="S3007" s="90" t="s">
        <v>385</v>
      </c>
      <c r="T3007" s="90">
        <v>1210</v>
      </c>
      <c r="U3007" s="90" t="s">
        <v>378</v>
      </c>
      <c r="V3007" s="90" t="s">
        <v>244</v>
      </c>
      <c r="Z3007" s="90">
        <v>0</v>
      </c>
      <c r="AA3007" s="90">
        <v>1</v>
      </c>
      <c r="AB3007" s="90">
        <v>0.65631163151359995</v>
      </c>
      <c r="AC3007" s="90">
        <v>9.6535106082360003E-2</v>
      </c>
      <c r="AD3007" s="90">
        <v>263.18348932979097</v>
      </c>
      <c r="AF3007" s="90">
        <v>-1</v>
      </c>
      <c r="AG3007" s="90">
        <v>-1</v>
      </c>
      <c r="AH3007" s="90">
        <v>-1</v>
      </c>
      <c r="AI3007" s="90">
        <v>-1</v>
      </c>
      <c r="AJ3007" s="90">
        <v>0</v>
      </c>
      <c r="AM3007" s="90" t="s">
        <v>379</v>
      </c>
      <c r="AN3007" s="90">
        <v>-1</v>
      </c>
      <c r="AQ3007" s="90">
        <v>387</v>
      </c>
      <c r="AR3007" s="90" t="s">
        <v>306</v>
      </c>
      <c r="AS3007" s="90" t="s">
        <v>427</v>
      </c>
      <c r="AT3007" s="90" t="s">
        <v>244</v>
      </c>
      <c r="AU3007" s="90">
        <v>2.2521870000000002</v>
      </c>
      <c r="AV3007" s="90">
        <v>69.062893987948698</v>
      </c>
      <c r="AW3007" s="90">
        <v>289.93862408046198</v>
      </c>
      <c r="AX3007" s="90">
        <v>0.2134497075</v>
      </c>
    </row>
    <row r="3008" spans="1:50" x14ac:dyDescent="0.25">
      <c r="A3008" s="102">
        <v>830000</v>
      </c>
      <c r="B3008" s="102">
        <v>2400000</v>
      </c>
      <c r="C3008" s="102">
        <v>2400000</v>
      </c>
      <c r="D3008" s="90" t="s">
        <v>374</v>
      </c>
      <c r="E3008" s="90" t="s">
        <v>68</v>
      </c>
      <c r="F3008" s="90" t="s">
        <v>375</v>
      </c>
      <c r="G3008" s="90" t="s">
        <v>376</v>
      </c>
      <c r="H3008" s="90">
        <v>0.59</v>
      </c>
      <c r="I3008" s="90">
        <v>0.64</v>
      </c>
      <c r="J3008" s="90" t="s">
        <v>244</v>
      </c>
      <c r="K3008" s="90">
        <v>7.5668219809039997E-2</v>
      </c>
      <c r="L3008" s="90">
        <v>3673.4181154434</v>
      </c>
      <c r="M3008" s="90">
        <v>9.1605557883503899</v>
      </c>
      <c r="N3008" s="90">
        <v>1.3474014208196099</v>
      </c>
      <c r="O3008" s="90">
        <v>0.69316294896589004</v>
      </c>
      <c r="P3008" s="90">
        <v>0.10195546688159</v>
      </c>
      <c r="Q3008" s="90">
        <v>277.96100940989197</v>
      </c>
      <c r="R3008" s="90">
        <v>1210</v>
      </c>
      <c r="S3008" s="90" t="s">
        <v>385</v>
      </c>
      <c r="T3008" s="90">
        <v>1210</v>
      </c>
      <c r="U3008" s="90" t="s">
        <v>378</v>
      </c>
      <c r="V3008" s="90" t="s">
        <v>244</v>
      </c>
      <c r="Z3008" s="90">
        <v>0</v>
      </c>
      <c r="AA3008" s="90">
        <v>1</v>
      </c>
      <c r="AB3008" s="90">
        <v>0.69316294896589004</v>
      </c>
      <c r="AC3008" s="90">
        <v>0.10195546688159</v>
      </c>
      <c r="AD3008" s="90">
        <v>277.96100940989197</v>
      </c>
      <c r="AF3008" s="90">
        <v>-1</v>
      </c>
      <c r="AG3008" s="90">
        <v>-1</v>
      </c>
      <c r="AH3008" s="90">
        <v>-1</v>
      </c>
      <c r="AI3008" s="90">
        <v>-1</v>
      </c>
      <c r="AJ3008" s="90">
        <v>0</v>
      </c>
      <c r="AM3008" s="90" t="s">
        <v>379</v>
      </c>
      <c r="AN3008" s="90">
        <v>-1</v>
      </c>
      <c r="AQ3008" s="90">
        <v>387</v>
      </c>
      <c r="AR3008" s="90" t="s">
        <v>306</v>
      </c>
      <c r="AS3008" s="90" t="s">
        <v>427</v>
      </c>
      <c r="AT3008" s="90" t="s">
        <v>244</v>
      </c>
      <c r="AU3008" s="90">
        <v>2.2521870000000002</v>
      </c>
      <c r="AV3008" s="90">
        <v>75.583114328060404</v>
      </c>
      <c r="AW3008" s="90">
        <v>306.21842130580097</v>
      </c>
      <c r="AX3008" s="90">
        <v>0.22543471970000001</v>
      </c>
    </row>
    <row r="3009" spans="1:50" x14ac:dyDescent="0.25">
      <c r="A3009" s="102">
        <v>830000</v>
      </c>
      <c r="B3009" s="102">
        <v>2400000</v>
      </c>
      <c r="C3009" s="102">
        <v>2400000</v>
      </c>
      <c r="D3009" s="90" t="s">
        <v>374</v>
      </c>
      <c r="E3009" s="90" t="s">
        <v>68</v>
      </c>
      <c r="F3009" s="90" t="s">
        <v>375</v>
      </c>
      <c r="G3009" s="90" t="s">
        <v>376</v>
      </c>
      <c r="H3009" s="90">
        <v>0.59</v>
      </c>
      <c r="I3009" s="90">
        <v>0.64</v>
      </c>
      <c r="J3009" s="90" t="s">
        <v>244</v>
      </c>
      <c r="K3009" s="90">
        <v>1.060807280174E-2</v>
      </c>
      <c r="L3009" s="90">
        <v>3673.4181154434</v>
      </c>
      <c r="M3009" s="90">
        <v>9.1605557883503899</v>
      </c>
      <c r="N3009" s="90">
        <v>1.3474014208196099</v>
      </c>
      <c r="O3009" s="90">
        <v>9.7175842707259999E-2</v>
      </c>
      <c r="P3009" s="90">
        <v>1.4293332365220001E-2</v>
      </c>
      <c r="Q3009" s="90">
        <v>38.967886799872602</v>
      </c>
      <c r="R3009" s="90">
        <v>1210</v>
      </c>
      <c r="S3009" s="90" t="s">
        <v>385</v>
      </c>
      <c r="T3009" s="90">
        <v>1210</v>
      </c>
      <c r="U3009" s="90" t="s">
        <v>378</v>
      </c>
      <c r="V3009" s="90" t="s">
        <v>244</v>
      </c>
      <c r="Z3009" s="90">
        <v>0</v>
      </c>
      <c r="AA3009" s="90">
        <v>1</v>
      </c>
      <c r="AB3009" s="90">
        <v>9.7175842707259999E-2</v>
      </c>
      <c r="AC3009" s="90">
        <v>1.4293332365220001E-2</v>
      </c>
      <c r="AD3009" s="90">
        <v>38.967886799874002</v>
      </c>
      <c r="AF3009" s="90">
        <v>-1</v>
      </c>
      <c r="AG3009" s="90">
        <v>-1</v>
      </c>
      <c r="AH3009" s="90">
        <v>-1</v>
      </c>
      <c r="AI3009" s="90">
        <v>-1</v>
      </c>
      <c r="AJ3009" s="90">
        <v>0</v>
      </c>
      <c r="AM3009" s="90" t="s">
        <v>379</v>
      </c>
      <c r="AN3009" s="90">
        <v>-1</v>
      </c>
      <c r="AQ3009" s="90">
        <v>387</v>
      </c>
      <c r="AR3009" s="90" t="s">
        <v>306</v>
      </c>
      <c r="AS3009" s="90" t="s">
        <v>427</v>
      </c>
      <c r="AT3009" s="90" t="s">
        <v>244</v>
      </c>
      <c r="AU3009" s="90">
        <v>2.2521870000000002</v>
      </c>
      <c r="AV3009" s="90">
        <v>28.6489341420268</v>
      </c>
      <c r="AW3009" s="90">
        <v>42.929347547029899</v>
      </c>
      <c r="AX3009" s="90">
        <v>3.1604125499999997E-2</v>
      </c>
    </row>
    <row r="3010" spans="1:50" x14ac:dyDescent="0.25">
      <c r="A3010" s="102">
        <v>830000</v>
      </c>
      <c r="B3010" s="102">
        <v>2400000</v>
      </c>
      <c r="C3010" s="102">
        <v>2400000</v>
      </c>
      <c r="D3010" s="90" t="s">
        <v>374</v>
      </c>
      <c r="E3010" s="90" t="s">
        <v>68</v>
      </c>
      <c r="F3010" s="90" t="s">
        <v>375</v>
      </c>
      <c r="G3010" s="90" t="s">
        <v>376</v>
      </c>
      <c r="H3010" s="90">
        <v>0.59</v>
      </c>
      <c r="I3010" s="90">
        <v>0.64</v>
      </c>
      <c r="J3010" s="90" t="s">
        <v>244</v>
      </c>
      <c r="K3010" s="90">
        <v>7.2311154887549994E-2</v>
      </c>
      <c r="L3010" s="90">
        <v>3673.4181151697098</v>
      </c>
      <c r="M3010" s="90">
        <v>9.1605557876678692</v>
      </c>
      <c r="N3010" s="90">
        <v>1.34740142071922</v>
      </c>
      <c r="O3010" s="90">
        <v>0.66241036841812995</v>
      </c>
      <c r="P3010" s="90">
        <v>9.7432152829330002E-2</v>
      </c>
      <c r="Q3010" s="90">
        <v>265.629106292784</v>
      </c>
      <c r="R3010" s="90">
        <v>1210</v>
      </c>
      <c r="S3010" s="90" t="s">
        <v>385</v>
      </c>
      <c r="T3010" s="90">
        <v>1210</v>
      </c>
      <c r="U3010" s="90" t="s">
        <v>378</v>
      </c>
      <c r="V3010" s="90" t="s">
        <v>244</v>
      </c>
      <c r="Z3010" s="90">
        <v>0</v>
      </c>
      <c r="AA3010" s="90">
        <v>1</v>
      </c>
      <c r="AB3010" s="90">
        <v>0.66241036841812995</v>
      </c>
      <c r="AC3010" s="90">
        <v>9.7432152829330002E-2</v>
      </c>
      <c r="AD3010" s="90">
        <v>564.822770792798</v>
      </c>
      <c r="AF3010" s="90">
        <v>-1</v>
      </c>
      <c r="AG3010" s="90">
        <v>-1</v>
      </c>
      <c r="AH3010" s="90">
        <v>-1</v>
      </c>
      <c r="AI3010" s="90">
        <v>-1</v>
      </c>
      <c r="AJ3010" s="90">
        <v>0</v>
      </c>
      <c r="AM3010" s="90" t="s">
        <v>379</v>
      </c>
      <c r="AN3010" s="90">
        <v>-1</v>
      </c>
      <c r="AQ3010" s="90">
        <v>387</v>
      </c>
      <c r="AR3010" s="90" t="s">
        <v>306</v>
      </c>
      <c r="AS3010" s="90" t="s">
        <v>427</v>
      </c>
      <c r="AT3010" s="90" t="s">
        <v>244</v>
      </c>
      <c r="AU3010" s="90">
        <v>2.2521870000000002</v>
      </c>
      <c r="AV3010" s="90">
        <v>69.7488593243596</v>
      </c>
      <c r="AW3010" s="90">
        <v>292.63286156786</v>
      </c>
      <c r="AX3010" s="90">
        <v>0.45808821640000003</v>
      </c>
    </row>
    <row r="3011" spans="1:50" x14ac:dyDescent="0.25">
      <c r="A3011" s="102">
        <v>830000</v>
      </c>
      <c r="B3011" s="102">
        <v>2400000</v>
      </c>
      <c r="C3011" s="102">
        <v>2400000</v>
      </c>
      <c r="D3011" s="90" t="s">
        <v>374</v>
      </c>
      <c r="E3011" s="90" t="s">
        <v>68</v>
      </c>
      <c r="F3011" s="90" t="s">
        <v>375</v>
      </c>
      <c r="G3011" s="90" t="s">
        <v>376</v>
      </c>
      <c r="H3011" s="90">
        <v>0.59</v>
      </c>
      <c r="I3011" s="90">
        <v>0.64</v>
      </c>
      <c r="J3011" s="90" t="s">
        <v>244</v>
      </c>
      <c r="K3011" s="90">
        <v>0.15053672221587999</v>
      </c>
      <c r="L3011" s="90">
        <v>3673.4181151697098</v>
      </c>
      <c r="M3011" s="90">
        <v>9.1605557876678692</v>
      </c>
      <c r="N3011" s="90">
        <v>1.34740142071922</v>
      </c>
      <c r="O3011" s="90">
        <v>1.37900004195131</v>
      </c>
      <c r="P3011" s="90">
        <v>0.2028333933841</v>
      </c>
      <c r="Q3011" s="90">
        <v>552.98432238611804</v>
      </c>
      <c r="R3011" s="90">
        <v>1210</v>
      </c>
      <c r="S3011" s="90" t="s">
        <v>385</v>
      </c>
      <c r="T3011" s="90">
        <v>1210</v>
      </c>
      <c r="U3011" s="90" t="s">
        <v>378</v>
      </c>
      <c r="V3011" s="90" t="s">
        <v>244</v>
      </c>
      <c r="Z3011" s="90">
        <v>0</v>
      </c>
      <c r="AA3011" s="90">
        <v>1</v>
      </c>
      <c r="AB3011" s="90">
        <v>1.37900004195131</v>
      </c>
      <c r="AC3011" s="90">
        <v>0.2028333933841</v>
      </c>
      <c r="AD3011" s="90">
        <v>757.76125915489001</v>
      </c>
      <c r="AF3011" s="90">
        <v>-1</v>
      </c>
      <c r="AG3011" s="90">
        <v>-1</v>
      </c>
      <c r="AH3011" s="90">
        <v>-1</v>
      </c>
      <c r="AI3011" s="90">
        <v>-1</v>
      </c>
      <c r="AJ3011" s="90">
        <v>0</v>
      </c>
      <c r="AM3011" s="90" t="s">
        <v>379</v>
      </c>
      <c r="AN3011" s="90">
        <v>-1</v>
      </c>
      <c r="AQ3011" s="90">
        <v>387</v>
      </c>
      <c r="AR3011" s="90" t="s">
        <v>306</v>
      </c>
      <c r="AS3011" s="90" t="s">
        <v>427</v>
      </c>
      <c r="AT3011" s="90" t="s">
        <v>244</v>
      </c>
      <c r="AU3011" s="90">
        <v>2.2521870000000002</v>
      </c>
      <c r="AV3011" s="90">
        <v>98.487832882084206</v>
      </c>
      <c r="AW3011" s="90">
        <v>609.200501106415</v>
      </c>
      <c r="AX3011" s="90">
        <v>0.61456712020000004</v>
      </c>
    </row>
    <row r="3012" spans="1:50" x14ac:dyDescent="0.25">
      <c r="A3012" s="102">
        <v>830000</v>
      </c>
      <c r="B3012" s="102">
        <v>2400000</v>
      </c>
      <c r="C3012" s="102">
        <v>2400000</v>
      </c>
      <c r="D3012" s="90" t="s">
        <v>374</v>
      </c>
      <c r="E3012" s="90" t="s">
        <v>68</v>
      </c>
      <c r="F3012" s="90" t="s">
        <v>375</v>
      </c>
      <c r="G3012" s="90" t="s">
        <v>376</v>
      </c>
      <c r="H3012" s="90">
        <v>0.59</v>
      </c>
      <c r="I3012" s="90">
        <v>0.64</v>
      </c>
      <c r="J3012" s="90" t="s">
        <v>244</v>
      </c>
      <c r="K3012" s="90">
        <v>2.1355947267689999E-2</v>
      </c>
      <c r="L3012" s="90">
        <v>3673.4181151697098</v>
      </c>
      <c r="M3012" s="90">
        <v>9.1605557876678692</v>
      </c>
      <c r="N3012" s="90">
        <v>1.34740142071922</v>
      </c>
      <c r="O3012" s="90">
        <v>0.19563234634418999</v>
      </c>
      <c r="P3012" s="90">
        <v>2.8775033689289999E-2</v>
      </c>
      <c r="Q3012" s="90">
        <v>78.449323559752699</v>
      </c>
      <c r="R3012" s="90">
        <v>1210</v>
      </c>
      <c r="S3012" s="90" t="s">
        <v>385</v>
      </c>
      <c r="T3012" s="90">
        <v>1210</v>
      </c>
      <c r="U3012" s="90" t="s">
        <v>378</v>
      </c>
      <c r="V3012" s="90" t="s">
        <v>244</v>
      </c>
      <c r="Z3012" s="90">
        <v>0</v>
      </c>
      <c r="AA3012" s="90">
        <v>1</v>
      </c>
      <c r="AB3012" s="90">
        <v>0.19563234634418999</v>
      </c>
      <c r="AC3012" s="90">
        <v>2.8775033689289999E-2</v>
      </c>
      <c r="AD3012" s="90">
        <v>93.326667902403798</v>
      </c>
      <c r="AF3012" s="90">
        <v>-1</v>
      </c>
      <c r="AG3012" s="90">
        <v>-1</v>
      </c>
      <c r="AH3012" s="90">
        <v>-1</v>
      </c>
      <c r="AI3012" s="90">
        <v>-1</v>
      </c>
      <c r="AJ3012" s="90">
        <v>0</v>
      </c>
      <c r="AM3012" s="90" t="s">
        <v>379</v>
      </c>
      <c r="AN3012" s="90">
        <v>-1</v>
      </c>
      <c r="AQ3012" s="90">
        <v>387</v>
      </c>
      <c r="AR3012" s="90" t="s">
        <v>306</v>
      </c>
      <c r="AS3012" s="90" t="s">
        <v>427</v>
      </c>
      <c r="AT3012" s="90" t="s">
        <v>244</v>
      </c>
      <c r="AU3012" s="90">
        <v>2.2521870000000002</v>
      </c>
      <c r="AV3012" s="90">
        <v>54.965383071928997</v>
      </c>
      <c r="AW3012" s="90">
        <v>86.424452356700399</v>
      </c>
      <c r="AX3012" s="90">
        <v>7.5690728200000001E-2</v>
      </c>
    </row>
    <row r="3013" spans="1:50" x14ac:dyDescent="0.25">
      <c r="A3013" s="102">
        <v>830000</v>
      </c>
      <c r="B3013" s="102">
        <v>2400000</v>
      </c>
      <c r="C3013" s="102">
        <v>2400000</v>
      </c>
      <c r="D3013" s="90" t="s">
        <v>374</v>
      </c>
      <c r="E3013" s="90" t="s">
        <v>68</v>
      </c>
      <c r="F3013" s="90" t="s">
        <v>375</v>
      </c>
      <c r="G3013" s="90" t="s">
        <v>376</v>
      </c>
      <c r="H3013" s="90">
        <v>0.59</v>
      </c>
      <c r="I3013" s="90">
        <v>0.64</v>
      </c>
      <c r="J3013" s="90" t="s">
        <v>244</v>
      </c>
      <c r="K3013" s="90">
        <v>3.9427796788630003E-2</v>
      </c>
      <c r="L3013" s="90">
        <v>3673.4181151697098</v>
      </c>
      <c r="M3013" s="90">
        <v>9.1605557876678692</v>
      </c>
      <c r="N3013" s="90">
        <v>1.34740142071922</v>
      </c>
      <c r="O3013" s="90">
        <v>0.36118053206714001</v>
      </c>
      <c r="P3013" s="90">
        <v>5.3125069408830002E-2</v>
      </c>
      <c r="Q3013" s="90">
        <v>144.83478296460899</v>
      </c>
      <c r="R3013" s="90">
        <v>1210</v>
      </c>
      <c r="S3013" s="90" t="s">
        <v>385</v>
      </c>
      <c r="T3013" s="90">
        <v>1210</v>
      </c>
      <c r="U3013" s="90" t="s">
        <v>378</v>
      </c>
      <c r="V3013" s="90" t="s">
        <v>244</v>
      </c>
      <c r="Z3013" s="90">
        <v>0</v>
      </c>
      <c r="AA3013" s="90">
        <v>1</v>
      </c>
      <c r="AB3013" s="90">
        <v>0.36118053206714001</v>
      </c>
      <c r="AC3013" s="90">
        <v>5.3125069408830002E-2</v>
      </c>
      <c r="AD3013" s="90">
        <v>341.42682449738402</v>
      </c>
      <c r="AF3013" s="90">
        <v>-1</v>
      </c>
      <c r="AG3013" s="90">
        <v>-1</v>
      </c>
      <c r="AH3013" s="90">
        <v>-1</v>
      </c>
      <c r="AI3013" s="90">
        <v>-1</v>
      </c>
      <c r="AJ3013" s="90">
        <v>0</v>
      </c>
      <c r="AM3013" s="90" t="s">
        <v>379</v>
      </c>
      <c r="AN3013" s="90">
        <v>-1</v>
      </c>
      <c r="AQ3013" s="90">
        <v>387</v>
      </c>
      <c r="AR3013" s="90" t="s">
        <v>306</v>
      </c>
      <c r="AS3013" s="90" t="s">
        <v>427</v>
      </c>
      <c r="AT3013" s="90" t="s">
        <v>244</v>
      </c>
      <c r="AU3013" s="90">
        <v>2.2521870000000002</v>
      </c>
      <c r="AV3013" s="90">
        <v>51.778237186792701</v>
      </c>
      <c r="AW3013" s="90">
        <v>159.558632655179</v>
      </c>
      <c r="AX3013" s="90">
        <v>0.27690740019999999</v>
      </c>
    </row>
    <row r="3014" spans="1:50" x14ac:dyDescent="0.25">
      <c r="A3014" s="102">
        <v>830000</v>
      </c>
      <c r="B3014" s="102">
        <v>2400000</v>
      </c>
      <c r="C3014" s="102">
        <v>2400000</v>
      </c>
      <c r="D3014" s="90" t="s">
        <v>374</v>
      </c>
      <c r="E3014" s="90" t="s">
        <v>68</v>
      </c>
      <c r="F3014" s="90" t="s">
        <v>375</v>
      </c>
      <c r="G3014" s="90" t="s">
        <v>376</v>
      </c>
      <c r="H3014" s="90">
        <v>0.59</v>
      </c>
      <c r="I3014" s="90">
        <v>0.64</v>
      </c>
      <c r="J3014" s="90" t="s">
        <v>244</v>
      </c>
      <c r="K3014" s="90">
        <v>0.10358593437391</v>
      </c>
      <c r="L3014" s="90">
        <v>3673.4181151697098</v>
      </c>
      <c r="M3014" s="90">
        <v>9.1605557876678692</v>
      </c>
      <c r="N3014" s="90">
        <v>1.34740142071922</v>
      </c>
      <c r="O3014" s="90">
        <v>0.94890473064995995</v>
      </c>
      <c r="P3014" s="90">
        <v>0.13957183514193999</v>
      </c>
      <c r="Q3014" s="90">
        <v>380.51444780592402</v>
      </c>
      <c r="R3014" s="90">
        <v>1210</v>
      </c>
      <c r="S3014" s="90" t="s">
        <v>385</v>
      </c>
      <c r="T3014" s="90">
        <v>1210</v>
      </c>
      <c r="U3014" s="90" t="s">
        <v>378</v>
      </c>
      <c r="V3014" s="90" t="s">
        <v>244</v>
      </c>
      <c r="Z3014" s="90">
        <v>0</v>
      </c>
      <c r="AA3014" s="90">
        <v>1</v>
      </c>
      <c r="AB3014" s="90">
        <v>0.94890473064995995</v>
      </c>
      <c r="AC3014" s="90">
        <v>0.13957183514193999</v>
      </c>
      <c r="AD3014" s="90">
        <v>424.11262790356801</v>
      </c>
      <c r="AF3014" s="90">
        <v>-1</v>
      </c>
      <c r="AG3014" s="90">
        <v>-1</v>
      </c>
      <c r="AH3014" s="90">
        <v>-1</v>
      </c>
      <c r="AI3014" s="90">
        <v>-1</v>
      </c>
      <c r="AJ3014" s="90">
        <v>0</v>
      </c>
      <c r="AM3014" s="90" t="s">
        <v>379</v>
      </c>
      <c r="AN3014" s="90">
        <v>-1</v>
      </c>
      <c r="AQ3014" s="90">
        <v>387</v>
      </c>
      <c r="AR3014" s="90" t="s">
        <v>306</v>
      </c>
      <c r="AS3014" s="90" t="s">
        <v>427</v>
      </c>
      <c r="AT3014" s="90" t="s">
        <v>244</v>
      </c>
      <c r="AU3014" s="90">
        <v>2.2521870000000002</v>
      </c>
      <c r="AV3014" s="90">
        <v>88.104479372128907</v>
      </c>
      <c r="AW3014" s="90">
        <v>419.19740379138699</v>
      </c>
      <c r="AX3014" s="90">
        <v>0.34396806800000002</v>
      </c>
    </row>
    <row r="3015" spans="1:50" x14ac:dyDescent="0.25">
      <c r="A3015" s="102">
        <v>830000</v>
      </c>
      <c r="B3015" s="102">
        <v>2400000</v>
      </c>
      <c r="C3015" s="102">
        <v>2400000</v>
      </c>
      <c r="D3015" s="90" t="s">
        <v>374</v>
      </c>
      <c r="E3015" s="90" t="s">
        <v>68</v>
      </c>
      <c r="F3015" s="90" t="s">
        <v>375</v>
      </c>
      <c r="G3015" s="90" t="s">
        <v>376</v>
      </c>
      <c r="H3015" s="90">
        <v>0.59</v>
      </c>
      <c r="I3015" s="90">
        <v>0.64</v>
      </c>
      <c r="J3015" s="90" t="s">
        <v>244</v>
      </c>
      <c r="K3015" s="90">
        <v>2.391595745109E-2</v>
      </c>
      <c r="L3015" s="90">
        <v>3673.4181151697098</v>
      </c>
      <c r="M3015" s="90">
        <v>9.1605557876678692</v>
      </c>
      <c r="N3015" s="90">
        <v>1.34740142071922</v>
      </c>
      <c r="O3015" s="90">
        <v>0.21908346244624</v>
      </c>
      <c r="P3015" s="90">
        <v>3.2224395047459997E-2</v>
      </c>
      <c r="Q3015" s="90">
        <v>87.853311342480495</v>
      </c>
      <c r="R3015" s="90">
        <v>1210</v>
      </c>
      <c r="S3015" s="90" t="s">
        <v>385</v>
      </c>
      <c r="T3015" s="90">
        <v>1210</v>
      </c>
      <c r="U3015" s="90" t="s">
        <v>378</v>
      </c>
      <c r="V3015" s="90" t="s">
        <v>244</v>
      </c>
      <c r="Z3015" s="90">
        <v>0</v>
      </c>
      <c r="AA3015" s="90">
        <v>1</v>
      </c>
      <c r="AB3015" s="90">
        <v>0.21908346244624</v>
      </c>
      <c r="AC3015" s="90">
        <v>3.2224395047459997E-2</v>
      </c>
      <c r="AD3015" s="90">
        <v>87.853311342480893</v>
      </c>
      <c r="AF3015" s="90">
        <v>-1</v>
      </c>
      <c r="AG3015" s="90">
        <v>-1</v>
      </c>
      <c r="AH3015" s="90">
        <v>-1</v>
      </c>
      <c r="AI3015" s="90">
        <v>-1</v>
      </c>
      <c r="AJ3015" s="90">
        <v>0</v>
      </c>
      <c r="AM3015" s="90" t="s">
        <v>379</v>
      </c>
      <c r="AN3015" s="90">
        <v>-1</v>
      </c>
      <c r="AQ3015" s="90">
        <v>387</v>
      </c>
      <c r="AR3015" s="90" t="s">
        <v>306</v>
      </c>
      <c r="AS3015" s="90" t="s">
        <v>427</v>
      </c>
      <c r="AT3015" s="90" t="s">
        <v>244</v>
      </c>
      <c r="AU3015" s="90">
        <v>2.2521870000000002</v>
      </c>
      <c r="AV3015" s="90">
        <v>44.331619661792303</v>
      </c>
      <c r="AW3015" s="90">
        <v>96.784446008809198</v>
      </c>
      <c r="AX3015" s="90">
        <v>7.1251671799999999E-2</v>
      </c>
    </row>
    <row r="3016" spans="1:50" x14ac:dyDescent="0.25">
      <c r="A3016" s="102">
        <v>830000</v>
      </c>
      <c r="B3016" s="102">
        <v>2400000</v>
      </c>
      <c r="C3016" s="102">
        <v>2400000</v>
      </c>
      <c r="D3016" s="90" t="s">
        <v>374</v>
      </c>
      <c r="E3016" s="90" t="s">
        <v>68</v>
      </c>
      <c r="F3016" s="90" t="s">
        <v>375</v>
      </c>
      <c r="G3016" s="90" t="s">
        <v>376</v>
      </c>
      <c r="H3016" s="90">
        <v>0.59</v>
      </c>
      <c r="I3016" s="90">
        <v>0.64</v>
      </c>
      <c r="J3016" s="90" t="s">
        <v>244</v>
      </c>
      <c r="K3016" s="90">
        <v>0.10262130368425</v>
      </c>
      <c r="L3016" s="90">
        <v>3683.70981387647</v>
      </c>
      <c r="M3016" s="90">
        <v>9.1849131389234593</v>
      </c>
      <c r="N3016" s="90">
        <v>1.3509396707455501</v>
      </c>
      <c r="O3016" s="90">
        <v>0.94256776054296998</v>
      </c>
      <c r="P3016" s="90">
        <v>0.13863519021067999</v>
      </c>
      <c r="Q3016" s="90">
        <v>378.02710349449097</v>
      </c>
      <c r="R3016" s="90">
        <v>1200</v>
      </c>
      <c r="S3016" s="90" t="s">
        <v>384</v>
      </c>
      <c r="T3016" s="90">
        <v>1200</v>
      </c>
      <c r="U3016" s="90" t="s">
        <v>378</v>
      </c>
      <c r="V3016" s="90" t="s">
        <v>244</v>
      </c>
      <c r="Z3016" s="90">
        <v>0</v>
      </c>
      <c r="AA3016" s="90">
        <v>1</v>
      </c>
      <c r="AB3016" s="90">
        <v>0.94256776054296998</v>
      </c>
      <c r="AC3016" s="90">
        <v>0.13863519021067999</v>
      </c>
      <c r="AD3016" s="90">
        <v>447.20104309688998</v>
      </c>
      <c r="AF3016" s="90">
        <v>-1</v>
      </c>
      <c r="AG3016" s="90">
        <v>-1</v>
      </c>
      <c r="AH3016" s="90">
        <v>-1</v>
      </c>
      <c r="AI3016" s="90">
        <v>-1</v>
      </c>
      <c r="AJ3016" s="90">
        <v>0</v>
      </c>
      <c r="AM3016" s="90" t="s">
        <v>379</v>
      </c>
      <c r="AN3016" s="90">
        <v>-1</v>
      </c>
      <c r="AQ3016" s="90">
        <v>387</v>
      </c>
      <c r="AR3016" s="90" t="s">
        <v>306</v>
      </c>
      <c r="AS3016" s="90" t="s">
        <v>427</v>
      </c>
      <c r="AT3016" s="90" t="s">
        <v>244</v>
      </c>
      <c r="AU3016" s="90">
        <v>2.2521870000000002</v>
      </c>
      <c r="AV3016" s="90">
        <v>100.853294206798</v>
      </c>
      <c r="AW3016" s="90">
        <v>415.29368188969102</v>
      </c>
      <c r="AX3016" s="90">
        <v>0.36269346559999999</v>
      </c>
    </row>
    <row r="3017" spans="1:50" x14ac:dyDescent="0.25">
      <c r="A3017" s="102">
        <v>830000</v>
      </c>
      <c r="B3017" s="102">
        <v>2400000</v>
      </c>
      <c r="C3017" s="102">
        <v>2400000</v>
      </c>
      <c r="D3017" s="90" t="s">
        <v>374</v>
      </c>
      <c r="E3017" s="90" t="s">
        <v>68</v>
      </c>
      <c r="F3017" s="90" t="s">
        <v>375</v>
      </c>
      <c r="G3017" s="90" t="s">
        <v>376</v>
      </c>
      <c r="H3017" s="90">
        <v>0.59</v>
      </c>
      <c r="I3017" s="90">
        <v>0.64</v>
      </c>
      <c r="J3017" s="90" t="s">
        <v>244</v>
      </c>
      <c r="K3017" s="90">
        <v>1.2440712270400001E-3</v>
      </c>
      <c r="L3017" s="90">
        <v>3683.70981387647</v>
      </c>
      <c r="M3017" s="90">
        <v>9.1849131389234593</v>
      </c>
      <c r="N3017" s="90">
        <v>1.3509396707455501</v>
      </c>
      <c r="O3017" s="90">
        <v>1.1426686159050001E-2</v>
      </c>
      <c r="P3017" s="90">
        <v>1.68066517385E-3</v>
      </c>
      <c r="Q3017" s="90">
        <v>4.5827973882307003</v>
      </c>
      <c r="R3017" s="90">
        <v>1210</v>
      </c>
      <c r="S3017" s="90" t="s">
        <v>385</v>
      </c>
      <c r="T3017" s="90">
        <v>1210</v>
      </c>
      <c r="U3017" s="90" t="s">
        <v>378</v>
      </c>
      <c r="V3017" s="90" t="s">
        <v>244</v>
      </c>
      <c r="Z3017" s="90">
        <v>0</v>
      </c>
      <c r="AA3017" s="90">
        <v>1</v>
      </c>
      <c r="AB3017" s="90">
        <v>1.1426686159050001E-2</v>
      </c>
      <c r="AC3017" s="90">
        <v>1.68066517385E-3</v>
      </c>
      <c r="AD3017" s="90">
        <v>28.019901418192301</v>
      </c>
      <c r="AF3017" s="90">
        <v>-1</v>
      </c>
      <c r="AG3017" s="90">
        <v>-1</v>
      </c>
      <c r="AH3017" s="90">
        <v>-1</v>
      </c>
      <c r="AI3017" s="90">
        <v>-1</v>
      </c>
      <c r="AJ3017" s="90">
        <v>0</v>
      </c>
      <c r="AM3017" s="90" t="s">
        <v>379</v>
      </c>
      <c r="AN3017" s="90">
        <v>-1</v>
      </c>
      <c r="AQ3017" s="90">
        <v>387</v>
      </c>
      <c r="AR3017" s="90" t="s">
        <v>306</v>
      </c>
      <c r="AS3017" s="90" t="s">
        <v>427</v>
      </c>
      <c r="AT3017" s="90" t="s">
        <v>244</v>
      </c>
      <c r="AU3017" s="90">
        <v>2.2521870000000002</v>
      </c>
      <c r="AV3017" s="90">
        <v>19.642236670072901</v>
      </c>
      <c r="AW3017" s="90">
        <v>5.0345776350952098</v>
      </c>
      <c r="AX3017" s="90">
        <v>2.27249809E-2</v>
      </c>
    </row>
    <row r="3018" spans="1:50" x14ac:dyDescent="0.25">
      <c r="A3018" s="102">
        <v>830000</v>
      </c>
      <c r="B3018" s="102">
        <v>2400000</v>
      </c>
      <c r="C3018" s="102">
        <v>2400000</v>
      </c>
      <c r="D3018" s="90" t="s">
        <v>374</v>
      </c>
      <c r="E3018" s="90" t="s">
        <v>68</v>
      </c>
      <c r="F3018" s="90" t="s">
        <v>375</v>
      </c>
      <c r="G3018" s="90" t="s">
        <v>376</v>
      </c>
      <c r="H3018" s="90">
        <v>0.59</v>
      </c>
      <c r="I3018" s="90">
        <v>0.64</v>
      </c>
      <c r="J3018" s="90" t="s">
        <v>244</v>
      </c>
      <c r="K3018" s="90">
        <v>0.11258296292896</v>
      </c>
      <c r="L3018" s="90">
        <v>3683.70981387647</v>
      </c>
      <c r="M3018" s="90">
        <v>9.1849131389234593</v>
      </c>
      <c r="N3018" s="90">
        <v>1.3509396707455501</v>
      </c>
      <c r="O3018" s="90">
        <v>1.03406473542513</v>
      </c>
      <c r="P3018" s="90">
        <v>0.15209279087079999</v>
      </c>
      <c r="Q3018" s="90">
        <v>414.72296541670102</v>
      </c>
      <c r="R3018" s="90">
        <v>1210</v>
      </c>
      <c r="S3018" s="90" t="s">
        <v>385</v>
      </c>
      <c r="T3018" s="90">
        <v>1210</v>
      </c>
      <c r="U3018" s="90" t="s">
        <v>378</v>
      </c>
      <c r="V3018" s="90" t="s">
        <v>244</v>
      </c>
      <c r="Z3018" s="90">
        <v>0</v>
      </c>
      <c r="AA3018" s="90">
        <v>1</v>
      </c>
      <c r="AB3018" s="90">
        <v>1.03406473542513</v>
      </c>
      <c r="AC3018" s="90">
        <v>0.15209279087079999</v>
      </c>
      <c r="AD3018" s="90">
        <v>710.418276067958</v>
      </c>
      <c r="AF3018" s="90">
        <v>-1</v>
      </c>
      <c r="AG3018" s="90">
        <v>-1</v>
      </c>
      <c r="AH3018" s="90">
        <v>-1</v>
      </c>
      <c r="AI3018" s="90">
        <v>-1</v>
      </c>
      <c r="AJ3018" s="90">
        <v>0</v>
      </c>
      <c r="AM3018" s="90" t="s">
        <v>379</v>
      </c>
      <c r="AN3018" s="90">
        <v>-1</v>
      </c>
      <c r="AQ3018" s="90">
        <v>387</v>
      </c>
      <c r="AR3018" s="90" t="s">
        <v>306</v>
      </c>
      <c r="AS3018" s="90" t="s">
        <v>427</v>
      </c>
      <c r="AT3018" s="90" t="s">
        <v>244</v>
      </c>
      <c r="AU3018" s="90">
        <v>2.2521870000000002</v>
      </c>
      <c r="AV3018" s="90">
        <v>84.602046143233196</v>
      </c>
      <c r="AW3018" s="90">
        <v>455.60708658188202</v>
      </c>
      <c r="AX3018" s="90">
        <v>0.57617054020000003</v>
      </c>
    </row>
    <row r="3019" spans="1:50" x14ac:dyDescent="0.25">
      <c r="A3019" s="102">
        <v>830000</v>
      </c>
      <c r="B3019" s="102">
        <v>2400000</v>
      </c>
      <c r="C3019" s="102">
        <v>2400000</v>
      </c>
      <c r="D3019" s="90" t="s">
        <v>374</v>
      </c>
      <c r="E3019" s="90" t="s">
        <v>68</v>
      </c>
      <c r="F3019" s="90" t="s">
        <v>375</v>
      </c>
      <c r="G3019" s="90" t="s">
        <v>376</v>
      </c>
      <c r="H3019" s="90">
        <v>0.59</v>
      </c>
      <c r="I3019" s="90">
        <v>0.64</v>
      </c>
      <c r="J3019" s="90" t="s">
        <v>244</v>
      </c>
      <c r="K3019" s="90">
        <v>8.1003522759939994E-2</v>
      </c>
      <c r="L3019" s="90">
        <v>3683.70981387647</v>
      </c>
      <c r="M3019" s="90">
        <v>9.1849131389234593</v>
      </c>
      <c r="N3019" s="90">
        <v>1.3509396707455501</v>
      </c>
      <c r="O3019" s="90">
        <v>0.74401032049686999</v>
      </c>
      <c r="P3019" s="90">
        <v>0.10943087236654001</v>
      </c>
      <c r="Q3019" s="90">
        <v>298.39347174936398</v>
      </c>
      <c r="R3019" s="90">
        <v>1210</v>
      </c>
      <c r="S3019" s="90" t="s">
        <v>385</v>
      </c>
      <c r="T3019" s="90">
        <v>1210</v>
      </c>
      <c r="U3019" s="90" t="s">
        <v>378</v>
      </c>
      <c r="V3019" s="90" t="s">
        <v>244</v>
      </c>
      <c r="Z3019" s="90">
        <v>0</v>
      </c>
      <c r="AA3019" s="90">
        <v>1</v>
      </c>
      <c r="AB3019" s="90">
        <v>0.74401032049686999</v>
      </c>
      <c r="AC3019" s="90">
        <v>0.10943087236654001</v>
      </c>
      <c r="AD3019" s="90">
        <v>717.58377704734505</v>
      </c>
      <c r="AF3019" s="90">
        <v>-1</v>
      </c>
      <c r="AG3019" s="90">
        <v>-1</v>
      </c>
      <c r="AH3019" s="90">
        <v>-1</v>
      </c>
      <c r="AI3019" s="90">
        <v>-1</v>
      </c>
      <c r="AJ3019" s="90">
        <v>0</v>
      </c>
      <c r="AM3019" s="90" t="s">
        <v>379</v>
      </c>
      <c r="AN3019" s="90">
        <v>-1</v>
      </c>
      <c r="AQ3019" s="90">
        <v>387</v>
      </c>
      <c r="AR3019" s="90" t="s">
        <v>306</v>
      </c>
      <c r="AS3019" s="90" t="s">
        <v>427</v>
      </c>
      <c r="AT3019" s="90" t="s">
        <v>244</v>
      </c>
      <c r="AU3019" s="90">
        <v>2.2521870000000002</v>
      </c>
      <c r="AV3019" s="90">
        <v>74.107284259815899</v>
      </c>
      <c r="AW3019" s="90">
        <v>327.80962631809399</v>
      </c>
      <c r="AX3019" s="90">
        <v>0.58198197650000005</v>
      </c>
    </row>
    <row r="3020" spans="1:50" x14ac:dyDescent="0.25">
      <c r="A3020" s="102">
        <v>830000</v>
      </c>
      <c r="B3020" s="102">
        <v>2400000</v>
      </c>
      <c r="C3020" s="102">
        <v>2400000</v>
      </c>
      <c r="D3020" s="90" t="s">
        <v>374</v>
      </c>
      <c r="E3020" s="90" t="s">
        <v>68</v>
      </c>
      <c r="F3020" s="90" t="s">
        <v>375</v>
      </c>
      <c r="G3020" s="90" t="s">
        <v>376</v>
      </c>
      <c r="H3020" s="90">
        <v>0.59</v>
      </c>
      <c r="I3020" s="90">
        <v>0.64</v>
      </c>
      <c r="J3020" s="90" t="s">
        <v>244</v>
      </c>
      <c r="K3020" s="90">
        <v>0.18420677268009999</v>
      </c>
      <c r="L3020" s="90">
        <v>3707.07245430496</v>
      </c>
      <c r="M3020" s="90">
        <v>9.2388239347589103</v>
      </c>
      <c r="N3020" s="90">
        <v>1.3587215360876099</v>
      </c>
      <c r="O3020" s="90">
        <v>1.7018539403816599</v>
      </c>
      <c r="P3020" s="90">
        <v>0.25028570913365</v>
      </c>
      <c r="Q3020" s="90">
        <v>682.86785289884097</v>
      </c>
      <c r="R3020" s="90">
        <v>1200</v>
      </c>
      <c r="S3020" s="90" t="s">
        <v>384</v>
      </c>
      <c r="T3020" s="90">
        <v>1200</v>
      </c>
      <c r="U3020" s="90" t="s">
        <v>378</v>
      </c>
      <c r="V3020" s="90" t="s">
        <v>244</v>
      </c>
      <c r="Z3020" s="90">
        <v>0</v>
      </c>
      <c r="AA3020" s="90">
        <v>1</v>
      </c>
      <c r="AB3020" s="90">
        <v>1.7018539403816599</v>
      </c>
      <c r="AC3020" s="90">
        <v>0.25028570913365</v>
      </c>
      <c r="AD3020" s="90">
        <v>682.86785289884097</v>
      </c>
      <c r="AF3020" s="90">
        <v>-1</v>
      </c>
      <c r="AG3020" s="90">
        <v>-1</v>
      </c>
      <c r="AH3020" s="90">
        <v>-1</v>
      </c>
      <c r="AI3020" s="90">
        <v>-1</v>
      </c>
      <c r="AJ3020" s="90">
        <v>0</v>
      </c>
      <c r="AM3020" s="90" t="s">
        <v>379</v>
      </c>
      <c r="AN3020" s="90">
        <v>-1</v>
      </c>
      <c r="AQ3020" s="90">
        <v>389</v>
      </c>
      <c r="AR3020" s="90" t="s">
        <v>309</v>
      </c>
      <c r="AS3020" s="90" t="s">
        <v>428</v>
      </c>
      <c r="AT3020" s="90" t="s">
        <v>244</v>
      </c>
      <c r="AU3020" s="90">
        <v>1.2371239999999999</v>
      </c>
      <c r="AV3020" s="90">
        <v>129.84779105026001</v>
      </c>
      <c r="AW3020" s="90">
        <v>745.45836107006596</v>
      </c>
      <c r="AX3020" s="90">
        <v>0.55382632030000001</v>
      </c>
    </row>
    <row r="3021" spans="1:50" x14ac:dyDescent="0.25">
      <c r="A3021" s="102">
        <v>830000</v>
      </c>
      <c r="B3021" s="102">
        <v>2400000</v>
      </c>
      <c r="C3021" s="102">
        <v>2400000</v>
      </c>
      <c r="D3021" s="90" t="s">
        <v>374</v>
      </c>
      <c r="E3021" s="90" t="s">
        <v>68</v>
      </c>
      <c r="F3021" s="90" t="s">
        <v>375</v>
      </c>
      <c r="G3021" s="90" t="s">
        <v>376</v>
      </c>
      <c r="H3021" s="90">
        <v>0.59</v>
      </c>
      <c r="I3021" s="90">
        <v>0.64</v>
      </c>
      <c r="J3021" s="90" t="s">
        <v>244</v>
      </c>
      <c r="K3021" s="90">
        <v>7.7450754658950002E-2</v>
      </c>
      <c r="L3021" s="90">
        <v>3707.07245430496</v>
      </c>
      <c r="M3021" s="90">
        <v>9.2388239347589103</v>
      </c>
      <c r="N3021" s="90">
        <v>1.3587215360876099</v>
      </c>
      <c r="O3021" s="90">
        <v>0.71555388590827995</v>
      </c>
      <c r="P3021" s="90">
        <v>0.10523400834134999</v>
      </c>
      <c r="Q3021" s="90">
        <v>287.11555916134</v>
      </c>
      <c r="R3021" s="90">
        <v>1210</v>
      </c>
      <c r="S3021" s="90" t="s">
        <v>385</v>
      </c>
      <c r="T3021" s="90">
        <v>1210</v>
      </c>
      <c r="U3021" s="90" t="s">
        <v>378</v>
      </c>
      <c r="V3021" s="90" t="s">
        <v>244</v>
      </c>
      <c r="Z3021" s="90">
        <v>0</v>
      </c>
      <c r="AA3021" s="90">
        <v>1</v>
      </c>
      <c r="AB3021" s="90">
        <v>0.71555388590827995</v>
      </c>
      <c r="AC3021" s="90">
        <v>0.10523400834134999</v>
      </c>
      <c r="AD3021" s="90">
        <v>400.89896816783801</v>
      </c>
      <c r="AF3021" s="90">
        <v>-1</v>
      </c>
      <c r="AG3021" s="90">
        <v>-1</v>
      </c>
      <c r="AH3021" s="90">
        <v>-1</v>
      </c>
      <c r="AI3021" s="90">
        <v>-1</v>
      </c>
      <c r="AJ3021" s="90">
        <v>0</v>
      </c>
      <c r="AM3021" s="90" t="s">
        <v>379</v>
      </c>
      <c r="AN3021" s="90">
        <v>-1</v>
      </c>
      <c r="AQ3021" s="90">
        <v>389</v>
      </c>
      <c r="AR3021" s="90" t="s">
        <v>309</v>
      </c>
      <c r="AS3021" s="90" t="s">
        <v>428</v>
      </c>
      <c r="AT3021" s="90" t="s">
        <v>244</v>
      </c>
      <c r="AU3021" s="90">
        <v>1.2371239999999999</v>
      </c>
      <c r="AV3021" s="90">
        <v>71.340441146728296</v>
      </c>
      <c r="AW3021" s="90">
        <v>313.43208391131299</v>
      </c>
      <c r="AX3021" s="90">
        <v>0.32514109340000003</v>
      </c>
    </row>
    <row r="3022" spans="1:50" x14ac:dyDescent="0.25">
      <c r="A3022" s="102">
        <v>830000</v>
      </c>
      <c r="B3022" s="102">
        <v>2400000</v>
      </c>
      <c r="C3022" s="102">
        <v>2400000</v>
      </c>
      <c r="D3022" s="90" t="s">
        <v>374</v>
      </c>
      <c r="E3022" s="90" t="s">
        <v>68</v>
      </c>
      <c r="F3022" s="90" t="s">
        <v>375</v>
      </c>
      <c r="G3022" s="90" t="s">
        <v>376</v>
      </c>
      <c r="H3022" s="90">
        <v>0.59</v>
      </c>
      <c r="I3022" s="90">
        <v>0.64</v>
      </c>
      <c r="J3022" s="90" t="s">
        <v>244</v>
      </c>
      <c r="K3022" s="90">
        <v>4.8345712392110003E-2</v>
      </c>
      <c r="L3022" s="90">
        <v>3707.07245430496</v>
      </c>
      <c r="M3022" s="90">
        <v>9.2388239347589103</v>
      </c>
      <c r="N3022" s="90">
        <v>1.3587215360876099</v>
      </c>
      <c r="O3022" s="90">
        <v>0.44665752479125997</v>
      </c>
      <c r="P3022" s="90">
        <v>6.5688360604660004E-2</v>
      </c>
      <c r="Q3022" s="90">
        <v>179.221058692567</v>
      </c>
      <c r="R3022" s="90">
        <v>1210</v>
      </c>
      <c r="S3022" s="90" t="s">
        <v>385</v>
      </c>
      <c r="T3022" s="90">
        <v>1210</v>
      </c>
      <c r="U3022" s="90" t="s">
        <v>378</v>
      </c>
      <c r="V3022" s="90" t="s">
        <v>244</v>
      </c>
      <c r="Z3022" s="90">
        <v>0</v>
      </c>
      <c r="AA3022" s="90">
        <v>1</v>
      </c>
      <c r="AB3022" s="90">
        <v>0.44665752479125997</v>
      </c>
      <c r="AC3022" s="90">
        <v>6.5688360604660004E-2</v>
      </c>
      <c r="AD3022" s="90">
        <v>179.22105869256501</v>
      </c>
      <c r="AF3022" s="90">
        <v>-1</v>
      </c>
      <c r="AG3022" s="90">
        <v>-1</v>
      </c>
      <c r="AH3022" s="90">
        <v>-1</v>
      </c>
      <c r="AI3022" s="90">
        <v>-1</v>
      </c>
      <c r="AJ3022" s="90">
        <v>0</v>
      </c>
      <c r="AM3022" s="90" t="s">
        <v>379</v>
      </c>
      <c r="AN3022" s="90">
        <v>-1</v>
      </c>
      <c r="AQ3022" s="90">
        <v>389</v>
      </c>
      <c r="AR3022" s="90" t="s">
        <v>309</v>
      </c>
      <c r="AS3022" s="90" t="s">
        <v>428</v>
      </c>
      <c r="AT3022" s="90" t="s">
        <v>244</v>
      </c>
      <c r="AU3022" s="90">
        <v>1.2371239999999999</v>
      </c>
      <c r="AV3022" s="90">
        <v>57.369266952440199</v>
      </c>
      <c r="AW3022" s="90">
        <v>195.64815668954</v>
      </c>
      <c r="AX3022" s="90">
        <v>0.1453536567</v>
      </c>
    </row>
    <row r="3023" spans="1:50" x14ac:dyDescent="0.25">
      <c r="A3023" s="102">
        <v>830000</v>
      </c>
      <c r="B3023" s="102">
        <v>2400000</v>
      </c>
      <c r="C3023" s="102">
        <v>2400000</v>
      </c>
      <c r="D3023" s="90" t="s">
        <v>374</v>
      </c>
      <c r="E3023" s="90" t="s">
        <v>68</v>
      </c>
      <c r="F3023" s="90" t="s">
        <v>375</v>
      </c>
      <c r="G3023" s="90" t="s">
        <v>376</v>
      </c>
      <c r="H3023" s="90">
        <v>0.59</v>
      </c>
      <c r="I3023" s="90">
        <v>0.64</v>
      </c>
      <c r="J3023" s="90" t="s">
        <v>244</v>
      </c>
      <c r="K3023" s="90">
        <v>0.15690083096249</v>
      </c>
      <c r="L3023" s="90">
        <v>3707.07245430496</v>
      </c>
      <c r="M3023" s="90">
        <v>9.2388239347589103</v>
      </c>
      <c r="N3023" s="90">
        <v>1.3587215360876099</v>
      </c>
      <c r="O3023" s="90">
        <v>1.44957915247983</v>
      </c>
      <c r="P3023" s="90">
        <v>0.21318453805877999</v>
      </c>
      <c r="Q3023" s="90">
        <v>581.64274851861296</v>
      </c>
      <c r="R3023" s="90">
        <v>1210</v>
      </c>
      <c r="S3023" s="90" t="s">
        <v>385</v>
      </c>
      <c r="T3023" s="90">
        <v>1210</v>
      </c>
      <c r="U3023" s="90" t="s">
        <v>378</v>
      </c>
      <c r="V3023" s="90" t="s">
        <v>244</v>
      </c>
      <c r="Z3023" s="90">
        <v>0</v>
      </c>
      <c r="AA3023" s="90">
        <v>1</v>
      </c>
      <c r="AB3023" s="90">
        <v>1.44957915247983</v>
      </c>
      <c r="AC3023" s="90">
        <v>0.21318453805877999</v>
      </c>
      <c r="AD3023" s="90">
        <v>669.686746965525</v>
      </c>
      <c r="AF3023" s="90">
        <v>-1</v>
      </c>
      <c r="AG3023" s="90">
        <v>-1</v>
      </c>
      <c r="AH3023" s="90">
        <v>-1</v>
      </c>
      <c r="AI3023" s="90">
        <v>-1</v>
      </c>
      <c r="AJ3023" s="90">
        <v>0</v>
      </c>
      <c r="AM3023" s="90" t="s">
        <v>379</v>
      </c>
      <c r="AN3023" s="90">
        <v>-1</v>
      </c>
      <c r="AQ3023" s="90">
        <v>389</v>
      </c>
      <c r="AR3023" s="90" t="s">
        <v>309</v>
      </c>
      <c r="AS3023" s="90" t="s">
        <v>428</v>
      </c>
      <c r="AT3023" s="90" t="s">
        <v>244</v>
      </c>
      <c r="AU3023" s="90">
        <v>1.2371239999999999</v>
      </c>
      <c r="AV3023" s="90">
        <v>103.10516830816</v>
      </c>
      <c r="AW3023" s="90">
        <v>634.955135460458</v>
      </c>
      <c r="AX3023" s="90">
        <v>0.54313604780000002</v>
      </c>
    </row>
    <row r="3024" spans="1:50" x14ac:dyDescent="0.25">
      <c r="A3024" s="102">
        <v>830000</v>
      </c>
      <c r="B3024" s="102">
        <v>2400000</v>
      </c>
      <c r="C3024" s="102">
        <v>2400000</v>
      </c>
      <c r="D3024" s="90" t="s">
        <v>374</v>
      </c>
      <c r="E3024" s="90" t="s">
        <v>68</v>
      </c>
      <c r="F3024" s="90" t="s">
        <v>375</v>
      </c>
      <c r="G3024" s="90" t="s">
        <v>376</v>
      </c>
      <c r="H3024" s="90">
        <v>0.59</v>
      </c>
      <c r="I3024" s="90">
        <v>0.64</v>
      </c>
      <c r="J3024" s="90" t="s">
        <v>244</v>
      </c>
      <c r="K3024" s="90">
        <v>7.9180830720250006E-2</v>
      </c>
      <c r="L3024" s="90">
        <v>3707.07245430496</v>
      </c>
      <c r="M3024" s="90">
        <v>9.2388239347589103</v>
      </c>
      <c r="N3024" s="90">
        <v>1.3587215360876099</v>
      </c>
      <c r="O3024" s="90">
        <v>0.73153775403234</v>
      </c>
      <c r="P3024" s="90">
        <v>0.10758469994491</v>
      </c>
      <c r="Q3024" s="90">
        <v>293.52907647202602</v>
      </c>
      <c r="R3024" s="90">
        <v>1210</v>
      </c>
      <c r="S3024" s="90" t="s">
        <v>385</v>
      </c>
      <c r="T3024" s="90">
        <v>1210</v>
      </c>
      <c r="U3024" s="90" t="s">
        <v>378</v>
      </c>
      <c r="V3024" s="90" t="s">
        <v>244</v>
      </c>
      <c r="Z3024" s="90">
        <v>0</v>
      </c>
      <c r="AA3024" s="90">
        <v>1</v>
      </c>
      <c r="AB3024" s="90">
        <v>0.73153775403234</v>
      </c>
      <c r="AC3024" s="90">
        <v>0.10758469994491</v>
      </c>
      <c r="AD3024" s="90">
        <v>293.52907647202699</v>
      </c>
      <c r="AF3024" s="90">
        <v>-1</v>
      </c>
      <c r="AG3024" s="90">
        <v>-1</v>
      </c>
      <c r="AH3024" s="90">
        <v>-1</v>
      </c>
      <c r="AI3024" s="90">
        <v>-1</v>
      </c>
      <c r="AJ3024" s="90">
        <v>0</v>
      </c>
      <c r="AM3024" s="90" t="s">
        <v>379</v>
      </c>
      <c r="AN3024" s="90">
        <v>-1</v>
      </c>
      <c r="AQ3024" s="90">
        <v>389</v>
      </c>
      <c r="AR3024" s="90" t="s">
        <v>309</v>
      </c>
      <c r="AS3024" s="90" t="s">
        <v>428</v>
      </c>
      <c r="AT3024" s="90" t="s">
        <v>244</v>
      </c>
      <c r="AU3024" s="90">
        <v>1.2371239999999999</v>
      </c>
      <c r="AV3024" s="90">
        <v>81.681200891215099</v>
      </c>
      <c r="AW3024" s="90">
        <v>320.43345333121601</v>
      </c>
      <c r="AX3024" s="90">
        <v>0.23806088929999999</v>
      </c>
    </row>
    <row r="3025" spans="1:50" x14ac:dyDescent="0.25">
      <c r="A3025" s="102">
        <v>830000</v>
      </c>
      <c r="B3025" s="102">
        <v>2400000</v>
      </c>
      <c r="C3025" s="102">
        <v>2400000</v>
      </c>
      <c r="D3025" s="90" t="s">
        <v>374</v>
      </c>
      <c r="E3025" s="90" t="s">
        <v>68</v>
      </c>
      <c r="F3025" s="90" t="s">
        <v>375</v>
      </c>
      <c r="G3025" s="90" t="s">
        <v>376</v>
      </c>
      <c r="H3025" s="90">
        <v>0.59</v>
      </c>
      <c r="I3025" s="90">
        <v>0.64</v>
      </c>
      <c r="J3025" s="90" t="s">
        <v>244</v>
      </c>
      <c r="K3025" s="90">
        <v>5.6830588197300004E-3</v>
      </c>
      <c r="L3025" s="90">
        <v>3707.07245430496</v>
      </c>
      <c r="M3025" s="90">
        <v>9.2388239347589103</v>
      </c>
      <c r="N3025" s="90">
        <v>1.3587215360876099</v>
      </c>
      <c r="O3025" s="90">
        <v>5.2504779846409999E-2</v>
      </c>
      <c r="P3025" s="90">
        <v>7.7216944092200002E-3</v>
      </c>
      <c r="Q3025" s="90">
        <v>21.067510806834498</v>
      </c>
      <c r="R3025" s="90">
        <v>1210</v>
      </c>
      <c r="S3025" s="90" t="s">
        <v>385</v>
      </c>
      <c r="T3025" s="90">
        <v>1210</v>
      </c>
      <c r="U3025" s="90" t="s">
        <v>378</v>
      </c>
      <c r="V3025" s="90" t="s">
        <v>244</v>
      </c>
      <c r="Z3025" s="90">
        <v>0</v>
      </c>
      <c r="AA3025" s="90">
        <v>1</v>
      </c>
      <c r="AB3025" s="90">
        <v>5.2504779846409999E-2</v>
      </c>
      <c r="AC3025" s="90">
        <v>7.7216944092200002E-3</v>
      </c>
      <c r="AD3025" s="90">
        <v>21.067510806834601</v>
      </c>
      <c r="AF3025" s="90">
        <v>-1</v>
      </c>
      <c r="AG3025" s="90">
        <v>-1</v>
      </c>
      <c r="AH3025" s="90">
        <v>-1</v>
      </c>
      <c r="AI3025" s="90">
        <v>-1</v>
      </c>
      <c r="AJ3025" s="90">
        <v>0</v>
      </c>
      <c r="AM3025" s="90" t="s">
        <v>379</v>
      </c>
      <c r="AN3025" s="90">
        <v>-1</v>
      </c>
      <c r="AQ3025" s="90">
        <v>389</v>
      </c>
      <c r="AR3025" s="90" t="s">
        <v>309</v>
      </c>
      <c r="AS3025" s="90" t="s">
        <v>428</v>
      </c>
      <c r="AT3025" s="90" t="s">
        <v>244</v>
      </c>
      <c r="AU3025" s="90">
        <v>1.2371239999999999</v>
      </c>
      <c r="AV3025" s="90">
        <v>24.913251332203</v>
      </c>
      <c r="AW3025" s="90">
        <v>22.9985230835217</v>
      </c>
      <c r="AX3025" s="90">
        <v>1.70863835E-2</v>
      </c>
    </row>
    <row r="3026" spans="1:50" x14ac:dyDescent="0.25">
      <c r="A3026" s="102">
        <v>830000</v>
      </c>
      <c r="B3026" s="102">
        <v>2400000</v>
      </c>
      <c r="C3026" s="102">
        <v>2400000</v>
      </c>
      <c r="D3026" s="90" t="s">
        <v>374</v>
      </c>
      <c r="E3026" s="90" t="s">
        <v>68</v>
      </c>
      <c r="F3026" s="90" t="s">
        <v>375</v>
      </c>
      <c r="G3026" s="90" t="s">
        <v>376</v>
      </c>
      <c r="H3026" s="90">
        <v>0.59</v>
      </c>
      <c r="I3026" s="90">
        <v>0.64</v>
      </c>
      <c r="J3026" s="90" t="s">
        <v>244</v>
      </c>
      <c r="K3026" s="90">
        <v>1.155161361122E-2</v>
      </c>
      <c r="L3026" s="90">
        <v>3707.07245430496</v>
      </c>
      <c r="M3026" s="90">
        <v>9.2388239347589103</v>
      </c>
      <c r="N3026" s="90">
        <v>1.3587215360876099</v>
      </c>
      <c r="O3026" s="90">
        <v>0.10672332431643</v>
      </c>
      <c r="P3026" s="90">
        <v>1.5695426190120002E-2</v>
      </c>
      <c r="Q3026" s="90">
        <v>42.822668620931601</v>
      </c>
      <c r="R3026" s="90">
        <v>1210</v>
      </c>
      <c r="S3026" s="90" t="s">
        <v>385</v>
      </c>
      <c r="T3026" s="90">
        <v>1210</v>
      </c>
      <c r="U3026" s="90" t="s">
        <v>378</v>
      </c>
      <c r="V3026" s="90" t="s">
        <v>244</v>
      </c>
      <c r="Z3026" s="90">
        <v>0</v>
      </c>
      <c r="AA3026" s="90">
        <v>1</v>
      </c>
      <c r="AB3026" s="90">
        <v>0.10672332431643</v>
      </c>
      <c r="AC3026" s="90">
        <v>1.5695426190120002E-2</v>
      </c>
      <c r="AD3026" s="90">
        <v>42.822668620931601</v>
      </c>
      <c r="AF3026" s="90">
        <v>-1</v>
      </c>
      <c r="AG3026" s="90">
        <v>-1</v>
      </c>
      <c r="AH3026" s="90">
        <v>-1</v>
      </c>
      <c r="AI3026" s="90">
        <v>-1</v>
      </c>
      <c r="AJ3026" s="90">
        <v>0</v>
      </c>
      <c r="AM3026" s="90" t="s">
        <v>379</v>
      </c>
      <c r="AN3026" s="90">
        <v>-1</v>
      </c>
      <c r="AQ3026" s="90">
        <v>389</v>
      </c>
      <c r="AR3026" s="90" t="s">
        <v>309</v>
      </c>
      <c r="AS3026" s="90" t="s">
        <v>428</v>
      </c>
      <c r="AT3026" s="90" t="s">
        <v>244</v>
      </c>
      <c r="AU3026" s="90">
        <v>1.2371239999999999</v>
      </c>
      <c r="AV3026" s="90">
        <v>53.541615009655303</v>
      </c>
      <c r="AW3026" s="90">
        <v>46.747721731653002</v>
      </c>
      <c r="AX3026" s="90">
        <v>3.4730469299999997E-2</v>
      </c>
    </row>
    <row r="3027" spans="1:50" x14ac:dyDescent="0.25">
      <c r="A3027" s="102">
        <v>830000</v>
      </c>
      <c r="B3027" s="102">
        <v>2400000</v>
      </c>
      <c r="C3027" s="102">
        <v>2400000</v>
      </c>
      <c r="D3027" s="90" t="s">
        <v>374</v>
      </c>
      <c r="E3027" s="90" t="s">
        <v>68</v>
      </c>
      <c r="F3027" s="90" t="s">
        <v>375</v>
      </c>
      <c r="G3027" s="90" t="s">
        <v>376</v>
      </c>
      <c r="H3027" s="90">
        <v>0.59</v>
      </c>
      <c r="I3027" s="90">
        <v>0.64</v>
      </c>
      <c r="J3027" s="90" t="s">
        <v>244</v>
      </c>
      <c r="K3027" s="90">
        <v>1.484156667879E-2</v>
      </c>
      <c r="L3027" s="90">
        <v>1809.2894258204999</v>
      </c>
      <c r="M3027" s="90">
        <v>4.6366325514504796</v>
      </c>
      <c r="N3027" s="90">
        <v>0.6862261232379</v>
      </c>
      <c r="O3027" s="90">
        <v>6.8814891177419998E-2</v>
      </c>
      <c r="P3027" s="90">
        <v>1.018467076476E-2</v>
      </c>
      <c r="Q3027" s="90">
        <v>26.8526896545537</v>
      </c>
      <c r="R3027" s="90">
        <v>1210</v>
      </c>
      <c r="S3027" s="90" t="s">
        <v>385</v>
      </c>
      <c r="T3027" s="90">
        <v>1210</v>
      </c>
      <c r="U3027" s="90" t="s">
        <v>378</v>
      </c>
      <c r="V3027" s="90" t="s">
        <v>244</v>
      </c>
      <c r="Z3027" s="90">
        <v>0</v>
      </c>
      <c r="AA3027" s="90">
        <v>1</v>
      </c>
      <c r="AB3027" s="90">
        <v>6.8814891177419998E-2</v>
      </c>
      <c r="AC3027" s="90">
        <v>1.018467076476E-2</v>
      </c>
      <c r="AD3027" s="90">
        <v>189.353661669903</v>
      </c>
      <c r="AF3027" s="90">
        <v>-1</v>
      </c>
      <c r="AG3027" s="90">
        <v>-1</v>
      </c>
      <c r="AH3027" s="90">
        <v>-1</v>
      </c>
      <c r="AI3027" s="90">
        <v>-1</v>
      </c>
      <c r="AJ3027" s="90">
        <v>0</v>
      </c>
      <c r="AM3027" s="90" t="s">
        <v>379</v>
      </c>
      <c r="AN3027" s="90">
        <v>-1</v>
      </c>
      <c r="AQ3027" s="90">
        <v>389</v>
      </c>
      <c r="AR3027" s="90" t="s">
        <v>309</v>
      </c>
      <c r="AS3027" s="90" t="s">
        <v>428</v>
      </c>
      <c r="AT3027" s="90" t="s">
        <v>244</v>
      </c>
      <c r="AU3027" s="90">
        <v>1.2371239999999999</v>
      </c>
      <c r="AV3027" s="90">
        <v>41.944447864260198</v>
      </c>
      <c r="AW3027" s="90">
        <v>60.061689432560101</v>
      </c>
      <c r="AX3027" s="90">
        <v>0.15357150180000001</v>
      </c>
    </row>
    <row r="3028" spans="1:50" x14ac:dyDescent="0.25">
      <c r="A3028" s="102">
        <v>830000</v>
      </c>
      <c r="B3028" s="102">
        <v>2400000</v>
      </c>
      <c r="C3028" s="102">
        <v>2400000</v>
      </c>
      <c r="D3028" s="90" t="s">
        <v>374</v>
      </c>
      <c r="E3028" s="90" t="s">
        <v>68</v>
      </c>
      <c r="F3028" s="90" t="s">
        <v>375</v>
      </c>
      <c r="G3028" s="90" t="s">
        <v>376</v>
      </c>
      <c r="H3028" s="90">
        <v>0.59</v>
      </c>
      <c r="I3028" s="90">
        <v>0.64</v>
      </c>
      <c r="J3028" s="90" t="s">
        <v>244</v>
      </c>
      <c r="K3028" s="90">
        <v>4.3439149143109999E-2</v>
      </c>
      <c r="L3028" s="90">
        <v>1809.2894258204999</v>
      </c>
      <c r="M3028" s="90">
        <v>4.6366325514504796</v>
      </c>
      <c r="N3028" s="90">
        <v>0.6862261232379</v>
      </c>
      <c r="O3028" s="90">
        <v>0.20141137292426001</v>
      </c>
      <c r="P3028" s="90">
        <v>2.9809078913230001E-2</v>
      </c>
      <c r="Q3028" s="90">
        <v>78.593993211270501</v>
      </c>
      <c r="R3028" s="90">
        <v>1210</v>
      </c>
      <c r="S3028" s="90" t="s">
        <v>385</v>
      </c>
      <c r="T3028" s="90">
        <v>1210</v>
      </c>
      <c r="U3028" s="90" t="s">
        <v>378</v>
      </c>
      <c r="V3028" s="90" t="s">
        <v>244</v>
      </c>
      <c r="Z3028" s="90">
        <v>0</v>
      </c>
      <c r="AA3028" s="90">
        <v>1</v>
      </c>
      <c r="AB3028" s="90">
        <v>0.20141137292426001</v>
      </c>
      <c r="AC3028" s="90">
        <v>2.9809078913230001E-2</v>
      </c>
      <c r="AD3028" s="90">
        <v>341.998389299086</v>
      </c>
      <c r="AF3028" s="90">
        <v>-1</v>
      </c>
      <c r="AG3028" s="90">
        <v>-1</v>
      </c>
      <c r="AH3028" s="90">
        <v>-1</v>
      </c>
      <c r="AI3028" s="90">
        <v>-1</v>
      </c>
      <c r="AJ3028" s="90">
        <v>0</v>
      </c>
      <c r="AM3028" s="90" t="s">
        <v>379</v>
      </c>
      <c r="AN3028" s="90">
        <v>-1</v>
      </c>
      <c r="AQ3028" s="90">
        <v>389</v>
      </c>
      <c r="AR3028" s="90" t="s">
        <v>309</v>
      </c>
      <c r="AS3028" s="90" t="s">
        <v>428</v>
      </c>
      <c r="AT3028" s="90" t="s">
        <v>244</v>
      </c>
      <c r="AU3028" s="90">
        <v>1.2371239999999999</v>
      </c>
      <c r="AV3028" s="90">
        <v>71.775564129691304</v>
      </c>
      <c r="AW3028" s="90">
        <v>175.79199969338899</v>
      </c>
      <c r="AX3028" s="90">
        <v>0.27737095639999998</v>
      </c>
    </row>
    <row r="3029" spans="1:50" x14ac:dyDescent="0.25">
      <c r="A3029" s="102">
        <v>830000</v>
      </c>
      <c r="B3029" s="102">
        <v>2400000</v>
      </c>
      <c r="C3029" s="102">
        <v>2400000</v>
      </c>
      <c r="D3029" s="90" t="s">
        <v>374</v>
      </c>
      <c r="E3029" s="90" t="s">
        <v>68</v>
      </c>
      <c r="F3029" s="90" t="s">
        <v>375</v>
      </c>
      <c r="G3029" s="90" t="s">
        <v>376</v>
      </c>
      <c r="H3029" s="90">
        <v>0.59</v>
      </c>
      <c r="I3029" s="90">
        <v>0.64</v>
      </c>
      <c r="J3029" s="90" t="s">
        <v>244</v>
      </c>
      <c r="K3029" s="90">
        <v>4.2287241559999999E-3</v>
      </c>
      <c r="L3029" s="90">
        <v>1809.2894258204999</v>
      </c>
      <c r="M3029" s="90">
        <v>4.6366325514504796</v>
      </c>
      <c r="N3029" s="90">
        <v>0.6862261232379</v>
      </c>
      <c r="O3029" s="90">
        <v>1.9607040072819999E-2</v>
      </c>
      <c r="P3029" s="90">
        <v>2.9018609838100001E-3</v>
      </c>
      <c r="Q3029" s="90">
        <v>7.6509859001679601</v>
      </c>
      <c r="R3029" s="90">
        <v>1210</v>
      </c>
      <c r="S3029" s="90" t="s">
        <v>385</v>
      </c>
      <c r="T3029" s="90">
        <v>1210</v>
      </c>
      <c r="U3029" s="90" t="s">
        <v>378</v>
      </c>
      <c r="V3029" s="90" t="s">
        <v>244</v>
      </c>
      <c r="Z3029" s="90">
        <v>0</v>
      </c>
      <c r="AA3029" s="90">
        <v>1</v>
      </c>
      <c r="AB3029" s="90">
        <v>1.9607040072819999E-2</v>
      </c>
      <c r="AC3029" s="90">
        <v>2.9018609838100001E-3</v>
      </c>
      <c r="AD3029" s="90">
        <v>30.875324847121199</v>
      </c>
      <c r="AF3029" s="90">
        <v>-1</v>
      </c>
      <c r="AG3029" s="90">
        <v>-1</v>
      </c>
      <c r="AH3029" s="90">
        <v>-1</v>
      </c>
      <c r="AI3029" s="90">
        <v>-1</v>
      </c>
      <c r="AJ3029" s="90">
        <v>0</v>
      </c>
      <c r="AM3029" s="90" t="s">
        <v>379</v>
      </c>
      <c r="AN3029" s="90">
        <v>-1</v>
      </c>
      <c r="AQ3029" s="90">
        <v>389</v>
      </c>
      <c r="AR3029" s="90" t="s">
        <v>309</v>
      </c>
      <c r="AS3029" s="90" t="s">
        <v>428</v>
      </c>
      <c r="AT3029" s="90" t="s">
        <v>244</v>
      </c>
      <c r="AU3029" s="90">
        <v>1.2371239999999999</v>
      </c>
      <c r="AV3029" s="90">
        <v>18.8333576042989</v>
      </c>
      <c r="AW3029" s="90">
        <v>17.113039509277101</v>
      </c>
      <c r="AX3029" s="90">
        <v>2.5040815000000001E-2</v>
      </c>
    </row>
    <row r="3030" spans="1:50" x14ac:dyDescent="0.25">
      <c r="A3030" s="102">
        <v>830000</v>
      </c>
      <c r="B3030" s="102">
        <v>2400000</v>
      </c>
      <c r="C3030" s="102">
        <v>2400000</v>
      </c>
      <c r="D3030" s="90" t="s">
        <v>374</v>
      </c>
      <c r="E3030" s="90" t="s">
        <v>68</v>
      </c>
      <c r="F3030" s="90" t="s">
        <v>375</v>
      </c>
      <c r="G3030" s="90" t="s">
        <v>376</v>
      </c>
      <c r="H3030" s="90">
        <v>0.59</v>
      </c>
      <c r="I3030" s="90">
        <v>0.64</v>
      </c>
      <c r="J3030" s="90" t="s">
        <v>244</v>
      </c>
      <c r="K3030" s="90">
        <v>5.1804360246000001E-4</v>
      </c>
      <c r="L3030" s="90">
        <v>2365.8964729934901</v>
      </c>
      <c r="M3030" s="90">
        <v>6.6479893454949197</v>
      </c>
      <c r="N3030" s="90">
        <v>0.92303951773994997</v>
      </c>
      <c r="O3030" s="90">
        <v>3.4439483496799999E-3</v>
      </c>
      <c r="P3030" s="90">
        <v>4.7817471697999999E-4</v>
      </c>
      <c r="Q3030" s="90">
        <v>1.22563753192878</v>
      </c>
      <c r="R3030" s="90">
        <v>1210</v>
      </c>
      <c r="S3030" s="90" t="s">
        <v>385</v>
      </c>
      <c r="T3030" s="90">
        <v>1210</v>
      </c>
      <c r="U3030" s="90" t="s">
        <v>378</v>
      </c>
      <c r="V3030" s="90" t="s">
        <v>244</v>
      </c>
      <c r="Z3030" s="90">
        <v>0</v>
      </c>
      <c r="AA3030" s="90">
        <v>1</v>
      </c>
      <c r="AB3030" s="90">
        <v>3.4439483496799999E-3</v>
      </c>
      <c r="AC3030" s="90">
        <v>4.7817471697999999E-4</v>
      </c>
      <c r="AD3030" s="90">
        <v>175.68950333843</v>
      </c>
      <c r="AF3030" s="90">
        <v>-1</v>
      </c>
      <c r="AG3030" s="90">
        <v>-1</v>
      </c>
      <c r="AH3030" s="90">
        <v>-1</v>
      </c>
      <c r="AI3030" s="90">
        <v>-1</v>
      </c>
      <c r="AJ3030" s="90">
        <v>0</v>
      </c>
      <c r="AM3030" s="90" t="s">
        <v>379</v>
      </c>
      <c r="AN3030" s="90">
        <v>-1</v>
      </c>
      <c r="AQ3030" s="90">
        <v>389</v>
      </c>
      <c r="AR3030" s="90" t="s">
        <v>309</v>
      </c>
      <c r="AS3030" s="90" t="s">
        <v>428</v>
      </c>
      <c r="AT3030" s="90" t="s">
        <v>244</v>
      </c>
      <c r="AU3030" s="90">
        <v>1.2371239999999999</v>
      </c>
      <c r="AV3030" s="90">
        <v>16.8663792389411</v>
      </c>
      <c r="AW3030" s="90">
        <v>2.0964480797190799</v>
      </c>
      <c r="AX3030" s="90">
        <v>0.14248945930000001</v>
      </c>
    </row>
    <row r="3031" spans="1:50" x14ac:dyDescent="0.25">
      <c r="A3031" s="102">
        <v>830000</v>
      </c>
      <c r="B3031" s="102">
        <v>2400000</v>
      </c>
      <c r="C3031" s="102">
        <v>2400000</v>
      </c>
      <c r="D3031" s="90" t="s">
        <v>374</v>
      </c>
      <c r="E3031" s="90" t="s">
        <v>68</v>
      </c>
      <c r="F3031" s="90" t="s">
        <v>375</v>
      </c>
      <c r="G3031" s="90" t="s">
        <v>376</v>
      </c>
      <c r="H3031" s="90">
        <v>0.59</v>
      </c>
      <c r="I3031" s="90">
        <v>0.64</v>
      </c>
      <c r="J3031" s="90" t="s">
        <v>244</v>
      </c>
      <c r="K3031" s="90">
        <v>2.07720849992E-2</v>
      </c>
      <c r="L3031" s="90">
        <v>1942.0029700980499</v>
      </c>
      <c r="M3031" s="90">
        <v>4.9736617326458399</v>
      </c>
      <c r="N3031" s="90">
        <v>0.73600519493811001</v>
      </c>
      <c r="O3031" s="90">
        <v>0.10331332426779</v>
      </c>
      <c r="P3031" s="90">
        <v>1.52883624691E-2</v>
      </c>
      <c r="Q3031" s="90">
        <v>40.339450763579499</v>
      </c>
      <c r="R3031" s="90">
        <v>1210</v>
      </c>
      <c r="S3031" s="90" t="s">
        <v>385</v>
      </c>
      <c r="T3031" s="90">
        <v>1210</v>
      </c>
      <c r="U3031" s="90" t="s">
        <v>378</v>
      </c>
      <c r="V3031" s="90" t="s">
        <v>244</v>
      </c>
      <c r="Z3031" s="90">
        <v>0</v>
      </c>
      <c r="AA3031" s="90">
        <v>1</v>
      </c>
      <c r="AB3031" s="90">
        <v>0.10331332426779</v>
      </c>
      <c r="AC3031" s="90">
        <v>1.52883624691E-2</v>
      </c>
      <c r="AD3031" s="90">
        <v>315.48892023682703</v>
      </c>
      <c r="AF3031" s="90">
        <v>-1</v>
      </c>
      <c r="AG3031" s="90">
        <v>-1</v>
      </c>
      <c r="AH3031" s="90">
        <v>-1</v>
      </c>
      <c r="AI3031" s="90">
        <v>-1</v>
      </c>
      <c r="AJ3031" s="90">
        <v>0</v>
      </c>
      <c r="AM3031" s="90" t="s">
        <v>379</v>
      </c>
      <c r="AN3031" s="90">
        <v>-1</v>
      </c>
      <c r="AQ3031" s="90">
        <v>389</v>
      </c>
      <c r="AR3031" s="90" t="s">
        <v>309</v>
      </c>
      <c r="AS3031" s="90" t="s">
        <v>428</v>
      </c>
      <c r="AT3031" s="90" t="s">
        <v>244</v>
      </c>
      <c r="AU3031" s="90">
        <v>1.2371239999999999</v>
      </c>
      <c r="AV3031" s="90">
        <v>39.459134174196201</v>
      </c>
      <c r="AW3031" s="90">
        <v>84.061645585657303</v>
      </c>
      <c r="AX3031" s="90">
        <v>0.25587098149999998</v>
      </c>
    </row>
    <row r="3032" spans="1:50" x14ac:dyDescent="0.25">
      <c r="A3032" s="102">
        <v>830000</v>
      </c>
      <c r="B3032" s="102">
        <v>2400000</v>
      </c>
      <c r="C3032" s="102">
        <v>2400000</v>
      </c>
      <c r="D3032" s="90" t="s">
        <v>374</v>
      </c>
      <c r="E3032" s="90" t="s">
        <v>68</v>
      </c>
      <c r="F3032" s="90" t="s">
        <v>375</v>
      </c>
      <c r="G3032" s="90" t="s">
        <v>376</v>
      </c>
      <c r="H3032" s="90">
        <v>0.59</v>
      </c>
      <c r="I3032" s="90">
        <v>0.64</v>
      </c>
      <c r="J3032" s="90" t="s">
        <v>244</v>
      </c>
      <c r="K3032" s="90">
        <v>5.9952034827020002E-2</v>
      </c>
      <c r="L3032" s="90">
        <v>3703.0713650375301</v>
      </c>
      <c r="M3032" s="90">
        <v>9.2293722285684101</v>
      </c>
      <c r="N3032" s="90">
        <v>1.3573491742313699</v>
      </c>
      <c r="O3032" s="90">
        <v>0.55331964527873001</v>
      </c>
      <c r="P3032" s="90">
        <v>8.1375844965950003E-2</v>
      </c>
      <c r="Q3032" s="90">
        <v>222.00666344370001</v>
      </c>
      <c r="R3032" s="90">
        <v>1200</v>
      </c>
      <c r="S3032" s="90" t="s">
        <v>384</v>
      </c>
      <c r="T3032" s="90">
        <v>1200</v>
      </c>
      <c r="U3032" s="90" t="s">
        <v>378</v>
      </c>
      <c r="V3032" s="90" t="s">
        <v>244</v>
      </c>
      <c r="Z3032" s="90">
        <v>0</v>
      </c>
      <c r="AA3032" s="90">
        <v>1</v>
      </c>
      <c r="AB3032" s="90">
        <v>0.55331964527873001</v>
      </c>
      <c r="AC3032" s="90">
        <v>8.1375844965950003E-2</v>
      </c>
      <c r="AD3032" s="90">
        <v>682.12926671367995</v>
      </c>
      <c r="AF3032" s="90">
        <v>-1</v>
      </c>
      <c r="AG3032" s="90">
        <v>-1</v>
      </c>
      <c r="AH3032" s="90">
        <v>-1</v>
      </c>
      <c r="AI3032" s="90">
        <v>-1</v>
      </c>
      <c r="AJ3032" s="90">
        <v>0</v>
      </c>
      <c r="AM3032" s="90" t="s">
        <v>379</v>
      </c>
      <c r="AN3032" s="90">
        <v>-1</v>
      </c>
      <c r="AQ3032" s="90">
        <v>389</v>
      </c>
      <c r="AR3032" s="90" t="s">
        <v>309</v>
      </c>
      <c r="AS3032" s="90" t="s">
        <v>428</v>
      </c>
      <c r="AT3032" s="90" t="s">
        <v>244</v>
      </c>
      <c r="AU3032" s="90">
        <v>1.2371239999999999</v>
      </c>
      <c r="AV3032" s="90">
        <v>62.365232304710602</v>
      </c>
      <c r="AW3032" s="90">
        <v>242.61727717570699</v>
      </c>
      <c r="AX3032" s="90">
        <v>0.55322730470000003</v>
      </c>
    </row>
    <row r="3033" spans="1:50" x14ac:dyDescent="0.25">
      <c r="A3033" s="102">
        <v>830000</v>
      </c>
      <c r="B3033" s="102">
        <v>2400000</v>
      </c>
      <c r="C3033" s="102">
        <v>2400000</v>
      </c>
      <c r="D3033" s="90" t="s">
        <v>374</v>
      </c>
      <c r="E3033" s="90" t="s">
        <v>68</v>
      </c>
      <c r="F3033" s="90" t="s">
        <v>375</v>
      </c>
      <c r="G3033" s="90" t="s">
        <v>376</v>
      </c>
      <c r="H3033" s="90">
        <v>0.59</v>
      </c>
      <c r="I3033" s="90">
        <v>0.64</v>
      </c>
      <c r="J3033" s="90" t="s">
        <v>244</v>
      </c>
      <c r="K3033" s="90">
        <v>3.7354439731840001E-2</v>
      </c>
      <c r="L3033" s="90">
        <v>3703.0713650375301</v>
      </c>
      <c r="M3033" s="90">
        <v>9.2293722285684101</v>
      </c>
      <c r="N3033" s="90">
        <v>1.3573491742313699</v>
      </c>
      <c r="O3033" s="90">
        <v>0.34475802867484001</v>
      </c>
      <c r="P3033" s="90">
        <v>5.0703017923890002E-2</v>
      </c>
      <c r="Q3033" s="90">
        <v>138.32615612802201</v>
      </c>
      <c r="R3033" s="90">
        <v>1210</v>
      </c>
      <c r="S3033" s="90" t="s">
        <v>385</v>
      </c>
      <c r="T3033" s="90">
        <v>1210</v>
      </c>
      <c r="U3033" s="90" t="s">
        <v>378</v>
      </c>
      <c r="V3033" s="90" t="s">
        <v>244</v>
      </c>
      <c r="Z3033" s="90">
        <v>0</v>
      </c>
      <c r="AA3033" s="90">
        <v>1</v>
      </c>
      <c r="AB3033" s="90">
        <v>0.34475802867484001</v>
      </c>
      <c r="AC3033" s="90">
        <v>5.0703017923890002E-2</v>
      </c>
      <c r="AD3033" s="90">
        <v>233.222364638778</v>
      </c>
      <c r="AF3033" s="90">
        <v>-1</v>
      </c>
      <c r="AG3033" s="90">
        <v>-1</v>
      </c>
      <c r="AH3033" s="90">
        <v>-1</v>
      </c>
      <c r="AI3033" s="90">
        <v>-1</v>
      </c>
      <c r="AJ3033" s="90">
        <v>0</v>
      </c>
      <c r="AM3033" s="90" t="s">
        <v>379</v>
      </c>
      <c r="AN3033" s="90">
        <v>-1</v>
      </c>
      <c r="AQ3033" s="90">
        <v>389</v>
      </c>
      <c r="AR3033" s="90" t="s">
        <v>309</v>
      </c>
      <c r="AS3033" s="90" t="s">
        <v>428</v>
      </c>
      <c r="AT3033" s="90" t="s">
        <v>244</v>
      </c>
      <c r="AU3033" s="90">
        <v>1.2371239999999999</v>
      </c>
      <c r="AV3033" s="90">
        <v>50.343731228546901</v>
      </c>
      <c r="AW3033" s="90">
        <v>151.16805433397701</v>
      </c>
      <c r="AX3033" s="90">
        <v>0.1891503363</v>
      </c>
    </row>
    <row r="3034" spans="1:50" x14ac:dyDescent="0.25">
      <c r="A3034" s="102">
        <v>830000</v>
      </c>
      <c r="B3034" s="102">
        <v>2400000</v>
      </c>
      <c r="C3034" s="102">
        <v>2400000</v>
      </c>
      <c r="D3034" s="90" t="s">
        <v>374</v>
      </c>
      <c r="E3034" s="90" t="s">
        <v>68</v>
      </c>
      <c r="F3034" s="90" t="s">
        <v>375</v>
      </c>
      <c r="G3034" s="90" t="s">
        <v>376</v>
      </c>
      <c r="H3034" s="90">
        <v>0.59</v>
      </c>
      <c r="I3034" s="90">
        <v>0.64</v>
      </c>
      <c r="J3034" s="90" t="s">
        <v>244</v>
      </c>
      <c r="K3034" s="90">
        <v>0.10464758151382</v>
      </c>
      <c r="L3034" s="90">
        <v>3703.0713650375301</v>
      </c>
      <c r="M3034" s="90">
        <v>9.2293722285684101</v>
      </c>
      <c r="N3034" s="90">
        <v>1.3573491742313699</v>
      </c>
      <c r="O3034" s="90">
        <v>0.96583148261050999</v>
      </c>
      <c r="P3034" s="90">
        <v>0.14204330835309001</v>
      </c>
      <c r="Q3034" s="90">
        <v>387.517462524265</v>
      </c>
      <c r="R3034" s="90">
        <v>1210</v>
      </c>
      <c r="S3034" s="90" t="s">
        <v>385</v>
      </c>
      <c r="T3034" s="90">
        <v>1210</v>
      </c>
      <c r="U3034" s="90" t="s">
        <v>378</v>
      </c>
      <c r="V3034" s="90" t="s">
        <v>244</v>
      </c>
      <c r="Z3034" s="90">
        <v>0</v>
      </c>
      <c r="AA3034" s="90">
        <v>1</v>
      </c>
      <c r="AB3034" s="90">
        <v>0.96583148261050999</v>
      </c>
      <c r="AC3034" s="90">
        <v>0.14204330835309001</v>
      </c>
      <c r="AD3034" s="90">
        <v>626.89229618372701</v>
      </c>
      <c r="AF3034" s="90">
        <v>-1</v>
      </c>
      <c r="AG3034" s="90">
        <v>-1</v>
      </c>
      <c r="AH3034" s="90">
        <v>-1</v>
      </c>
      <c r="AI3034" s="90">
        <v>-1</v>
      </c>
      <c r="AJ3034" s="90">
        <v>0</v>
      </c>
      <c r="AM3034" s="90" t="s">
        <v>379</v>
      </c>
      <c r="AN3034" s="90">
        <v>-1</v>
      </c>
      <c r="AQ3034" s="90">
        <v>389</v>
      </c>
      <c r="AR3034" s="90" t="s">
        <v>309</v>
      </c>
      <c r="AS3034" s="90" t="s">
        <v>428</v>
      </c>
      <c r="AT3034" s="90" t="s">
        <v>244</v>
      </c>
      <c r="AU3034" s="90">
        <v>1.2371239999999999</v>
      </c>
      <c r="AV3034" s="90">
        <v>83.3980766674064</v>
      </c>
      <c r="AW3034" s="90">
        <v>423.49373733783602</v>
      </c>
      <c r="AX3034" s="90">
        <v>0.50842846409999998</v>
      </c>
    </row>
    <row r="3035" spans="1:50" x14ac:dyDescent="0.25">
      <c r="A3035" s="102">
        <v>830000</v>
      </c>
      <c r="B3035" s="102">
        <v>2400000</v>
      </c>
      <c r="C3035" s="102">
        <v>2400000</v>
      </c>
      <c r="D3035" s="90" t="s">
        <v>374</v>
      </c>
      <c r="E3035" s="90" t="s">
        <v>68</v>
      </c>
      <c r="F3035" s="90" t="s">
        <v>375</v>
      </c>
      <c r="G3035" s="90" t="s">
        <v>376</v>
      </c>
      <c r="H3035" s="90">
        <v>0.59</v>
      </c>
      <c r="I3035" s="90">
        <v>0.64</v>
      </c>
      <c r="J3035" s="90" t="s">
        <v>244</v>
      </c>
      <c r="K3035" s="90">
        <v>2.6619429194499999E-2</v>
      </c>
      <c r="L3035" s="90">
        <v>1338.9812469317801</v>
      </c>
      <c r="M3035" s="90">
        <v>3.4581221029766902</v>
      </c>
      <c r="N3035" s="90">
        <v>0.51268917561446004</v>
      </c>
      <c r="O3035" s="90">
        <v>9.2053236466139998E-2</v>
      </c>
      <c r="P3035" s="90">
        <v>1.364749320905E-2</v>
      </c>
      <c r="Q3035" s="90">
        <v>35.642916495470701</v>
      </c>
      <c r="R3035" s="90">
        <v>1210</v>
      </c>
      <c r="S3035" s="90" t="s">
        <v>385</v>
      </c>
      <c r="T3035" s="90">
        <v>1210</v>
      </c>
      <c r="U3035" s="90" t="s">
        <v>378</v>
      </c>
      <c r="V3035" s="90" t="s">
        <v>244</v>
      </c>
      <c r="Z3035" s="90">
        <v>0</v>
      </c>
      <c r="AA3035" s="90">
        <v>1</v>
      </c>
      <c r="AB3035" s="90">
        <v>9.2053236466139998E-2</v>
      </c>
      <c r="AC3035" s="90">
        <v>1.364749320905E-2</v>
      </c>
      <c r="AD3035" s="90">
        <v>210.52765330780801</v>
      </c>
      <c r="AF3035" s="90">
        <v>-1</v>
      </c>
      <c r="AG3035" s="90">
        <v>-1</v>
      </c>
      <c r="AH3035" s="90">
        <v>-1</v>
      </c>
      <c r="AI3035" s="90">
        <v>-1</v>
      </c>
      <c r="AJ3035" s="90">
        <v>0</v>
      </c>
      <c r="AM3035" s="90" t="s">
        <v>379</v>
      </c>
      <c r="AN3035" s="90">
        <v>-1</v>
      </c>
      <c r="AQ3035" s="90">
        <v>389</v>
      </c>
      <c r="AR3035" s="90" t="s">
        <v>309</v>
      </c>
      <c r="AS3035" s="90" t="s">
        <v>428</v>
      </c>
      <c r="AT3035" s="90" t="s">
        <v>244</v>
      </c>
      <c r="AU3035" s="90">
        <v>1.2371239999999999</v>
      </c>
      <c r="AV3035" s="90">
        <v>48.004618249974598</v>
      </c>
      <c r="AW3035" s="90">
        <v>107.725007996405</v>
      </c>
      <c r="AX3035" s="90">
        <v>0.17074424439999999</v>
      </c>
    </row>
    <row r="3036" spans="1:50" x14ac:dyDescent="0.25">
      <c r="A3036" s="102">
        <v>830000</v>
      </c>
      <c r="B3036" s="102">
        <v>2400000</v>
      </c>
      <c r="C3036" s="102">
        <v>2400000</v>
      </c>
      <c r="D3036" s="90" t="s">
        <v>374</v>
      </c>
      <c r="E3036" s="90" t="s">
        <v>68</v>
      </c>
      <c r="F3036" s="90" t="s">
        <v>375</v>
      </c>
      <c r="G3036" s="90" t="s">
        <v>376</v>
      </c>
      <c r="H3036" s="90">
        <v>0.59</v>
      </c>
      <c r="I3036" s="90">
        <v>0.64</v>
      </c>
      <c r="J3036" s="90" t="s">
        <v>244</v>
      </c>
      <c r="K3036" s="90">
        <v>1.018607411173E-2</v>
      </c>
      <c r="L3036" s="90">
        <v>1338.9812469317801</v>
      </c>
      <c r="M3036" s="90">
        <v>3.4581221029766902</v>
      </c>
      <c r="N3036" s="90">
        <v>0.51268917561446004</v>
      </c>
      <c r="O3036" s="90">
        <v>3.5224688028359999E-2</v>
      </c>
      <c r="P3036" s="90">
        <v>5.22228993909E-3</v>
      </c>
      <c r="Q3036" s="90">
        <v>13.6389622154758</v>
      </c>
      <c r="R3036" s="90">
        <v>1210</v>
      </c>
      <c r="S3036" s="90" t="s">
        <v>385</v>
      </c>
      <c r="T3036" s="90">
        <v>1210</v>
      </c>
      <c r="U3036" s="90" t="s">
        <v>378</v>
      </c>
      <c r="V3036" s="90" t="s">
        <v>244</v>
      </c>
      <c r="Z3036" s="90">
        <v>0</v>
      </c>
      <c r="AA3036" s="90">
        <v>1</v>
      </c>
      <c r="AB3036" s="90">
        <v>3.5224688028359999E-2</v>
      </c>
      <c r="AC3036" s="90">
        <v>5.22228993909E-3</v>
      </c>
      <c r="AD3036" s="90">
        <v>92.363112577885701</v>
      </c>
      <c r="AF3036" s="90">
        <v>-1</v>
      </c>
      <c r="AG3036" s="90">
        <v>-1</v>
      </c>
      <c r="AH3036" s="90">
        <v>-1</v>
      </c>
      <c r="AI3036" s="90">
        <v>-1</v>
      </c>
      <c r="AJ3036" s="90">
        <v>0</v>
      </c>
      <c r="AM3036" s="90" t="s">
        <v>379</v>
      </c>
      <c r="AN3036" s="90">
        <v>-1</v>
      </c>
      <c r="AQ3036" s="90">
        <v>389</v>
      </c>
      <c r="AR3036" s="90" t="s">
        <v>309</v>
      </c>
      <c r="AS3036" s="90" t="s">
        <v>428</v>
      </c>
      <c r="AT3036" s="90" t="s">
        <v>244</v>
      </c>
      <c r="AU3036" s="90">
        <v>1.2371239999999999</v>
      </c>
      <c r="AV3036" s="90">
        <v>30.379939214464802</v>
      </c>
      <c r="AW3036" s="90">
        <v>41.221579438131997</v>
      </c>
      <c r="AX3036" s="90">
        <v>7.4909255899999999E-2</v>
      </c>
    </row>
    <row r="3037" spans="1:50" x14ac:dyDescent="0.25">
      <c r="A3037" s="102">
        <v>830000</v>
      </c>
      <c r="B3037" s="102">
        <v>2400000</v>
      </c>
      <c r="C3037" s="102">
        <v>2400000</v>
      </c>
      <c r="D3037" s="90" t="s">
        <v>374</v>
      </c>
      <c r="E3037" s="90" t="s">
        <v>68</v>
      </c>
      <c r="F3037" s="90" t="s">
        <v>375</v>
      </c>
      <c r="G3037" s="90" t="s">
        <v>376</v>
      </c>
      <c r="H3037" s="90">
        <v>0.59</v>
      </c>
      <c r="I3037" s="90">
        <v>0.64</v>
      </c>
      <c r="J3037" s="90" t="s">
        <v>244</v>
      </c>
      <c r="K3037" s="90">
        <v>0.11875600914084999</v>
      </c>
      <c r="L3037" s="90">
        <v>3076.60293017412</v>
      </c>
      <c r="M3037" s="90">
        <v>7.6853069249488497</v>
      </c>
      <c r="N3037" s="90">
        <v>1.13085441052082</v>
      </c>
      <c r="O3037" s="90">
        <v>0.91267637942946001</v>
      </c>
      <c r="P3037" s="90">
        <v>0.13429575671277999</v>
      </c>
      <c r="Q3037" s="90">
        <v>365.36508569852401</v>
      </c>
      <c r="R3037" s="90">
        <v>1200</v>
      </c>
      <c r="S3037" s="90" t="s">
        <v>384</v>
      </c>
      <c r="T3037" s="90">
        <v>1200</v>
      </c>
      <c r="U3037" s="90" t="s">
        <v>378</v>
      </c>
      <c r="V3037" s="90" t="s">
        <v>244</v>
      </c>
      <c r="Z3037" s="90">
        <v>0</v>
      </c>
      <c r="AA3037" s="90">
        <v>1</v>
      </c>
      <c r="AB3037" s="90">
        <v>0.91267637942946001</v>
      </c>
      <c r="AC3037" s="90">
        <v>0.13429575671277999</v>
      </c>
      <c r="AD3037" s="90">
        <v>593.63187710222701</v>
      </c>
      <c r="AF3037" s="90">
        <v>-1</v>
      </c>
      <c r="AG3037" s="90">
        <v>-1</v>
      </c>
      <c r="AH3037" s="90">
        <v>-1</v>
      </c>
      <c r="AI3037" s="90">
        <v>-1</v>
      </c>
      <c r="AJ3037" s="90">
        <v>0</v>
      </c>
      <c r="AM3037" s="90" t="s">
        <v>379</v>
      </c>
      <c r="AN3037" s="90">
        <v>-1</v>
      </c>
      <c r="AQ3037" s="90">
        <v>389</v>
      </c>
      <c r="AR3037" s="90" t="s">
        <v>309</v>
      </c>
      <c r="AS3037" s="90" t="s">
        <v>428</v>
      </c>
      <c r="AT3037" s="90" t="s">
        <v>244</v>
      </c>
      <c r="AU3037" s="90">
        <v>1.2371239999999999</v>
      </c>
      <c r="AV3037" s="90">
        <v>94.138097117764701</v>
      </c>
      <c r="AW3037" s="90">
        <v>480.58851829024002</v>
      </c>
      <c r="AX3037" s="90">
        <v>0.4814532661</v>
      </c>
    </row>
    <row r="3038" spans="1:50" x14ac:dyDescent="0.25">
      <c r="A3038" s="102">
        <v>830000</v>
      </c>
      <c r="B3038" s="102">
        <v>2400000</v>
      </c>
      <c r="C3038" s="102">
        <v>2400000</v>
      </c>
      <c r="D3038" s="90" t="s">
        <v>374</v>
      </c>
      <c r="E3038" s="90" t="s">
        <v>68</v>
      </c>
      <c r="F3038" s="90" t="s">
        <v>375</v>
      </c>
      <c r="G3038" s="90" t="s">
        <v>376</v>
      </c>
      <c r="H3038" s="90">
        <v>0.59</v>
      </c>
      <c r="I3038" s="90">
        <v>0.64</v>
      </c>
      <c r="J3038" s="90" t="s">
        <v>244</v>
      </c>
      <c r="K3038" s="90">
        <v>9.3543330307690006E-2</v>
      </c>
      <c r="L3038" s="90">
        <v>3076.60293017412</v>
      </c>
      <c r="M3038" s="90">
        <v>7.6853069249488497</v>
      </c>
      <c r="N3038" s="90">
        <v>1.13085441052082</v>
      </c>
      <c r="O3038" s="90">
        <v>0.71890920419647997</v>
      </c>
      <c r="P3038" s="90">
        <v>0.10578388765325999</v>
      </c>
      <c r="Q3038" s="90">
        <v>287.79568412289098</v>
      </c>
      <c r="R3038" s="90">
        <v>1210</v>
      </c>
      <c r="S3038" s="90" t="s">
        <v>385</v>
      </c>
      <c r="T3038" s="90">
        <v>1210</v>
      </c>
      <c r="U3038" s="90" t="s">
        <v>378</v>
      </c>
      <c r="V3038" s="90" t="s">
        <v>244</v>
      </c>
      <c r="Z3038" s="90">
        <v>0</v>
      </c>
      <c r="AA3038" s="90">
        <v>1</v>
      </c>
      <c r="AB3038" s="90">
        <v>0.71890920419647997</v>
      </c>
      <c r="AC3038" s="90">
        <v>0.10578388765325999</v>
      </c>
      <c r="AD3038" s="90">
        <v>470.66010461844598</v>
      </c>
      <c r="AF3038" s="90">
        <v>-1</v>
      </c>
      <c r="AG3038" s="90">
        <v>-1</v>
      </c>
      <c r="AH3038" s="90">
        <v>-1</v>
      </c>
      <c r="AI3038" s="90">
        <v>-1</v>
      </c>
      <c r="AJ3038" s="90">
        <v>0</v>
      </c>
      <c r="AM3038" s="90" t="s">
        <v>379</v>
      </c>
      <c r="AN3038" s="90">
        <v>-1</v>
      </c>
      <c r="AQ3038" s="90">
        <v>389</v>
      </c>
      <c r="AR3038" s="90" t="s">
        <v>309</v>
      </c>
      <c r="AS3038" s="90" t="s">
        <v>428</v>
      </c>
      <c r="AT3038" s="90" t="s">
        <v>244</v>
      </c>
      <c r="AU3038" s="90">
        <v>1.2371239999999999</v>
      </c>
      <c r="AV3038" s="90">
        <v>76.875171820488703</v>
      </c>
      <c r="AW3038" s="90">
        <v>378.55642702836599</v>
      </c>
      <c r="AX3038" s="90">
        <v>0.38171946849999999</v>
      </c>
    </row>
    <row r="3039" spans="1:50" x14ac:dyDescent="0.25">
      <c r="A3039" s="102">
        <v>830000</v>
      </c>
      <c r="B3039" s="102">
        <v>2400000</v>
      </c>
      <c r="C3039" s="102">
        <v>2400000</v>
      </c>
      <c r="D3039" s="90" t="s">
        <v>374</v>
      </c>
      <c r="E3039" s="90" t="s">
        <v>68</v>
      </c>
      <c r="F3039" s="90" t="s">
        <v>375</v>
      </c>
      <c r="G3039" s="90" t="s">
        <v>376</v>
      </c>
      <c r="H3039" s="90">
        <v>0.59</v>
      </c>
      <c r="I3039" s="90">
        <v>0.64</v>
      </c>
      <c r="J3039" s="90" t="s">
        <v>244</v>
      </c>
      <c r="K3039" s="90">
        <v>6.2544321460910005E-2</v>
      </c>
      <c r="L3039" s="90">
        <v>3076.60293017412</v>
      </c>
      <c r="M3039" s="90">
        <v>7.6853069249488497</v>
      </c>
      <c r="N3039" s="90">
        <v>1.13085441052082</v>
      </c>
      <c r="O3039" s="90">
        <v>0.48067230683980999</v>
      </c>
      <c r="P3039" s="90">
        <v>7.0728521777110004E-2</v>
      </c>
      <c r="Q3039" s="90">
        <v>192.424042672409</v>
      </c>
      <c r="R3039" s="90">
        <v>1210</v>
      </c>
      <c r="S3039" s="90" t="s">
        <v>385</v>
      </c>
      <c r="T3039" s="90">
        <v>1210</v>
      </c>
      <c r="U3039" s="90" t="s">
        <v>378</v>
      </c>
      <c r="V3039" s="90" t="s">
        <v>244</v>
      </c>
      <c r="Z3039" s="90">
        <v>0</v>
      </c>
      <c r="AA3039" s="90">
        <v>1</v>
      </c>
      <c r="AB3039" s="90">
        <v>0.48067230683980999</v>
      </c>
      <c r="AC3039" s="90">
        <v>7.0728521777110004E-2</v>
      </c>
      <c r="AD3039" s="90">
        <v>243.35031639818601</v>
      </c>
      <c r="AF3039" s="90">
        <v>-1</v>
      </c>
      <c r="AG3039" s="90">
        <v>-1</v>
      </c>
      <c r="AH3039" s="90">
        <v>-1</v>
      </c>
      <c r="AI3039" s="90">
        <v>-1</v>
      </c>
      <c r="AJ3039" s="90">
        <v>0</v>
      </c>
      <c r="AM3039" s="90" t="s">
        <v>379</v>
      </c>
      <c r="AN3039" s="90">
        <v>-1</v>
      </c>
      <c r="AQ3039" s="90">
        <v>389</v>
      </c>
      <c r="AR3039" s="90" t="s">
        <v>309</v>
      </c>
      <c r="AS3039" s="90" t="s">
        <v>428</v>
      </c>
      <c r="AT3039" s="90" t="s">
        <v>244</v>
      </c>
      <c r="AU3039" s="90">
        <v>1.2371239999999999</v>
      </c>
      <c r="AV3039" s="90">
        <v>65.588238031649198</v>
      </c>
      <c r="AW3039" s="90">
        <v>253.107888988762</v>
      </c>
      <c r="AX3039" s="90">
        <v>0.1973644091</v>
      </c>
    </row>
    <row r="3040" spans="1:50" x14ac:dyDescent="0.25">
      <c r="A3040" s="102">
        <v>830000</v>
      </c>
      <c r="B3040" s="102">
        <v>2400000</v>
      </c>
      <c r="C3040" s="102">
        <v>2400000</v>
      </c>
      <c r="D3040" s="90" t="s">
        <v>374</v>
      </c>
      <c r="E3040" s="90" t="s">
        <v>68</v>
      </c>
      <c r="F3040" s="90" t="s">
        <v>375</v>
      </c>
      <c r="G3040" s="90" t="s">
        <v>376</v>
      </c>
      <c r="H3040" s="90">
        <v>0.59</v>
      </c>
      <c r="I3040" s="90">
        <v>0.64</v>
      </c>
      <c r="J3040" s="90" t="s">
        <v>244</v>
      </c>
      <c r="K3040" s="90">
        <v>4.501198741832E-2</v>
      </c>
      <c r="L3040" s="90">
        <v>3076.60293017412</v>
      </c>
      <c r="M3040" s="90">
        <v>7.6853069249488497</v>
      </c>
      <c r="N3040" s="90">
        <v>1.13085441052082</v>
      </c>
      <c r="O3040" s="90">
        <v>0.34593093861176999</v>
      </c>
      <c r="P3040" s="90">
        <v>5.0902004498319997E-2</v>
      </c>
      <c r="Q3040" s="90">
        <v>138.48401238418501</v>
      </c>
      <c r="R3040" s="90">
        <v>1210</v>
      </c>
      <c r="S3040" s="90" t="s">
        <v>385</v>
      </c>
      <c r="T3040" s="90">
        <v>1210</v>
      </c>
      <c r="U3040" s="90" t="s">
        <v>378</v>
      </c>
      <c r="V3040" s="90" t="s">
        <v>244</v>
      </c>
      <c r="Z3040" s="90">
        <v>0</v>
      </c>
      <c r="AA3040" s="90">
        <v>1</v>
      </c>
      <c r="AB3040" s="90">
        <v>0.34593093861176999</v>
      </c>
      <c r="AC3040" s="90">
        <v>5.0902004498319997E-2</v>
      </c>
      <c r="AD3040" s="90">
        <v>190.27827961280499</v>
      </c>
      <c r="AF3040" s="90">
        <v>-1</v>
      </c>
      <c r="AG3040" s="90">
        <v>-1</v>
      </c>
      <c r="AH3040" s="90">
        <v>-1</v>
      </c>
      <c r="AI3040" s="90">
        <v>-1</v>
      </c>
      <c r="AJ3040" s="90">
        <v>0</v>
      </c>
      <c r="AM3040" s="90" t="s">
        <v>379</v>
      </c>
      <c r="AN3040" s="90">
        <v>-1</v>
      </c>
      <c r="AQ3040" s="90">
        <v>389</v>
      </c>
      <c r="AR3040" s="90" t="s">
        <v>309</v>
      </c>
      <c r="AS3040" s="90" t="s">
        <v>428</v>
      </c>
      <c r="AT3040" s="90" t="s">
        <v>244</v>
      </c>
      <c r="AU3040" s="90">
        <v>1.2371239999999999</v>
      </c>
      <c r="AV3040" s="90">
        <v>55.527681969841403</v>
      </c>
      <c r="AW3040" s="90">
        <v>182.15705036884401</v>
      </c>
      <c r="AX3040" s="90">
        <v>0.1543213947</v>
      </c>
    </row>
    <row r="3041" spans="1:50" x14ac:dyDescent="0.25">
      <c r="A3041" s="102">
        <v>830000</v>
      </c>
      <c r="B3041" s="102">
        <v>2400000</v>
      </c>
      <c r="C3041" s="102">
        <v>2400000</v>
      </c>
      <c r="D3041" s="90" t="s">
        <v>374</v>
      </c>
      <c r="E3041" s="90" t="s">
        <v>68</v>
      </c>
      <c r="F3041" s="90" t="s">
        <v>375</v>
      </c>
      <c r="G3041" s="90" t="s">
        <v>376</v>
      </c>
      <c r="H3041" s="90">
        <v>0.59</v>
      </c>
      <c r="I3041" s="90">
        <v>0.64</v>
      </c>
      <c r="J3041" s="90" t="s">
        <v>244</v>
      </c>
      <c r="K3041" s="90">
        <v>3.1033773102740001E-2</v>
      </c>
      <c r="L3041" s="90">
        <v>3076.60293017412</v>
      </c>
      <c r="M3041" s="90">
        <v>7.6853069249488497</v>
      </c>
      <c r="N3041" s="90">
        <v>1.13085441052082</v>
      </c>
      <c r="O3041" s="90">
        <v>0.23850407133377</v>
      </c>
      <c r="P3041" s="90">
        <v>3.5094679188330001E-2</v>
      </c>
      <c r="Q3041" s="90">
        <v>95.478597262248798</v>
      </c>
      <c r="R3041" s="90">
        <v>1210</v>
      </c>
      <c r="S3041" s="90" t="s">
        <v>385</v>
      </c>
      <c r="T3041" s="90">
        <v>1210</v>
      </c>
      <c r="U3041" s="90" t="s">
        <v>378</v>
      </c>
      <c r="V3041" s="90" t="s">
        <v>244</v>
      </c>
      <c r="Z3041" s="90">
        <v>0</v>
      </c>
      <c r="AA3041" s="90">
        <v>1</v>
      </c>
      <c r="AB3041" s="90">
        <v>0.23850407133377</v>
      </c>
      <c r="AC3041" s="90">
        <v>3.5094679188330001E-2</v>
      </c>
      <c r="AD3041" s="90">
        <v>95.478597262250304</v>
      </c>
      <c r="AF3041" s="90">
        <v>-1</v>
      </c>
      <c r="AG3041" s="90">
        <v>-1</v>
      </c>
      <c r="AH3041" s="90">
        <v>-1</v>
      </c>
      <c r="AI3041" s="90">
        <v>-1</v>
      </c>
      <c r="AJ3041" s="90">
        <v>0</v>
      </c>
      <c r="AM3041" s="90" t="s">
        <v>379</v>
      </c>
      <c r="AN3041" s="90">
        <v>-1</v>
      </c>
      <c r="AQ3041" s="90">
        <v>389</v>
      </c>
      <c r="AR3041" s="90" t="s">
        <v>309</v>
      </c>
      <c r="AS3041" s="90" t="s">
        <v>428</v>
      </c>
      <c r="AT3041" s="90" t="s">
        <v>244</v>
      </c>
      <c r="AU3041" s="90">
        <v>1.2371239999999999</v>
      </c>
      <c r="AV3041" s="90">
        <v>44.846992148579702</v>
      </c>
      <c r="AW3041" s="90">
        <v>125.58922399212901</v>
      </c>
      <c r="AX3041" s="90">
        <v>7.7436007500000001E-2</v>
      </c>
    </row>
    <row r="3042" spans="1:50" x14ac:dyDescent="0.25">
      <c r="A3042" s="102">
        <v>830000</v>
      </c>
      <c r="B3042" s="102">
        <v>2400000</v>
      </c>
      <c r="C3042" s="102">
        <v>2400000</v>
      </c>
      <c r="D3042" s="90" t="s">
        <v>374</v>
      </c>
      <c r="E3042" s="90" t="s">
        <v>68</v>
      </c>
      <c r="F3042" s="90" t="s">
        <v>375</v>
      </c>
      <c r="G3042" s="90" t="s">
        <v>376</v>
      </c>
      <c r="H3042" s="90">
        <v>0.59</v>
      </c>
      <c r="I3042" s="90">
        <v>0.64</v>
      </c>
      <c r="J3042" s="90" t="s">
        <v>244</v>
      </c>
      <c r="K3042" s="90">
        <v>2.4597917641999998E-4</v>
      </c>
      <c r="L3042" s="90">
        <v>2431.5070642957398</v>
      </c>
      <c r="M3042" s="90">
        <v>6.7556750793336002</v>
      </c>
      <c r="N3042" s="90">
        <v>0.94297393693562004</v>
      </c>
      <c r="O3042" s="90">
        <v>1.66175539223E-3</v>
      </c>
      <c r="P3042" s="90">
        <v>2.319519524E-4</v>
      </c>
      <c r="Q3042" s="90">
        <v>0.59810010515432999</v>
      </c>
      <c r="R3042" s="90">
        <v>1210</v>
      </c>
      <c r="S3042" s="90" t="s">
        <v>385</v>
      </c>
      <c r="T3042" s="90">
        <v>1210</v>
      </c>
      <c r="U3042" s="90" t="s">
        <v>378</v>
      </c>
      <c r="V3042" s="90" t="s">
        <v>244</v>
      </c>
      <c r="Z3042" s="90">
        <v>0</v>
      </c>
      <c r="AA3042" s="90">
        <v>1</v>
      </c>
      <c r="AB3042" s="90">
        <v>1.66175539223E-3</v>
      </c>
      <c r="AC3042" s="90">
        <v>2.319519524E-4</v>
      </c>
      <c r="AD3042" s="90">
        <v>208.44802445065301</v>
      </c>
      <c r="AF3042" s="90">
        <v>-1</v>
      </c>
      <c r="AG3042" s="90">
        <v>-1</v>
      </c>
      <c r="AH3042" s="90">
        <v>-1</v>
      </c>
      <c r="AI3042" s="90">
        <v>-1</v>
      </c>
      <c r="AJ3042" s="90">
        <v>0</v>
      </c>
      <c r="AM3042" s="90" t="s">
        <v>379</v>
      </c>
      <c r="AN3042" s="90">
        <v>-1</v>
      </c>
      <c r="AQ3042" s="90">
        <v>389</v>
      </c>
      <c r="AR3042" s="90" t="s">
        <v>309</v>
      </c>
      <c r="AS3042" s="90" t="s">
        <v>428</v>
      </c>
      <c r="AT3042" s="90" t="s">
        <v>244</v>
      </c>
      <c r="AU3042" s="90">
        <v>1.2371239999999999</v>
      </c>
      <c r="AV3042" s="90">
        <v>10.286485473306</v>
      </c>
      <c r="AW3042" s="90">
        <v>0.99544240990366994</v>
      </c>
      <c r="AX3042" s="90">
        <v>0.169057603</v>
      </c>
    </row>
    <row r="3043" spans="1:50" x14ac:dyDescent="0.25">
      <c r="A3043" s="102">
        <v>830000</v>
      </c>
      <c r="B3043" s="102">
        <v>2400000</v>
      </c>
      <c r="C3043" s="102">
        <v>2400000</v>
      </c>
      <c r="D3043" s="90" t="s">
        <v>374</v>
      </c>
      <c r="E3043" s="90" t="s">
        <v>68</v>
      </c>
      <c r="F3043" s="90" t="s">
        <v>375</v>
      </c>
      <c r="G3043" s="90" t="s">
        <v>376</v>
      </c>
      <c r="H3043" s="90">
        <v>0.59</v>
      </c>
      <c r="I3043" s="90">
        <v>0.64</v>
      </c>
      <c r="J3043" s="90" t="s">
        <v>244</v>
      </c>
      <c r="K3043" s="90">
        <v>1.0979176534E-4</v>
      </c>
      <c r="L3043" s="90">
        <v>2431.5070642957398</v>
      </c>
      <c r="M3043" s="90">
        <v>6.7556750793336002</v>
      </c>
      <c r="N3043" s="90">
        <v>0.94297393693562004</v>
      </c>
      <c r="O3043" s="90">
        <v>7.4171749305000005E-4</v>
      </c>
      <c r="P3043" s="90">
        <v>1.0353077320999999E-4</v>
      </c>
      <c r="Q3043" s="90">
        <v>0.26695945303543001</v>
      </c>
      <c r="R3043" s="90">
        <v>1210</v>
      </c>
      <c r="S3043" s="90" t="s">
        <v>385</v>
      </c>
      <c r="T3043" s="90">
        <v>1210</v>
      </c>
      <c r="U3043" s="90" t="s">
        <v>378</v>
      </c>
      <c r="V3043" s="90" t="s">
        <v>244</v>
      </c>
      <c r="Z3043" s="90">
        <v>0</v>
      </c>
      <c r="AA3043" s="90">
        <v>1</v>
      </c>
      <c r="AB3043" s="90">
        <v>7.4171749305000005E-4</v>
      </c>
      <c r="AC3043" s="90">
        <v>1.0353077320999999E-4</v>
      </c>
      <c r="AD3043" s="90">
        <v>10.8177003326403</v>
      </c>
      <c r="AF3043" s="90">
        <v>-1</v>
      </c>
      <c r="AG3043" s="90">
        <v>-1</v>
      </c>
      <c r="AH3043" s="90">
        <v>-1</v>
      </c>
      <c r="AI3043" s="90">
        <v>-1</v>
      </c>
      <c r="AJ3043" s="90">
        <v>0</v>
      </c>
      <c r="AM3043" s="90" t="s">
        <v>379</v>
      </c>
      <c r="AN3043" s="90">
        <v>-1</v>
      </c>
      <c r="AQ3043" s="90">
        <v>389</v>
      </c>
      <c r="AR3043" s="90" t="s">
        <v>309</v>
      </c>
      <c r="AS3043" s="90" t="s">
        <v>428</v>
      </c>
      <c r="AT3043" s="90" t="s">
        <v>244</v>
      </c>
      <c r="AU3043" s="90">
        <v>1.2371239999999999</v>
      </c>
      <c r="AV3043" s="90">
        <v>3.8881775060114898</v>
      </c>
      <c r="AW3043" s="90">
        <v>0.44431151070753</v>
      </c>
      <c r="AX3043" s="90">
        <v>8.7734796E-3</v>
      </c>
    </row>
    <row r="3044" spans="1:50" x14ac:dyDescent="0.25">
      <c r="A3044" s="102">
        <v>830000</v>
      </c>
      <c r="B3044" s="102">
        <v>2400000</v>
      </c>
      <c r="C3044" s="102">
        <v>2400000</v>
      </c>
      <c r="D3044" s="90" t="s">
        <v>374</v>
      </c>
      <c r="E3044" s="90" t="s">
        <v>68</v>
      </c>
      <c r="F3044" s="90" t="s">
        <v>375</v>
      </c>
      <c r="G3044" s="90" t="s">
        <v>376</v>
      </c>
      <c r="H3044" s="90">
        <v>0.59</v>
      </c>
      <c r="I3044" s="90">
        <v>0.64</v>
      </c>
      <c r="J3044" s="90" t="s">
        <v>244</v>
      </c>
      <c r="K3044" s="90">
        <v>8.4089476108060002E-2</v>
      </c>
      <c r="L3044" s="90">
        <v>3746.3508542428799</v>
      </c>
      <c r="M3044" s="90">
        <v>10.6164183950444</v>
      </c>
      <c r="N3044" s="90">
        <v>1.7517267097703599</v>
      </c>
      <c r="O3044" s="90">
        <v>0.89272906098328997</v>
      </c>
      <c r="P3044" s="90">
        <v>0.14730178130909</v>
      </c>
      <c r="Q3044" s="90">
        <v>315.02868065027798</v>
      </c>
      <c r="R3044" s="90">
        <v>1330</v>
      </c>
      <c r="S3044" s="90" t="s">
        <v>397</v>
      </c>
      <c r="T3044" s="90">
        <v>1330</v>
      </c>
      <c r="U3044" s="90" t="s">
        <v>378</v>
      </c>
      <c r="V3044" s="90" t="s">
        <v>244</v>
      </c>
      <c r="Z3044" s="90">
        <v>0</v>
      </c>
      <c r="AA3044" s="90">
        <v>1</v>
      </c>
      <c r="AB3044" s="90">
        <v>0.89272906098328997</v>
      </c>
      <c r="AC3044" s="90">
        <v>0.14730178130909</v>
      </c>
      <c r="AD3044" s="90">
        <v>487.78269031637501</v>
      </c>
      <c r="AF3044" s="90">
        <v>-1</v>
      </c>
      <c r="AG3044" s="90">
        <v>-1</v>
      </c>
      <c r="AH3044" s="90">
        <v>-1</v>
      </c>
      <c r="AI3044" s="90">
        <v>-1</v>
      </c>
      <c r="AJ3044" s="90">
        <v>0</v>
      </c>
      <c r="AM3044" s="90" t="s">
        <v>379</v>
      </c>
      <c r="AN3044" s="90">
        <v>-1</v>
      </c>
      <c r="AQ3044" s="90">
        <v>390</v>
      </c>
      <c r="AR3044" s="90" t="s">
        <v>311</v>
      </c>
      <c r="AS3044" s="90" t="s">
        <v>429</v>
      </c>
      <c r="AT3044" s="90" t="s">
        <v>244</v>
      </c>
      <c r="AU3044" s="90">
        <v>1.745582</v>
      </c>
      <c r="AV3044" s="90">
        <v>98.521856356569302</v>
      </c>
      <c r="AW3044" s="90">
        <v>340.29803644416501</v>
      </c>
      <c r="AX3044" s="90">
        <v>0.39560639930000002</v>
      </c>
    </row>
    <row r="3045" spans="1:50" x14ac:dyDescent="0.25">
      <c r="A3045" s="102">
        <v>830000</v>
      </c>
      <c r="B3045" s="102">
        <v>2400000</v>
      </c>
      <c r="C3045" s="102">
        <v>2400000</v>
      </c>
      <c r="D3045" s="90" t="s">
        <v>374</v>
      </c>
      <c r="E3045" s="90" t="s">
        <v>68</v>
      </c>
      <c r="F3045" s="90" t="s">
        <v>375</v>
      </c>
      <c r="G3045" s="90" t="s">
        <v>376</v>
      </c>
      <c r="H3045" s="90">
        <v>0.59</v>
      </c>
      <c r="I3045" s="90">
        <v>0.64</v>
      </c>
      <c r="J3045" s="90" t="s">
        <v>244</v>
      </c>
      <c r="K3045" s="90">
        <v>5.0483330615039998E-2</v>
      </c>
      <c r="L3045" s="90">
        <v>3746.3508542428799</v>
      </c>
      <c r="M3045" s="90">
        <v>10.6164183950444</v>
      </c>
      <c r="N3045" s="90">
        <v>1.7517267097703599</v>
      </c>
      <c r="O3045" s="90">
        <v>0.53595215978467003</v>
      </c>
      <c r="P3045" s="90">
        <v>8.843299863654E-2</v>
      </c>
      <c r="Q3045" s="90">
        <v>189.128268774699</v>
      </c>
      <c r="R3045" s="90">
        <v>1430</v>
      </c>
      <c r="S3045" s="90" t="s">
        <v>326</v>
      </c>
      <c r="T3045" s="90">
        <v>1430</v>
      </c>
      <c r="U3045" s="90" t="s">
        <v>378</v>
      </c>
      <c r="V3045" s="90" t="s">
        <v>244</v>
      </c>
      <c r="Z3045" s="90">
        <v>0</v>
      </c>
      <c r="AA3045" s="90">
        <v>1</v>
      </c>
      <c r="AB3045" s="90">
        <v>0.53595215978467003</v>
      </c>
      <c r="AC3045" s="90">
        <v>8.843299863654E-2</v>
      </c>
      <c r="AD3045" s="90">
        <v>189.128268774699</v>
      </c>
      <c r="AF3045" s="90">
        <v>-1</v>
      </c>
      <c r="AG3045" s="90">
        <v>-1</v>
      </c>
      <c r="AH3045" s="90">
        <v>-1</v>
      </c>
      <c r="AI3045" s="90">
        <v>-1</v>
      </c>
      <c r="AJ3045" s="90">
        <v>0</v>
      </c>
      <c r="AM3045" s="90" t="s">
        <v>379</v>
      </c>
      <c r="AN3045" s="90">
        <v>-1</v>
      </c>
      <c r="AQ3045" s="90">
        <v>390</v>
      </c>
      <c r="AR3045" s="90" t="s">
        <v>311</v>
      </c>
      <c r="AS3045" s="90" t="s">
        <v>429</v>
      </c>
      <c r="AT3045" s="90" t="s">
        <v>244</v>
      </c>
      <c r="AU3045" s="90">
        <v>1.745582</v>
      </c>
      <c r="AV3045" s="90">
        <v>57.319734134297001</v>
      </c>
      <c r="AW3045" s="90">
        <v>204.29879072363701</v>
      </c>
      <c r="AX3045" s="90">
        <v>0.15338870139999999</v>
      </c>
    </row>
    <row r="3046" spans="1:50" x14ac:dyDescent="0.25">
      <c r="A3046" s="102">
        <v>830000</v>
      </c>
      <c r="B3046" s="102">
        <v>2400000</v>
      </c>
      <c r="C3046" s="102">
        <v>2400000</v>
      </c>
      <c r="D3046" s="90" t="s">
        <v>374</v>
      </c>
      <c r="E3046" s="90" t="s">
        <v>68</v>
      </c>
      <c r="F3046" s="90" t="s">
        <v>375</v>
      </c>
      <c r="G3046" s="90" t="s">
        <v>376</v>
      </c>
      <c r="H3046" s="90">
        <v>0.59</v>
      </c>
      <c r="I3046" s="90">
        <v>0.64</v>
      </c>
      <c r="J3046" s="90" t="s">
        <v>244</v>
      </c>
      <c r="K3046" s="90">
        <v>4.1556499037480002E-2</v>
      </c>
      <c r="L3046" s="90">
        <v>3746.3508542428799</v>
      </c>
      <c r="M3046" s="90">
        <v>10.6164183950444</v>
      </c>
      <c r="N3046" s="90">
        <v>1.7517267097703599</v>
      </c>
      <c r="O3046" s="90">
        <v>0.44118118081522001</v>
      </c>
      <c r="P3046" s="90">
        <v>7.2795629328509998E-2</v>
      </c>
      <c r="Q3046" s="90">
        <v>155.685225668432</v>
      </c>
      <c r="R3046" s="90">
        <v>1330</v>
      </c>
      <c r="S3046" s="90" t="s">
        <v>397</v>
      </c>
      <c r="T3046" s="90">
        <v>1330</v>
      </c>
      <c r="U3046" s="90" t="s">
        <v>378</v>
      </c>
      <c r="V3046" s="90" t="s">
        <v>244</v>
      </c>
      <c r="Z3046" s="90">
        <v>0</v>
      </c>
      <c r="AA3046" s="90">
        <v>1</v>
      </c>
      <c r="AB3046" s="90">
        <v>0.44118118081522001</v>
      </c>
      <c r="AC3046" s="90">
        <v>7.2795629328509998E-2</v>
      </c>
      <c r="AD3046" s="90">
        <v>627.98307708879702</v>
      </c>
      <c r="AF3046" s="90">
        <v>-1</v>
      </c>
      <c r="AG3046" s="90">
        <v>-1</v>
      </c>
      <c r="AH3046" s="90">
        <v>-1</v>
      </c>
      <c r="AI3046" s="90">
        <v>-1</v>
      </c>
      <c r="AJ3046" s="90">
        <v>0</v>
      </c>
      <c r="AM3046" s="90" t="s">
        <v>379</v>
      </c>
      <c r="AN3046" s="90">
        <v>-1</v>
      </c>
      <c r="AQ3046" s="90">
        <v>390</v>
      </c>
      <c r="AR3046" s="90" t="s">
        <v>311</v>
      </c>
      <c r="AS3046" s="90" t="s">
        <v>429</v>
      </c>
      <c r="AT3046" s="90" t="s">
        <v>244</v>
      </c>
      <c r="AU3046" s="90">
        <v>1.745582</v>
      </c>
      <c r="AV3046" s="90">
        <v>59.933743106095399</v>
      </c>
      <c r="AW3046" s="90">
        <v>168.173185022312</v>
      </c>
      <c r="AX3046" s="90">
        <v>0.50931312009999996</v>
      </c>
    </row>
    <row r="3047" spans="1:50" x14ac:dyDescent="0.25">
      <c r="A3047" s="102">
        <v>830000</v>
      </c>
      <c r="B3047" s="102">
        <v>2400000</v>
      </c>
      <c r="C3047" s="102">
        <v>2400000</v>
      </c>
      <c r="D3047" s="90" t="s">
        <v>374</v>
      </c>
      <c r="E3047" s="90" t="s">
        <v>68</v>
      </c>
      <c r="F3047" s="90" t="s">
        <v>375</v>
      </c>
      <c r="G3047" s="90" t="s">
        <v>376</v>
      </c>
      <c r="H3047" s="90">
        <v>0.59</v>
      </c>
      <c r="I3047" s="90">
        <v>0.64</v>
      </c>
      <c r="J3047" s="90" t="s">
        <v>244</v>
      </c>
      <c r="K3047" s="90">
        <v>5.965680767144E-2</v>
      </c>
      <c r="L3047" s="90">
        <v>3746.3508542428799</v>
      </c>
      <c r="M3047" s="90">
        <v>10.6164183950444</v>
      </c>
      <c r="N3047" s="90">
        <v>1.7517267097703599</v>
      </c>
      <c r="O3047" s="90">
        <v>0.63334163035277002</v>
      </c>
      <c r="P3047" s="90">
        <v>0.1045024234177</v>
      </c>
      <c r="Q3047" s="90">
        <v>223.49533238132801</v>
      </c>
      <c r="R3047" s="90">
        <v>1430</v>
      </c>
      <c r="S3047" s="90" t="s">
        <v>326</v>
      </c>
      <c r="T3047" s="90">
        <v>1430</v>
      </c>
      <c r="U3047" s="90" t="s">
        <v>378</v>
      </c>
      <c r="V3047" s="90" t="s">
        <v>244</v>
      </c>
      <c r="Z3047" s="90">
        <v>0</v>
      </c>
      <c r="AA3047" s="90">
        <v>1</v>
      </c>
      <c r="AB3047" s="90">
        <v>0.63334163035277002</v>
      </c>
      <c r="AC3047" s="90">
        <v>0.1045024234177</v>
      </c>
      <c r="AD3047" s="90">
        <v>227.23473698476801</v>
      </c>
      <c r="AF3047" s="90">
        <v>-1</v>
      </c>
      <c r="AG3047" s="90">
        <v>-1</v>
      </c>
      <c r="AH3047" s="90">
        <v>-1</v>
      </c>
      <c r="AI3047" s="90">
        <v>-1</v>
      </c>
      <c r="AJ3047" s="90">
        <v>0</v>
      </c>
      <c r="AM3047" s="90" t="s">
        <v>379</v>
      </c>
      <c r="AN3047" s="90">
        <v>-1</v>
      </c>
      <c r="AQ3047" s="90">
        <v>390</v>
      </c>
      <c r="AR3047" s="90" t="s">
        <v>311</v>
      </c>
      <c r="AS3047" s="90" t="s">
        <v>429</v>
      </c>
      <c r="AT3047" s="90" t="s">
        <v>244</v>
      </c>
      <c r="AU3047" s="90">
        <v>1.745582</v>
      </c>
      <c r="AV3047" s="90">
        <v>62.366984133290799</v>
      </c>
      <c r="AW3047" s="90">
        <v>241.42253526507599</v>
      </c>
      <c r="AX3047" s="90">
        <v>0.18429419059999999</v>
      </c>
    </row>
    <row r="3048" spans="1:50" x14ac:dyDescent="0.25">
      <c r="A3048" s="102">
        <v>830000</v>
      </c>
      <c r="B3048" s="102">
        <v>2400000</v>
      </c>
      <c r="C3048" s="102">
        <v>2400000</v>
      </c>
      <c r="D3048" s="90" t="s">
        <v>374</v>
      </c>
      <c r="E3048" s="90" t="s">
        <v>68</v>
      </c>
      <c r="F3048" s="90" t="s">
        <v>375</v>
      </c>
      <c r="G3048" s="90" t="s">
        <v>376</v>
      </c>
      <c r="H3048" s="90">
        <v>0.59</v>
      </c>
      <c r="I3048" s="90">
        <v>0.64</v>
      </c>
      <c r="J3048" s="90" t="s">
        <v>244</v>
      </c>
      <c r="K3048" s="90">
        <v>5.6864843078000004E-4</v>
      </c>
      <c r="L3048" s="90">
        <v>3746.3508542428799</v>
      </c>
      <c r="M3048" s="90">
        <v>10.6164183950444</v>
      </c>
      <c r="N3048" s="90">
        <v>1.7517267097703599</v>
      </c>
      <c r="O3048" s="90">
        <v>6.0370096608699996E-3</v>
      </c>
      <c r="P3048" s="90">
        <v>9.9611664466999991E-4</v>
      </c>
      <c r="Q3048" s="90">
        <v>2.1303565344277602</v>
      </c>
      <c r="R3048" s="90">
        <v>1410</v>
      </c>
      <c r="S3048" s="90" t="s">
        <v>325</v>
      </c>
      <c r="T3048" s="90">
        <v>1410</v>
      </c>
      <c r="U3048" s="90" t="s">
        <v>378</v>
      </c>
      <c r="V3048" s="90" t="s">
        <v>244</v>
      </c>
      <c r="Z3048" s="90">
        <v>0</v>
      </c>
      <c r="AA3048" s="90">
        <v>1</v>
      </c>
      <c r="AB3048" s="90">
        <v>6.0370096608699996E-3</v>
      </c>
      <c r="AC3048" s="90">
        <v>9.9611664466999991E-4</v>
      </c>
      <c r="AD3048" s="90">
        <v>202.46814167231599</v>
      </c>
      <c r="AF3048" s="90">
        <v>-1</v>
      </c>
      <c r="AG3048" s="90">
        <v>-1</v>
      </c>
      <c r="AH3048" s="90">
        <v>-1</v>
      </c>
      <c r="AI3048" s="90">
        <v>-1</v>
      </c>
      <c r="AJ3048" s="90">
        <v>0</v>
      </c>
      <c r="AM3048" s="90" t="s">
        <v>379</v>
      </c>
      <c r="AN3048" s="90">
        <v>-1</v>
      </c>
      <c r="AQ3048" s="90">
        <v>390</v>
      </c>
      <c r="AR3048" s="90" t="s">
        <v>311</v>
      </c>
      <c r="AS3048" s="90" t="s">
        <v>429</v>
      </c>
      <c r="AT3048" s="90" t="s">
        <v>244</v>
      </c>
      <c r="AU3048" s="90">
        <v>1.745582</v>
      </c>
      <c r="AV3048" s="90">
        <v>13.8248256260206</v>
      </c>
      <c r="AW3048" s="90">
        <v>2.3012385542004798</v>
      </c>
      <c r="AX3048" s="90">
        <v>0.16420773860000001</v>
      </c>
    </row>
    <row r="3049" spans="1:50" x14ac:dyDescent="0.25">
      <c r="A3049" s="102">
        <v>830000</v>
      </c>
      <c r="B3049" s="102">
        <v>2400000</v>
      </c>
      <c r="C3049" s="102">
        <v>2400000</v>
      </c>
      <c r="D3049" s="90" t="s">
        <v>374</v>
      </c>
      <c r="E3049" s="90" t="s">
        <v>68</v>
      </c>
      <c r="F3049" s="90" t="s">
        <v>375</v>
      </c>
      <c r="G3049" s="90" t="s">
        <v>376</v>
      </c>
      <c r="H3049" s="90">
        <v>0.59</v>
      </c>
      <c r="I3049" s="90">
        <v>0.64</v>
      </c>
      <c r="J3049" s="90" t="s">
        <v>244</v>
      </c>
      <c r="K3049" s="90">
        <v>1.6367973459059999E-2</v>
      </c>
      <c r="L3049" s="90">
        <v>3771.00953680673</v>
      </c>
      <c r="M3049" s="90">
        <v>11.4788758931294</v>
      </c>
      <c r="N3049" s="90">
        <v>1.522438305648</v>
      </c>
      <c r="O3049" s="90">
        <v>0.18788593595858</v>
      </c>
      <c r="P3049" s="90">
        <v>2.49192297799E-2</v>
      </c>
      <c r="Q3049" s="90">
        <v>61.723784012314702</v>
      </c>
      <c r="R3049" s="90">
        <v>1400</v>
      </c>
      <c r="S3049" s="90" t="s">
        <v>324</v>
      </c>
      <c r="T3049" s="90">
        <v>1400</v>
      </c>
      <c r="U3049" s="90" t="s">
        <v>378</v>
      </c>
      <c r="V3049" s="90" t="s">
        <v>244</v>
      </c>
      <c r="Z3049" s="90">
        <v>0</v>
      </c>
      <c r="AA3049" s="90">
        <v>1</v>
      </c>
      <c r="AB3049" s="90">
        <v>0.18788593595858</v>
      </c>
      <c r="AC3049" s="90">
        <v>2.49192297799E-2</v>
      </c>
      <c r="AD3049" s="90">
        <v>461.76587612636001</v>
      </c>
      <c r="AF3049" s="90">
        <v>-1</v>
      </c>
      <c r="AG3049" s="90">
        <v>-1</v>
      </c>
      <c r="AH3049" s="90">
        <v>-1</v>
      </c>
      <c r="AI3049" s="90">
        <v>-1</v>
      </c>
      <c r="AJ3049" s="90">
        <v>0</v>
      </c>
      <c r="AM3049" s="90" t="s">
        <v>379</v>
      </c>
      <c r="AN3049" s="90">
        <v>-1</v>
      </c>
      <c r="AQ3049" s="90">
        <v>390</v>
      </c>
      <c r="AR3049" s="90" t="s">
        <v>311</v>
      </c>
      <c r="AS3049" s="90" t="s">
        <v>429</v>
      </c>
      <c r="AT3049" s="90" t="s">
        <v>244</v>
      </c>
      <c r="AU3049" s="90">
        <v>1.745582</v>
      </c>
      <c r="AV3049" s="90">
        <v>36.196697406862903</v>
      </c>
      <c r="AW3049" s="90">
        <v>66.238838514470004</v>
      </c>
      <c r="AX3049" s="90">
        <v>0.37450598229999998</v>
      </c>
    </row>
    <row r="3050" spans="1:50" x14ac:dyDescent="0.25">
      <c r="A3050" s="102">
        <v>830000</v>
      </c>
      <c r="B3050" s="102">
        <v>2400000</v>
      </c>
      <c r="C3050" s="102">
        <v>2400000</v>
      </c>
      <c r="D3050" s="90" t="s">
        <v>374</v>
      </c>
      <c r="E3050" s="90" t="s">
        <v>68</v>
      </c>
      <c r="F3050" s="90" t="s">
        <v>375</v>
      </c>
      <c r="G3050" s="90" t="s">
        <v>376</v>
      </c>
      <c r="H3050" s="90">
        <v>0.59</v>
      </c>
      <c r="I3050" s="90">
        <v>0.64</v>
      </c>
      <c r="J3050" s="90" t="s">
        <v>244</v>
      </c>
      <c r="K3050" s="90">
        <v>5.8885465198700001E-3</v>
      </c>
      <c r="L3050" s="90">
        <v>3728.6644159901998</v>
      </c>
      <c r="M3050" s="90">
        <v>10.158219903811201</v>
      </c>
      <c r="N3050" s="90">
        <v>1.7889256866015599</v>
      </c>
      <c r="O3050" s="90">
        <v>5.9817150462739999E-2</v>
      </c>
      <c r="P3050" s="90">
        <v>1.053417212615E-2</v>
      </c>
      <c r="Q3050" s="90">
        <v>21.956413870572</v>
      </c>
      <c r="R3050" s="90">
        <v>1300</v>
      </c>
      <c r="S3050" s="90" t="s">
        <v>387</v>
      </c>
      <c r="T3050" s="90">
        <v>1300</v>
      </c>
      <c r="U3050" s="90" t="s">
        <v>378</v>
      </c>
      <c r="V3050" s="90" t="s">
        <v>244</v>
      </c>
      <c r="Z3050" s="90">
        <v>0</v>
      </c>
      <c r="AA3050" s="90">
        <v>1</v>
      </c>
      <c r="AB3050" s="90">
        <v>5.9817150462739999E-2</v>
      </c>
      <c r="AC3050" s="90">
        <v>1.053417212615E-2</v>
      </c>
      <c r="AD3050" s="90">
        <v>727.65058775470902</v>
      </c>
      <c r="AF3050" s="90">
        <v>-1</v>
      </c>
      <c r="AG3050" s="90">
        <v>-1</v>
      </c>
      <c r="AH3050" s="90">
        <v>-1</v>
      </c>
      <c r="AI3050" s="90">
        <v>-1</v>
      </c>
      <c r="AJ3050" s="90">
        <v>0</v>
      </c>
      <c r="AM3050" s="90" t="s">
        <v>379</v>
      </c>
      <c r="AN3050" s="90">
        <v>-1</v>
      </c>
      <c r="AQ3050" s="90">
        <v>390</v>
      </c>
      <c r="AR3050" s="90" t="s">
        <v>311</v>
      </c>
      <c r="AS3050" s="90" t="s">
        <v>429</v>
      </c>
      <c r="AT3050" s="90" t="s">
        <v>244</v>
      </c>
      <c r="AU3050" s="90">
        <v>1.745582</v>
      </c>
      <c r="AV3050" s="90">
        <v>19.954057256021301</v>
      </c>
      <c r="AW3050" s="90">
        <v>23.8301023025688</v>
      </c>
      <c r="AX3050" s="90">
        <v>0.59014646209999999</v>
      </c>
    </row>
    <row r="3051" spans="1:50" x14ac:dyDescent="0.25">
      <c r="A3051" s="102">
        <v>830000</v>
      </c>
      <c r="B3051" s="102">
        <v>2400000</v>
      </c>
      <c r="C3051" s="102">
        <v>2400000</v>
      </c>
      <c r="D3051" s="90" t="s">
        <v>374</v>
      </c>
      <c r="E3051" s="90" t="s">
        <v>68</v>
      </c>
      <c r="F3051" s="90" t="s">
        <v>375</v>
      </c>
      <c r="G3051" s="90" t="s">
        <v>376</v>
      </c>
      <c r="H3051" s="90">
        <v>0.59</v>
      </c>
      <c r="I3051" s="90">
        <v>0.64</v>
      </c>
      <c r="J3051" s="90" t="s">
        <v>244</v>
      </c>
      <c r="K3051" s="90">
        <v>3.1412085965600001E-3</v>
      </c>
      <c r="L3051" s="90">
        <v>3728.6644159901998</v>
      </c>
      <c r="M3051" s="90">
        <v>10.158219903811201</v>
      </c>
      <c r="N3051" s="90">
        <v>1.7889256866015599</v>
      </c>
      <c r="O3051" s="90">
        <v>3.190908768767E-2</v>
      </c>
      <c r="P3051" s="90">
        <v>5.6193887453700004E-3</v>
      </c>
      <c r="Q3051" s="90">
        <v>11.7125127172218</v>
      </c>
      <c r="R3051" s="90">
        <v>1330</v>
      </c>
      <c r="S3051" s="90" t="s">
        <v>397</v>
      </c>
      <c r="T3051" s="90">
        <v>1330</v>
      </c>
      <c r="U3051" s="90" t="s">
        <v>378</v>
      </c>
      <c r="V3051" s="90" t="s">
        <v>244</v>
      </c>
      <c r="Z3051" s="90">
        <v>0</v>
      </c>
      <c r="AA3051" s="90">
        <v>1</v>
      </c>
      <c r="AB3051" s="90">
        <v>3.190908768767E-2</v>
      </c>
      <c r="AC3051" s="90">
        <v>5.6193887453700004E-3</v>
      </c>
      <c r="AD3051" s="90">
        <v>50.206316230901997</v>
      </c>
      <c r="AF3051" s="90">
        <v>-1</v>
      </c>
      <c r="AG3051" s="90">
        <v>-1</v>
      </c>
      <c r="AH3051" s="90">
        <v>-1</v>
      </c>
      <c r="AI3051" s="90">
        <v>-1</v>
      </c>
      <c r="AJ3051" s="90">
        <v>0</v>
      </c>
      <c r="AM3051" s="90" t="s">
        <v>379</v>
      </c>
      <c r="AN3051" s="90">
        <v>-1</v>
      </c>
      <c r="AQ3051" s="90">
        <v>390</v>
      </c>
      <c r="AR3051" s="90" t="s">
        <v>311</v>
      </c>
      <c r="AS3051" s="90" t="s">
        <v>429</v>
      </c>
      <c r="AT3051" s="90" t="s">
        <v>244</v>
      </c>
      <c r="AU3051" s="90">
        <v>1.745582</v>
      </c>
      <c r="AV3051" s="90">
        <v>14.5373832945254</v>
      </c>
      <c r="AW3051" s="90">
        <v>12.712020183115101</v>
      </c>
      <c r="AX3051" s="90">
        <v>4.0718829099999999E-2</v>
      </c>
    </row>
    <row r="3052" spans="1:50" x14ac:dyDescent="0.25">
      <c r="A3052" s="102">
        <v>830000</v>
      </c>
      <c r="B3052" s="102">
        <v>2400000</v>
      </c>
      <c r="C3052" s="102">
        <v>2400000</v>
      </c>
      <c r="D3052" s="90" t="s">
        <v>374</v>
      </c>
      <c r="E3052" s="90" t="s">
        <v>68</v>
      </c>
      <c r="F3052" s="90" t="s">
        <v>375</v>
      </c>
      <c r="G3052" s="90" t="s">
        <v>376</v>
      </c>
      <c r="H3052" s="90">
        <v>0.59</v>
      </c>
      <c r="I3052" s="90">
        <v>0.64</v>
      </c>
      <c r="J3052" s="90" t="s">
        <v>244</v>
      </c>
      <c r="K3052" s="90">
        <v>1.3877975320999999E-4</v>
      </c>
      <c r="L3052" s="90">
        <v>3772.9255719768798</v>
      </c>
      <c r="M3052" s="90">
        <v>11.5521709158636</v>
      </c>
      <c r="N3052" s="90">
        <v>1.52778958766508</v>
      </c>
      <c r="O3052" s="90">
        <v>1.6032074287600001E-3</v>
      </c>
      <c r="P3052" s="90">
        <v>2.1202626192999999E-4</v>
      </c>
      <c r="Q3052" s="90">
        <v>0.52360567976618999</v>
      </c>
      <c r="R3052" s="90">
        <v>1400</v>
      </c>
      <c r="S3052" s="90" t="s">
        <v>324</v>
      </c>
      <c r="T3052" s="90">
        <v>1400</v>
      </c>
      <c r="U3052" s="90" t="s">
        <v>378</v>
      </c>
      <c r="V3052" s="90" t="s">
        <v>244</v>
      </c>
      <c r="Z3052" s="90">
        <v>0</v>
      </c>
      <c r="AA3052" s="90">
        <v>1</v>
      </c>
      <c r="AB3052" s="90">
        <v>1.6032074287600001E-3</v>
      </c>
      <c r="AC3052" s="90">
        <v>2.1202626192999999E-4</v>
      </c>
      <c r="AD3052" s="90">
        <v>7.8270815214919596</v>
      </c>
      <c r="AF3052" s="90">
        <v>-1</v>
      </c>
      <c r="AG3052" s="90">
        <v>-1</v>
      </c>
      <c r="AH3052" s="90">
        <v>-1</v>
      </c>
      <c r="AI3052" s="90">
        <v>-1</v>
      </c>
      <c r="AJ3052" s="90">
        <v>0</v>
      </c>
      <c r="AM3052" s="90" t="s">
        <v>379</v>
      </c>
      <c r="AN3052" s="90">
        <v>-1</v>
      </c>
      <c r="AQ3052" s="90">
        <v>390</v>
      </c>
      <c r="AR3052" s="90" t="s">
        <v>311</v>
      </c>
      <c r="AS3052" s="90" t="s">
        <v>429</v>
      </c>
      <c r="AT3052" s="90" t="s">
        <v>244</v>
      </c>
      <c r="AU3052" s="90">
        <v>1.745582</v>
      </c>
      <c r="AV3052" s="90">
        <v>6.9854602062679696</v>
      </c>
      <c r="AW3052" s="90">
        <v>0.56162173558336004</v>
      </c>
      <c r="AX3052" s="90">
        <v>6.3479979999999997E-3</v>
      </c>
    </row>
    <row r="3053" spans="1:50" x14ac:dyDescent="0.25">
      <c r="A3053" s="102">
        <v>830000</v>
      </c>
      <c r="B3053" s="102">
        <v>2400000</v>
      </c>
      <c r="C3053" s="102">
        <v>2400000</v>
      </c>
      <c r="D3053" s="90" t="s">
        <v>374</v>
      </c>
      <c r="E3053" s="90" t="s">
        <v>68</v>
      </c>
      <c r="F3053" s="90" t="s">
        <v>375</v>
      </c>
      <c r="G3053" s="90" t="s">
        <v>376</v>
      </c>
      <c r="H3053" s="90">
        <v>0.59</v>
      </c>
      <c r="I3053" s="90">
        <v>0.64</v>
      </c>
      <c r="J3053" s="90" t="s">
        <v>381</v>
      </c>
      <c r="K3053" s="90">
        <v>8.3915071193999997E-3</v>
      </c>
      <c r="L3053" s="90">
        <v>3772.9255719768798</v>
      </c>
      <c r="M3053" s="90">
        <v>11.5521709158636</v>
      </c>
      <c r="N3053" s="90">
        <v>1.52778958766508</v>
      </c>
      <c r="O3053" s="90">
        <v>9.6940124485010007E-2</v>
      </c>
      <c r="P3053" s="90">
        <v>1.282045720184E-2</v>
      </c>
      <c r="Q3053" s="90">
        <v>31.6605317982179</v>
      </c>
      <c r="R3053" s="90">
        <v>1400</v>
      </c>
      <c r="S3053" s="90" t="s">
        <v>324</v>
      </c>
      <c r="T3053" s="90">
        <v>1400</v>
      </c>
      <c r="U3053" s="90" t="s">
        <v>382</v>
      </c>
      <c r="V3053" s="90" t="s">
        <v>381</v>
      </c>
      <c r="Z3053" s="90">
        <v>0</v>
      </c>
      <c r="AA3053" s="90">
        <v>1</v>
      </c>
      <c r="AB3053" s="90">
        <v>9.6940124485010007E-2</v>
      </c>
      <c r="AC3053" s="90">
        <v>1.282045720184E-2</v>
      </c>
      <c r="AD3053" s="90">
        <v>826.865537549397</v>
      </c>
      <c r="AF3053" s="90">
        <v>-1</v>
      </c>
      <c r="AG3053" s="90">
        <v>-1</v>
      </c>
      <c r="AH3053" s="90">
        <v>-1</v>
      </c>
      <c r="AI3053" s="90">
        <v>-1</v>
      </c>
      <c r="AJ3053" s="90">
        <v>0</v>
      </c>
      <c r="AM3053" s="90" t="s">
        <v>379</v>
      </c>
      <c r="AN3053" s="90">
        <v>-1</v>
      </c>
      <c r="AQ3053" s="90">
        <v>390</v>
      </c>
      <c r="AR3053" s="90" t="s">
        <v>311</v>
      </c>
      <c r="AS3053" s="90" t="s">
        <v>429</v>
      </c>
      <c r="AT3053" s="90" t="s">
        <v>244</v>
      </c>
      <c r="AU3053" s="90">
        <v>1.745582</v>
      </c>
      <c r="AV3053" s="90">
        <v>25.6757376586324</v>
      </c>
      <c r="AW3053" s="90">
        <v>33.959224479765403</v>
      </c>
      <c r="AX3053" s="90">
        <v>0.67061276359999999</v>
      </c>
    </row>
    <row r="3054" spans="1:50" x14ac:dyDescent="0.25">
      <c r="A3054" s="102">
        <v>830000</v>
      </c>
      <c r="B3054" s="102">
        <v>2400000</v>
      </c>
      <c r="C3054" s="102">
        <v>2400000</v>
      </c>
      <c r="D3054" s="90" t="s">
        <v>374</v>
      </c>
      <c r="E3054" s="90" t="s">
        <v>68</v>
      </c>
      <c r="F3054" s="90" t="s">
        <v>375</v>
      </c>
      <c r="G3054" s="90" t="s">
        <v>376</v>
      </c>
      <c r="H3054" s="90">
        <v>0.59</v>
      </c>
      <c r="I3054" s="90">
        <v>0.64</v>
      </c>
      <c r="J3054" s="90" t="s">
        <v>244</v>
      </c>
      <c r="K3054" s="90">
        <v>3.5832008668000002E-3</v>
      </c>
      <c r="L3054" s="90">
        <v>3772.9255719768798</v>
      </c>
      <c r="M3054" s="90">
        <v>11.5521709158636</v>
      </c>
      <c r="N3054" s="90">
        <v>1.52778958766508</v>
      </c>
      <c r="O3054" s="90">
        <v>4.1393748839210001E-2</v>
      </c>
      <c r="P3054" s="90">
        <v>5.4743769748099996E-3</v>
      </c>
      <c r="Q3054" s="90">
        <v>13.5191501799021</v>
      </c>
      <c r="R3054" s="90">
        <v>1410</v>
      </c>
      <c r="S3054" s="90" t="s">
        <v>325</v>
      </c>
      <c r="T3054" s="90">
        <v>1410</v>
      </c>
      <c r="U3054" s="90" t="s">
        <v>378</v>
      </c>
      <c r="V3054" s="90" t="s">
        <v>244</v>
      </c>
      <c r="Z3054" s="90">
        <v>0</v>
      </c>
      <c r="AA3054" s="90">
        <v>1</v>
      </c>
      <c r="AB3054" s="90">
        <v>4.1393748839210001E-2</v>
      </c>
      <c r="AC3054" s="90">
        <v>5.4743769748099996E-3</v>
      </c>
      <c r="AD3054" s="90">
        <v>1367.7553347042999</v>
      </c>
      <c r="AF3054" s="90">
        <v>-1</v>
      </c>
      <c r="AG3054" s="90">
        <v>-1</v>
      </c>
      <c r="AH3054" s="90">
        <v>-1</v>
      </c>
      <c r="AI3054" s="90">
        <v>-1</v>
      </c>
      <c r="AJ3054" s="90">
        <v>0</v>
      </c>
      <c r="AM3054" s="90" t="s">
        <v>379</v>
      </c>
      <c r="AN3054" s="90">
        <v>-1</v>
      </c>
      <c r="AQ3054" s="90">
        <v>390</v>
      </c>
      <c r="AR3054" s="90" t="s">
        <v>311</v>
      </c>
      <c r="AS3054" s="90" t="s">
        <v>429</v>
      </c>
      <c r="AT3054" s="90" t="s">
        <v>244</v>
      </c>
      <c r="AU3054" s="90">
        <v>1.745582</v>
      </c>
      <c r="AV3054" s="90">
        <v>65.744274146980203</v>
      </c>
      <c r="AW3054" s="90">
        <v>14.500699440584899</v>
      </c>
      <c r="AX3054" s="90">
        <v>1.1092906201999999</v>
      </c>
    </row>
    <row r="3055" spans="1:50" x14ac:dyDescent="0.25">
      <c r="A3055" s="102">
        <v>830000</v>
      </c>
      <c r="B3055" s="102">
        <v>2400000</v>
      </c>
      <c r="C3055" s="102">
        <v>2400000</v>
      </c>
      <c r="D3055" s="90" t="s">
        <v>374</v>
      </c>
      <c r="E3055" s="90" t="s">
        <v>68</v>
      </c>
      <c r="F3055" s="90" t="s">
        <v>375</v>
      </c>
      <c r="G3055" s="90" t="s">
        <v>376</v>
      </c>
      <c r="H3055" s="90">
        <v>0.59</v>
      </c>
      <c r="I3055" s="90">
        <v>0.64</v>
      </c>
      <c r="J3055" s="90" t="s">
        <v>244</v>
      </c>
      <c r="K3055" s="90">
        <v>2.235987340728E-2</v>
      </c>
      <c r="L3055" s="90">
        <v>3772.9255719768798</v>
      </c>
      <c r="M3055" s="90">
        <v>11.5521709158636</v>
      </c>
      <c r="N3055" s="90">
        <v>1.52778958766508</v>
      </c>
      <c r="O3055" s="90">
        <v>0.25830507925805002</v>
      </c>
      <c r="P3055" s="90">
        <v>3.416118177316E-2</v>
      </c>
      <c r="Q3055" s="90">
        <v>84.362138164518996</v>
      </c>
      <c r="R3055" s="90">
        <v>1430</v>
      </c>
      <c r="S3055" s="90" t="s">
        <v>326</v>
      </c>
      <c r="T3055" s="90">
        <v>1430</v>
      </c>
      <c r="U3055" s="90" t="s">
        <v>378</v>
      </c>
      <c r="V3055" s="90" t="s">
        <v>244</v>
      </c>
      <c r="Z3055" s="90">
        <v>0</v>
      </c>
      <c r="AA3055" s="90">
        <v>1</v>
      </c>
      <c r="AB3055" s="90">
        <v>0.25830507925805002</v>
      </c>
      <c r="AC3055" s="90">
        <v>3.416118177316E-2</v>
      </c>
      <c r="AD3055" s="90">
        <v>84.362138164518299</v>
      </c>
      <c r="AF3055" s="90">
        <v>-1</v>
      </c>
      <c r="AG3055" s="90">
        <v>-1</v>
      </c>
      <c r="AH3055" s="90">
        <v>-1</v>
      </c>
      <c r="AI3055" s="90">
        <v>-1</v>
      </c>
      <c r="AJ3055" s="90">
        <v>0</v>
      </c>
      <c r="AM3055" s="90" t="s">
        <v>379</v>
      </c>
      <c r="AN3055" s="90">
        <v>-1</v>
      </c>
      <c r="AQ3055" s="90">
        <v>390</v>
      </c>
      <c r="AR3055" s="90" t="s">
        <v>311</v>
      </c>
      <c r="AS3055" s="90" t="s">
        <v>429</v>
      </c>
      <c r="AT3055" s="90" t="s">
        <v>244</v>
      </c>
      <c r="AU3055" s="90">
        <v>1.745582</v>
      </c>
      <c r="AV3055" s="90">
        <v>70.053352074416296</v>
      </c>
      <c r="AW3055" s="90">
        <v>90.487197302329605</v>
      </c>
      <c r="AX3055" s="90">
        <v>6.8420225599999995E-2</v>
      </c>
    </row>
    <row r="3056" spans="1:50" x14ac:dyDescent="0.25">
      <c r="A3056" s="102">
        <v>830000</v>
      </c>
      <c r="B3056" s="102">
        <v>2400000</v>
      </c>
      <c r="C3056" s="102">
        <v>2400000</v>
      </c>
      <c r="D3056" s="90" t="s">
        <v>374</v>
      </c>
      <c r="E3056" s="90" t="s">
        <v>68</v>
      </c>
      <c r="F3056" s="90" t="s">
        <v>375</v>
      </c>
      <c r="G3056" s="90" t="s">
        <v>376</v>
      </c>
      <c r="H3056" s="90">
        <v>0.59</v>
      </c>
      <c r="I3056" s="90">
        <v>0.64</v>
      </c>
      <c r="J3056" s="90" t="s">
        <v>244</v>
      </c>
      <c r="K3056" s="90">
        <v>5.1331015769999998E-5</v>
      </c>
      <c r="L3056" s="90">
        <v>3754.25453105215</v>
      </c>
      <c r="M3056" s="90">
        <v>10.8753204258255</v>
      </c>
      <c r="N3056" s="90">
        <v>1.92413357922148</v>
      </c>
      <c r="O3056" s="90">
        <v>5.5824124436000002E-4</v>
      </c>
      <c r="P3056" s="90">
        <v>9.8767731109999999E-5</v>
      </c>
      <c r="Q3056" s="90">
        <v>0.19270969856806</v>
      </c>
      <c r="R3056" s="90">
        <v>1210</v>
      </c>
      <c r="S3056" s="90" t="s">
        <v>385</v>
      </c>
      <c r="T3056" s="90">
        <v>1210</v>
      </c>
      <c r="U3056" s="90" t="s">
        <v>378</v>
      </c>
      <c r="V3056" s="90" t="s">
        <v>244</v>
      </c>
      <c r="Z3056" s="90">
        <v>0</v>
      </c>
      <c r="AA3056" s="90">
        <v>1</v>
      </c>
      <c r="AB3056" s="90">
        <v>5.5824124436000002E-4</v>
      </c>
      <c r="AC3056" s="90">
        <v>9.8767731109999999E-5</v>
      </c>
      <c r="AD3056" s="90">
        <v>127.665569348095</v>
      </c>
      <c r="AF3056" s="90">
        <v>-1</v>
      </c>
      <c r="AG3056" s="90">
        <v>-1</v>
      </c>
      <c r="AH3056" s="90">
        <v>-1</v>
      </c>
      <c r="AI3056" s="90">
        <v>-1</v>
      </c>
      <c r="AJ3056" s="90">
        <v>0</v>
      </c>
      <c r="AM3056" s="90" t="s">
        <v>379</v>
      </c>
      <c r="AN3056" s="90">
        <v>-1</v>
      </c>
      <c r="AQ3056" s="90">
        <v>390</v>
      </c>
      <c r="AR3056" s="90" t="s">
        <v>311</v>
      </c>
      <c r="AS3056" s="90" t="s">
        <v>429</v>
      </c>
      <c r="AT3056" s="90" t="s">
        <v>244</v>
      </c>
      <c r="AU3056" s="90">
        <v>1.745582</v>
      </c>
      <c r="AV3056" s="90">
        <v>4.7170686439036702</v>
      </c>
      <c r="AW3056" s="90">
        <v>0.20772925087079999</v>
      </c>
      <c r="AX3056" s="90">
        <v>0.1035406077</v>
      </c>
    </row>
    <row r="3057" spans="1:50" x14ac:dyDescent="0.25">
      <c r="A3057" s="102">
        <v>830000</v>
      </c>
      <c r="B3057" s="102">
        <v>2400000</v>
      </c>
      <c r="C3057" s="102">
        <v>2400000</v>
      </c>
      <c r="D3057" s="90" t="s">
        <v>374</v>
      </c>
      <c r="E3057" s="90" t="s">
        <v>68</v>
      </c>
      <c r="F3057" s="90" t="s">
        <v>375</v>
      </c>
      <c r="G3057" s="90" t="s">
        <v>376</v>
      </c>
      <c r="H3057" s="90">
        <v>0.59</v>
      </c>
      <c r="I3057" s="90">
        <v>0.64</v>
      </c>
      <c r="J3057" s="90" t="s">
        <v>244</v>
      </c>
      <c r="K3057" s="90">
        <v>9.253334245698E-2</v>
      </c>
      <c r="L3057" s="90">
        <v>3754.25453105215</v>
      </c>
      <c r="M3057" s="90">
        <v>10.8753204258255</v>
      </c>
      <c r="N3057" s="90">
        <v>1.92413357922148</v>
      </c>
      <c r="O3057" s="90">
        <v>1.0063297492923</v>
      </c>
      <c r="P3057" s="90">
        <v>0.17804651141906999</v>
      </c>
      <c r="Q3057" s="90">
        <v>347.39372019251698</v>
      </c>
      <c r="R3057" s="90">
        <v>1330</v>
      </c>
      <c r="S3057" s="90" t="s">
        <v>397</v>
      </c>
      <c r="T3057" s="90">
        <v>1330</v>
      </c>
      <c r="U3057" s="90" t="s">
        <v>378</v>
      </c>
      <c r="V3057" s="90" t="s">
        <v>244</v>
      </c>
      <c r="Z3057" s="90">
        <v>0</v>
      </c>
      <c r="AA3057" s="90">
        <v>1</v>
      </c>
      <c r="AB3057" s="90">
        <v>1.0063297492923</v>
      </c>
      <c r="AC3057" s="90">
        <v>0.17804651141906999</v>
      </c>
      <c r="AD3057" s="90">
        <v>349.56214555348498</v>
      </c>
      <c r="AF3057" s="90">
        <v>-1</v>
      </c>
      <c r="AG3057" s="90">
        <v>-1</v>
      </c>
      <c r="AH3057" s="90">
        <v>-1</v>
      </c>
      <c r="AI3057" s="90">
        <v>-1</v>
      </c>
      <c r="AJ3057" s="90">
        <v>0</v>
      </c>
      <c r="AM3057" s="90" t="s">
        <v>379</v>
      </c>
      <c r="AN3057" s="90">
        <v>-1</v>
      </c>
      <c r="AQ3057" s="90">
        <v>390</v>
      </c>
      <c r="AR3057" s="90" t="s">
        <v>311</v>
      </c>
      <c r="AS3057" s="90" t="s">
        <v>429</v>
      </c>
      <c r="AT3057" s="90" t="s">
        <v>244</v>
      </c>
      <c r="AU3057" s="90">
        <v>1.745582</v>
      </c>
      <c r="AV3057" s="90">
        <v>94.127305414771499</v>
      </c>
      <c r="AW3057" s="90">
        <v>374.46915120816698</v>
      </c>
      <c r="AX3057" s="90">
        <v>0.2835053897</v>
      </c>
    </row>
    <row r="3058" spans="1:50" x14ac:dyDescent="0.25">
      <c r="A3058" s="102">
        <v>830000</v>
      </c>
      <c r="B3058" s="102">
        <v>2400000</v>
      </c>
      <c r="C3058" s="102">
        <v>2400000</v>
      </c>
      <c r="D3058" s="90" t="s">
        <v>374</v>
      </c>
      <c r="E3058" s="90" t="s">
        <v>68</v>
      </c>
      <c r="F3058" s="90" t="s">
        <v>375</v>
      </c>
      <c r="G3058" s="90" t="s">
        <v>376</v>
      </c>
      <c r="H3058" s="90">
        <v>0.59</v>
      </c>
      <c r="I3058" s="90">
        <v>0.64</v>
      </c>
      <c r="J3058" s="90" t="s">
        <v>244</v>
      </c>
      <c r="K3058" s="90">
        <v>0.15986494317052</v>
      </c>
      <c r="L3058" s="90">
        <v>3754.25453105215</v>
      </c>
      <c r="M3058" s="90">
        <v>10.8753204258255</v>
      </c>
      <c r="N3058" s="90">
        <v>1.92413357922148</v>
      </c>
      <c r="O3058" s="90">
        <v>1.73858248183583</v>
      </c>
      <c r="P3058" s="90">
        <v>0.30760150529474001</v>
      </c>
      <c r="Q3058" s="90">
        <v>600.17368725433403</v>
      </c>
      <c r="R3058" s="90">
        <v>1330</v>
      </c>
      <c r="S3058" s="90" t="s">
        <v>397</v>
      </c>
      <c r="T3058" s="90">
        <v>1330</v>
      </c>
      <c r="U3058" s="90" t="s">
        <v>378</v>
      </c>
      <c r="V3058" s="90" t="s">
        <v>244</v>
      </c>
      <c r="Z3058" s="90">
        <v>0</v>
      </c>
      <c r="AA3058" s="90">
        <v>1</v>
      </c>
      <c r="AB3058" s="90">
        <v>1.73858248183583</v>
      </c>
      <c r="AC3058" s="90">
        <v>0.30760150529474001</v>
      </c>
      <c r="AD3058" s="90">
        <v>600.17368725433403</v>
      </c>
      <c r="AF3058" s="90">
        <v>-1</v>
      </c>
      <c r="AG3058" s="90">
        <v>-1</v>
      </c>
      <c r="AH3058" s="90">
        <v>-1</v>
      </c>
      <c r="AI3058" s="90">
        <v>-1</v>
      </c>
      <c r="AJ3058" s="90">
        <v>0</v>
      </c>
      <c r="AM3058" s="90" t="s">
        <v>379</v>
      </c>
      <c r="AN3058" s="90">
        <v>-1</v>
      </c>
      <c r="AQ3058" s="90">
        <v>390</v>
      </c>
      <c r="AR3058" s="90" t="s">
        <v>311</v>
      </c>
      <c r="AS3058" s="90" t="s">
        <v>429</v>
      </c>
      <c r="AT3058" s="90" t="s">
        <v>244</v>
      </c>
      <c r="AU3058" s="90">
        <v>1.745582</v>
      </c>
      <c r="AV3058" s="90">
        <v>108.763576259071</v>
      </c>
      <c r="AW3058" s="90">
        <v>646.95047198624695</v>
      </c>
      <c r="AX3058" s="90">
        <v>0.48675887039999999</v>
      </c>
    </row>
    <row r="3059" spans="1:50" x14ac:dyDescent="0.25">
      <c r="A3059" s="102">
        <v>830000</v>
      </c>
      <c r="B3059" s="102">
        <v>2400000</v>
      </c>
      <c r="C3059" s="102">
        <v>2400000</v>
      </c>
      <c r="D3059" s="90" t="s">
        <v>374</v>
      </c>
      <c r="E3059" s="90" t="s">
        <v>68</v>
      </c>
      <c r="F3059" s="90" t="s">
        <v>375</v>
      </c>
      <c r="G3059" s="90" t="s">
        <v>376</v>
      </c>
      <c r="H3059" s="90">
        <v>0.59</v>
      </c>
      <c r="I3059" s="90">
        <v>0.64</v>
      </c>
      <c r="J3059" s="90" t="s">
        <v>244</v>
      </c>
      <c r="K3059" s="90">
        <v>1.383655459411E-2</v>
      </c>
      <c r="L3059" s="90">
        <v>3754.25453105215</v>
      </c>
      <c r="M3059" s="90">
        <v>10.8753204258255</v>
      </c>
      <c r="N3059" s="90">
        <v>1.92413357922148</v>
      </c>
      <c r="O3059" s="90">
        <v>0.15047696480045999</v>
      </c>
      <c r="P3059" s="90">
        <v>2.662337931527E-2</v>
      </c>
      <c r="Q3059" s="90">
        <v>51.945947779117901</v>
      </c>
      <c r="R3059" s="90">
        <v>1410</v>
      </c>
      <c r="S3059" s="90" t="s">
        <v>325</v>
      </c>
      <c r="T3059" s="90">
        <v>1410</v>
      </c>
      <c r="U3059" s="90" t="s">
        <v>378</v>
      </c>
      <c r="V3059" s="90" t="s">
        <v>244</v>
      </c>
      <c r="Z3059" s="90">
        <v>0</v>
      </c>
      <c r="AA3059" s="90">
        <v>1</v>
      </c>
      <c r="AB3059" s="90">
        <v>0.15047696480045999</v>
      </c>
      <c r="AC3059" s="90">
        <v>2.662337931527E-2</v>
      </c>
      <c r="AD3059" s="90">
        <v>443.59995610625799</v>
      </c>
      <c r="AF3059" s="90">
        <v>-1</v>
      </c>
      <c r="AG3059" s="90">
        <v>-1</v>
      </c>
      <c r="AH3059" s="90">
        <v>-1</v>
      </c>
      <c r="AI3059" s="90">
        <v>-1</v>
      </c>
      <c r="AJ3059" s="90">
        <v>0</v>
      </c>
      <c r="AM3059" s="90" t="s">
        <v>379</v>
      </c>
      <c r="AN3059" s="90">
        <v>-1</v>
      </c>
      <c r="AQ3059" s="90">
        <v>390</v>
      </c>
      <c r="AR3059" s="90" t="s">
        <v>311</v>
      </c>
      <c r="AS3059" s="90" t="s">
        <v>429</v>
      </c>
      <c r="AT3059" s="90" t="s">
        <v>244</v>
      </c>
      <c r="AU3059" s="90">
        <v>1.745582</v>
      </c>
      <c r="AV3059" s="90">
        <v>96.370552193594705</v>
      </c>
      <c r="AW3059" s="90">
        <v>55.994549823094303</v>
      </c>
      <c r="AX3059" s="90">
        <v>0.35977287600000002</v>
      </c>
    </row>
    <row r="3060" spans="1:50" x14ac:dyDescent="0.25">
      <c r="A3060" s="102">
        <v>830000</v>
      </c>
      <c r="B3060" s="102">
        <v>2400000</v>
      </c>
      <c r="C3060" s="102">
        <v>2400000</v>
      </c>
      <c r="D3060" s="90" t="s">
        <v>374</v>
      </c>
      <c r="E3060" s="90" t="s">
        <v>68</v>
      </c>
      <c r="F3060" s="90" t="s">
        <v>375</v>
      </c>
      <c r="G3060" s="90" t="s">
        <v>376</v>
      </c>
      <c r="H3060" s="90">
        <v>0.59</v>
      </c>
      <c r="I3060" s="90">
        <v>0.64</v>
      </c>
      <c r="J3060" s="90" t="s">
        <v>244</v>
      </c>
      <c r="K3060" s="90">
        <v>0.16826221511365</v>
      </c>
      <c r="L3060" s="90">
        <v>3754.25453105215</v>
      </c>
      <c r="M3060" s="90">
        <v>10.8753204258255</v>
      </c>
      <c r="N3060" s="90">
        <v>1.92413357922148</v>
      </c>
      <c r="O3060" s="90">
        <v>1.82990550492017</v>
      </c>
      <c r="P3060" s="90">
        <v>0.32375897821437</v>
      </c>
      <c r="Q3060" s="90">
        <v>631.69918349530701</v>
      </c>
      <c r="R3060" s="90">
        <v>1330</v>
      </c>
      <c r="S3060" s="90" t="s">
        <v>397</v>
      </c>
      <c r="T3060" s="90">
        <v>1330</v>
      </c>
      <c r="U3060" s="90" t="s">
        <v>378</v>
      </c>
      <c r="V3060" s="90" t="s">
        <v>244</v>
      </c>
      <c r="Z3060" s="90">
        <v>0</v>
      </c>
      <c r="AA3060" s="90">
        <v>1</v>
      </c>
      <c r="AB3060" s="90">
        <v>1.82990550492017</v>
      </c>
      <c r="AC3060" s="90">
        <v>0.32375897821437</v>
      </c>
      <c r="AD3060" s="90">
        <v>631.69918349530701</v>
      </c>
      <c r="AF3060" s="90">
        <v>-1</v>
      </c>
      <c r="AG3060" s="90">
        <v>-1</v>
      </c>
      <c r="AH3060" s="90">
        <v>-1</v>
      </c>
      <c r="AI3060" s="90">
        <v>-1</v>
      </c>
      <c r="AJ3060" s="90">
        <v>0</v>
      </c>
      <c r="AM3060" s="90" t="s">
        <v>379</v>
      </c>
      <c r="AN3060" s="90">
        <v>-1</v>
      </c>
      <c r="AQ3060" s="90">
        <v>390</v>
      </c>
      <c r="AR3060" s="90" t="s">
        <v>311</v>
      </c>
      <c r="AS3060" s="90" t="s">
        <v>429</v>
      </c>
      <c r="AT3060" s="90" t="s">
        <v>244</v>
      </c>
      <c r="AU3060" s="90">
        <v>1.745582</v>
      </c>
      <c r="AV3060" s="90">
        <v>110.479336174236</v>
      </c>
      <c r="AW3060" s="90">
        <v>680.93302587993901</v>
      </c>
      <c r="AX3060" s="90">
        <v>0.51232699390000003</v>
      </c>
    </row>
    <row r="3061" spans="1:50" x14ac:dyDescent="0.25">
      <c r="A3061" s="102">
        <v>830000</v>
      </c>
      <c r="B3061" s="102">
        <v>2400000</v>
      </c>
      <c r="C3061" s="102">
        <v>2400000</v>
      </c>
      <c r="D3061" s="90" t="s">
        <v>374</v>
      </c>
      <c r="E3061" s="90" t="s">
        <v>68</v>
      </c>
      <c r="F3061" s="90" t="s">
        <v>375</v>
      </c>
      <c r="G3061" s="90" t="s">
        <v>376</v>
      </c>
      <c r="H3061" s="90">
        <v>0.59</v>
      </c>
      <c r="I3061" s="90">
        <v>0.64</v>
      </c>
      <c r="J3061" s="90" t="s">
        <v>244</v>
      </c>
      <c r="K3061" s="90">
        <v>3.2728672308970003E-2</v>
      </c>
      <c r="L3061" s="90">
        <v>3754.25453105215</v>
      </c>
      <c r="M3061" s="90">
        <v>10.8753204258255</v>
      </c>
      <c r="N3061" s="90">
        <v>1.92413357922148</v>
      </c>
      <c r="O3061" s="90">
        <v>0.35593479847192999</v>
      </c>
      <c r="P3061" s="90">
        <v>6.2974337393030003E-2</v>
      </c>
      <c r="Q3061" s="90">
        <v>122.871766311286</v>
      </c>
      <c r="R3061" s="90">
        <v>1330</v>
      </c>
      <c r="S3061" s="90" t="s">
        <v>397</v>
      </c>
      <c r="T3061" s="90">
        <v>1330</v>
      </c>
      <c r="U3061" s="90" t="s">
        <v>378</v>
      </c>
      <c r="V3061" s="90" t="s">
        <v>244</v>
      </c>
      <c r="Z3061" s="90">
        <v>0</v>
      </c>
      <c r="AA3061" s="90">
        <v>1</v>
      </c>
      <c r="AB3061" s="90">
        <v>0.35593479847192999</v>
      </c>
      <c r="AC3061" s="90">
        <v>6.2974337393030003E-2</v>
      </c>
      <c r="AD3061" s="90">
        <v>122.871766311287</v>
      </c>
      <c r="AF3061" s="90">
        <v>-1</v>
      </c>
      <c r="AG3061" s="90">
        <v>-1</v>
      </c>
      <c r="AH3061" s="90">
        <v>-1</v>
      </c>
      <c r="AI3061" s="90">
        <v>-1</v>
      </c>
      <c r="AJ3061" s="90">
        <v>0</v>
      </c>
      <c r="AM3061" s="90" t="s">
        <v>379</v>
      </c>
      <c r="AN3061" s="90">
        <v>-1</v>
      </c>
      <c r="AQ3061" s="90">
        <v>390</v>
      </c>
      <c r="AR3061" s="90" t="s">
        <v>311</v>
      </c>
      <c r="AS3061" s="90" t="s">
        <v>429</v>
      </c>
      <c r="AT3061" s="90" t="s">
        <v>244</v>
      </c>
      <c r="AU3061" s="90">
        <v>1.745582</v>
      </c>
      <c r="AV3061" s="90">
        <v>80.452693390264102</v>
      </c>
      <c r="AW3061" s="90">
        <v>132.44823773019701</v>
      </c>
      <c r="AX3061" s="90">
        <v>9.9652689599999997E-2</v>
      </c>
    </row>
    <row r="3062" spans="1:50" x14ac:dyDescent="0.25">
      <c r="A3062" s="102">
        <v>830000</v>
      </c>
      <c r="B3062" s="102">
        <v>2400000</v>
      </c>
      <c r="C3062" s="102">
        <v>2400000</v>
      </c>
      <c r="D3062" s="90" t="s">
        <v>374</v>
      </c>
      <c r="E3062" s="90" t="s">
        <v>68</v>
      </c>
      <c r="F3062" s="90" t="s">
        <v>375</v>
      </c>
      <c r="G3062" s="90" t="s">
        <v>376</v>
      </c>
      <c r="H3062" s="90">
        <v>0.59</v>
      </c>
      <c r="I3062" s="90">
        <v>0.64</v>
      </c>
      <c r="J3062" s="90" t="s">
        <v>244</v>
      </c>
      <c r="K3062" s="90">
        <v>1.1631853109689999E-2</v>
      </c>
      <c r="L3062" s="90">
        <v>3754.25453105215</v>
      </c>
      <c r="M3062" s="90">
        <v>10.8753204258255</v>
      </c>
      <c r="N3062" s="90">
        <v>1.92413357922148</v>
      </c>
      <c r="O3062" s="90">
        <v>0.12650012971409999</v>
      </c>
      <c r="P3062" s="90">
        <v>2.238123915694E-2</v>
      </c>
      <c r="Q3062" s="90">
        <v>43.668937241616703</v>
      </c>
      <c r="R3062" s="90">
        <v>1430</v>
      </c>
      <c r="S3062" s="90" t="s">
        <v>326</v>
      </c>
      <c r="T3062" s="90">
        <v>1430</v>
      </c>
      <c r="U3062" s="90" t="s">
        <v>378</v>
      </c>
      <c r="V3062" s="90" t="s">
        <v>244</v>
      </c>
      <c r="Z3062" s="90">
        <v>0</v>
      </c>
      <c r="AA3062" s="90">
        <v>1</v>
      </c>
      <c r="AB3062" s="90">
        <v>0.12650012971409999</v>
      </c>
      <c r="AC3062" s="90">
        <v>2.238123915694E-2</v>
      </c>
      <c r="AD3062" s="90">
        <v>43.668937241617101</v>
      </c>
      <c r="AF3062" s="90">
        <v>-1</v>
      </c>
      <c r="AG3062" s="90">
        <v>-1</v>
      </c>
      <c r="AH3062" s="90">
        <v>-1</v>
      </c>
      <c r="AI3062" s="90">
        <v>-1</v>
      </c>
      <c r="AJ3062" s="90">
        <v>0</v>
      </c>
      <c r="AM3062" s="90" t="s">
        <v>379</v>
      </c>
      <c r="AN3062" s="90">
        <v>-1</v>
      </c>
      <c r="AQ3062" s="90">
        <v>390</v>
      </c>
      <c r="AR3062" s="90" t="s">
        <v>311</v>
      </c>
      <c r="AS3062" s="90" t="s">
        <v>429</v>
      </c>
      <c r="AT3062" s="90" t="s">
        <v>244</v>
      </c>
      <c r="AU3062" s="90">
        <v>1.745582</v>
      </c>
      <c r="AV3062" s="90">
        <v>33.8208892326845</v>
      </c>
      <c r="AW3062" s="90">
        <v>47.072439461395</v>
      </c>
      <c r="AX3062" s="90">
        <v>3.5416818500000002E-2</v>
      </c>
    </row>
    <row r="3063" spans="1:50" x14ac:dyDescent="0.25">
      <c r="A3063" s="102">
        <v>830000</v>
      </c>
      <c r="B3063" s="102">
        <v>2400000</v>
      </c>
      <c r="C3063" s="102">
        <v>2400000</v>
      </c>
      <c r="D3063" s="90" t="s">
        <v>374</v>
      </c>
      <c r="E3063" s="90" t="s">
        <v>68</v>
      </c>
      <c r="F3063" s="90" t="s">
        <v>375</v>
      </c>
      <c r="G3063" s="90" t="s">
        <v>376</v>
      </c>
      <c r="H3063" s="90">
        <v>0.59</v>
      </c>
      <c r="I3063" s="90">
        <v>0.64</v>
      </c>
      <c r="J3063" s="90" t="s">
        <v>244</v>
      </c>
      <c r="K3063" s="90">
        <v>8.2120292885039997E-2</v>
      </c>
      <c r="L3063" s="90">
        <v>3746.2083678803801</v>
      </c>
      <c r="M3063" s="90">
        <v>10.660739132837</v>
      </c>
      <c r="N3063" s="90">
        <v>1.91296277301511</v>
      </c>
      <c r="O3063" s="90">
        <v>0.87546301995960996</v>
      </c>
      <c r="P3063" s="90">
        <v>0.15709306319818001</v>
      </c>
      <c r="Q3063" s="90">
        <v>307.63972837873598</v>
      </c>
      <c r="R3063" s="90">
        <v>1300</v>
      </c>
      <c r="S3063" s="90" t="s">
        <v>387</v>
      </c>
      <c r="T3063" s="90">
        <v>1300</v>
      </c>
      <c r="U3063" s="90" t="s">
        <v>378</v>
      </c>
      <c r="V3063" s="90" t="s">
        <v>244</v>
      </c>
      <c r="Z3063" s="90">
        <v>0</v>
      </c>
      <c r="AA3063" s="90">
        <v>1</v>
      </c>
      <c r="AB3063" s="90">
        <v>0.87546301995960996</v>
      </c>
      <c r="AC3063" s="90">
        <v>0.15709306319818001</v>
      </c>
      <c r="AD3063" s="90">
        <v>785.74021744302195</v>
      </c>
      <c r="AF3063" s="90">
        <v>-1</v>
      </c>
      <c r="AG3063" s="90">
        <v>-1</v>
      </c>
      <c r="AH3063" s="90">
        <v>-1</v>
      </c>
      <c r="AI3063" s="90">
        <v>-1</v>
      </c>
      <c r="AJ3063" s="90">
        <v>0</v>
      </c>
      <c r="AM3063" s="90" t="s">
        <v>379</v>
      </c>
      <c r="AN3063" s="90">
        <v>-1</v>
      </c>
      <c r="AQ3063" s="90">
        <v>390</v>
      </c>
      <c r="AR3063" s="90" t="s">
        <v>311</v>
      </c>
      <c r="AS3063" s="90" t="s">
        <v>429</v>
      </c>
      <c r="AT3063" s="90" t="s">
        <v>244</v>
      </c>
      <c r="AU3063" s="90">
        <v>1.745582</v>
      </c>
      <c r="AV3063" s="90">
        <v>93.699719187139394</v>
      </c>
      <c r="AW3063" s="90">
        <v>332.32903467120298</v>
      </c>
      <c r="AX3063" s="90">
        <v>0.63725889489999998</v>
      </c>
    </row>
    <row r="3064" spans="1:50" x14ac:dyDescent="0.25">
      <c r="A3064" s="102">
        <v>830000</v>
      </c>
      <c r="B3064" s="102">
        <v>2400000</v>
      </c>
      <c r="C3064" s="102">
        <v>2400000</v>
      </c>
      <c r="D3064" s="90" t="s">
        <v>374</v>
      </c>
      <c r="E3064" s="90" t="s">
        <v>68</v>
      </c>
      <c r="F3064" s="90" t="s">
        <v>375</v>
      </c>
      <c r="G3064" s="90" t="s">
        <v>376</v>
      </c>
      <c r="H3064" s="90">
        <v>0.59</v>
      </c>
      <c r="I3064" s="90">
        <v>0.64</v>
      </c>
      <c r="J3064" s="90" t="s">
        <v>244</v>
      </c>
      <c r="K3064" s="90">
        <v>2.3355537993579999E-2</v>
      </c>
      <c r="L3064" s="90">
        <v>3746.2083678803801</v>
      </c>
      <c r="M3064" s="90">
        <v>10.660739132837</v>
      </c>
      <c r="N3064" s="90">
        <v>1.91296277301511</v>
      </c>
      <c r="O3064" s="90">
        <v>0.24898729785663001</v>
      </c>
      <c r="P3064" s="90">
        <v>4.4678274725460002E-2</v>
      </c>
      <c r="Q3064" s="90">
        <v>87.494711867901401</v>
      </c>
      <c r="R3064" s="90">
        <v>1400</v>
      </c>
      <c r="S3064" s="90" t="s">
        <v>324</v>
      </c>
      <c r="T3064" s="90">
        <v>1400</v>
      </c>
      <c r="U3064" s="90" t="s">
        <v>378</v>
      </c>
      <c r="V3064" s="90" t="s">
        <v>244</v>
      </c>
      <c r="Z3064" s="90">
        <v>0</v>
      </c>
      <c r="AA3064" s="90">
        <v>1</v>
      </c>
      <c r="AB3064" s="90">
        <v>0.24898729785663001</v>
      </c>
      <c r="AC3064" s="90">
        <v>4.4678274725460002E-2</v>
      </c>
      <c r="AD3064" s="90">
        <v>168.68426514198401</v>
      </c>
      <c r="AF3064" s="90">
        <v>-1</v>
      </c>
      <c r="AG3064" s="90">
        <v>-1</v>
      </c>
      <c r="AH3064" s="90">
        <v>-1</v>
      </c>
      <c r="AI3064" s="90">
        <v>-1</v>
      </c>
      <c r="AJ3064" s="90">
        <v>0</v>
      </c>
      <c r="AM3064" s="90" t="s">
        <v>379</v>
      </c>
      <c r="AN3064" s="90">
        <v>-1</v>
      </c>
      <c r="AQ3064" s="90">
        <v>390</v>
      </c>
      <c r="AR3064" s="90" t="s">
        <v>311</v>
      </c>
      <c r="AS3064" s="90" t="s">
        <v>429</v>
      </c>
      <c r="AT3064" s="90" t="s">
        <v>244</v>
      </c>
      <c r="AU3064" s="90">
        <v>1.745582</v>
      </c>
      <c r="AV3064" s="90">
        <v>39.680445326512597</v>
      </c>
      <c r="AW3064" s="90">
        <v>94.516508927931497</v>
      </c>
      <c r="AX3064" s="90">
        <v>0.1368080009</v>
      </c>
    </row>
    <row r="3065" spans="1:50" x14ac:dyDescent="0.25">
      <c r="A3065" s="102">
        <v>830000</v>
      </c>
      <c r="B3065" s="102">
        <v>2400000</v>
      </c>
      <c r="C3065" s="102">
        <v>2400000</v>
      </c>
      <c r="D3065" s="90" t="s">
        <v>374</v>
      </c>
      <c r="E3065" s="90" t="s">
        <v>68</v>
      </c>
      <c r="F3065" s="90" t="s">
        <v>375</v>
      </c>
      <c r="G3065" s="90" t="s">
        <v>376</v>
      </c>
      <c r="H3065" s="90">
        <v>0.59</v>
      </c>
      <c r="I3065" s="90">
        <v>0.64</v>
      </c>
      <c r="J3065" s="90" t="s">
        <v>244</v>
      </c>
      <c r="K3065" s="90">
        <v>4.6339834050840002E-2</v>
      </c>
      <c r="L3065" s="90">
        <v>3746.2083678803801</v>
      </c>
      <c r="M3065" s="90">
        <v>10.660739132837</v>
      </c>
      <c r="N3065" s="90">
        <v>1.91296277301511</v>
      </c>
      <c r="O3065" s="90">
        <v>0.49401688227496998</v>
      </c>
      <c r="P3065" s="90">
        <v>8.8646377446950003E-2</v>
      </c>
      <c r="Q3065" s="90">
        <v>173.59867408744901</v>
      </c>
      <c r="R3065" s="90">
        <v>1210</v>
      </c>
      <c r="S3065" s="90" t="s">
        <v>385</v>
      </c>
      <c r="T3065" s="90">
        <v>1210</v>
      </c>
      <c r="U3065" s="90" t="s">
        <v>378</v>
      </c>
      <c r="V3065" s="90" t="s">
        <v>244</v>
      </c>
      <c r="Z3065" s="90">
        <v>0</v>
      </c>
      <c r="AA3065" s="90">
        <v>1</v>
      </c>
      <c r="AB3065" s="90">
        <v>0.49401688227496998</v>
      </c>
      <c r="AC3065" s="90">
        <v>8.8646377446950003E-2</v>
      </c>
      <c r="AD3065" s="90">
        <v>327.23239807125901</v>
      </c>
      <c r="AF3065" s="90">
        <v>-1</v>
      </c>
      <c r="AG3065" s="90">
        <v>-1</v>
      </c>
      <c r="AH3065" s="90">
        <v>-1</v>
      </c>
      <c r="AI3065" s="90">
        <v>-1</v>
      </c>
      <c r="AJ3065" s="90">
        <v>0</v>
      </c>
      <c r="AM3065" s="90" t="s">
        <v>379</v>
      </c>
      <c r="AN3065" s="90">
        <v>-1</v>
      </c>
      <c r="AQ3065" s="90">
        <v>390</v>
      </c>
      <c r="AR3065" s="90" t="s">
        <v>311</v>
      </c>
      <c r="AS3065" s="90" t="s">
        <v>429</v>
      </c>
      <c r="AT3065" s="90" t="s">
        <v>244</v>
      </c>
      <c r="AU3065" s="90">
        <v>1.745582</v>
      </c>
      <c r="AV3065" s="90">
        <v>71.695887276169302</v>
      </c>
      <c r="AW3065" s="90">
        <v>187.53065504159699</v>
      </c>
      <c r="AX3065" s="90">
        <v>0.26539529449999999</v>
      </c>
    </row>
    <row r="3066" spans="1:50" x14ac:dyDescent="0.25">
      <c r="A3066" s="102">
        <v>830000</v>
      </c>
      <c r="B3066" s="102">
        <v>2400000</v>
      </c>
      <c r="C3066" s="102">
        <v>2400000</v>
      </c>
      <c r="D3066" s="90" t="s">
        <v>374</v>
      </c>
      <c r="E3066" s="90" t="s">
        <v>68</v>
      </c>
      <c r="F3066" s="90" t="s">
        <v>375</v>
      </c>
      <c r="G3066" s="90" t="s">
        <v>376</v>
      </c>
      <c r="H3066" s="90">
        <v>0.59</v>
      </c>
      <c r="I3066" s="90">
        <v>0.64</v>
      </c>
      <c r="J3066" s="90" t="s">
        <v>244</v>
      </c>
      <c r="K3066" s="90">
        <v>0.24912683909587999</v>
      </c>
      <c r="L3066" s="90">
        <v>3746.2083678803801</v>
      </c>
      <c r="M3066" s="90">
        <v>10.660739132837</v>
      </c>
      <c r="N3066" s="90">
        <v>1.91296277301511</v>
      </c>
      <c r="O3066" s="90">
        <v>2.6558762425894802</v>
      </c>
      <c r="P3066" s="90">
        <v>0.47657036894935001</v>
      </c>
      <c r="Q3066" s="90">
        <v>933.28104928459095</v>
      </c>
      <c r="R3066" s="90">
        <v>1330</v>
      </c>
      <c r="S3066" s="90" t="s">
        <v>397</v>
      </c>
      <c r="T3066" s="90">
        <v>1330</v>
      </c>
      <c r="U3066" s="90" t="s">
        <v>378</v>
      </c>
      <c r="V3066" s="90" t="s">
        <v>244</v>
      </c>
      <c r="Z3066" s="90">
        <v>0</v>
      </c>
      <c r="AA3066" s="90">
        <v>1</v>
      </c>
      <c r="AB3066" s="90">
        <v>2.6558762425894802</v>
      </c>
      <c r="AC3066" s="90">
        <v>0.47657036894935001</v>
      </c>
      <c r="AD3066" s="90">
        <v>933.30247828283905</v>
      </c>
      <c r="AF3066" s="90">
        <v>-1</v>
      </c>
      <c r="AG3066" s="90">
        <v>-1</v>
      </c>
      <c r="AH3066" s="90">
        <v>-1</v>
      </c>
      <c r="AI3066" s="90">
        <v>-1</v>
      </c>
      <c r="AJ3066" s="90">
        <v>0</v>
      </c>
      <c r="AM3066" s="90" t="s">
        <v>379</v>
      </c>
      <c r="AN3066" s="90">
        <v>-1</v>
      </c>
      <c r="AQ3066" s="90">
        <v>390</v>
      </c>
      <c r="AR3066" s="90" t="s">
        <v>311</v>
      </c>
      <c r="AS3066" s="90" t="s">
        <v>429</v>
      </c>
      <c r="AT3066" s="90" t="s">
        <v>244</v>
      </c>
      <c r="AU3066" s="90">
        <v>1.745582</v>
      </c>
      <c r="AV3066" s="90">
        <v>128.32828875284</v>
      </c>
      <c r="AW3066" s="90">
        <v>1008.18054878739</v>
      </c>
      <c r="AX3066" s="90">
        <v>0.75693631650000004</v>
      </c>
    </row>
    <row r="3067" spans="1:50" x14ac:dyDescent="0.25">
      <c r="A3067" s="102">
        <v>830000</v>
      </c>
      <c r="B3067" s="102">
        <v>2400000</v>
      </c>
      <c r="C3067" s="102">
        <v>2400000</v>
      </c>
      <c r="D3067" s="90" t="s">
        <v>374</v>
      </c>
      <c r="E3067" s="90" t="s">
        <v>68</v>
      </c>
      <c r="F3067" s="90" t="s">
        <v>375</v>
      </c>
      <c r="G3067" s="90" t="s">
        <v>376</v>
      </c>
      <c r="H3067" s="90">
        <v>0.59</v>
      </c>
      <c r="I3067" s="90">
        <v>0.64</v>
      </c>
      <c r="J3067" s="90" t="s">
        <v>244</v>
      </c>
      <c r="K3067" s="90">
        <v>1.42658720726E-3</v>
      </c>
      <c r="L3067" s="90">
        <v>3773.8699927094799</v>
      </c>
      <c r="M3067" s="90">
        <v>11.595923123810399</v>
      </c>
      <c r="N3067" s="90">
        <v>1.53094745641837</v>
      </c>
      <c r="O3067" s="90">
        <v>1.6542595584809999E-2</v>
      </c>
      <c r="P3067" s="90">
        <v>2.1840300563100001E-3</v>
      </c>
      <c r="Q3067" s="90">
        <v>5.3837546534655099</v>
      </c>
      <c r="R3067" s="90">
        <v>1400</v>
      </c>
      <c r="S3067" s="90" t="s">
        <v>324</v>
      </c>
      <c r="T3067" s="90">
        <v>1400</v>
      </c>
      <c r="U3067" s="90" t="s">
        <v>378</v>
      </c>
      <c r="V3067" s="90" t="s">
        <v>244</v>
      </c>
      <c r="Z3067" s="90">
        <v>0</v>
      </c>
      <c r="AA3067" s="90">
        <v>1</v>
      </c>
      <c r="AB3067" s="90">
        <v>1.6542595584809999E-2</v>
      </c>
      <c r="AC3067" s="90">
        <v>2.1840300563100001E-3</v>
      </c>
      <c r="AD3067" s="90">
        <v>7.8060874489259202</v>
      </c>
      <c r="AF3067" s="90">
        <v>-1</v>
      </c>
      <c r="AG3067" s="90">
        <v>-1</v>
      </c>
      <c r="AH3067" s="90">
        <v>-1</v>
      </c>
      <c r="AI3067" s="90">
        <v>-1</v>
      </c>
      <c r="AJ3067" s="90">
        <v>0</v>
      </c>
      <c r="AM3067" s="90" t="s">
        <v>379</v>
      </c>
      <c r="AN3067" s="90">
        <v>-1</v>
      </c>
      <c r="AQ3067" s="90">
        <v>390</v>
      </c>
      <c r="AR3067" s="90" t="s">
        <v>311</v>
      </c>
      <c r="AS3067" s="90" t="s">
        <v>429</v>
      </c>
      <c r="AT3067" s="90" t="s">
        <v>244</v>
      </c>
      <c r="AU3067" s="90">
        <v>1.745582</v>
      </c>
      <c r="AV3067" s="90">
        <v>69.5636186237803</v>
      </c>
      <c r="AW3067" s="90">
        <v>5.7731936018197398</v>
      </c>
      <c r="AX3067" s="90">
        <v>6.3309712000000004E-3</v>
      </c>
    </row>
    <row r="3068" spans="1:50" x14ac:dyDescent="0.25">
      <c r="A3068" s="102">
        <v>830000</v>
      </c>
      <c r="B3068" s="102">
        <v>2400000</v>
      </c>
      <c r="C3068" s="102">
        <v>2400000</v>
      </c>
      <c r="D3068" s="90" t="s">
        <v>374</v>
      </c>
      <c r="E3068" s="90" t="s">
        <v>68</v>
      </c>
      <c r="F3068" s="90" t="s">
        <v>375</v>
      </c>
      <c r="G3068" s="90" t="s">
        <v>376</v>
      </c>
      <c r="H3068" s="90">
        <v>0.59</v>
      </c>
      <c r="I3068" s="90">
        <v>0.64</v>
      </c>
      <c r="J3068" s="90" t="s">
        <v>381</v>
      </c>
      <c r="K3068" s="90">
        <v>6.7006761938700005E-2</v>
      </c>
      <c r="L3068" s="90">
        <v>3773.8699927094799</v>
      </c>
      <c r="M3068" s="90">
        <v>11.595923123810399</v>
      </c>
      <c r="N3068" s="90">
        <v>1.53094745641837</v>
      </c>
      <c r="O3068" s="90">
        <v>0.77700526021664995</v>
      </c>
      <c r="P3068" s="90">
        <v>0.10258383175287999</v>
      </c>
      <c r="Q3068" s="90">
        <v>252.87480818909501</v>
      </c>
      <c r="R3068" s="90">
        <v>1400</v>
      </c>
      <c r="S3068" s="90" t="s">
        <v>324</v>
      </c>
      <c r="T3068" s="90">
        <v>1400</v>
      </c>
      <c r="U3068" s="90" t="s">
        <v>382</v>
      </c>
      <c r="V3068" s="90" t="s">
        <v>381</v>
      </c>
      <c r="Z3068" s="90">
        <v>0</v>
      </c>
      <c r="AA3068" s="90">
        <v>1</v>
      </c>
      <c r="AB3068" s="90">
        <v>0.77700526021664995</v>
      </c>
      <c r="AC3068" s="90">
        <v>0.10258383175287999</v>
      </c>
      <c r="AD3068" s="90">
        <v>817.31187241777502</v>
      </c>
      <c r="AF3068" s="90">
        <v>-1</v>
      </c>
      <c r="AG3068" s="90">
        <v>-1</v>
      </c>
      <c r="AH3068" s="90">
        <v>-1</v>
      </c>
      <c r="AI3068" s="90">
        <v>-1</v>
      </c>
      <c r="AJ3068" s="90">
        <v>0</v>
      </c>
      <c r="AM3068" s="90" t="s">
        <v>379</v>
      </c>
      <c r="AN3068" s="90">
        <v>-1</v>
      </c>
      <c r="AQ3068" s="90">
        <v>390</v>
      </c>
      <c r="AR3068" s="90" t="s">
        <v>311</v>
      </c>
      <c r="AS3068" s="90" t="s">
        <v>429</v>
      </c>
      <c r="AT3068" s="90" t="s">
        <v>244</v>
      </c>
      <c r="AU3068" s="90">
        <v>1.745582</v>
      </c>
      <c r="AV3068" s="90">
        <v>85.175302966823693</v>
      </c>
      <c r="AW3068" s="90">
        <v>271.16674489586399</v>
      </c>
      <c r="AX3068" s="90">
        <v>0.66286445449999998</v>
      </c>
    </row>
    <row r="3069" spans="1:50" x14ac:dyDescent="0.25">
      <c r="A3069" s="102">
        <v>830000</v>
      </c>
      <c r="B3069" s="102">
        <v>2400000</v>
      </c>
      <c r="C3069" s="102">
        <v>2400000</v>
      </c>
      <c r="D3069" s="90" t="s">
        <v>374</v>
      </c>
      <c r="E3069" s="90" t="s">
        <v>68</v>
      </c>
      <c r="F3069" s="90" t="s">
        <v>375</v>
      </c>
      <c r="G3069" s="90" t="s">
        <v>376</v>
      </c>
      <c r="H3069" s="90">
        <v>0.59</v>
      </c>
      <c r="I3069" s="90">
        <v>0.64</v>
      </c>
      <c r="J3069" s="90" t="s">
        <v>244</v>
      </c>
      <c r="K3069" s="90">
        <v>0.12559858357139</v>
      </c>
      <c r="L3069" s="90">
        <v>3773.8699927094799</v>
      </c>
      <c r="M3069" s="90">
        <v>11.595923123810399</v>
      </c>
      <c r="N3069" s="90">
        <v>1.53094745641837</v>
      </c>
      <c r="O3069" s="90">
        <v>1.4564315195534101</v>
      </c>
      <c r="P3069" s="90">
        <v>0.19228483204838001</v>
      </c>
      <c r="Q3069" s="90">
        <v>473.99272566691297</v>
      </c>
      <c r="R3069" s="90">
        <v>1430</v>
      </c>
      <c r="S3069" s="90" t="s">
        <v>326</v>
      </c>
      <c r="T3069" s="90">
        <v>1430</v>
      </c>
      <c r="U3069" s="90" t="s">
        <v>378</v>
      </c>
      <c r="V3069" s="90" t="s">
        <v>244</v>
      </c>
      <c r="Z3069" s="90">
        <v>0</v>
      </c>
      <c r="AA3069" s="90">
        <v>1</v>
      </c>
      <c r="AB3069" s="90">
        <v>1.4564315195534101</v>
      </c>
      <c r="AC3069" s="90">
        <v>0.19228483204838001</v>
      </c>
      <c r="AD3069" s="90">
        <v>473.99272566691297</v>
      </c>
      <c r="AF3069" s="90">
        <v>-1</v>
      </c>
      <c r="AG3069" s="90">
        <v>-1</v>
      </c>
      <c r="AH3069" s="90">
        <v>-1</v>
      </c>
      <c r="AI3069" s="90">
        <v>-1</v>
      </c>
      <c r="AJ3069" s="90">
        <v>0</v>
      </c>
      <c r="AM3069" s="90" t="s">
        <v>379</v>
      </c>
      <c r="AN3069" s="90">
        <v>-1</v>
      </c>
      <c r="AQ3069" s="90">
        <v>390</v>
      </c>
      <c r="AR3069" s="90" t="s">
        <v>311</v>
      </c>
      <c r="AS3069" s="90" t="s">
        <v>429</v>
      </c>
      <c r="AT3069" s="90" t="s">
        <v>244</v>
      </c>
      <c r="AU3069" s="90">
        <v>1.745582</v>
      </c>
      <c r="AV3069" s="90">
        <v>96.070131798013307</v>
      </c>
      <c r="AW3069" s="90">
        <v>508.27943457025498</v>
      </c>
      <c r="AX3069" s="90">
        <v>0.38442232409999999</v>
      </c>
    </row>
    <row r="3070" spans="1:50" x14ac:dyDescent="0.25">
      <c r="A3070" s="102">
        <v>830000</v>
      </c>
      <c r="B3070" s="102">
        <v>2400000</v>
      </c>
      <c r="C3070" s="102">
        <v>2400000</v>
      </c>
      <c r="D3070" s="90" t="s">
        <v>374</v>
      </c>
      <c r="E3070" s="90" t="s">
        <v>68</v>
      </c>
      <c r="F3070" s="90" t="s">
        <v>375</v>
      </c>
      <c r="G3070" s="90" t="s">
        <v>376</v>
      </c>
      <c r="H3070" s="90">
        <v>0.59</v>
      </c>
      <c r="I3070" s="90">
        <v>0.64</v>
      </c>
      <c r="J3070" s="90" t="s">
        <v>244</v>
      </c>
      <c r="K3070" s="90">
        <v>0.14088729699572999</v>
      </c>
      <c r="L3070" s="90">
        <v>3773.8699927094799</v>
      </c>
      <c r="M3070" s="90">
        <v>11.595923123810399</v>
      </c>
      <c r="N3070" s="90">
        <v>1.53094745641837</v>
      </c>
      <c r="O3070" s="90">
        <v>1.6337182650840201</v>
      </c>
      <c r="P3070" s="90">
        <v>0.21569104897728</v>
      </c>
      <c r="Q3070" s="90">
        <v>531.69034248616003</v>
      </c>
      <c r="R3070" s="90">
        <v>1430</v>
      </c>
      <c r="S3070" s="90" t="s">
        <v>326</v>
      </c>
      <c r="T3070" s="90">
        <v>1430</v>
      </c>
      <c r="U3070" s="90" t="s">
        <v>378</v>
      </c>
      <c r="V3070" s="90" t="s">
        <v>244</v>
      </c>
      <c r="Z3070" s="90">
        <v>0</v>
      </c>
      <c r="AA3070" s="90">
        <v>1</v>
      </c>
      <c r="AB3070" s="90">
        <v>1.6337182650840201</v>
      </c>
      <c r="AC3070" s="90">
        <v>0.21569104897728</v>
      </c>
      <c r="AD3070" s="90">
        <v>531.69034248616003</v>
      </c>
      <c r="AF3070" s="90">
        <v>-1</v>
      </c>
      <c r="AG3070" s="90">
        <v>-1</v>
      </c>
      <c r="AH3070" s="90">
        <v>-1</v>
      </c>
      <c r="AI3070" s="90">
        <v>-1</v>
      </c>
      <c r="AJ3070" s="90">
        <v>0</v>
      </c>
      <c r="AM3070" s="90" t="s">
        <v>379</v>
      </c>
      <c r="AN3070" s="90">
        <v>-1</v>
      </c>
      <c r="AQ3070" s="90">
        <v>390</v>
      </c>
      <c r="AR3070" s="90" t="s">
        <v>311</v>
      </c>
      <c r="AS3070" s="90" t="s">
        <v>429</v>
      </c>
      <c r="AT3070" s="90" t="s">
        <v>244</v>
      </c>
      <c r="AU3070" s="90">
        <v>1.745582</v>
      </c>
      <c r="AV3070" s="90">
        <v>99.919017520873297</v>
      </c>
      <c r="AW3070" s="90">
        <v>570.15066268177497</v>
      </c>
      <c r="AX3070" s="90">
        <v>0.43121682280000001</v>
      </c>
    </row>
    <row r="3071" spans="1:50" x14ac:dyDescent="0.25">
      <c r="A3071" s="102">
        <v>830000</v>
      </c>
      <c r="B3071" s="102">
        <v>2400000</v>
      </c>
      <c r="C3071" s="102">
        <v>2400000</v>
      </c>
      <c r="D3071" s="90" t="s">
        <v>374</v>
      </c>
      <c r="E3071" s="90" t="s">
        <v>68</v>
      </c>
      <c r="F3071" s="90" t="s">
        <v>375</v>
      </c>
      <c r="G3071" s="90" t="s">
        <v>376</v>
      </c>
      <c r="H3071" s="90">
        <v>0.59</v>
      </c>
      <c r="I3071" s="90">
        <v>0.64</v>
      </c>
      <c r="J3071" s="90" t="s">
        <v>244</v>
      </c>
      <c r="K3071" s="90">
        <v>5.5641448753599998E-3</v>
      </c>
      <c r="L3071" s="90">
        <v>3773.8699927094799</v>
      </c>
      <c r="M3071" s="90">
        <v>11.595923123810399</v>
      </c>
      <c r="N3071" s="90">
        <v>1.53094745641837</v>
      </c>
      <c r="O3071" s="90">
        <v>6.4521396224429997E-2</v>
      </c>
      <c r="P3071" s="90">
        <v>8.5184134440700002E-3</v>
      </c>
      <c r="Q3071" s="90">
        <v>20.998359380213099</v>
      </c>
      <c r="R3071" s="90">
        <v>1410</v>
      </c>
      <c r="S3071" s="90" t="s">
        <v>325</v>
      </c>
      <c r="T3071" s="90">
        <v>1410</v>
      </c>
      <c r="U3071" s="90" t="s">
        <v>378</v>
      </c>
      <c r="V3071" s="90" t="s">
        <v>244</v>
      </c>
      <c r="Z3071" s="90">
        <v>0</v>
      </c>
      <c r="AA3071" s="90">
        <v>1</v>
      </c>
      <c r="AB3071" s="90">
        <v>6.4521396224429997E-2</v>
      </c>
      <c r="AC3071" s="90">
        <v>8.5184134440700002E-3</v>
      </c>
      <c r="AD3071" s="90">
        <v>500.55793210959001</v>
      </c>
      <c r="AF3071" s="90">
        <v>-1</v>
      </c>
      <c r="AG3071" s="90">
        <v>-1</v>
      </c>
      <c r="AH3071" s="90">
        <v>-1</v>
      </c>
      <c r="AI3071" s="90">
        <v>-1</v>
      </c>
      <c r="AJ3071" s="90">
        <v>0</v>
      </c>
      <c r="AM3071" s="90" t="s">
        <v>379</v>
      </c>
      <c r="AN3071" s="90">
        <v>-1</v>
      </c>
      <c r="AQ3071" s="90">
        <v>390</v>
      </c>
      <c r="AR3071" s="90" t="s">
        <v>311</v>
      </c>
      <c r="AS3071" s="90" t="s">
        <v>429</v>
      </c>
      <c r="AT3071" s="90" t="s">
        <v>244</v>
      </c>
      <c r="AU3071" s="90">
        <v>1.745582</v>
      </c>
      <c r="AV3071" s="90">
        <v>66.430737405326497</v>
      </c>
      <c r="AW3071" s="90">
        <v>22.5172954240184</v>
      </c>
      <c r="AX3071" s="90">
        <v>0.40596750370000001</v>
      </c>
    </row>
    <row r="3072" spans="1:50" x14ac:dyDescent="0.25">
      <c r="A3072" s="102">
        <v>830000</v>
      </c>
      <c r="B3072" s="102">
        <v>2400000</v>
      </c>
      <c r="C3072" s="102">
        <v>2400000</v>
      </c>
      <c r="D3072" s="90" t="s">
        <v>374</v>
      </c>
      <c r="E3072" s="90" t="s">
        <v>68</v>
      </c>
      <c r="F3072" s="90" t="s">
        <v>375</v>
      </c>
      <c r="G3072" s="90" t="s">
        <v>376</v>
      </c>
      <c r="H3072" s="90">
        <v>0.59</v>
      </c>
      <c r="I3072" s="90">
        <v>0.64</v>
      </c>
      <c r="J3072" s="90" t="s">
        <v>244</v>
      </c>
      <c r="K3072" s="90">
        <v>7.0275449937600001E-2</v>
      </c>
      <c r="L3072" s="90">
        <v>3746.54296813685</v>
      </c>
      <c r="M3072" s="90">
        <v>10.686320575515801</v>
      </c>
      <c r="N3072" s="90">
        <v>2.03170003076078</v>
      </c>
      <c r="O3072" s="90">
        <v>0.75098598662188998</v>
      </c>
      <c r="P3072" s="90">
        <v>0.14277863379996</v>
      </c>
      <c r="Q3072" s="90">
        <v>263.289992796398</v>
      </c>
      <c r="R3072" s="90">
        <v>1300</v>
      </c>
      <c r="S3072" s="90" t="s">
        <v>387</v>
      </c>
      <c r="T3072" s="90">
        <v>1300</v>
      </c>
      <c r="U3072" s="90" t="s">
        <v>378</v>
      </c>
      <c r="V3072" s="90" t="s">
        <v>244</v>
      </c>
      <c r="Z3072" s="90">
        <v>0</v>
      </c>
      <c r="AA3072" s="90">
        <v>1</v>
      </c>
      <c r="AB3072" s="90">
        <v>0.75098598662188998</v>
      </c>
      <c r="AC3072" s="90">
        <v>0.14277863379996</v>
      </c>
      <c r="AD3072" s="90">
        <v>725.54263510485202</v>
      </c>
      <c r="AF3072" s="90">
        <v>-1</v>
      </c>
      <c r="AG3072" s="90">
        <v>-1</v>
      </c>
      <c r="AH3072" s="90">
        <v>-1</v>
      </c>
      <c r="AI3072" s="90">
        <v>-1</v>
      </c>
      <c r="AJ3072" s="90">
        <v>0</v>
      </c>
      <c r="AM3072" s="90" t="s">
        <v>379</v>
      </c>
      <c r="AN3072" s="90">
        <v>-1</v>
      </c>
      <c r="AQ3072" s="90">
        <v>390</v>
      </c>
      <c r="AR3072" s="90" t="s">
        <v>311</v>
      </c>
      <c r="AS3072" s="90" t="s">
        <v>429</v>
      </c>
      <c r="AT3072" s="90" t="s">
        <v>244</v>
      </c>
      <c r="AU3072" s="90">
        <v>1.745582</v>
      </c>
      <c r="AV3072" s="90">
        <v>111.394331809734</v>
      </c>
      <c r="AW3072" s="90">
        <v>284.39465591705999</v>
      </c>
      <c r="AX3072" s="90">
        <v>0.58843684919999995</v>
      </c>
    </row>
    <row r="3073" spans="1:50" x14ac:dyDescent="0.25">
      <c r="A3073" s="102">
        <v>830000</v>
      </c>
      <c r="B3073" s="102">
        <v>2400000</v>
      </c>
      <c r="C3073" s="102">
        <v>2400000</v>
      </c>
      <c r="D3073" s="90" t="s">
        <v>374</v>
      </c>
      <c r="E3073" s="90" t="s">
        <v>68</v>
      </c>
      <c r="F3073" s="90" t="s">
        <v>375</v>
      </c>
      <c r="G3073" s="90" t="s">
        <v>376</v>
      </c>
      <c r="H3073" s="90">
        <v>0.59</v>
      </c>
      <c r="I3073" s="90">
        <v>0.64</v>
      </c>
      <c r="J3073" s="90" t="s">
        <v>244</v>
      </c>
      <c r="K3073" s="90">
        <v>1.1104402903059999E-2</v>
      </c>
      <c r="L3073" s="90">
        <v>3746.54296813685</v>
      </c>
      <c r="M3073" s="90">
        <v>10.686320575515801</v>
      </c>
      <c r="N3073" s="90">
        <v>2.03170003076078</v>
      </c>
      <c r="O3073" s="90">
        <v>0.11866520922183001</v>
      </c>
      <c r="P3073" s="90">
        <v>2.2560815719729999E-2</v>
      </c>
      <c r="Q3073" s="90">
        <v>41.603122611832902</v>
      </c>
      <c r="R3073" s="90">
        <v>1330</v>
      </c>
      <c r="S3073" s="90" t="s">
        <v>397</v>
      </c>
      <c r="T3073" s="90">
        <v>1330</v>
      </c>
      <c r="U3073" s="90" t="s">
        <v>378</v>
      </c>
      <c r="V3073" s="90" t="s">
        <v>244</v>
      </c>
      <c r="Z3073" s="90">
        <v>0</v>
      </c>
      <c r="AA3073" s="90">
        <v>1</v>
      </c>
      <c r="AB3073" s="90">
        <v>0.11866520922183001</v>
      </c>
      <c r="AC3073" s="90">
        <v>2.2560815719729999E-2</v>
      </c>
      <c r="AD3073" s="90">
        <v>41.603122611834003</v>
      </c>
      <c r="AF3073" s="90">
        <v>-1</v>
      </c>
      <c r="AG3073" s="90">
        <v>-1</v>
      </c>
      <c r="AH3073" s="90">
        <v>-1</v>
      </c>
      <c r="AI3073" s="90">
        <v>-1</v>
      </c>
      <c r="AJ3073" s="90">
        <v>0</v>
      </c>
      <c r="AM3073" s="90" t="s">
        <v>379</v>
      </c>
      <c r="AN3073" s="90">
        <v>-1</v>
      </c>
      <c r="AQ3073" s="90">
        <v>390</v>
      </c>
      <c r="AR3073" s="90" t="s">
        <v>311</v>
      </c>
      <c r="AS3073" s="90" t="s">
        <v>429</v>
      </c>
      <c r="AT3073" s="90" t="s">
        <v>244</v>
      </c>
      <c r="AU3073" s="90">
        <v>1.745582</v>
      </c>
      <c r="AV3073" s="90">
        <v>28.853675563614999</v>
      </c>
      <c r="AW3073" s="90">
        <v>44.937924205183002</v>
      </c>
      <c r="AX3073" s="90">
        <v>3.37413809E-2</v>
      </c>
    </row>
    <row r="3074" spans="1:50" x14ac:dyDescent="0.25">
      <c r="A3074" s="102">
        <v>830000</v>
      </c>
      <c r="B3074" s="102">
        <v>2400000</v>
      </c>
      <c r="C3074" s="102">
        <v>2400000</v>
      </c>
      <c r="D3074" s="90" t="s">
        <v>374</v>
      </c>
      <c r="E3074" s="90" t="s">
        <v>68</v>
      </c>
      <c r="F3074" s="90" t="s">
        <v>375</v>
      </c>
      <c r="G3074" s="90" t="s">
        <v>376</v>
      </c>
      <c r="H3074" s="90">
        <v>0.59</v>
      </c>
      <c r="I3074" s="90">
        <v>0.64</v>
      </c>
      <c r="J3074" s="90" t="s">
        <v>244</v>
      </c>
      <c r="K3074" s="90">
        <v>1.9030606049669999E-2</v>
      </c>
      <c r="L3074" s="90">
        <v>3746.54296813685</v>
      </c>
      <c r="M3074" s="90">
        <v>10.686320575515801</v>
      </c>
      <c r="N3074" s="90">
        <v>2.03170003076078</v>
      </c>
      <c r="O3074" s="90">
        <v>0.20336715699321001</v>
      </c>
      <c r="P3074" s="90">
        <v>3.8664482896519997E-2</v>
      </c>
      <c r="Q3074" s="90">
        <v>71.298983274803703</v>
      </c>
      <c r="R3074" s="90">
        <v>1330</v>
      </c>
      <c r="S3074" s="90" t="s">
        <v>397</v>
      </c>
      <c r="T3074" s="90">
        <v>1330</v>
      </c>
      <c r="U3074" s="90" t="s">
        <v>378</v>
      </c>
      <c r="V3074" s="90" t="s">
        <v>244</v>
      </c>
      <c r="Z3074" s="90">
        <v>0</v>
      </c>
      <c r="AA3074" s="90">
        <v>1</v>
      </c>
      <c r="AB3074" s="90">
        <v>0.20336715699321001</v>
      </c>
      <c r="AC3074" s="90">
        <v>3.8664482896519997E-2</v>
      </c>
      <c r="AD3074" s="90">
        <v>71.298983274803007</v>
      </c>
      <c r="AF3074" s="90">
        <v>-1</v>
      </c>
      <c r="AG3074" s="90">
        <v>-1</v>
      </c>
      <c r="AH3074" s="90">
        <v>-1</v>
      </c>
      <c r="AI3074" s="90">
        <v>-1</v>
      </c>
      <c r="AJ3074" s="90">
        <v>0</v>
      </c>
      <c r="AM3074" s="90" t="s">
        <v>379</v>
      </c>
      <c r="AN3074" s="90">
        <v>-1</v>
      </c>
      <c r="AQ3074" s="90">
        <v>390</v>
      </c>
      <c r="AR3074" s="90" t="s">
        <v>311</v>
      </c>
      <c r="AS3074" s="90" t="s">
        <v>429</v>
      </c>
      <c r="AT3074" s="90" t="s">
        <v>244</v>
      </c>
      <c r="AU3074" s="90">
        <v>1.745582</v>
      </c>
      <c r="AV3074" s="90">
        <v>43.707867201116599</v>
      </c>
      <c r="AW3074" s="90">
        <v>77.014130314302903</v>
      </c>
      <c r="AX3074" s="90">
        <v>5.7825614999999997E-2</v>
      </c>
    </row>
    <row r="3075" spans="1:50" x14ac:dyDescent="0.25">
      <c r="A3075" s="102">
        <v>830000</v>
      </c>
      <c r="B3075" s="102">
        <v>2400000</v>
      </c>
      <c r="C3075" s="102">
        <v>2400000</v>
      </c>
      <c r="D3075" s="90" t="s">
        <v>374</v>
      </c>
      <c r="E3075" s="90" t="s">
        <v>68</v>
      </c>
      <c r="F3075" s="90" t="s">
        <v>375</v>
      </c>
      <c r="G3075" s="90" t="s">
        <v>376</v>
      </c>
      <c r="H3075" s="90">
        <v>0.59</v>
      </c>
      <c r="I3075" s="90">
        <v>0.64</v>
      </c>
      <c r="J3075" s="90" t="s">
        <v>244</v>
      </c>
      <c r="K3075" s="90">
        <v>2.0171667107710001E-2</v>
      </c>
      <c r="L3075" s="90">
        <v>3746.54296813685</v>
      </c>
      <c r="M3075" s="90">
        <v>10.686320575515801</v>
      </c>
      <c r="N3075" s="90">
        <v>2.03170003076078</v>
      </c>
      <c r="O3075" s="90">
        <v>0.21556090125558</v>
      </c>
      <c r="P3075" s="90">
        <v>4.0982776683229999E-2</v>
      </c>
      <c r="Q3075" s="90">
        <v>75.574017557992093</v>
      </c>
      <c r="R3075" s="90">
        <v>1330</v>
      </c>
      <c r="S3075" s="90" t="s">
        <v>397</v>
      </c>
      <c r="T3075" s="90">
        <v>1330</v>
      </c>
      <c r="U3075" s="90" t="s">
        <v>378</v>
      </c>
      <c r="V3075" s="90" t="s">
        <v>244</v>
      </c>
      <c r="Z3075" s="90">
        <v>0</v>
      </c>
      <c r="AA3075" s="90">
        <v>1</v>
      </c>
      <c r="AB3075" s="90">
        <v>0.21556090125558</v>
      </c>
      <c r="AC3075" s="90">
        <v>4.0982776683229999E-2</v>
      </c>
      <c r="AD3075" s="90">
        <v>75.574017557993201</v>
      </c>
      <c r="AF3075" s="90">
        <v>-1</v>
      </c>
      <c r="AG3075" s="90">
        <v>-1</v>
      </c>
      <c r="AH3075" s="90">
        <v>-1</v>
      </c>
      <c r="AI3075" s="90">
        <v>-1</v>
      </c>
      <c r="AJ3075" s="90">
        <v>0</v>
      </c>
      <c r="AM3075" s="90" t="s">
        <v>379</v>
      </c>
      <c r="AN3075" s="90">
        <v>-1</v>
      </c>
      <c r="AQ3075" s="90">
        <v>390</v>
      </c>
      <c r="AR3075" s="90" t="s">
        <v>311</v>
      </c>
      <c r="AS3075" s="90" t="s">
        <v>429</v>
      </c>
      <c r="AT3075" s="90" t="s">
        <v>244</v>
      </c>
      <c r="AU3075" s="90">
        <v>1.745582</v>
      </c>
      <c r="AV3075" s="90">
        <v>46.886774593366901</v>
      </c>
      <c r="AW3075" s="90">
        <v>81.631840585356301</v>
      </c>
      <c r="AX3075" s="90">
        <v>6.1292796099999998E-2</v>
      </c>
    </row>
    <row r="3076" spans="1:50" x14ac:dyDescent="0.25">
      <c r="A3076" s="102">
        <v>830000</v>
      </c>
      <c r="B3076" s="102">
        <v>2400000</v>
      </c>
      <c r="C3076" s="102">
        <v>2400000</v>
      </c>
      <c r="D3076" s="90" t="s">
        <v>374</v>
      </c>
      <c r="E3076" s="90" t="s">
        <v>68</v>
      </c>
      <c r="F3076" s="90" t="s">
        <v>375</v>
      </c>
      <c r="G3076" s="90" t="s">
        <v>376</v>
      </c>
      <c r="H3076" s="90">
        <v>0.59</v>
      </c>
      <c r="I3076" s="90">
        <v>0.64</v>
      </c>
      <c r="J3076" s="90" t="s">
        <v>244</v>
      </c>
      <c r="K3076" s="90">
        <v>3.6020137776899999E-3</v>
      </c>
      <c r="L3076" s="90">
        <v>3746.54296813685</v>
      </c>
      <c r="M3076" s="90">
        <v>10.686320575515801</v>
      </c>
      <c r="N3076" s="90">
        <v>2.03170003076078</v>
      </c>
      <c r="O3076" s="90">
        <v>3.8492273945909997E-2</v>
      </c>
      <c r="P3076" s="90">
        <v>7.31821150295E-3</v>
      </c>
      <c r="Q3076" s="90">
        <v>13.4950993899702</v>
      </c>
      <c r="R3076" s="90">
        <v>1330</v>
      </c>
      <c r="S3076" s="90" t="s">
        <v>397</v>
      </c>
      <c r="T3076" s="90">
        <v>1330</v>
      </c>
      <c r="U3076" s="90" t="s">
        <v>378</v>
      </c>
      <c r="V3076" s="90" t="s">
        <v>244</v>
      </c>
      <c r="Z3076" s="90">
        <v>0</v>
      </c>
      <c r="AA3076" s="90">
        <v>1</v>
      </c>
      <c r="AB3076" s="90">
        <v>3.8492273945909997E-2</v>
      </c>
      <c r="AC3076" s="90">
        <v>7.31821150295E-3</v>
      </c>
      <c r="AD3076" s="90">
        <v>13.495099389969001</v>
      </c>
      <c r="AF3076" s="90">
        <v>-1</v>
      </c>
      <c r="AG3076" s="90">
        <v>-1</v>
      </c>
      <c r="AH3076" s="90">
        <v>-1</v>
      </c>
      <c r="AI3076" s="90">
        <v>-1</v>
      </c>
      <c r="AJ3076" s="90">
        <v>0</v>
      </c>
      <c r="AM3076" s="90" t="s">
        <v>379</v>
      </c>
      <c r="AN3076" s="90">
        <v>-1</v>
      </c>
      <c r="AQ3076" s="90">
        <v>390</v>
      </c>
      <c r="AR3076" s="90" t="s">
        <v>311</v>
      </c>
      <c r="AS3076" s="90" t="s">
        <v>429</v>
      </c>
      <c r="AT3076" s="90" t="s">
        <v>244</v>
      </c>
      <c r="AU3076" s="90">
        <v>1.745582</v>
      </c>
      <c r="AV3076" s="90">
        <v>15.329292674183</v>
      </c>
      <c r="AW3076" s="90">
        <v>14.576832589853201</v>
      </c>
      <c r="AX3076" s="90">
        <v>1.09449306E-2</v>
      </c>
    </row>
    <row r="3077" spans="1:50" x14ac:dyDescent="0.25">
      <c r="A3077" s="102">
        <v>830000</v>
      </c>
      <c r="B3077" s="102">
        <v>2400000</v>
      </c>
      <c r="C3077" s="102">
        <v>2500000</v>
      </c>
      <c r="D3077" s="90" t="s">
        <v>374</v>
      </c>
      <c r="E3077" s="90" t="s">
        <v>68</v>
      </c>
      <c r="F3077" s="90" t="s">
        <v>375</v>
      </c>
      <c r="G3077" s="90" t="s">
        <v>376</v>
      </c>
      <c r="H3077" s="90">
        <v>0.59</v>
      </c>
      <c r="I3077" s="90">
        <v>0.64</v>
      </c>
      <c r="J3077" s="90" t="s">
        <v>244</v>
      </c>
      <c r="K3077" s="90">
        <v>7.2638717436300002E-2</v>
      </c>
      <c r="L3077" s="90">
        <v>3749.9078797765701</v>
      </c>
      <c r="M3077" s="90">
        <v>10.788175166197799</v>
      </c>
      <c r="N3077" s="90">
        <v>2.0785860412369201</v>
      </c>
      <c r="O3077" s="90">
        <v>0.78363920755076999</v>
      </c>
      <c r="P3077" s="90">
        <v>0.15098582411645001</v>
      </c>
      <c r="Q3077" s="90">
        <v>272.38849889125203</v>
      </c>
      <c r="R3077" s="90">
        <v>1300</v>
      </c>
      <c r="S3077" s="90" t="s">
        <v>387</v>
      </c>
      <c r="T3077" s="90">
        <v>1300</v>
      </c>
      <c r="U3077" s="90" t="s">
        <v>378</v>
      </c>
      <c r="V3077" s="90" t="s">
        <v>244</v>
      </c>
      <c r="Z3077" s="90">
        <v>0</v>
      </c>
      <c r="AA3077" s="90">
        <v>1</v>
      </c>
      <c r="AB3077" s="90">
        <v>0.78363920755076999</v>
      </c>
      <c r="AC3077" s="90">
        <v>0.15098582411645001</v>
      </c>
      <c r="AD3077" s="90">
        <v>1740.6663605466199</v>
      </c>
      <c r="AF3077" s="90">
        <v>-1</v>
      </c>
      <c r="AG3077" s="90">
        <v>-1</v>
      </c>
      <c r="AH3077" s="90">
        <v>-1</v>
      </c>
      <c r="AI3077" s="90">
        <v>-1</v>
      </c>
      <c r="AJ3077" s="90">
        <v>0</v>
      </c>
      <c r="AM3077" s="90" t="s">
        <v>379</v>
      </c>
      <c r="AN3077" s="90">
        <v>-1</v>
      </c>
      <c r="AQ3077" s="90">
        <v>390</v>
      </c>
      <c r="AR3077" s="90" t="s">
        <v>311</v>
      </c>
      <c r="AS3077" s="90" t="s">
        <v>429</v>
      </c>
      <c r="AT3077" s="90" t="s">
        <v>244</v>
      </c>
      <c r="AU3077" s="90">
        <v>1.745582</v>
      </c>
      <c r="AV3077" s="90">
        <v>97.743385685601694</v>
      </c>
      <c r="AW3077" s="90">
        <v>293.95846017199699</v>
      </c>
      <c r="AX3077" s="90">
        <v>1.4117326525</v>
      </c>
    </row>
    <row r="3078" spans="1:50" x14ac:dyDescent="0.25">
      <c r="A3078" s="102">
        <v>830000</v>
      </c>
      <c r="B3078" s="102">
        <v>2400000</v>
      </c>
      <c r="C3078" s="102">
        <v>2500000</v>
      </c>
      <c r="D3078" s="90" t="s">
        <v>374</v>
      </c>
      <c r="E3078" s="90" t="s">
        <v>68</v>
      </c>
      <c r="F3078" s="90" t="s">
        <v>375</v>
      </c>
      <c r="G3078" s="90" t="s">
        <v>376</v>
      </c>
      <c r="H3078" s="90">
        <v>0.59</v>
      </c>
      <c r="I3078" s="90">
        <v>0.64</v>
      </c>
      <c r="J3078" s="90" t="s">
        <v>244</v>
      </c>
      <c r="K3078" s="90">
        <v>3.2198737595519999E-2</v>
      </c>
      <c r="L3078" s="90">
        <v>3749.9078797765701</v>
      </c>
      <c r="M3078" s="90">
        <v>10.788175166197799</v>
      </c>
      <c r="N3078" s="90">
        <v>2.0785860412369201</v>
      </c>
      <c r="O3078" s="90">
        <v>0.34736562131099002</v>
      </c>
      <c r="P3078" s="90">
        <v>6.692784651151E-2</v>
      </c>
      <c r="Q3078" s="90">
        <v>120.742299828328</v>
      </c>
      <c r="R3078" s="90">
        <v>1330</v>
      </c>
      <c r="S3078" s="90" t="s">
        <v>397</v>
      </c>
      <c r="T3078" s="90">
        <v>1330</v>
      </c>
      <c r="U3078" s="90" t="s">
        <v>378</v>
      </c>
      <c r="V3078" s="90" t="s">
        <v>244</v>
      </c>
      <c r="Z3078" s="90">
        <v>0</v>
      </c>
      <c r="AA3078" s="90">
        <v>1</v>
      </c>
      <c r="AB3078" s="90">
        <v>0.34736562131099002</v>
      </c>
      <c r="AC3078" s="90">
        <v>6.692784651151E-2</v>
      </c>
      <c r="AD3078" s="90">
        <v>120.742299828329</v>
      </c>
      <c r="AF3078" s="90">
        <v>-1</v>
      </c>
      <c r="AG3078" s="90">
        <v>-1</v>
      </c>
      <c r="AH3078" s="90">
        <v>-1</v>
      </c>
      <c r="AI3078" s="90">
        <v>-1</v>
      </c>
      <c r="AJ3078" s="90">
        <v>0</v>
      </c>
      <c r="AM3078" s="90" t="s">
        <v>379</v>
      </c>
      <c r="AN3078" s="90">
        <v>-1</v>
      </c>
      <c r="AQ3078" s="90">
        <v>390</v>
      </c>
      <c r="AR3078" s="90" t="s">
        <v>311</v>
      </c>
      <c r="AS3078" s="90" t="s">
        <v>429</v>
      </c>
      <c r="AT3078" s="90" t="s">
        <v>244</v>
      </c>
      <c r="AU3078" s="90">
        <v>1.745582</v>
      </c>
      <c r="AV3078" s="90">
        <v>64.827120787591497</v>
      </c>
      <c r="AW3078" s="90">
        <v>130.303668031635</v>
      </c>
      <c r="AX3078" s="90">
        <v>9.7925628400000006E-2</v>
      </c>
    </row>
    <row r="3079" spans="1:50" x14ac:dyDescent="0.25">
      <c r="A3079" s="102">
        <v>830000</v>
      </c>
      <c r="B3079" s="102">
        <v>1400000</v>
      </c>
      <c r="C3079" s="102">
        <v>1400000</v>
      </c>
      <c r="D3079" s="90" t="s">
        <v>374</v>
      </c>
      <c r="E3079" s="90" t="s">
        <v>68</v>
      </c>
      <c r="F3079" s="90" t="s">
        <v>375</v>
      </c>
      <c r="G3079" s="90" t="s">
        <v>376</v>
      </c>
      <c r="H3079" s="90">
        <v>0.59</v>
      </c>
      <c r="I3079" s="90">
        <v>0.64</v>
      </c>
      <c r="J3079" s="90" t="s">
        <v>244</v>
      </c>
      <c r="K3079" s="90">
        <v>9.7934966646800008E-3</v>
      </c>
      <c r="L3079" s="90">
        <v>3294.8136544918402</v>
      </c>
      <c r="M3079" s="90">
        <v>9.87096039206358</v>
      </c>
      <c r="N3079" s="90">
        <v>1.31625280227494</v>
      </c>
      <c r="O3079" s="90">
        <v>9.6671217676869994E-2</v>
      </c>
      <c r="P3079" s="90">
        <v>1.289071742895E-2</v>
      </c>
      <c r="Q3079" s="90">
        <v>32.267746536011302</v>
      </c>
      <c r="R3079" s="90">
        <v>1750</v>
      </c>
      <c r="S3079" s="90" t="s">
        <v>377</v>
      </c>
      <c r="T3079" s="90">
        <v>1750</v>
      </c>
      <c r="U3079" s="90" t="s">
        <v>378</v>
      </c>
      <c r="V3079" s="90" t="s">
        <v>244</v>
      </c>
      <c r="Z3079" s="90">
        <v>0</v>
      </c>
      <c r="AA3079" s="90">
        <v>1</v>
      </c>
      <c r="AB3079" s="90">
        <v>9.6671217676869994E-2</v>
      </c>
      <c r="AC3079" s="90">
        <v>1.289071742895E-2</v>
      </c>
      <c r="AD3079" s="90">
        <v>45.579463617823102</v>
      </c>
      <c r="AF3079" s="90">
        <v>-1</v>
      </c>
      <c r="AG3079" s="90">
        <v>-1</v>
      </c>
      <c r="AH3079" s="90">
        <v>-1</v>
      </c>
      <c r="AI3079" s="90">
        <v>-1</v>
      </c>
      <c r="AJ3079" s="90">
        <v>0</v>
      </c>
      <c r="AM3079" s="90" t="s">
        <v>379</v>
      </c>
      <c r="AN3079" s="90">
        <v>-1</v>
      </c>
      <c r="AQ3079" s="90">
        <v>391</v>
      </c>
      <c r="AR3079" s="90" t="s">
        <v>315</v>
      </c>
      <c r="AS3079" s="90" t="s">
        <v>430</v>
      </c>
      <c r="AT3079" s="90" t="s">
        <v>244</v>
      </c>
      <c r="AU3079" s="90">
        <v>22.5044</v>
      </c>
      <c r="AV3079" s="90">
        <v>31.8677930597627</v>
      </c>
      <c r="AW3079" s="90">
        <v>39.6328748752167</v>
      </c>
      <c r="AX3079" s="90">
        <v>3.6966312699999997E-2</v>
      </c>
    </row>
    <row r="3080" spans="1:50" x14ac:dyDescent="0.25">
      <c r="A3080" s="102">
        <v>830000</v>
      </c>
      <c r="B3080" s="102">
        <v>1400000</v>
      </c>
      <c r="C3080" s="102">
        <v>1400000</v>
      </c>
      <c r="D3080" s="90" t="s">
        <v>374</v>
      </c>
      <c r="E3080" s="90" t="s">
        <v>68</v>
      </c>
      <c r="F3080" s="90" t="s">
        <v>375</v>
      </c>
      <c r="G3080" s="90" t="s">
        <v>376</v>
      </c>
      <c r="H3080" s="90">
        <v>0.59</v>
      </c>
      <c r="I3080" s="90">
        <v>0.64</v>
      </c>
      <c r="J3080" s="90" t="s">
        <v>244</v>
      </c>
      <c r="K3080" s="90">
        <v>3.82275522059E-3</v>
      </c>
      <c r="L3080" s="90">
        <v>3768.4617706860499</v>
      </c>
      <c r="M3080" s="90">
        <v>10.3370849493979</v>
      </c>
      <c r="N3080" s="90">
        <v>1.37513687899089</v>
      </c>
      <c r="O3080" s="90">
        <v>3.9516145455989998E-2</v>
      </c>
      <c r="P3080" s="90">
        <v>5.2568116831799997E-3</v>
      </c>
      <c r="Q3080" s="90">
        <v>14.405906907483899</v>
      </c>
      <c r="R3080" s="90">
        <v>1750</v>
      </c>
      <c r="S3080" s="90" t="s">
        <v>377</v>
      </c>
      <c r="T3080" s="90">
        <v>1750</v>
      </c>
      <c r="U3080" s="90" t="s">
        <v>378</v>
      </c>
      <c r="V3080" s="90" t="s">
        <v>244</v>
      </c>
      <c r="Z3080" s="90">
        <v>0</v>
      </c>
      <c r="AA3080" s="90">
        <v>1</v>
      </c>
      <c r="AB3080" s="90">
        <v>3.9516145455989998E-2</v>
      </c>
      <c r="AC3080" s="90">
        <v>5.2568116831799997E-3</v>
      </c>
      <c r="AD3080" s="90">
        <v>22.058177591773902</v>
      </c>
      <c r="AF3080" s="90">
        <v>-1</v>
      </c>
      <c r="AG3080" s="90">
        <v>-1</v>
      </c>
      <c r="AH3080" s="90">
        <v>-1</v>
      </c>
      <c r="AI3080" s="90">
        <v>-1</v>
      </c>
      <c r="AJ3080" s="90">
        <v>0</v>
      </c>
      <c r="AM3080" s="90" t="s">
        <v>379</v>
      </c>
      <c r="AN3080" s="90">
        <v>-1</v>
      </c>
      <c r="AQ3080" s="90">
        <v>391</v>
      </c>
      <c r="AR3080" s="90" t="s">
        <v>315</v>
      </c>
      <c r="AS3080" s="90" t="s">
        <v>430</v>
      </c>
      <c r="AT3080" s="90" t="s">
        <v>244</v>
      </c>
      <c r="AU3080" s="90">
        <v>22.5044</v>
      </c>
      <c r="AV3080" s="90">
        <v>29.8809697799018</v>
      </c>
      <c r="AW3080" s="90">
        <v>15.470141515709701</v>
      </c>
      <c r="AX3080" s="90">
        <v>1.7889843999999998E-2</v>
      </c>
    </row>
    <row r="3081" spans="1:50" x14ac:dyDescent="0.25">
      <c r="A3081" s="102">
        <v>830000</v>
      </c>
      <c r="B3081" s="102">
        <v>1400000</v>
      </c>
      <c r="C3081" s="102">
        <v>1400000</v>
      </c>
      <c r="D3081" s="90" t="s">
        <v>374</v>
      </c>
      <c r="E3081" s="90" t="s">
        <v>68</v>
      </c>
      <c r="F3081" s="90" t="s">
        <v>375</v>
      </c>
      <c r="G3081" s="90" t="s">
        <v>376</v>
      </c>
      <c r="H3081" s="90">
        <v>0.59</v>
      </c>
      <c r="I3081" s="90">
        <v>0.64</v>
      </c>
      <c r="J3081" s="90" t="s">
        <v>244</v>
      </c>
      <c r="K3081" s="90">
        <v>4.176253212712E-2</v>
      </c>
      <c r="L3081" s="90">
        <v>3768.4617706860499</v>
      </c>
      <c r="M3081" s="90">
        <v>10.3370849493979</v>
      </c>
      <c r="N3081" s="90">
        <v>1.37513687899089</v>
      </c>
      <c r="O3081" s="90">
        <v>0.4317028423</v>
      </c>
      <c r="P3081" s="90">
        <v>5.742919808804E-2</v>
      </c>
      <c r="Q3081" s="90">
        <v>157.38050576809999</v>
      </c>
      <c r="R3081" s="90">
        <v>1750</v>
      </c>
      <c r="S3081" s="90" t="s">
        <v>377</v>
      </c>
      <c r="T3081" s="90">
        <v>1750</v>
      </c>
      <c r="U3081" s="90" t="s">
        <v>378</v>
      </c>
      <c r="V3081" s="90" t="s">
        <v>244</v>
      </c>
      <c r="Z3081" s="90">
        <v>0</v>
      </c>
      <c r="AA3081" s="90">
        <v>1</v>
      </c>
      <c r="AB3081" s="90">
        <v>0.4317028423</v>
      </c>
      <c r="AC3081" s="90">
        <v>5.742919808804E-2</v>
      </c>
      <c r="AD3081" s="90">
        <v>701.80993565351196</v>
      </c>
      <c r="AF3081" s="90">
        <v>-1</v>
      </c>
      <c r="AG3081" s="90">
        <v>-1</v>
      </c>
      <c r="AH3081" s="90">
        <v>-1</v>
      </c>
      <c r="AI3081" s="90">
        <v>-1</v>
      </c>
      <c r="AJ3081" s="90">
        <v>0</v>
      </c>
      <c r="AM3081" s="90" t="s">
        <v>379</v>
      </c>
      <c r="AN3081" s="90">
        <v>-1</v>
      </c>
      <c r="AQ3081" s="90">
        <v>391</v>
      </c>
      <c r="AR3081" s="90" t="s">
        <v>315</v>
      </c>
      <c r="AS3081" s="90" t="s">
        <v>430</v>
      </c>
      <c r="AT3081" s="90" t="s">
        <v>244</v>
      </c>
      <c r="AU3081" s="90">
        <v>22.5044</v>
      </c>
      <c r="AV3081" s="90">
        <v>64.163724669370296</v>
      </c>
      <c r="AW3081" s="90">
        <v>169.00697135432</v>
      </c>
      <c r="AX3081" s="90">
        <v>0.56918891780000003</v>
      </c>
    </row>
    <row r="3082" spans="1:50" x14ac:dyDescent="0.25">
      <c r="A3082" s="102">
        <v>830000</v>
      </c>
      <c r="B3082" s="102">
        <v>1400000</v>
      </c>
      <c r="C3082" s="102">
        <v>1400000</v>
      </c>
      <c r="D3082" s="90" t="s">
        <v>374</v>
      </c>
      <c r="E3082" s="90" t="s">
        <v>68</v>
      </c>
      <c r="F3082" s="90" t="s">
        <v>375</v>
      </c>
      <c r="G3082" s="90" t="s">
        <v>376</v>
      </c>
      <c r="H3082" s="90">
        <v>0.59</v>
      </c>
      <c r="I3082" s="90">
        <v>0.64</v>
      </c>
      <c r="J3082" s="90" t="s">
        <v>244</v>
      </c>
      <c r="K3082" s="90">
        <v>0.11414772284762</v>
      </c>
      <c r="L3082" s="90">
        <v>3763.4851427663398</v>
      </c>
      <c r="M3082" s="90">
        <v>10.1014979891092</v>
      </c>
      <c r="N3082" s="90">
        <v>1.3440496003072899</v>
      </c>
      <c r="O3082" s="90">
        <v>1.15306299280669</v>
      </c>
      <c r="P3082" s="90">
        <v>0.15342020126934</v>
      </c>
      <c r="Q3082" s="90">
        <v>429.59325901765101</v>
      </c>
      <c r="R3082" s="90">
        <v>1750</v>
      </c>
      <c r="S3082" s="90" t="s">
        <v>377</v>
      </c>
      <c r="T3082" s="90">
        <v>1750</v>
      </c>
      <c r="U3082" s="90" t="s">
        <v>378</v>
      </c>
      <c r="V3082" s="90" t="s">
        <v>244</v>
      </c>
      <c r="Z3082" s="90">
        <v>0</v>
      </c>
      <c r="AA3082" s="90">
        <v>1</v>
      </c>
      <c r="AB3082" s="90">
        <v>1.15306299280669</v>
      </c>
      <c r="AC3082" s="90">
        <v>0.15342020126934</v>
      </c>
      <c r="AD3082" s="90">
        <v>618.76383272686405</v>
      </c>
      <c r="AF3082" s="90">
        <v>-1</v>
      </c>
      <c r="AG3082" s="90">
        <v>-1</v>
      </c>
      <c r="AH3082" s="90">
        <v>-1</v>
      </c>
      <c r="AI3082" s="90">
        <v>-1</v>
      </c>
      <c r="AJ3082" s="90">
        <v>0</v>
      </c>
      <c r="AM3082" s="90" t="s">
        <v>379</v>
      </c>
      <c r="AN3082" s="90">
        <v>-1</v>
      </c>
      <c r="AQ3082" s="90">
        <v>391</v>
      </c>
      <c r="AR3082" s="90" t="s">
        <v>315</v>
      </c>
      <c r="AS3082" s="90" t="s">
        <v>430</v>
      </c>
      <c r="AT3082" s="90" t="s">
        <v>244</v>
      </c>
      <c r="AU3082" s="90">
        <v>22.5044</v>
      </c>
      <c r="AV3082" s="90">
        <v>96.545791605466903</v>
      </c>
      <c r="AW3082" s="90">
        <v>461.93944530825001</v>
      </c>
      <c r="AX3082" s="90">
        <v>0.50183603629999995</v>
      </c>
    </row>
    <row r="3083" spans="1:50" x14ac:dyDescent="0.25">
      <c r="A3083" s="102">
        <v>830000</v>
      </c>
      <c r="B3083" s="102">
        <v>1400000</v>
      </c>
      <c r="C3083" s="102">
        <v>1400000</v>
      </c>
      <c r="D3083" s="90" t="s">
        <v>374</v>
      </c>
      <c r="E3083" s="90" t="s">
        <v>68</v>
      </c>
      <c r="F3083" s="90" t="s">
        <v>375</v>
      </c>
      <c r="G3083" s="90" t="s">
        <v>376</v>
      </c>
      <c r="H3083" s="90">
        <v>0.59</v>
      </c>
      <c r="I3083" s="90">
        <v>0.64</v>
      </c>
      <c r="J3083" s="90" t="s">
        <v>244</v>
      </c>
      <c r="K3083" s="90">
        <v>5.0144348341509999E-2</v>
      </c>
      <c r="L3083" s="90">
        <v>3763.4851427663398</v>
      </c>
      <c r="M3083" s="90">
        <v>10.1014979891092</v>
      </c>
      <c r="N3083" s="90">
        <v>1.3440496003072899</v>
      </c>
      <c r="O3083" s="90">
        <v>0.50653303393699001</v>
      </c>
      <c r="P3083" s="90">
        <v>6.7396491346080001E-2</v>
      </c>
      <c r="Q3083" s="90">
        <v>188.717509976988</v>
      </c>
      <c r="R3083" s="90">
        <v>1750</v>
      </c>
      <c r="S3083" s="90" t="s">
        <v>377</v>
      </c>
      <c r="T3083" s="90">
        <v>1750</v>
      </c>
      <c r="U3083" s="90" t="s">
        <v>378</v>
      </c>
      <c r="V3083" s="90" t="s">
        <v>244</v>
      </c>
      <c r="Z3083" s="90">
        <v>0</v>
      </c>
      <c r="AA3083" s="90">
        <v>1</v>
      </c>
      <c r="AB3083" s="90">
        <v>0.50653303393699001</v>
      </c>
      <c r="AC3083" s="90">
        <v>6.7396491346080001E-2</v>
      </c>
      <c r="AD3083" s="90">
        <v>265.41116803114602</v>
      </c>
      <c r="AF3083" s="90">
        <v>-1</v>
      </c>
      <c r="AG3083" s="90">
        <v>-1</v>
      </c>
      <c r="AH3083" s="90">
        <v>-1</v>
      </c>
      <c r="AI3083" s="90">
        <v>-1</v>
      </c>
      <c r="AJ3083" s="90">
        <v>0</v>
      </c>
      <c r="AM3083" s="90" t="s">
        <v>379</v>
      </c>
      <c r="AN3083" s="90">
        <v>-1</v>
      </c>
      <c r="AQ3083" s="90">
        <v>391</v>
      </c>
      <c r="AR3083" s="90" t="s">
        <v>315</v>
      </c>
      <c r="AS3083" s="90" t="s">
        <v>430</v>
      </c>
      <c r="AT3083" s="90" t="s">
        <v>244</v>
      </c>
      <c r="AU3083" s="90">
        <v>22.5044</v>
      </c>
      <c r="AV3083" s="90">
        <v>57.049719487607597</v>
      </c>
      <c r="AW3083" s="90">
        <v>202.92697813292</v>
      </c>
      <c r="AX3083" s="90">
        <v>0.21525642179999999</v>
      </c>
    </row>
    <row r="3084" spans="1:50" x14ac:dyDescent="0.25">
      <c r="A3084" s="102">
        <v>830000</v>
      </c>
      <c r="B3084" s="102">
        <v>2400000</v>
      </c>
      <c r="C3084" s="102">
        <v>2400000</v>
      </c>
      <c r="D3084" s="90" t="s">
        <v>374</v>
      </c>
      <c r="E3084" s="90" t="s">
        <v>68</v>
      </c>
      <c r="F3084" s="90" t="s">
        <v>375</v>
      </c>
      <c r="G3084" s="90" t="s">
        <v>376</v>
      </c>
      <c r="H3084" s="90">
        <v>0.59</v>
      </c>
      <c r="I3084" s="90">
        <v>0.64</v>
      </c>
      <c r="J3084" s="90" t="s">
        <v>244</v>
      </c>
      <c r="K3084" s="90">
        <v>4.1949764998769998E-2</v>
      </c>
      <c r="L3084" s="90">
        <v>2753.07631071587</v>
      </c>
      <c r="M3084" s="90">
        <v>6.9473149243145196</v>
      </c>
      <c r="N3084" s="90">
        <v>1.0393296164793999</v>
      </c>
      <c r="O3084" s="90">
        <v>0.29143822844747003</v>
      </c>
      <c r="P3084" s="90">
        <v>4.3599633167569998E-2</v>
      </c>
      <c r="Q3084" s="90">
        <v>115.490904258225</v>
      </c>
      <c r="R3084" s="90">
        <v>1200</v>
      </c>
      <c r="S3084" s="90" t="s">
        <v>384</v>
      </c>
      <c r="T3084" s="90">
        <v>1200</v>
      </c>
      <c r="U3084" s="90" t="s">
        <v>378</v>
      </c>
      <c r="V3084" s="90" t="s">
        <v>244</v>
      </c>
      <c r="Z3084" s="90">
        <v>0</v>
      </c>
      <c r="AA3084" s="90">
        <v>1</v>
      </c>
      <c r="AB3084" s="90">
        <v>0.29143822844747003</v>
      </c>
      <c r="AC3084" s="90">
        <v>4.3599633167569998E-2</v>
      </c>
      <c r="AD3084" s="90">
        <v>1062.1510390445901</v>
      </c>
      <c r="AF3084" s="90">
        <v>-1</v>
      </c>
      <c r="AG3084" s="90">
        <v>-1</v>
      </c>
      <c r="AH3084" s="90">
        <v>-1</v>
      </c>
      <c r="AI3084" s="90">
        <v>-1</v>
      </c>
      <c r="AJ3084" s="90">
        <v>0</v>
      </c>
      <c r="AM3084" s="90" t="s">
        <v>379</v>
      </c>
      <c r="AN3084" s="90">
        <v>-1</v>
      </c>
      <c r="AQ3084" s="90">
        <v>391</v>
      </c>
      <c r="AR3084" s="90" t="s">
        <v>315</v>
      </c>
      <c r="AS3084" s="90" t="s">
        <v>430</v>
      </c>
      <c r="AT3084" s="90" t="s">
        <v>244</v>
      </c>
      <c r="AU3084" s="90">
        <v>22.5044</v>
      </c>
      <c r="AV3084" s="90">
        <v>62.960665487943501</v>
      </c>
      <c r="AW3084" s="90">
        <v>169.76467590346101</v>
      </c>
      <c r="AX3084" s="90">
        <v>0.86143636580000005</v>
      </c>
    </row>
    <row r="3085" spans="1:50" x14ac:dyDescent="0.25">
      <c r="A3085" s="102">
        <v>830000</v>
      </c>
      <c r="B3085" s="102">
        <v>2400000</v>
      </c>
      <c r="C3085" s="102">
        <v>2400000</v>
      </c>
      <c r="D3085" s="90" t="s">
        <v>374</v>
      </c>
      <c r="E3085" s="90" t="s">
        <v>68</v>
      </c>
      <c r="F3085" s="90" t="s">
        <v>375</v>
      </c>
      <c r="G3085" s="90" t="s">
        <v>376</v>
      </c>
      <c r="H3085" s="90">
        <v>0.59</v>
      </c>
      <c r="I3085" s="90">
        <v>0.64</v>
      </c>
      <c r="J3085" s="90" t="s">
        <v>244</v>
      </c>
      <c r="K3085" s="90">
        <v>1.5738150914099999E-3</v>
      </c>
      <c r="L3085" s="90">
        <v>2753.07631071587</v>
      </c>
      <c r="M3085" s="90">
        <v>6.9473149243145196</v>
      </c>
      <c r="N3085" s="90">
        <v>1.0393296164793999</v>
      </c>
      <c r="O3085" s="90">
        <v>1.09337890727E-2</v>
      </c>
      <c r="P3085" s="90">
        <v>1.63571263537E-3</v>
      </c>
      <c r="Q3085" s="90">
        <v>4.3328330456245201</v>
      </c>
      <c r="R3085" s="90">
        <v>1300</v>
      </c>
      <c r="S3085" s="90" t="s">
        <v>387</v>
      </c>
      <c r="T3085" s="90">
        <v>1300</v>
      </c>
      <c r="U3085" s="90" t="s">
        <v>378</v>
      </c>
      <c r="V3085" s="90" t="s">
        <v>244</v>
      </c>
      <c r="Z3085" s="90">
        <v>0</v>
      </c>
      <c r="AA3085" s="90">
        <v>1</v>
      </c>
      <c r="AB3085" s="90">
        <v>1.09337890727E-2</v>
      </c>
      <c r="AC3085" s="90">
        <v>1.63571263537E-3</v>
      </c>
      <c r="AD3085" s="90">
        <v>61.484671297576099</v>
      </c>
      <c r="AF3085" s="90">
        <v>-1</v>
      </c>
      <c r="AG3085" s="90">
        <v>-1</v>
      </c>
      <c r="AH3085" s="90">
        <v>-1</v>
      </c>
      <c r="AI3085" s="90">
        <v>-1</v>
      </c>
      <c r="AJ3085" s="90">
        <v>0</v>
      </c>
      <c r="AM3085" s="90" t="s">
        <v>379</v>
      </c>
      <c r="AN3085" s="90">
        <v>-1</v>
      </c>
      <c r="AQ3085" s="90">
        <v>391</v>
      </c>
      <c r="AR3085" s="90" t="s">
        <v>315</v>
      </c>
      <c r="AS3085" s="90" t="s">
        <v>430</v>
      </c>
      <c r="AT3085" s="90" t="s">
        <v>244</v>
      </c>
      <c r="AU3085" s="90">
        <v>22.5044</v>
      </c>
      <c r="AV3085" s="90">
        <v>11.7368020812218</v>
      </c>
      <c r="AW3085" s="90">
        <v>6.3690037103661803</v>
      </c>
      <c r="AX3085" s="90">
        <v>4.9865913499999998E-2</v>
      </c>
    </row>
    <row r="3086" spans="1:50" x14ac:dyDescent="0.25">
      <c r="A3086" s="102">
        <v>830000</v>
      </c>
      <c r="B3086" s="102">
        <v>2400000</v>
      </c>
      <c r="C3086" s="102">
        <v>2400000</v>
      </c>
      <c r="D3086" s="90" t="s">
        <v>374</v>
      </c>
      <c r="E3086" s="90" t="s">
        <v>68</v>
      </c>
      <c r="F3086" s="90" t="s">
        <v>375</v>
      </c>
      <c r="G3086" s="90" t="s">
        <v>376</v>
      </c>
      <c r="H3086" s="90">
        <v>0.59</v>
      </c>
      <c r="I3086" s="90">
        <v>0.64</v>
      </c>
      <c r="J3086" s="90" t="s">
        <v>244</v>
      </c>
      <c r="K3086" s="90">
        <v>0.25734600627458998</v>
      </c>
      <c r="L3086" s="90">
        <v>3771.8377011716998</v>
      </c>
      <c r="M3086" s="90">
        <v>11.8600578658797</v>
      </c>
      <c r="N3086" s="90">
        <v>1.5631420130925699</v>
      </c>
      <c r="O3086" s="90">
        <v>3.0521385259696898</v>
      </c>
      <c r="P3086" s="90">
        <v>0.40226835430939001</v>
      </c>
      <c r="Q3086" s="90">
        <v>970.66736871247303</v>
      </c>
      <c r="R3086" s="90">
        <v>1400</v>
      </c>
      <c r="S3086" s="90" t="s">
        <v>324</v>
      </c>
      <c r="T3086" s="90">
        <v>1400</v>
      </c>
      <c r="U3086" s="90" t="s">
        <v>378</v>
      </c>
      <c r="V3086" s="90" t="s">
        <v>244</v>
      </c>
      <c r="Z3086" s="90">
        <v>0</v>
      </c>
      <c r="AA3086" s="90">
        <v>1</v>
      </c>
      <c r="AB3086" s="90">
        <v>3.0521385259696898</v>
      </c>
      <c r="AC3086" s="90">
        <v>0.40226835430939001</v>
      </c>
      <c r="AD3086" s="90">
        <v>970.66736871247303</v>
      </c>
      <c r="AF3086" s="90">
        <v>-1</v>
      </c>
      <c r="AG3086" s="90">
        <v>-1</v>
      </c>
      <c r="AH3086" s="90">
        <v>-1</v>
      </c>
      <c r="AI3086" s="90">
        <v>-1</v>
      </c>
      <c r="AJ3086" s="90">
        <v>0</v>
      </c>
      <c r="AM3086" s="90" t="s">
        <v>379</v>
      </c>
      <c r="AN3086" s="90">
        <v>-1</v>
      </c>
      <c r="AQ3086" s="90">
        <v>391</v>
      </c>
      <c r="AR3086" s="90" t="s">
        <v>315</v>
      </c>
      <c r="AS3086" s="90" t="s">
        <v>430</v>
      </c>
      <c r="AT3086" s="90" t="s">
        <v>244</v>
      </c>
      <c r="AU3086" s="90">
        <v>22.5044</v>
      </c>
      <c r="AV3086" s="90">
        <v>133.42101128859301</v>
      </c>
      <c r="AW3086" s="90">
        <v>1041.4423382713101</v>
      </c>
      <c r="AX3086" s="90">
        <v>0.78724036389999996</v>
      </c>
    </row>
    <row r="3087" spans="1:50" x14ac:dyDescent="0.25">
      <c r="A3087" s="102">
        <v>830000</v>
      </c>
      <c r="B3087" s="102">
        <v>2400000</v>
      </c>
      <c r="C3087" s="102">
        <v>2400000</v>
      </c>
      <c r="D3087" s="90" t="s">
        <v>374</v>
      </c>
      <c r="E3087" s="90" t="s">
        <v>68</v>
      </c>
      <c r="F3087" s="90" t="s">
        <v>375</v>
      </c>
      <c r="G3087" s="90" t="s">
        <v>376</v>
      </c>
      <c r="H3087" s="90">
        <v>0.59</v>
      </c>
      <c r="I3087" s="90">
        <v>0.64</v>
      </c>
      <c r="J3087" s="90" t="s">
        <v>381</v>
      </c>
      <c r="K3087" s="90">
        <v>9.0281102467469995E-2</v>
      </c>
      <c r="L3087" s="90">
        <v>3771.8377011716998</v>
      </c>
      <c r="M3087" s="90">
        <v>11.8600578658797</v>
      </c>
      <c r="N3087" s="90">
        <v>1.5631420130925699</v>
      </c>
      <c r="O3087" s="90">
        <v>1.0707390994596799</v>
      </c>
      <c r="P3087" s="90">
        <v>0.14112218425522</v>
      </c>
      <c r="Q3087" s="90">
        <v>340.525665990172</v>
      </c>
      <c r="R3087" s="90">
        <v>1400</v>
      </c>
      <c r="S3087" s="90" t="s">
        <v>324</v>
      </c>
      <c r="T3087" s="90">
        <v>1400</v>
      </c>
      <c r="U3087" s="90" t="s">
        <v>382</v>
      </c>
      <c r="V3087" s="90" t="s">
        <v>381</v>
      </c>
      <c r="Z3087" s="90">
        <v>0</v>
      </c>
      <c r="AA3087" s="90">
        <v>1</v>
      </c>
      <c r="AB3087" s="90">
        <v>1.0707390994596799</v>
      </c>
      <c r="AC3087" s="90">
        <v>0.14112218425522</v>
      </c>
      <c r="AD3087" s="90">
        <v>383.65604454341002</v>
      </c>
      <c r="AF3087" s="90">
        <v>-1</v>
      </c>
      <c r="AG3087" s="90">
        <v>-1</v>
      </c>
      <c r="AH3087" s="90">
        <v>-1</v>
      </c>
      <c r="AI3087" s="90">
        <v>-1</v>
      </c>
      <c r="AJ3087" s="90">
        <v>0</v>
      </c>
      <c r="AM3087" s="90" t="s">
        <v>379</v>
      </c>
      <c r="AN3087" s="90">
        <v>-1</v>
      </c>
      <c r="AQ3087" s="90">
        <v>391</v>
      </c>
      <c r="AR3087" s="90" t="s">
        <v>315</v>
      </c>
      <c r="AS3087" s="90" t="s">
        <v>430</v>
      </c>
      <c r="AT3087" s="90" t="s">
        <v>244</v>
      </c>
      <c r="AU3087" s="90">
        <v>22.5044</v>
      </c>
      <c r="AV3087" s="90">
        <v>106.590260909695</v>
      </c>
      <c r="AW3087" s="90">
        <v>365.354659341858</v>
      </c>
      <c r="AX3087" s="90">
        <v>0.31115656489999999</v>
      </c>
    </row>
    <row r="3088" spans="1:50" x14ac:dyDescent="0.25">
      <c r="A3088" s="102">
        <v>830000</v>
      </c>
      <c r="B3088" s="102">
        <v>2400000</v>
      </c>
      <c r="C3088" s="102">
        <v>2400000</v>
      </c>
      <c r="D3088" s="90" t="s">
        <v>374</v>
      </c>
      <c r="E3088" s="90" t="s">
        <v>68</v>
      </c>
      <c r="F3088" s="90" t="s">
        <v>375</v>
      </c>
      <c r="G3088" s="90" t="s">
        <v>376</v>
      </c>
      <c r="H3088" s="90">
        <v>0.59</v>
      </c>
      <c r="I3088" s="90">
        <v>0.64</v>
      </c>
      <c r="J3088" s="90" t="s">
        <v>244</v>
      </c>
      <c r="K3088" s="90">
        <v>0.11207929672543</v>
      </c>
      <c r="L3088" s="90">
        <v>3771.8377011716998</v>
      </c>
      <c r="M3088" s="90">
        <v>11.8600578658797</v>
      </c>
      <c r="N3088" s="90">
        <v>1.5631420130925699</v>
      </c>
      <c r="O3088" s="90">
        <v>1.3292669447307801</v>
      </c>
      <c r="P3088" s="90">
        <v>0.1751958575094</v>
      </c>
      <c r="Q3088" s="90">
        <v>422.74491690981398</v>
      </c>
      <c r="R3088" s="90">
        <v>1430</v>
      </c>
      <c r="S3088" s="90" t="s">
        <v>326</v>
      </c>
      <c r="T3088" s="90">
        <v>1430</v>
      </c>
      <c r="U3088" s="90" t="s">
        <v>378</v>
      </c>
      <c r="V3088" s="90" t="s">
        <v>244</v>
      </c>
      <c r="Z3088" s="90">
        <v>0</v>
      </c>
      <c r="AA3088" s="90">
        <v>1</v>
      </c>
      <c r="AB3088" s="90">
        <v>1.3292669447307801</v>
      </c>
      <c r="AC3088" s="90">
        <v>0.1751958575094</v>
      </c>
      <c r="AD3088" s="90">
        <v>478.69396999188399</v>
      </c>
      <c r="AF3088" s="90">
        <v>-1</v>
      </c>
      <c r="AG3088" s="90">
        <v>-1</v>
      </c>
      <c r="AH3088" s="90">
        <v>-1</v>
      </c>
      <c r="AI3088" s="90">
        <v>-1</v>
      </c>
      <c r="AJ3088" s="90">
        <v>0</v>
      </c>
      <c r="AM3088" s="90" t="s">
        <v>379</v>
      </c>
      <c r="AN3088" s="90">
        <v>-1</v>
      </c>
      <c r="AQ3088" s="90">
        <v>391</v>
      </c>
      <c r="AR3088" s="90" t="s">
        <v>315</v>
      </c>
      <c r="AS3088" s="90" t="s">
        <v>430</v>
      </c>
      <c r="AT3088" s="90" t="s">
        <v>244</v>
      </c>
      <c r="AU3088" s="90">
        <v>22.5044</v>
      </c>
      <c r="AV3088" s="90">
        <v>83.863590320003098</v>
      </c>
      <c r="AW3088" s="90">
        <v>453.56882177141</v>
      </c>
      <c r="AX3088" s="90">
        <v>0.38823517439999999</v>
      </c>
    </row>
    <row r="3089" spans="1:50" x14ac:dyDescent="0.25">
      <c r="A3089" s="102">
        <v>830000</v>
      </c>
      <c r="B3089" s="102">
        <v>2400000</v>
      </c>
      <c r="C3089" s="102">
        <v>2400000</v>
      </c>
      <c r="D3089" s="90" t="s">
        <v>374</v>
      </c>
      <c r="E3089" s="90" t="s">
        <v>68</v>
      </c>
      <c r="F3089" s="90" t="s">
        <v>375</v>
      </c>
      <c r="G3089" s="90" t="s">
        <v>376</v>
      </c>
      <c r="H3089" s="90">
        <v>0.59</v>
      </c>
      <c r="I3089" s="90">
        <v>0.64</v>
      </c>
      <c r="J3089" s="90" t="s">
        <v>381</v>
      </c>
      <c r="K3089" s="90">
        <v>6.9142313717000001E-4</v>
      </c>
      <c r="L3089" s="90">
        <v>3771.8377011716998</v>
      </c>
      <c r="M3089" s="90">
        <v>11.8600578658797</v>
      </c>
      <c r="N3089" s="90">
        <v>1.5631420130925699</v>
      </c>
      <c r="O3089" s="90">
        <v>8.2003184167299993E-3</v>
      </c>
      <c r="P3089" s="90">
        <v>1.08079255454E-3</v>
      </c>
      <c r="Q3089" s="90">
        <v>2.60793585627039</v>
      </c>
      <c r="R3089" s="90">
        <v>1430</v>
      </c>
      <c r="S3089" s="90" t="s">
        <v>326</v>
      </c>
      <c r="T3089" s="90">
        <v>1430</v>
      </c>
      <c r="U3089" s="90" t="s">
        <v>382</v>
      </c>
      <c r="V3089" s="90" t="s">
        <v>381</v>
      </c>
      <c r="Z3089" s="90">
        <v>0</v>
      </c>
      <c r="AA3089" s="90">
        <v>1</v>
      </c>
      <c r="AB3089" s="90">
        <v>8.2003184167299993E-3</v>
      </c>
      <c r="AC3089" s="90">
        <v>1.08079255454E-3</v>
      </c>
      <c r="AD3089" s="90">
        <v>3.2291027461352702</v>
      </c>
      <c r="AF3089" s="90">
        <v>-1</v>
      </c>
      <c r="AG3089" s="90">
        <v>-1</v>
      </c>
      <c r="AH3089" s="90">
        <v>-1</v>
      </c>
      <c r="AI3089" s="90">
        <v>-1</v>
      </c>
      <c r="AJ3089" s="90">
        <v>0</v>
      </c>
      <c r="AM3089" s="90" t="s">
        <v>379</v>
      </c>
      <c r="AN3089" s="90">
        <v>-1</v>
      </c>
      <c r="AQ3089" s="90">
        <v>391</v>
      </c>
      <c r="AR3089" s="90" t="s">
        <v>315</v>
      </c>
      <c r="AS3089" s="90" t="s">
        <v>430</v>
      </c>
      <c r="AT3089" s="90" t="s">
        <v>244</v>
      </c>
      <c r="AU3089" s="90">
        <v>22.5044</v>
      </c>
      <c r="AV3089" s="90">
        <v>35.640581864650699</v>
      </c>
      <c r="AW3089" s="90">
        <v>2.7980901632864299</v>
      </c>
      <c r="AX3089" s="90">
        <v>2.6188992000000001E-3</v>
      </c>
    </row>
    <row r="3090" spans="1:50" x14ac:dyDescent="0.25">
      <c r="A3090" s="102">
        <v>830000</v>
      </c>
      <c r="B3090" s="102">
        <v>2400000</v>
      </c>
      <c r="C3090" s="102">
        <v>2400000</v>
      </c>
      <c r="D3090" s="90" t="s">
        <v>374</v>
      </c>
      <c r="E3090" s="90" t="s">
        <v>68</v>
      </c>
      <c r="F3090" s="90" t="s">
        <v>375</v>
      </c>
      <c r="G3090" s="90" t="s">
        <v>376</v>
      </c>
      <c r="H3090" s="90">
        <v>0.59</v>
      </c>
      <c r="I3090" s="90">
        <v>0.64</v>
      </c>
      <c r="J3090" s="90" t="s">
        <v>244</v>
      </c>
      <c r="K3090" s="90">
        <v>9.3177277808100006E-2</v>
      </c>
      <c r="L3090" s="90">
        <v>3771.8377011716998</v>
      </c>
      <c r="M3090" s="90">
        <v>11.8600578658797</v>
      </c>
      <c r="N3090" s="90">
        <v>1.5631420130925699</v>
      </c>
      <c r="O3090" s="90">
        <v>1.10508790658927</v>
      </c>
      <c r="P3090" s="90">
        <v>0.14564931760743999</v>
      </c>
      <c r="Q3090" s="90">
        <v>351.44956932916</v>
      </c>
      <c r="R3090" s="90">
        <v>1410</v>
      </c>
      <c r="S3090" s="90" t="s">
        <v>325</v>
      </c>
      <c r="T3090" s="90">
        <v>1410</v>
      </c>
      <c r="U3090" s="90" t="s">
        <v>378</v>
      </c>
      <c r="V3090" s="90" t="s">
        <v>244</v>
      </c>
      <c r="Z3090" s="90">
        <v>0</v>
      </c>
      <c r="AA3090" s="90">
        <v>1</v>
      </c>
      <c r="AB3090" s="90">
        <v>1.10508790658927</v>
      </c>
      <c r="AC3090" s="90">
        <v>0.14564931760743999</v>
      </c>
      <c r="AD3090" s="90">
        <v>421.81767509139098</v>
      </c>
      <c r="AF3090" s="90">
        <v>-1</v>
      </c>
      <c r="AG3090" s="90">
        <v>-1</v>
      </c>
      <c r="AH3090" s="90">
        <v>-1</v>
      </c>
      <c r="AI3090" s="90">
        <v>-1</v>
      </c>
      <c r="AJ3090" s="90">
        <v>0</v>
      </c>
      <c r="AM3090" s="90" t="s">
        <v>379</v>
      </c>
      <c r="AN3090" s="90">
        <v>-1</v>
      </c>
      <c r="AQ3090" s="90">
        <v>391</v>
      </c>
      <c r="AR3090" s="90" t="s">
        <v>315</v>
      </c>
      <c r="AS3090" s="90" t="s">
        <v>430</v>
      </c>
      <c r="AT3090" s="90" t="s">
        <v>244</v>
      </c>
      <c r="AU3090" s="90">
        <v>22.5044</v>
      </c>
      <c r="AV3090" s="90">
        <v>77.579906302087807</v>
      </c>
      <c r="AW3090" s="90">
        <v>377.07506511947997</v>
      </c>
      <c r="AX3090" s="90">
        <v>0.34210679249999998</v>
      </c>
    </row>
    <row r="3091" spans="1:50" x14ac:dyDescent="0.25">
      <c r="A3091" s="102">
        <v>830000</v>
      </c>
      <c r="B3091" s="102">
        <v>2400000</v>
      </c>
      <c r="C3091" s="102">
        <v>2400000</v>
      </c>
      <c r="D3091" s="90" t="s">
        <v>374</v>
      </c>
      <c r="E3091" s="90" t="s">
        <v>68</v>
      </c>
      <c r="F3091" s="90" t="s">
        <v>375</v>
      </c>
      <c r="G3091" s="90" t="s">
        <v>376</v>
      </c>
      <c r="H3091" s="90">
        <v>0.59</v>
      </c>
      <c r="I3091" s="90">
        <v>0.64</v>
      </c>
      <c r="J3091" s="90" t="s">
        <v>244</v>
      </c>
      <c r="K3091" s="90">
        <v>2.0454484298999999E-4</v>
      </c>
      <c r="L3091" s="90">
        <v>3771.8377011716998</v>
      </c>
      <c r="M3091" s="90">
        <v>11.8600578658797</v>
      </c>
      <c r="N3091" s="90">
        <v>1.5631420130925699</v>
      </c>
      <c r="O3091" s="90">
        <v>2.4259136740600001E-3</v>
      </c>
      <c r="P3091" s="90">
        <v>3.1973263764000003E-4</v>
      </c>
      <c r="Q3091" s="90">
        <v>0.77150995038124004</v>
      </c>
      <c r="R3091" s="90">
        <v>1410</v>
      </c>
      <c r="S3091" s="90" t="s">
        <v>325</v>
      </c>
      <c r="T3091" s="90">
        <v>1410</v>
      </c>
      <c r="U3091" s="90" t="s">
        <v>378</v>
      </c>
      <c r="V3091" s="90" t="s">
        <v>244</v>
      </c>
      <c r="Z3091" s="90">
        <v>0</v>
      </c>
      <c r="AA3091" s="90">
        <v>1</v>
      </c>
      <c r="AB3091" s="90">
        <v>2.4259136740600001E-3</v>
      </c>
      <c r="AC3091" s="90">
        <v>3.1973263764000003E-4</v>
      </c>
      <c r="AD3091" s="90">
        <v>0.77150995038204995</v>
      </c>
      <c r="AF3091" s="90">
        <v>-1</v>
      </c>
      <c r="AG3091" s="90">
        <v>-1</v>
      </c>
      <c r="AH3091" s="90">
        <v>-1</v>
      </c>
      <c r="AI3091" s="90">
        <v>-1</v>
      </c>
      <c r="AJ3091" s="90">
        <v>0</v>
      </c>
      <c r="AM3091" s="90" t="s">
        <v>379</v>
      </c>
      <c r="AN3091" s="90">
        <v>-1</v>
      </c>
      <c r="AQ3091" s="90">
        <v>391</v>
      </c>
      <c r="AR3091" s="90" t="s">
        <v>315</v>
      </c>
      <c r="AS3091" s="90" t="s">
        <v>430</v>
      </c>
      <c r="AT3091" s="90" t="s">
        <v>244</v>
      </c>
      <c r="AU3091" s="90">
        <v>22.5044</v>
      </c>
      <c r="AV3091" s="90">
        <v>3.79425049478861</v>
      </c>
      <c r="AW3091" s="90">
        <v>0.82776361153588995</v>
      </c>
      <c r="AX3091" s="90">
        <v>6.2571770000000005E-4</v>
      </c>
    </row>
    <row r="3092" spans="1:50" x14ac:dyDescent="0.25">
      <c r="A3092" s="102">
        <v>830000</v>
      </c>
      <c r="B3092" s="102">
        <v>2400000</v>
      </c>
      <c r="C3092" s="102">
        <v>2400000</v>
      </c>
      <c r="D3092" s="90" t="s">
        <v>374</v>
      </c>
      <c r="E3092" s="90" t="s">
        <v>68</v>
      </c>
      <c r="F3092" s="90" t="s">
        <v>375</v>
      </c>
      <c r="G3092" s="90" t="s">
        <v>376</v>
      </c>
      <c r="H3092" s="90">
        <v>0.59</v>
      </c>
      <c r="I3092" s="90">
        <v>0.64</v>
      </c>
      <c r="J3092" s="90" t="s">
        <v>244</v>
      </c>
      <c r="K3092" s="90">
        <v>8.5274001050499992E-3</v>
      </c>
      <c r="L3092" s="90">
        <v>3771.8377011716998</v>
      </c>
      <c r="M3092" s="90">
        <v>11.8600578658797</v>
      </c>
      <c r="N3092" s="90">
        <v>1.5631420130925699</v>
      </c>
      <c r="O3092" s="90">
        <v>0.10113545869146</v>
      </c>
      <c r="P3092" s="90">
        <v>1.332953736666E-2</v>
      </c>
      <c r="Q3092" s="90">
        <v>32.163969209222003</v>
      </c>
      <c r="R3092" s="90">
        <v>1410</v>
      </c>
      <c r="S3092" s="90" t="s">
        <v>325</v>
      </c>
      <c r="T3092" s="90">
        <v>1410</v>
      </c>
      <c r="U3092" s="90" t="s">
        <v>378</v>
      </c>
      <c r="V3092" s="90" t="s">
        <v>244</v>
      </c>
      <c r="Z3092" s="90">
        <v>0</v>
      </c>
      <c r="AA3092" s="90">
        <v>1</v>
      </c>
      <c r="AB3092" s="90">
        <v>0.10113545869146</v>
      </c>
      <c r="AC3092" s="90">
        <v>1.332953736666E-2</v>
      </c>
      <c r="AD3092" s="90">
        <v>32.163969209223197</v>
      </c>
      <c r="AF3092" s="90">
        <v>-1</v>
      </c>
      <c r="AG3092" s="90">
        <v>-1</v>
      </c>
      <c r="AH3092" s="90">
        <v>-1</v>
      </c>
      <c r="AI3092" s="90">
        <v>-1</v>
      </c>
      <c r="AJ3092" s="90">
        <v>0</v>
      </c>
      <c r="AM3092" s="90" t="s">
        <v>379</v>
      </c>
      <c r="AN3092" s="90">
        <v>-1</v>
      </c>
      <c r="AQ3092" s="90">
        <v>391</v>
      </c>
      <c r="AR3092" s="90" t="s">
        <v>315</v>
      </c>
      <c r="AS3092" s="90" t="s">
        <v>430</v>
      </c>
      <c r="AT3092" s="90" t="s">
        <v>244</v>
      </c>
      <c r="AU3092" s="90">
        <v>22.5044</v>
      </c>
      <c r="AV3092" s="90">
        <v>48.645689812819803</v>
      </c>
      <c r="AW3092" s="90">
        <v>34.509163881517502</v>
      </c>
      <c r="AX3092" s="90">
        <v>2.6085944199999999E-2</v>
      </c>
    </row>
    <row r="3093" spans="1:50" x14ac:dyDescent="0.25">
      <c r="A3093" s="102">
        <v>830000</v>
      </c>
      <c r="B3093" s="102">
        <v>2400000</v>
      </c>
      <c r="C3093" s="102">
        <v>2400000</v>
      </c>
      <c r="D3093" s="90" t="s">
        <v>374</v>
      </c>
      <c r="E3093" s="90" t="s">
        <v>68</v>
      </c>
      <c r="F3093" s="90" t="s">
        <v>375</v>
      </c>
      <c r="G3093" s="90" t="s">
        <v>376</v>
      </c>
      <c r="H3093" s="90">
        <v>0.59</v>
      </c>
      <c r="I3093" s="90">
        <v>0.64</v>
      </c>
      <c r="J3093" s="90" t="s">
        <v>244</v>
      </c>
      <c r="K3093" s="90">
        <v>9.07930324676E-3</v>
      </c>
      <c r="L3093" s="90">
        <v>3771.8377011716998</v>
      </c>
      <c r="M3093" s="90">
        <v>11.8600578658797</v>
      </c>
      <c r="N3093" s="90">
        <v>1.5631420130925699</v>
      </c>
      <c r="O3093" s="90">
        <v>0.10768106188852</v>
      </c>
      <c r="P3093" s="90">
        <v>1.419224035462E-2</v>
      </c>
      <c r="Q3093" s="90">
        <v>34.2456582865264</v>
      </c>
      <c r="R3093" s="90">
        <v>1410</v>
      </c>
      <c r="S3093" s="90" t="s">
        <v>325</v>
      </c>
      <c r="T3093" s="90">
        <v>1410</v>
      </c>
      <c r="U3093" s="90" t="s">
        <v>378</v>
      </c>
      <c r="V3093" s="90" t="s">
        <v>244</v>
      </c>
      <c r="Z3093" s="90">
        <v>0</v>
      </c>
      <c r="AA3093" s="90">
        <v>1</v>
      </c>
      <c r="AB3093" s="90">
        <v>0.10768106188852</v>
      </c>
      <c r="AC3093" s="90">
        <v>1.419224035462E-2</v>
      </c>
      <c r="AD3093" s="90">
        <v>34.245658286524701</v>
      </c>
      <c r="AF3093" s="90">
        <v>-1</v>
      </c>
      <c r="AG3093" s="90">
        <v>-1</v>
      </c>
      <c r="AH3093" s="90">
        <v>-1</v>
      </c>
      <c r="AI3093" s="90">
        <v>-1</v>
      </c>
      <c r="AJ3093" s="90">
        <v>0</v>
      </c>
      <c r="AM3093" s="90" t="s">
        <v>379</v>
      </c>
      <c r="AN3093" s="90">
        <v>-1</v>
      </c>
      <c r="AQ3093" s="90">
        <v>391</v>
      </c>
      <c r="AR3093" s="90" t="s">
        <v>315</v>
      </c>
      <c r="AS3093" s="90" t="s">
        <v>430</v>
      </c>
      <c r="AT3093" s="90" t="s">
        <v>244</v>
      </c>
      <c r="AU3093" s="90">
        <v>22.5044</v>
      </c>
      <c r="AV3093" s="90">
        <v>40.271704912576297</v>
      </c>
      <c r="AW3093" s="90">
        <v>36.742636655094302</v>
      </c>
      <c r="AX3093" s="90">
        <v>2.77742565E-2</v>
      </c>
    </row>
    <row r="3094" spans="1:50" x14ac:dyDescent="0.25">
      <c r="A3094" s="102">
        <v>830000</v>
      </c>
      <c r="B3094" s="102">
        <v>2400000</v>
      </c>
      <c r="C3094" s="102">
        <v>2400000</v>
      </c>
      <c r="D3094" s="90" t="s">
        <v>374</v>
      </c>
      <c r="E3094" s="90" t="s">
        <v>68</v>
      </c>
      <c r="F3094" s="90" t="s">
        <v>375</v>
      </c>
      <c r="G3094" s="90" t="s">
        <v>376</v>
      </c>
      <c r="H3094" s="90">
        <v>0.59</v>
      </c>
      <c r="I3094" s="90">
        <v>0.64</v>
      </c>
      <c r="J3094" s="90" t="s">
        <v>381</v>
      </c>
      <c r="K3094" s="90">
        <v>1.2880158793E-3</v>
      </c>
      <c r="L3094" s="90">
        <v>3771.8377011716998</v>
      </c>
      <c r="M3094" s="90">
        <v>11.8600578658797</v>
      </c>
      <c r="N3094" s="90">
        <v>1.5631420130925699</v>
      </c>
      <c r="O3094" s="90">
        <v>1.5275942860719999E-2</v>
      </c>
      <c r="P3094" s="90">
        <v>2.01335173447E-3</v>
      </c>
      <c r="Q3094" s="90">
        <v>4.8581868532704204</v>
      </c>
      <c r="R3094" s="90">
        <v>1410</v>
      </c>
      <c r="S3094" s="90" t="s">
        <v>325</v>
      </c>
      <c r="T3094" s="90">
        <v>1410</v>
      </c>
      <c r="U3094" s="90" t="s">
        <v>382</v>
      </c>
      <c r="V3094" s="90" t="s">
        <v>381</v>
      </c>
      <c r="Z3094" s="90">
        <v>0</v>
      </c>
      <c r="AA3094" s="90">
        <v>1</v>
      </c>
      <c r="AB3094" s="90">
        <v>1.5275942860719999E-2</v>
      </c>
      <c r="AC3094" s="90">
        <v>2.01335173447E-3</v>
      </c>
      <c r="AD3094" s="90">
        <v>4.8581868532709498</v>
      </c>
      <c r="AF3094" s="90">
        <v>-1</v>
      </c>
      <c r="AG3094" s="90">
        <v>-1</v>
      </c>
      <c r="AH3094" s="90">
        <v>-1</v>
      </c>
      <c r="AI3094" s="90">
        <v>-1</v>
      </c>
      <c r="AJ3094" s="90">
        <v>0</v>
      </c>
      <c r="AM3094" s="90" t="s">
        <v>379</v>
      </c>
      <c r="AN3094" s="90">
        <v>-1</v>
      </c>
      <c r="AQ3094" s="90">
        <v>391</v>
      </c>
      <c r="AR3094" s="90" t="s">
        <v>315</v>
      </c>
      <c r="AS3094" s="90" t="s">
        <v>430</v>
      </c>
      <c r="AT3094" s="90" t="s">
        <v>244</v>
      </c>
      <c r="AU3094" s="90">
        <v>22.5044</v>
      </c>
      <c r="AV3094" s="90">
        <v>9.1343098308778004</v>
      </c>
      <c r="AW3094" s="90">
        <v>5.21241533331919</v>
      </c>
      <c r="AX3094" s="90">
        <v>3.9401352999999997E-3</v>
      </c>
    </row>
    <row r="3095" spans="1:50" x14ac:dyDescent="0.25">
      <c r="A3095" s="102">
        <v>830000</v>
      </c>
      <c r="B3095" s="102">
        <v>2400000</v>
      </c>
      <c r="C3095" s="102">
        <v>2400000</v>
      </c>
      <c r="D3095" s="90" t="s">
        <v>374</v>
      </c>
      <c r="E3095" s="90" t="s">
        <v>68</v>
      </c>
      <c r="F3095" s="90" t="s">
        <v>375</v>
      </c>
      <c r="G3095" s="90" t="s">
        <v>376</v>
      </c>
      <c r="H3095" s="90">
        <v>0.59</v>
      </c>
      <c r="I3095" s="90">
        <v>0.64</v>
      </c>
      <c r="J3095" s="90" t="s">
        <v>244</v>
      </c>
      <c r="K3095" s="90">
        <v>7.4006133558699996E-3</v>
      </c>
      <c r="L3095" s="90">
        <v>3294.8136544918402</v>
      </c>
      <c r="M3095" s="90">
        <v>9.87096039206358</v>
      </c>
      <c r="N3095" s="90">
        <v>1.31625280227494</v>
      </c>
      <c r="O3095" s="90">
        <v>7.305116131278E-2</v>
      </c>
      <c r="P3095" s="90">
        <v>9.7410780682199993E-3</v>
      </c>
      <c r="Q3095" s="90">
        <v>24.3836419365418</v>
      </c>
      <c r="R3095" s="90">
        <v>1200</v>
      </c>
      <c r="S3095" s="90" t="s">
        <v>384</v>
      </c>
      <c r="T3095" s="90">
        <v>1200</v>
      </c>
      <c r="U3095" s="90" t="s">
        <v>378</v>
      </c>
      <c r="V3095" s="90" t="s">
        <v>244</v>
      </c>
      <c r="Z3095" s="90">
        <v>0</v>
      </c>
      <c r="AA3095" s="90">
        <v>1</v>
      </c>
      <c r="AB3095" s="90">
        <v>7.305116131278E-2</v>
      </c>
      <c r="AC3095" s="90">
        <v>9.7410780682199993E-3</v>
      </c>
      <c r="AD3095" s="90">
        <v>155.565729692437</v>
      </c>
      <c r="AF3095" s="90">
        <v>-1</v>
      </c>
      <c r="AG3095" s="90">
        <v>-1</v>
      </c>
      <c r="AH3095" s="90">
        <v>-1</v>
      </c>
      <c r="AI3095" s="90">
        <v>-1</v>
      </c>
      <c r="AJ3095" s="90">
        <v>0</v>
      </c>
      <c r="AM3095" s="90" t="s">
        <v>379</v>
      </c>
      <c r="AN3095" s="90">
        <v>-1</v>
      </c>
      <c r="AQ3095" s="90">
        <v>391</v>
      </c>
      <c r="AR3095" s="90" t="s">
        <v>315</v>
      </c>
      <c r="AS3095" s="90" t="s">
        <v>430</v>
      </c>
      <c r="AT3095" s="90" t="s">
        <v>244</v>
      </c>
      <c r="AU3095" s="90">
        <v>22.5044</v>
      </c>
      <c r="AV3095" s="90">
        <v>22.946397281901799</v>
      </c>
      <c r="AW3095" s="90">
        <v>29.949219688911398</v>
      </c>
      <c r="AX3095" s="90">
        <v>0.126168475</v>
      </c>
    </row>
    <row r="3096" spans="1:50" x14ac:dyDescent="0.25">
      <c r="A3096" s="102">
        <v>830000</v>
      </c>
      <c r="B3096" s="102">
        <v>2400000</v>
      </c>
      <c r="C3096" s="102">
        <v>2400000</v>
      </c>
      <c r="D3096" s="90" t="s">
        <v>374</v>
      </c>
      <c r="E3096" s="90" t="s">
        <v>68</v>
      </c>
      <c r="F3096" s="90" t="s">
        <v>375</v>
      </c>
      <c r="G3096" s="90" t="s">
        <v>376</v>
      </c>
      <c r="H3096" s="90">
        <v>0.59</v>
      </c>
      <c r="I3096" s="90">
        <v>0.64</v>
      </c>
      <c r="J3096" s="90" t="s">
        <v>409</v>
      </c>
      <c r="K3096" s="90">
        <v>4.8149132354799997E-3</v>
      </c>
      <c r="L3096" s="90">
        <v>3294.8136544918402</v>
      </c>
      <c r="M3096" s="90">
        <v>9.87096039206358</v>
      </c>
      <c r="N3096" s="90">
        <v>1.31625280227494</v>
      </c>
      <c r="O3096" s="90">
        <v>4.7527817838689999E-2</v>
      </c>
      <c r="P3096" s="90">
        <v>6.3376430389099998E-3</v>
      </c>
      <c r="Q3096" s="90">
        <v>15.864241873469499</v>
      </c>
      <c r="R3096" s="90">
        <v>1400</v>
      </c>
      <c r="S3096" s="90" t="s">
        <v>324</v>
      </c>
      <c r="T3096" s="90">
        <v>1400</v>
      </c>
      <c r="U3096" s="90" t="s">
        <v>409</v>
      </c>
      <c r="V3096" s="90" t="s">
        <v>409</v>
      </c>
      <c r="Z3096" s="90">
        <v>0</v>
      </c>
      <c r="AA3096" s="90">
        <v>1</v>
      </c>
      <c r="AB3096" s="90">
        <v>4.7527817838689999E-2</v>
      </c>
      <c r="AC3096" s="90">
        <v>6.3376430389099998E-3</v>
      </c>
      <c r="AD3096" s="90">
        <v>49.152848694292999</v>
      </c>
      <c r="AF3096" s="90">
        <v>-1</v>
      </c>
      <c r="AG3096" s="90">
        <v>-1</v>
      </c>
      <c r="AH3096" s="90">
        <v>-1</v>
      </c>
      <c r="AI3096" s="90">
        <v>-1</v>
      </c>
      <c r="AJ3096" s="90">
        <v>0</v>
      </c>
      <c r="AM3096" s="90" t="s">
        <v>379</v>
      </c>
      <c r="AN3096" s="90">
        <v>-1</v>
      </c>
      <c r="AQ3096" s="90">
        <v>391</v>
      </c>
      <c r="AR3096" s="90" t="s">
        <v>315</v>
      </c>
      <c r="AS3096" s="90" t="s">
        <v>430</v>
      </c>
      <c r="AT3096" s="90" t="s">
        <v>244</v>
      </c>
      <c r="AU3096" s="90">
        <v>22.5044</v>
      </c>
      <c r="AV3096" s="90">
        <v>37.231030373228798</v>
      </c>
      <c r="AW3096" s="90">
        <v>19.485262550320801</v>
      </c>
      <c r="AX3096" s="90">
        <v>3.9864435300000001E-2</v>
      </c>
    </row>
    <row r="3097" spans="1:50" x14ac:dyDescent="0.25">
      <c r="A3097" s="102">
        <v>830000</v>
      </c>
      <c r="B3097" s="102">
        <v>2400000</v>
      </c>
      <c r="C3097" s="102">
        <v>2400000</v>
      </c>
      <c r="D3097" s="90" t="s">
        <v>374</v>
      </c>
      <c r="E3097" s="90" t="s">
        <v>68</v>
      </c>
      <c r="F3097" s="90" t="s">
        <v>375</v>
      </c>
      <c r="G3097" s="90" t="s">
        <v>376</v>
      </c>
      <c r="H3097" s="90">
        <v>0.59</v>
      </c>
      <c r="I3097" s="90">
        <v>0.64</v>
      </c>
      <c r="J3097" s="90" t="s">
        <v>244</v>
      </c>
      <c r="K3097" s="90">
        <v>0.33099961752996998</v>
      </c>
      <c r="L3097" s="90">
        <v>3294.8136544918402</v>
      </c>
      <c r="M3097" s="90">
        <v>9.87096039206358</v>
      </c>
      <c r="N3097" s="90">
        <v>1.31625280227494</v>
      </c>
      <c r="O3097" s="90">
        <v>3.2672841144265399</v>
      </c>
      <c r="P3097" s="90">
        <v>0.43567917412576002</v>
      </c>
      <c r="Q3097" s="90">
        <v>1090.58205946932</v>
      </c>
      <c r="R3097" s="90">
        <v>1400</v>
      </c>
      <c r="S3097" s="90" t="s">
        <v>324</v>
      </c>
      <c r="T3097" s="90">
        <v>1400</v>
      </c>
      <c r="U3097" s="90" t="s">
        <v>378</v>
      </c>
      <c r="V3097" s="90" t="s">
        <v>244</v>
      </c>
      <c r="Z3097" s="90">
        <v>0</v>
      </c>
      <c r="AA3097" s="90">
        <v>1</v>
      </c>
      <c r="AB3097" s="90">
        <v>3.2672841144265399</v>
      </c>
      <c r="AC3097" s="90">
        <v>0.43567917412576002</v>
      </c>
      <c r="AD3097" s="90">
        <v>1348.89109439094</v>
      </c>
      <c r="AF3097" s="90">
        <v>-1</v>
      </c>
      <c r="AG3097" s="90">
        <v>-1</v>
      </c>
      <c r="AH3097" s="90">
        <v>-1</v>
      </c>
      <c r="AI3097" s="90">
        <v>-1</v>
      </c>
      <c r="AJ3097" s="90">
        <v>0</v>
      </c>
      <c r="AM3097" s="90" t="s">
        <v>379</v>
      </c>
      <c r="AN3097" s="90">
        <v>-1</v>
      </c>
      <c r="AQ3097" s="90">
        <v>391</v>
      </c>
      <c r="AR3097" s="90" t="s">
        <v>315</v>
      </c>
      <c r="AS3097" s="90" t="s">
        <v>430</v>
      </c>
      <c r="AT3097" s="90" t="s">
        <v>244</v>
      </c>
      <c r="AU3097" s="90">
        <v>22.5044</v>
      </c>
      <c r="AV3097" s="90">
        <v>209.43168075072799</v>
      </c>
      <c r="AW3097" s="90">
        <v>1339.5079280130999</v>
      </c>
      <c r="AX3097" s="90">
        <v>1.0939911551999999</v>
      </c>
    </row>
    <row r="3098" spans="1:50" x14ac:dyDescent="0.25">
      <c r="A3098" s="102">
        <v>830000</v>
      </c>
      <c r="B3098" s="102">
        <v>2400000</v>
      </c>
      <c r="C3098" s="102">
        <v>2400000</v>
      </c>
      <c r="D3098" s="90" t="s">
        <v>374</v>
      </c>
      <c r="E3098" s="90" t="s">
        <v>68</v>
      </c>
      <c r="F3098" s="90" t="s">
        <v>375</v>
      </c>
      <c r="G3098" s="90" t="s">
        <v>376</v>
      </c>
      <c r="H3098" s="90">
        <v>0.59</v>
      </c>
      <c r="I3098" s="90">
        <v>0.64</v>
      </c>
      <c r="J3098" s="90" t="s">
        <v>244</v>
      </c>
      <c r="K3098" s="90">
        <v>4.9868573238999996E-3</v>
      </c>
      <c r="L3098" s="90">
        <v>3294.8136544918402</v>
      </c>
      <c r="M3098" s="90">
        <v>9.87096039206358</v>
      </c>
      <c r="N3098" s="90">
        <v>1.31625280227494</v>
      </c>
      <c r="O3098" s="90">
        <v>4.9225071125110001E-2</v>
      </c>
      <c r="P3098" s="90">
        <v>6.5639649271299998E-3</v>
      </c>
      <c r="Q3098" s="90">
        <v>16.4307656037982</v>
      </c>
      <c r="R3098" s="90">
        <v>1420</v>
      </c>
      <c r="S3098" s="90" t="s">
        <v>327</v>
      </c>
      <c r="T3098" s="90">
        <v>1420</v>
      </c>
      <c r="U3098" s="90" t="s">
        <v>378</v>
      </c>
      <c r="V3098" s="90" t="s">
        <v>244</v>
      </c>
      <c r="Z3098" s="90">
        <v>0</v>
      </c>
      <c r="AA3098" s="90">
        <v>1</v>
      </c>
      <c r="AB3098" s="90">
        <v>4.9225071125110001E-2</v>
      </c>
      <c r="AC3098" s="90">
        <v>6.5639649271299998E-3</v>
      </c>
      <c r="AD3098" s="90">
        <v>16.430765603797401</v>
      </c>
      <c r="AF3098" s="90">
        <v>-1</v>
      </c>
      <c r="AG3098" s="90">
        <v>-1</v>
      </c>
      <c r="AH3098" s="90">
        <v>-1</v>
      </c>
      <c r="AI3098" s="90">
        <v>-1</v>
      </c>
      <c r="AJ3098" s="90">
        <v>0</v>
      </c>
      <c r="AM3098" s="90" t="s">
        <v>379</v>
      </c>
      <c r="AN3098" s="90">
        <v>-1</v>
      </c>
      <c r="AQ3098" s="90">
        <v>391</v>
      </c>
      <c r="AR3098" s="90" t="s">
        <v>315</v>
      </c>
      <c r="AS3098" s="90" t="s">
        <v>430</v>
      </c>
      <c r="AT3098" s="90" t="s">
        <v>244</v>
      </c>
      <c r="AU3098" s="90">
        <v>22.5044</v>
      </c>
      <c r="AV3098" s="90">
        <v>18.092167696265999</v>
      </c>
      <c r="AW3098" s="90">
        <v>20.181095588828299</v>
      </c>
      <c r="AX3098" s="90">
        <v>1.3325844E-2</v>
      </c>
    </row>
    <row r="3099" spans="1:50" x14ac:dyDescent="0.25">
      <c r="A3099" s="102">
        <v>830000</v>
      </c>
      <c r="B3099" s="102">
        <v>2400000</v>
      </c>
      <c r="C3099" s="102">
        <v>2400000</v>
      </c>
      <c r="D3099" s="90" t="s">
        <v>374</v>
      </c>
      <c r="E3099" s="90" t="s">
        <v>68</v>
      </c>
      <c r="F3099" s="90" t="s">
        <v>375</v>
      </c>
      <c r="G3099" s="90" t="s">
        <v>376</v>
      </c>
      <c r="H3099" s="90">
        <v>0.59</v>
      </c>
      <c r="I3099" s="90">
        <v>0.64</v>
      </c>
      <c r="J3099" s="90" t="s">
        <v>244</v>
      </c>
      <c r="K3099" s="90">
        <v>1.9354935528779999E-2</v>
      </c>
      <c r="L3099" s="90">
        <v>3294.8136544918402</v>
      </c>
      <c r="M3099" s="90">
        <v>9.87096039206358</v>
      </c>
      <c r="N3099" s="90">
        <v>1.31625280227494</v>
      </c>
      <c r="O3099" s="90">
        <v>0.19105180199558</v>
      </c>
      <c r="P3099" s="90">
        <v>2.547598812761E-2</v>
      </c>
      <c r="Q3099" s="90">
        <v>63.770905862050199</v>
      </c>
      <c r="R3099" s="90">
        <v>1420</v>
      </c>
      <c r="S3099" s="90" t="s">
        <v>327</v>
      </c>
      <c r="T3099" s="90">
        <v>1420</v>
      </c>
      <c r="U3099" s="90" t="s">
        <v>378</v>
      </c>
      <c r="V3099" s="90" t="s">
        <v>244</v>
      </c>
      <c r="Z3099" s="90">
        <v>0</v>
      </c>
      <c r="AA3099" s="90">
        <v>1</v>
      </c>
      <c r="AB3099" s="90">
        <v>0.19105180199558</v>
      </c>
      <c r="AC3099" s="90">
        <v>2.547598812761E-2</v>
      </c>
      <c r="AD3099" s="90">
        <v>70.232721463815906</v>
      </c>
      <c r="AF3099" s="90">
        <v>-1</v>
      </c>
      <c r="AG3099" s="90">
        <v>-1</v>
      </c>
      <c r="AH3099" s="90">
        <v>-1</v>
      </c>
      <c r="AI3099" s="90">
        <v>-1</v>
      </c>
      <c r="AJ3099" s="90">
        <v>0</v>
      </c>
      <c r="AM3099" s="90" t="s">
        <v>379</v>
      </c>
      <c r="AN3099" s="90">
        <v>-1</v>
      </c>
      <c r="AQ3099" s="90">
        <v>391</v>
      </c>
      <c r="AR3099" s="90" t="s">
        <v>315</v>
      </c>
      <c r="AS3099" s="90" t="s">
        <v>430</v>
      </c>
      <c r="AT3099" s="90" t="s">
        <v>244</v>
      </c>
      <c r="AU3099" s="90">
        <v>22.5044</v>
      </c>
      <c r="AV3099" s="90">
        <v>39.464731585578903</v>
      </c>
      <c r="AW3099" s="90">
        <v>78.326645149801806</v>
      </c>
      <c r="AX3099" s="90">
        <v>5.6960844699999999E-2</v>
      </c>
    </row>
    <row r="3100" spans="1:50" x14ac:dyDescent="0.25">
      <c r="A3100" s="102">
        <v>830000</v>
      </c>
      <c r="B3100" s="102">
        <v>2400000</v>
      </c>
      <c r="C3100" s="102">
        <v>2400000</v>
      </c>
      <c r="D3100" s="90" t="s">
        <v>374</v>
      </c>
      <c r="E3100" s="90" t="s">
        <v>68</v>
      </c>
      <c r="F3100" s="90" t="s">
        <v>375</v>
      </c>
      <c r="G3100" s="90" t="s">
        <v>376</v>
      </c>
      <c r="H3100" s="90">
        <v>0.59</v>
      </c>
      <c r="I3100" s="90">
        <v>0.64</v>
      </c>
      <c r="J3100" s="90" t="s">
        <v>244</v>
      </c>
      <c r="K3100" s="90">
        <v>2.3372363021720001E-2</v>
      </c>
      <c r="L3100" s="90">
        <v>3294.8136544918402</v>
      </c>
      <c r="M3100" s="90">
        <v>9.87096039206358</v>
      </c>
      <c r="N3100" s="90">
        <v>1.31625280227494</v>
      </c>
      <c r="O3100" s="90">
        <v>0.23070766965636</v>
      </c>
      <c r="P3100" s="90">
        <v>3.076393832313E-2</v>
      </c>
      <c r="Q3100" s="90">
        <v>77.007580821716601</v>
      </c>
      <c r="R3100" s="90">
        <v>1410</v>
      </c>
      <c r="S3100" s="90" t="s">
        <v>325</v>
      </c>
      <c r="T3100" s="90">
        <v>1410</v>
      </c>
      <c r="U3100" s="90" t="s">
        <v>378</v>
      </c>
      <c r="V3100" s="90" t="s">
        <v>244</v>
      </c>
      <c r="Z3100" s="90">
        <v>0</v>
      </c>
      <c r="AA3100" s="90">
        <v>1</v>
      </c>
      <c r="AB3100" s="90">
        <v>0.23070766965636</v>
      </c>
      <c r="AC3100" s="90">
        <v>3.076393832313E-2</v>
      </c>
      <c r="AD3100" s="90">
        <v>77.007580821717895</v>
      </c>
      <c r="AF3100" s="90">
        <v>-1</v>
      </c>
      <c r="AG3100" s="90">
        <v>-1</v>
      </c>
      <c r="AH3100" s="90">
        <v>-1</v>
      </c>
      <c r="AI3100" s="90">
        <v>-1</v>
      </c>
      <c r="AJ3100" s="90">
        <v>0</v>
      </c>
      <c r="AM3100" s="90" t="s">
        <v>379</v>
      </c>
      <c r="AN3100" s="90">
        <v>-1</v>
      </c>
      <c r="AQ3100" s="90">
        <v>391</v>
      </c>
      <c r="AR3100" s="90" t="s">
        <v>315</v>
      </c>
      <c r="AS3100" s="90" t="s">
        <v>430</v>
      </c>
      <c r="AT3100" s="90" t="s">
        <v>244</v>
      </c>
      <c r="AU3100" s="90">
        <v>22.5044</v>
      </c>
      <c r="AV3100" s="90">
        <v>43.333758687167197</v>
      </c>
      <c r="AW3100" s="90">
        <v>94.584597401129798</v>
      </c>
      <c r="AX3100" s="90">
        <v>6.2455458899999997E-2</v>
      </c>
    </row>
    <row r="3101" spans="1:50" x14ac:dyDescent="0.25">
      <c r="A3101" s="102">
        <v>830000</v>
      </c>
      <c r="B3101" s="102">
        <v>2400000</v>
      </c>
      <c r="C3101" s="102">
        <v>2400000</v>
      </c>
      <c r="D3101" s="90" t="s">
        <v>374</v>
      </c>
      <c r="E3101" s="90" t="s">
        <v>68</v>
      </c>
      <c r="F3101" s="90" t="s">
        <v>375</v>
      </c>
      <c r="G3101" s="90" t="s">
        <v>376</v>
      </c>
      <c r="H3101" s="90">
        <v>0.59</v>
      </c>
      <c r="I3101" s="90">
        <v>0.64</v>
      </c>
      <c r="J3101" s="90" t="s">
        <v>244</v>
      </c>
      <c r="K3101" s="90">
        <v>5.1507897762749999E-2</v>
      </c>
      <c r="L3101" s="90">
        <v>3746.8621458481698</v>
      </c>
      <c r="M3101" s="90">
        <v>10.262090171841701</v>
      </c>
      <c r="N3101" s="90">
        <v>1.4352109683741601</v>
      </c>
      <c r="O3101" s="90">
        <v>0.52857869140340996</v>
      </c>
      <c r="P3101" s="90">
        <v>7.3924699827000007E-2</v>
      </c>
      <c r="Q3101" s="90">
        <v>192.99299233948801</v>
      </c>
      <c r="R3101" s="90">
        <v>1200</v>
      </c>
      <c r="S3101" s="90" t="s">
        <v>384</v>
      </c>
      <c r="T3101" s="90">
        <v>1200</v>
      </c>
      <c r="U3101" s="90" t="s">
        <v>378</v>
      </c>
      <c r="V3101" s="90" t="s">
        <v>244</v>
      </c>
      <c r="Z3101" s="90">
        <v>0</v>
      </c>
      <c r="AA3101" s="90">
        <v>1</v>
      </c>
      <c r="AB3101" s="90">
        <v>0.52857869140340996</v>
      </c>
      <c r="AC3101" s="90">
        <v>7.3924699827000007E-2</v>
      </c>
      <c r="AD3101" s="90">
        <v>1128.32908554954</v>
      </c>
      <c r="AF3101" s="90">
        <v>-1</v>
      </c>
      <c r="AG3101" s="90">
        <v>-1</v>
      </c>
      <c r="AH3101" s="90">
        <v>-1</v>
      </c>
      <c r="AI3101" s="90">
        <v>-1</v>
      </c>
      <c r="AJ3101" s="90">
        <v>0</v>
      </c>
      <c r="AM3101" s="90" t="s">
        <v>379</v>
      </c>
      <c r="AN3101" s="90">
        <v>-1</v>
      </c>
      <c r="AQ3101" s="90">
        <v>391</v>
      </c>
      <c r="AR3101" s="90" t="s">
        <v>315</v>
      </c>
      <c r="AS3101" s="90" t="s">
        <v>430</v>
      </c>
      <c r="AT3101" s="90" t="s">
        <v>244</v>
      </c>
      <c r="AU3101" s="90">
        <v>22.5044</v>
      </c>
      <c r="AV3101" s="90">
        <v>108.40449005779</v>
      </c>
      <c r="AW3101" s="90">
        <v>208.44506686553299</v>
      </c>
      <c r="AX3101" s="90">
        <v>0.91510874740000003</v>
      </c>
    </row>
    <row r="3102" spans="1:50" x14ac:dyDescent="0.25">
      <c r="A3102" s="102">
        <v>830000</v>
      </c>
      <c r="B3102" s="102">
        <v>2400000</v>
      </c>
      <c r="C3102" s="102">
        <v>2400000</v>
      </c>
      <c r="D3102" s="90" t="s">
        <v>374</v>
      </c>
      <c r="E3102" s="90" t="s">
        <v>68</v>
      </c>
      <c r="F3102" s="90" t="s">
        <v>375</v>
      </c>
      <c r="G3102" s="90" t="s">
        <v>376</v>
      </c>
      <c r="H3102" s="90">
        <v>0.59</v>
      </c>
      <c r="I3102" s="90">
        <v>0.64</v>
      </c>
      <c r="J3102" s="90" t="s">
        <v>244</v>
      </c>
      <c r="K3102" s="90">
        <v>0.18159873826421</v>
      </c>
      <c r="L3102" s="90">
        <v>3746.8621458481698</v>
      </c>
      <c r="M3102" s="90">
        <v>10.262090171841701</v>
      </c>
      <c r="N3102" s="90">
        <v>1.4352109683741601</v>
      </c>
      <c r="O3102" s="90">
        <v>1.8635826271600799</v>
      </c>
      <c r="P3102" s="90">
        <v>0.26063250099971003</v>
      </c>
      <c r="Q3102" s="90">
        <v>680.42543813598104</v>
      </c>
      <c r="R3102" s="90">
        <v>1400</v>
      </c>
      <c r="S3102" s="90" t="s">
        <v>324</v>
      </c>
      <c r="T3102" s="90">
        <v>1400</v>
      </c>
      <c r="U3102" s="90" t="s">
        <v>378</v>
      </c>
      <c r="V3102" s="90" t="s">
        <v>244</v>
      </c>
      <c r="Z3102" s="90">
        <v>0</v>
      </c>
      <c r="AA3102" s="90">
        <v>1</v>
      </c>
      <c r="AB3102" s="90">
        <v>1.8635826271600799</v>
      </c>
      <c r="AC3102" s="90">
        <v>0.26063250099971003</v>
      </c>
      <c r="AD3102" s="90">
        <v>680.42543813598104</v>
      </c>
      <c r="AF3102" s="90">
        <v>-1</v>
      </c>
      <c r="AG3102" s="90">
        <v>-1</v>
      </c>
      <c r="AH3102" s="90">
        <v>-1</v>
      </c>
      <c r="AI3102" s="90">
        <v>-1</v>
      </c>
      <c r="AJ3102" s="90">
        <v>0</v>
      </c>
      <c r="AM3102" s="90" t="s">
        <v>379</v>
      </c>
      <c r="AN3102" s="90">
        <v>-1</v>
      </c>
      <c r="AQ3102" s="90">
        <v>391</v>
      </c>
      <c r="AR3102" s="90" t="s">
        <v>315</v>
      </c>
      <c r="AS3102" s="90" t="s">
        <v>430</v>
      </c>
      <c r="AT3102" s="90" t="s">
        <v>244</v>
      </c>
      <c r="AU3102" s="90">
        <v>22.5044</v>
      </c>
      <c r="AV3102" s="90">
        <v>143.43069700580099</v>
      </c>
      <c r="AW3102" s="90">
        <v>734.90402024427897</v>
      </c>
      <c r="AX3102" s="90">
        <v>0.55184544859999995</v>
      </c>
    </row>
    <row r="3103" spans="1:50" x14ac:dyDescent="0.25">
      <c r="A3103" s="102">
        <v>830000</v>
      </c>
      <c r="B3103" s="102">
        <v>2400000</v>
      </c>
      <c r="C3103" s="102">
        <v>2400000</v>
      </c>
      <c r="D3103" s="90" t="s">
        <v>374</v>
      </c>
      <c r="E3103" s="90" t="s">
        <v>68</v>
      </c>
      <c r="F3103" s="90" t="s">
        <v>375</v>
      </c>
      <c r="G3103" s="90" t="s">
        <v>376</v>
      </c>
      <c r="H3103" s="90">
        <v>0.59</v>
      </c>
      <c r="I3103" s="90">
        <v>0.64</v>
      </c>
      <c r="J3103" s="90" t="s">
        <v>244</v>
      </c>
      <c r="K3103" s="90">
        <v>1.1307038262010001E-2</v>
      </c>
      <c r="L3103" s="90">
        <v>3746.8621458481698</v>
      </c>
      <c r="M3103" s="90">
        <v>10.262090171841701</v>
      </c>
      <c r="N3103" s="90">
        <v>1.4352109683741601</v>
      </c>
      <c r="O3103" s="90">
        <v>0.11603384622121</v>
      </c>
      <c r="P3103" s="90">
        <v>1.622798533346E-2</v>
      </c>
      <c r="Q3103" s="90">
        <v>42.365913645582197</v>
      </c>
      <c r="R3103" s="90">
        <v>1410</v>
      </c>
      <c r="S3103" s="90" t="s">
        <v>325</v>
      </c>
      <c r="T3103" s="90">
        <v>1410</v>
      </c>
      <c r="U3103" s="90" t="s">
        <v>378</v>
      </c>
      <c r="V3103" s="90" t="s">
        <v>244</v>
      </c>
      <c r="Z3103" s="90">
        <v>0</v>
      </c>
      <c r="AA3103" s="90">
        <v>1</v>
      </c>
      <c r="AB3103" s="90">
        <v>0.11603384622121</v>
      </c>
      <c r="AC3103" s="90">
        <v>1.622798533346E-2</v>
      </c>
      <c r="AD3103" s="90">
        <v>42.365913645583703</v>
      </c>
      <c r="AF3103" s="90">
        <v>-1</v>
      </c>
      <c r="AG3103" s="90">
        <v>-1</v>
      </c>
      <c r="AH3103" s="90">
        <v>-1</v>
      </c>
      <c r="AI3103" s="90">
        <v>-1</v>
      </c>
      <c r="AJ3103" s="90">
        <v>0</v>
      </c>
      <c r="AM3103" s="90" t="s">
        <v>379</v>
      </c>
      <c r="AN3103" s="90">
        <v>-1</v>
      </c>
      <c r="AQ3103" s="90">
        <v>391</v>
      </c>
      <c r="AR3103" s="90" t="s">
        <v>315</v>
      </c>
      <c r="AS3103" s="90" t="s">
        <v>430</v>
      </c>
      <c r="AT3103" s="90" t="s">
        <v>244</v>
      </c>
      <c r="AU3103" s="90">
        <v>22.5044</v>
      </c>
      <c r="AV3103" s="90">
        <v>27.113783595590501</v>
      </c>
      <c r="AW3103" s="90">
        <v>45.757960408939297</v>
      </c>
      <c r="AX3103" s="90">
        <v>3.4360027299999998E-2</v>
      </c>
    </row>
    <row r="3104" spans="1:50" x14ac:dyDescent="0.25">
      <c r="A3104" s="102">
        <v>830000</v>
      </c>
      <c r="B3104" s="102">
        <v>2400000</v>
      </c>
      <c r="C3104" s="102">
        <v>2400000</v>
      </c>
      <c r="D3104" s="90" t="s">
        <v>374</v>
      </c>
      <c r="E3104" s="90" t="s">
        <v>68</v>
      </c>
      <c r="F3104" s="90" t="s">
        <v>375</v>
      </c>
      <c r="G3104" s="90" t="s">
        <v>376</v>
      </c>
      <c r="H3104" s="90">
        <v>0.59</v>
      </c>
      <c r="I3104" s="90">
        <v>0.64</v>
      </c>
      <c r="J3104" s="90" t="s">
        <v>244</v>
      </c>
      <c r="K3104" s="90">
        <v>6.8013659757429998E-2</v>
      </c>
      <c r="L3104" s="90">
        <v>3746.8621458481698</v>
      </c>
      <c r="M3104" s="90">
        <v>10.262090171841701</v>
      </c>
      <c r="N3104" s="90">
        <v>1.4352109683741601</v>
      </c>
      <c r="O3104" s="90">
        <v>0.69796230934780001</v>
      </c>
      <c r="P3104" s="90">
        <v>9.7613950483140005E-2</v>
      </c>
      <c r="Q3104" s="90">
        <v>254.83780714574499</v>
      </c>
      <c r="R3104" s="90">
        <v>1430</v>
      </c>
      <c r="S3104" s="90" t="s">
        <v>326</v>
      </c>
      <c r="T3104" s="90">
        <v>1430</v>
      </c>
      <c r="U3104" s="90" t="s">
        <v>378</v>
      </c>
      <c r="V3104" s="90" t="s">
        <v>244</v>
      </c>
      <c r="Z3104" s="90">
        <v>0</v>
      </c>
      <c r="AA3104" s="90">
        <v>1</v>
      </c>
      <c r="AB3104" s="90">
        <v>0.69796230934780001</v>
      </c>
      <c r="AC3104" s="90">
        <v>9.7613950483140005E-2</v>
      </c>
      <c r="AD3104" s="90">
        <v>254.83780714574399</v>
      </c>
      <c r="AF3104" s="90">
        <v>-1</v>
      </c>
      <c r="AG3104" s="90">
        <v>-1</v>
      </c>
      <c r="AH3104" s="90">
        <v>-1</v>
      </c>
      <c r="AI3104" s="90">
        <v>-1</v>
      </c>
      <c r="AJ3104" s="90">
        <v>0</v>
      </c>
      <c r="AM3104" s="90" t="s">
        <v>379</v>
      </c>
      <c r="AN3104" s="90">
        <v>-1</v>
      </c>
      <c r="AQ3104" s="90">
        <v>391</v>
      </c>
      <c r="AR3104" s="90" t="s">
        <v>315</v>
      </c>
      <c r="AS3104" s="90" t="s">
        <v>430</v>
      </c>
      <c r="AT3104" s="90" t="s">
        <v>244</v>
      </c>
      <c r="AU3104" s="90">
        <v>22.5044</v>
      </c>
      <c r="AV3104" s="90">
        <v>93.194465362421894</v>
      </c>
      <c r="AW3104" s="90">
        <v>275.24151580031901</v>
      </c>
      <c r="AX3104" s="90">
        <v>0.20668110880000001</v>
      </c>
    </row>
    <row r="3105" spans="1:50" x14ac:dyDescent="0.25">
      <c r="A3105" s="102">
        <v>830000</v>
      </c>
      <c r="B3105" s="102">
        <v>2400000</v>
      </c>
      <c r="C3105" s="102">
        <v>2400000</v>
      </c>
      <c r="D3105" s="90" t="s">
        <v>374</v>
      </c>
      <c r="E3105" s="90" t="s">
        <v>68</v>
      </c>
      <c r="F3105" s="90" t="s">
        <v>375</v>
      </c>
      <c r="G3105" s="90" t="s">
        <v>376</v>
      </c>
      <c r="H3105" s="90">
        <v>0.59</v>
      </c>
      <c r="I3105" s="90">
        <v>0.64</v>
      </c>
      <c r="J3105" s="90" t="s">
        <v>244</v>
      </c>
      <c r="K3105" s="90">
        <v>2.7902865892300002E-3</v>
      </c>
      <c r="L3105" s="90">
        <v>3783.0585014030898</v>
      </c>
      <c r="M3105" s="90">
        <v>11.6225764016911</v>
      </c>
      <c r="N3105" s="90">
        <v>1.5344819946492001</v>
      </c>
      <c r="O3105" s="90">
        <v>3.2430319066039999E-2</v>
      </c>
      <c r="P3105" s="90">
        <v>4.2816445310900004E-3</v>
      </c>
      <c r="Q3105" s="90">
        <v>10.5558174027716</v>
      </c>
      <c r="R3105" s="90">
        <v>1400</v>
      </c>
      <c r="S3105" s="90" t="s">
        <v>324</v>
      </c>
      <c r="T3105" s="90">
        <v>1400</v>
      </c>
      <c r="U3105" s="90" t="s">
        <v>378</v>
      </c>
      <c r="V3105" s="90" t="s">
        <v>244</v>
      </c>
      <c r="Z3105" s="90">
        <v>0</v>
      </c>
      <c r="AA3105" s="90">
        <v>1</v>
      </c>
      <c r="AB3105" s="90">
        <v>3.2430319066039999E-2</v>
      </c>
      <c r="AC3105" s="90">
        <v>4.2816445310900004E-3</v>
      </c>
      <c r="AD3105" s="90">
        <v>10.555817402771</v>
      </c>
      <c r="AF3105" s="90">
        <v>-1</v>
      </c>
      <c r="AG3105" s="90">
        <v>-1</v>
      </c>
      <c r="AH3105" s="90">
        <v>-1</v>
      </c>
      <c r="AI3105" s="90">
        <v>-1</v>
      </c>
      <c r="AJ3105" s="90">
        <v>0</v>
      </c>
      <c r="AM3105" s="90" t="s">
        <v>379</v>
      </c>
      <c r="AN3105" s="90">
        <v>-1</v>
      </c>
      <c r="AQ3105" s="90">
        <v>391</v>
      </c>
      <c r="AR3105" s="90" t="s">
        <v>315</v>
      </c>
      <c r="AS3105" s="90" t="s">
        <v>430</v>
      </c>
      <c r="AT3105" s="90" t="s">
        <v>244</v>
      </c>
      <c r="AU3105" s="90">
        <v>22.5044</v>
      </c>
      <c r="AV3105" s="90">
        <v>100.487381311871</v>
      </c>
      <c r="AW3105" s="90">
        <v>11.2918892039977</v>
      </c>
      <c r="AX3105" s="90">
        <v>8.5610847000000007E-3</v>
      </c>
    </row>
    <row r="3106" spans="1:50" x14ac:dyDescent="0.25">
      <c r="A3106" s="102">
        <v>830000</v>
      </c>
      <c r="B3106" s="102">
        <v>2400000</v>
      </c>
      <c r="C3106" s="102">
        <v>2400000</v>
      </c>
      <c r="D3106" s="90" t="s">
        <v>374</v>
      </c>
      <c r="E3106" s="90" t="s">
        <v>68</v>
      </c>
      <c r="F3106" s="90" t="s">
        <v>375</v>
      </c>
      <c r="G3106" s="90" t="s">
        <v>376</v>
      </c>
      <c r="H3106" s="90">
        <v>0.59</v>
      </c>
      <c r="I3106" s="90">
        <v>0.64</v>
      </c>
      <c r="J3106" s="90" t="s">
        <v>381</v>
      </c>
      <c r="K3106" s="90">
        <v>0.21415982601507</v>
      </c>
      <c r="L3106" s="90">
        <v>3783.0585014030898</v>
      </c>
      <c r="M3106" s="90">
        <v>11.6225764016911</v>
      </c>
      <c r="N3106" s="90">
        <v>1.5344819946492001</v>
      </c>
      <c r="O3106" s="90">
        <v>2.4890889400330498</v>
      </c>
      <c r="P3106" s="90">
        <v>0.32862439699732998</v>
      </c>
      <c r="Q3106" s="90">
        <v>810.17915046532596</v>
      </c>
      <c r="R3106" s="90">
        <v>1400</v>
      </c>
      <c r="S3106" s="90" t="s">
        <v>324</v>
      </c>
      <c r="T3106" s="90">
        <v>1400</v>
      </c>
      <c r="U3106" s="90" t="s">
        <v>382</v>
      </c>
      <c r="V3106" s="90" t="s">
        <v>381</v>
      </c>
      <c r="Z3106" s="90">
        <v>0</v>
      </c>
      <c r="AA3106" s="90">
        <v>1</v>
      </c>
      <c r="AB3106" s="90">
        <v>2.4890889400330498</v>
      </c>
      <c r="AC3106" s="90">
        <v>0.32862439699732998</v>
      </c>
      <c r="AD3106" s="90">
        <v>810.17915046532596</v>
      </c>
      <c r="AF3106" s="90">
        <v>-1</v>
      </c>
      <c r="AG3106" s="90">
        <v>-1</v>
      </c>
      <c r="AH3106" s="90">
        <v>-1</v>
      </c>
      <c r="AI3106" s="90">
        <v>-1</v>
      </c>
      <c r="AJ3106" s="90">
        <v>0</v>
      </c>
      <c r="AM3106" s="90" t="s">
        <v>379</v>
      </c>
      <c r="AN3106" s="90">
        <v>-1</v>
      </c>
      <c r="AQ3106" s="90">
        <v>391</v>
      </c>
      <c r="AR3106" s="90" t="s">
        <v>315</v>
      </c>
      <c r="AS3106" s="90" t="s">
        <v>430</v>
      </c>
      <c r="AT3106" s="90" t="s">
        <v>244</v>
      </c>
      <c r="AU3106" s="90">
        <v>22.5044</v>
      </c>
      <c r="AV3106" s="90">
        <v>134.645498610435</v>
      </c>
      <c r="AW3106" s="90">
        <v>866.67406732916095</v>
      </c>
      <c r="AX3106" s="90">
        <v>0.65707960300000001</v>
      </c>
    </row>
    <row r="3107" spans="1:50" x14ac:dyDescent="0.25">
      <c r="A3107" s="102">
        <v>830000</v>
      </c>
      <c r="B3107" s="102">
        <v>2400000</v>
      </c>
      <c r="C3107" s="102">
        <v>2400000</v>
      </c>
      <c r="D3107" s="90" t="s">
        <v>374</v>
      </c>
      <c r="E3107" s="90" t="s">
        <v>68</v>
      </c>
      <c r="F3107" s="90" t="s">
        <v>375</v>
      </c>
      <c r="G3107" s="90" t="s">
        <v>376</v>
      </c>
      <c r="H3107" s="90">
        <v>0.59</v>
      </c>
      <c r="I3107" s="90">
        <v>0.64</v>
      </c>
      <c r="J3107" s="90" t="s">
        <v>244</v>
      </c>
      <c r="K3107" s="90">
        <v>0.14455256508451</v>
      </c>
      <c r="L3107" s="90">
        <v>3783.0585014030898</v>
      </c>
      <c r="M3107" s="90">
        <v>11.6225764016911</v>
      </c>
      <c r="N3107" s="90">
        <v>1.5344819946492001</v>
      </c>
      <c r="O3107" s="90">
        <v>1.6800732317551901</v>
      </c>
      <c r="P3107" s="90">
        <v>0.22181330840253999</v>
      </c>
      <c r="Q3107" s="90">
        <v>546.850810242595</v>
      </c>
      <c r="R3107" s="90">
        <v>1410</v>
      </c>
      <c r="S3107" s="90" t="s">
        <v>325</v>
      </c>
      <c r="T3107" s="90">
        <v>1410</v>
      </c>
      <c r="U3107" s="90" t="s">
        <v>378</v>
      </c>
      <c r="V3107" s="90" t="s">
        <v>244</v>
      </c>
      <c r="Z3107" s="90">
        <v>0</v>
      </c>
      <c r="AA3107" s="90">
        <v>1</v>
      </c>
      <c r="AB3107" s="90">
        <v>1.6800732317551901</v>
      </c>
      <c r="AC3107" s="90">
        <v>0.22181330840253999</v>
      </c>
      <c r="AD3107" s="90">
        <v>546.850810242595</v>
      </c>
      <c r="AF3107" s="90">
        <v>-1</v>
      </c>
      <c r="AG3107" s="90">
        <v>-1</v>
      </c>
      <c r="AH3107" s="90">
        <v>-1</v>
      </c>
      <c r="AI3107" s="90">
        <v>-1</v>
      </c>
      <c r="AJ3107" s="90">
        <v>0</v>
      </c>
      <c r="AM3107" s="90" t="s">
        <v>379</v>
      </c>
      <c r="AN3107" s="90">
        <v>-1</v>
      </c>
      <c r="AQ3107" s="90">
        <v>391</v>
      </c>
      <c r="AR3107" s="90" t="s">
        <v>315</v>
      </c>
      <c r="AS3107" s="90" t="s">
        <v>430</v>
      </c>
      <c r="AT3107" s="90" t="s">
        <v>244</v>
      </c>
      <c r="AU3107" s="90">
        <v>22.5044</v>
      </c>
      <c r="AV3107" s="90">
        <v>101.172508297761</v>
      </c>
      <c r="AW3107" s="90">
        <v>584.98347638666098</v>
      </c>
      <c r="AX3107" s="90">
        <v>0.4435124171</v>
      </c>
    </row>
    <row r="3108" spans="1:50" x14ac:dyDescent="0.25">
      <c r="A3108" s="102">
        <v>830000</v>
      </c>
      <c r="B3108" s="102">
        <v>2400000</v>
      </c>
      <c r="C3108" s="102">
        <v>2400000</v>
      </c>
      <c r="D3108" s="90" t="s">
        <v>374</v>
      </c>
      <c r="E3108" s="90" t="s">
        <v>68</v>
      </c>
      <c r="F3108" s="90" t="s">
        <v>375</v>
      </c>
      <c r="G3108" s="90" t="s">
        <v>376</v>
      </c>
      <c r="H3108" s="90">
        <v>0.59</v>
      </c>
      <c r="I3108" s="90">
        <v>0.64</v>
      </c>
      <c r="J3108" s="90" t="s">
        <v>244</v>
      </c>
      <c r="K3108" s="90">
        <v>0.25626077572594003</v>
      </c>
      <c r="L3108" s="90">
        <v>3783.0585014030898</v>
      </c>
      <c r="M3108" s="90">
        <v>11.6225764016911</v>
      </c>
      <c r="N3108" s="90">
        <v>1.5344819946492001</v>
      </c>
      <c r="O3108" s="90">
        <v>2.9784104446313702</v>
      </c>
      <c r="P3108" s="90">
        <v>0.39322754628628998</v>
      </c>
      <c r="Q3108" s="90">
        <v>969.44950618616895</v>
      </c>
      <c r="R3108" s="90">
        <v>1410</v>
      </c>
      <c r="S3108" s="90" t="s">
        <v>325</v>
      </c>
      <c r="T3108" s="90">
        <v>1410</v>
      </c>
      <c r="U3108" s="90" t="s">
        <v>378</v>
      </c>
      <c r="V3108" s="90" t="s">
        <v>244</v>
      </c>
      <c r="Z3108" s="90">
        <v>0</v>
      </c>
      <c r="AA3108" s="90">
        <v>1</v>
      </c>
      <c r="AB3108" s="90">
        <v>2.9784104446313702</v>
      </c>
      <c r="AC3108" s="90">
        <v>0.39322754628628998</v>
      </c>
      <c r="AD3108" s="90">
        <v>969.44950618616895</v>
      </c>
      <c r="AF3108" s="90">
        <v>-1</v>
      </c>
      <c r="AG3108" s="90">
        <v>-1</v>
      </c>
      <c r="AH3108" s="90">
        <v>-1</v>
      </c>
      <c r="AI3108" s="90">
        <v>-1</v>
      </c>
      <c r="AJ3108" s="90">
        <v>0</v>
      </c>
      <c r="AM3108" s="90" t="s">
        <v>379</v>
      </c>
      <c r="AN3108" s="90">
        <v>-1</v>
      </c>
      <c r="AQ3108" s="90">
        <v>391</v>
      </c>
      <c r="AR3108" s="90" t="s">
        <v>315</v>
      </c>
      <c r="AS3108" s="90" t="s">
        <v>430</v>
      </c>
      <c r="AT3108" s="90" t="s">
        <v>244</v>
      </c>
      <c r="AU3108" s="90">
        <v>22.5044</v>
      </c>
      <c r="AV3108" s="90">
        <v>128.81912382522501</v>
      </c>
      <c r="AW3108" s="90">
        <v>1037.0505660557201</v>
      </c>
      <c r="AX3108" s="90">
        <v>0.78625264090000002</v>
      </c>
    </row>
    <row r="3109" spans="1:50" x14ac:dyDescent="0.25">
      <c r="A3109" s="102">
        <v>830000</v>
      </c>
      <c r="B3109" s="102">
        <v>2400000</v>
      </c>
      <c r="C3109" s="102">
        <v>2400000</v>
      </c>
      <c r="D3109" s="90" t="s">
        <v>374</v>
      </c>
      <c r="E3109" s="90" t="s">
        <v>68</v>
      </c>
      <c r="F3109" s="90" t="s">
        <v>375</v>
      </c>
      <c r="G3109" s="90" t="s">
        <v>376</v>
      </c>
      <c r="H3109" s="90">
        <v>0.59</v>
      </c>
      <c r="I3109" s="90">
        <v>0.64</v>
      </c>
      <c r="J3109" s="90" t="s">
        <v>244</v>
      </c>
      <c r="K3109" s="90">
        <v>4.5258802306919997E-2</v>
      </c>
      <c r="L3109" s="90">
        <v>3783.0585005575099</v>
      </c>
      <c r="M3109" s="90">
        <v>11.6225763990932</v>
      </c>
      <c r="N3109" s="90">
        <v>1.53448199430622</v>
      </c>
      <c r="O3109" s="90">
        <v>0.52602388754373997</v>
      </c>
      <c r="P3109" s="90">
        <v>6.9448817223839998E-2</v>
      </c>
      <c r="Q3109" s="90">
        <v>171.21669679227901</v>
      </c>
      <c r="R3109" s="90">
        <v>1400</v>
      </c>
      <c r="S3109" s="90" t="s">
        <v>324</v>
      </c>
      <c r="T3109" s="90">
        <v>1400</v>
      </c>
      <c r="U3109" s="90" t="s">
        <v>378</v>
      </c>
      <c r="V3109" s="90" t="s">
        <v>244</v>
      </c>
      <c r="Z3109" s="90">
        <v>0</v>
      </c>
      <c r="AA3109" s="90">
        <v>1</v>
      </c>
      <c r="AB3109" s="90">
        <v>0.52602388754373997</v>
      </c>
      <c r="AC3109" s="90">
        <v>6.9448817223839998E-2</v>
      </c>
      <c r="AD3109" s="90">
        <v>171.21669679227699</v>
      </c>
      <c r="AF3109" s="90">
        <v>-1</v>
      </c>
      <c r="AG3109" s="90">
        <v>-1</v>
      </c>
      <c r="AH3109" s="90">
        <v>-1</v>
      </c>
      <c r="AI3109" s="90">
        <v>-1</v>
      </c>
      <c r="AJ3109" s="90">
        <v>0</v>
      </c>
      <c r="AM3109" s="90" t="s">
        <v>379</v>
      </c>
      <c r="AN3109" s="90">
        <v>-1</v>
      </c>
      <c r="AQ3109" s="90">
        <v>391</v>
      </c>
      <c r="AR3109" s="90" t="s">
        <v>315</v>
      </c>
      <c r="AS3109" s="90" t="s">
        <v>430</v>
      </c>
      <c r="AT3109" s="90" t="s">
        <v>244</v>
      </c>
      <c r="AU3109" s="90">
        <v>22.5044</v>
      </c>
      <c r="AV3109" s="90">
        <v>167.91545970926001</v>
      </c>
      <c r="AW3109" s="90">
        <v>183.15587478592499</v>
      </c>
      <c r="AX3109" s="90">
        <v>0.13886187899999999</v>
      </c>
    </row>
    <row r="3110" spans="1:50" x14ac:dyDescent="0.25">
      <c r="A3110" s="102">
        <v>830000</v>
      </c>
      <c r="B3110" s="102">
        <v>2400000</v>
      </c>
      <c r="C3110" s="102">
        <v>2400000</v>
      </c>
      <c r="D3110" s="90" t="s">
        <v>374</v>
      </c>
      <c r="E3110" s="90" t="s">
        <v>68</v>
      </c>
      <c r="F3110" s="90" t="s">
        <v>375</v>
      </c>
      <c r="G3110" s="90" t="s">
        <v>376</v>
      </c>
      <c r="H3110" s="90">
        <v>0.59</v>
      </c>
      <c r="I3110" s="90">
        <v>0.64</v>
      </c>
      <c r="J3110" s="90" t="s">
        <v>381</v>
      </c>
      <c r="K3110" s="90">
        <v>0.19956839173534999</v>
      </c>
      <c r="L3110" s="90">
        <v>3783.0585005575099</v>
      </c>
      <c r="M3110" s="90">
        <v>11.6225763990932</v>
      </c>
      <c r="N3110" s="90">
        <v>1.53448199430622</v>
      </c>
      <c r="O3110" s="90">
        <v>2.3194988797882798</v>
      </c>
      <c r="P3110" s="90">
        <v>0.30623410375054</v>
      </c>
      <c r="Q3110" s="90">
        <v>754.97890079700801</v>
      </c>
      <c r="R3110" s="90">
        <v>1400</v>
      </c>
      <c r="S3110" s="90" t="s">
        <v>324</v>
      </c>
      <c r="T3110" s="90">
        <v>1400</v>
      </c>
      <c r="U3110" s="90" t="s">
        <v>382</v>
      </c>
      <c r="V3110" s="90" t="s">
        <v>381</v>
      </c>
      <c r="Z3110" s="90">
        <v>0</v>
      </c>
      <c r="AA3110" s="90">
        <v>1</v>
      </c>
      <c r="AB3110" s="90">
        <v>2.3194988797882798</v>
      </c>
      <c r="AC3110" s="90">
        <v>0.30623410375054</v>
      </c>
      <c r="AD3110" s="90">
        <v>754.97890079700801</v>
      </c>
      <c r="AF3110" s="90">
        <v>-1</v>
      </c>
      <c r="AG3110" s="90">
        <v>-1</v>
      </c>
      <c r="AH3110" s="90">
        <v>-1</v>
      </c>
      <c r="AI3110" s="90">
        <v>-1</v>
      </c>
      <c r="AJ3110" s="90">
        <v>0</v>
      </c>
      <c r="AM3110" s="90" t="s">
        <v>379</v>
      </c>
      <c r="AN3110" s="90">
        <v>-1</v>
      </c>
      <c r="AQ3110" s="90">
        <v>391</v>
      </c>
      <c r="AR3110" s="90" t="s">
        <v>315</v>
      </c>
      <c r="AS3110" s="90" t="s">
        <v>430</v>
      </c>
      <c r="AT3110" s="90" t="s">
        <v>244</v>
      </c>
      <c r="AU3110" s="90">
        <v>22.5044</v>
      </c>
      <c r="AV3110" s="90">
        <v>131.89579514081899</v>
      </c>
      <c r="AW3110" s="90">
        <v>807.62462780224098</v>
      </c>
      <c r="AX3110" s="90">
        <v>0.61231054399999996</v>
      </c>
    </row>
    <row r="3111" spans="1:50" x14ac:dyDescent="0.25">
      <c r="A3111" s="102">
        <v>830000</v>
      </c>
      <c r="B3111" s="102">
        <v>2400000</v>
      </c>
      <c r="C3111" s="102">
        <v>2400000</v>
      </c>
      <c r="D3111" s="90" t="s">
        <v>374</v>
      </c>
      <c r="E3111" s="90" t="s">
        <v>68</v>
      </c>
      <c r="F3111" s="90" t="s">
        <v>375</v>
      </c>
      <c r="G3111" s="90" t="s">
        <v>376</v>
      </c>
      <c r="H3111" s="90">
        <v>0.59</v>
      </c>
      <c r="I3111" s="90">
        <v>0.64</v>
      </c>
      <c r="J3111" s="90" t="s">
        <v>244</v>
      </c>
      <c r="K3111" s="90">
        <v>0.12383868858674001</v>
      </c>
      <c r="L3111" s="90">
        <v>3783.0585005575099</v>
      </c>
      <c r="M3111" s="90">
        <v>11.6225763990932</v>
      </c>
      <c r="N3111" s="90">
        <v>1.53448199430622</v>
      </c>
      <c r="O3111" s="90">
        <v>1.4393246192629601</v>
      </c>
      <c r="P3111" s="90">
        <v>0.19002823783485001</v>
      </c>
      <c r="Q3111" s="90">
        <v>468.48900355597999</v>
      </c>
      <c r="R3111" s="90">
        <v>1410</v>
      </c>
      <c r="S3111" s="90" t="s">
        <v>325</v>
      </c>
      <c r="T3111" s="90">
        <v>1410</v>
      </c>
      <c r="U3111" s="90" t="s">
        <v>378</v>
      </c>
      <c r="V3111" s="90" t="s">
        <v>244</v>
      </c>
      <c r="Z3111" s="90">
        <v>0</v>
      </c>
      <c r="AA3111" s="90">
        <v>1</v>
      </c>
      <c r="AB3111" s="90">
        <v>1.4393246192629601</v>
      </c>
      <c r="AC3111" s="90">
        <v>0.19002823783485001</v>
      </c>
      <c r="AD3111" s="90">
        <v>468.48900355597999</v>
      </c>
      <c r="AF3111" s="90">
        <v>-1</v>
      </c>
      <c r="AG3111" s="90">
        <v>-1</v>
      </c>
      <c r="AH3111" s="90">
        <v>-1</v>
      </c>
      <c r="AI3111" s="90">
        <v>-1</v>
      </c>
      <c r="AJ3111" s="90">
        <v>0</v>
      </c>
      <c r="AM3111" s="90" t="s">
        <v>379</v>
      </c>
      <c r="AN3111" s="90">
        <v>-1</v>
      </c>
      <c r="AQ3111" s="90">
        <v>391</v>
      </c>
      <c r="AR3111" s="90" t="s">
        <v>315</v>
      </c>
      <c r="AS3111" s="90" t="s">
        <v>430</v>
      </c>
      <c r="AT3111" s="90" t="s">
        <v>244</v>
      </c>
      <c r="AU3111" s="90">
        <v>22.5044</v>
      </c>
      <c r="AV3111" s="90">
        <v>96.324372646529298</v>
      </c>
      <c r="AW3111" s="90">
        <v>501.15739224886403</v>
      </c>
      <c r="AX3111" s="90">
        <v>0.37995864039999999</v>
      </c>
    </row>
    <row r="3112" spans="1:50" x14ac:dyDescent="0.25">
      <c r="A3112" s="102">
        <v>830000</v>
      </c>
      <c r="B3112" s="102">
        <v>2400000</v>
      </c>
      <c r="C3112" s="102">
        <v>2400000</v>
      </c>
      <c r="D3112" s="90" t="s">
        <v>374</v>
      </c>
      <c r="E3112" s="90" t="s">
        <v>68</v>
      </c>
      <c r="F3112" s="90" t="s">
        <v>375</v>
      </c>
      <c r="G3112" s="90" t="s">
        <v>376</v>
      </c>
      <c r="H3112" s="90">
        <v>0.59</v>
      </c>
      <c r="I3112" s="90">
        <v>0.64</v>
      </c>
      <c r="J3112" s="90" t="s">
        <v>244</v>
      </c>
      <c r="K3112" s="90">
        <v>6.2499742689749997E-2</v>
      </c>
      <c r="L3112" s="90">
        <v>3783.0585005575099</v>
      </c>
      <c r="M3112" s="90">
        <v>11.6225763990932</v>
      </c>
      <c r="N3112" s="90">
        <v>1.53448199430622</v>
      </c>
      <c r="O3112" s="90">
        <v>0.72640803433530998</v>
      </c>
      <c r="P3112" s="90">
        <v>9.5904729806189998E-2</v>
      </c>
      <c r="Q3112" s="90">
        <v>236.44018286512301</v>
      </c>
      <c r="R3112" s="90">
        <v>1410</v>
      </c>
      <c r="S3112" s="90" t="s">
        <v>325</v>
      </c>
      <c r="T3112" s="90">
        <v>1410</v>
      </c>
      <c r="U3112" s="90" t="s">
        <v>378</v>
      </c>
      <c r="V3112" s="90" t="s">
        <v>244</v>
      </c>
      <c r="Z3112" s="90">
        <v>0</v>
      </c>
      <c r="AA3112" s="90">
        <v>1</v>
      </c>
      <c r="AB3112" s="90">
        <v>0.72640803433530998</v>
      </c>
      <c r="AC3112" s="90">
        <v>9.5904729806189998E-2</v>
      </c>
      <c r="AD3112" s="90">
        <v>236.440182865125</v>
      </c>
      <c r="AF3112" s="90">
        <v>-1</v>
      </c>
      <c r="AG3112" s="90">
        <v>-1</v>
      </c>
      <c r="AH3112" s="90">
        <v>-1</v>
      </c>
      <c r="AI3112" s="90">
        <v>-1</v>
      </c>
      <c r="AJ3112" s="90">
        <v>0</v>
      </c>
      <c r="AM3112" s="90" t="s">
        <v>379</v>
      </c>
      <c r="AN3112" s="90">
        <v>-1</v>
      </c>
      <c r="AQ3112" s="90">
        <v>391</v>
      </c>
      <c r="AR3112" s="90" t="s">
        <v>315</v>
      </c>
      <c r="AS3112" s="90" t="s">
        <v>430</v>
      </c>
      <c r="AT3112" s="90" t="s">
        <v>244</v>
      </c>
      <c r="AU3112" s="90">
        <v>22.5044</v>
      </c>
      <c r="AV3112" s="90">
        <v>80.597522112570601</v>
      </c>
      <c r="AW3112" s="90">
        <v>252.927485102372</v>
      </c>
      <c r="AX3112" s="90">
        <v>0.1917600834</v>
      </c>
    </row>
    <row r="3113" spans="1:50" x14ac:dyDescent="0.25">
      <c r="A3113" s="102">
        <v>830000</v>
      </c>
      <c r="B3113" s="102">
        <v>2400000</v>
      </c>
      <c r="C3113" s="102">
        <v>2400000</v>
      </c>
      <c r="D3113" s="90" t="s">
        <v>374</v>
      </c>
      <c r="E3113" s="90" t="s">
        <v>68</v>
      </c>
      <c r="F3113" s="90" t="s">
        <v>375</v>
      </c>
      <c r="G3113" s="90" t="s">
        <v>376</v>
      </c>
      <c r="H3113" s="90">
        <v>0.59</v>
      </c>
      <c r="I3113" s="90">
        <v>0.64</v>
      </c>
      <c r="J3113" s="90" t="s">
        <v>244</v>
      </c>
      <c r="K3113" s="90">
        <v>8.3676208800390006E-2</v>
      </c>
      <c r="L3113" s="90">
        <v>3783.0585005575099</v>
      </c>
      <c r="M3113" s="90">
        <v>11.6225763990932</v>
      </c>
      <c r="N3113" s="90">
        <v>1.53448199430622</v>
      </c>
      <c r="O3113" s="90">
        <v>0.97253312956907001</v>
      </c>
      <c r="P3113" s="90">
        <v>0.12839963575600999</v>
      </c>
      <c r="Q3113" s="90">
        <v>316.551992996759</v>
      </c>
      <c r="R3113" s="90">
        <v>1410</v>
      </c>
      <c r="S3113" s="90" t="s">
        <v>325</v>
      </c>
      <c r="T3113" s="90">
        <v>1410</v>
      </c>
      <c r="U3113" s="90" t="s">
        <v>378</v>
      </c>
      <c r="V3113" s="90" t="s">
        <v>244</v>
      </c>
      <c r="Z3113" s="90">
        <v>0</v>
      </c>
      <c r="AA3113" s="90">
        <v>1</v>
      </c>
      <c r="AB3113" s="90">
        <v>0.97253312956907001</v>
      </c>
      <c r="AC3113" s="90">
        <v>0.12839963575600999</v>
      </c>
      <c r="AD3113" s="90">
        <v>316.551992996759</v>
      </c>
      <c r="AF3113" s="90">
        <v>-1</v>
      </c>
      <c r="AG3113" s="90">
        <v>-1</v>
      </c>
      <c r="AH3113" s="90">
        <v>-1</v>
      </c>
      <c r="AI3113" s="90">
        <v>-1</v>
      </c>
      <c r="AJ3113" s="90">
        <v>0</v>
      </c>
      <c r="AM3113" s="90" t="s">
        <v>379</v>
      </c>
      <c r="AN3113" s="90">
        <v>-1</v>
      </c>
      <c r="AQ3113" s="90">
        <v>391</v>
      </c>
      <c r="AR3113" s="90" t="s">
        <v>315</v>
      </c>
      <c r="AS3113" s="90" t="s">
        <v>430</v>
      </c>
      <c r="AT3113" s="90" t="s">
        <v>244</v>
      </c>
      <c r="AU3113" s="90">
        <v>22.5044</v>
      </c>
      <c r="AV3113" s="90">
        <v>86.118819395199395</v>
      </c>
      <c r="AW3113" s="90">
        <v>338.62560298595997</v>
      </c>
      <c r="AX3113" s="90">
        <v>0.25673316540000002</v>
      </c>
    </row>
    <row r="3114" spans="1:50" x14ac:dyDescent="0.25">
      <c r="A3114" s="102">
        <v>830000</v>
      </c>
      <c r="B3114" s="102">
        <v>2400000</v>
      </c>
      <c r="C3114" s="102">
        <v>2400000</v>
      </c>
      <c r="D3114" s="90" t="s">
        <v>374</v>
      </c>
      <c r="E3114" s="90" t="s">
        <v>68</v>
      </c>
      <c r="F3114" s="90" t="s">
        <v>375</v>
      </c>
      <c r="G3114" s="90" t="s">
        <v>376</v>
      </c>
      <c r="H3114" s="90">
        <v>0.59</v>
      </c>
      <c r="I3114" s="90">
        <v>0.64</v>
      </c>
      <c r="J3114" s="90" t="s">
        <v>244</v>
      </c>
      <c r="K3114" s="90">
        <v>0.10292161947969999</v>
      </c>
      <c r="L3114" s="90">
        <v>3783.0585005575099</v>
      </c>
      <c r="M3114" s="90">
        <v>11.6225763990932</v>
      </c>
      <c r="N3114" s="90">
        <v>1.53448199430622</v>
      </c>
      <c r="O3114" s="90">
        <v>1.1962143855212299</v>
      </c>
      <c r="P3114" s="90">
        <v>0.15793137191643</v>
      </c>
      <c r="Q3114" s="90">
        <v>389.358507463828</v>
      </c>
      <c r="R3114" s="90">
        <v>1410</v>
      </c>
      <c r="S3114" s="90" t="s">
        <v>325</v>
      </c>
      <c r="T3114" s="90">
        <v>1410</v>
      </c>
      <c r="U3114" s="90" t="s">
        <v>378</v>
      </c>
      <c r="V3114" s="90" t="s">
        <v>244</v>
      </c>
      <c r="Z3114" s="90">
        <v>0</v>
      </c>
      <c r="AA3114" s="90">
        <v>1</v>
      </c>
      <c r="AB3114" s="90">
        <v>1.1962143855212299</v>
      </c>
      <c r="AC3114" s="90">
        <v>0.15793137191643</v>
      </c>
      <c r="AD3114" s="90">
        <v>389.358507463828</v>
      </c>
      <c r="AF3114" s="90">
        <v>-1</v>
      </c>
      <c r="AG3114" s="90">
        <v>-1</v>
      </c>
      <c r="AH3114" s="90">
        <v>-1</v>
      </c>
      <c r="AI3114" s="90">
        <v>-1</v>
      </c>
      <c r="AJ3114" s="90">
        <v>0</v>
      </c>
      <c r="AM3114" s="90" t="s">
        <v>379</v>
      </c>
      <c r="AN3114" s="90">
        <v>-1</v>
      </c>
      <c r="AQ3114" s="90">
        <v>391</v>
      </c>
      <c r="AR3114" s="90" t="s">
        <v>315</v>
      </c>
      <c r="AS3114" s="90" t="s">
        <v>430</v>
      </c>
      <c r="AT3114" s="90" t="s">
        <v>244</v>
      </c>
      <c r="AU3114" s="90">
        <v>22.5044</v>
      </c>
      <c r="AV3114" s="90">
        <v>91.153813890053797</v>
      </c>
      <c r="AW3114" s="90">
        <v>416.50901679523798</v>
      </c>
      <c r="AX3114" s="90">
        <v>0.31578143349999999</v>
      </c>
    </row>
    <row r="3115" spans="1:50" x14ac:dyDescent="0.25">
      <c r="A3115" s="102">
        <v>830000</v>
      </c>
      <c r="B3115" s="102">
        <v>2400000</v>
      </c>
      <c r="C3115" s="102">
        <v>2400000</v>
      </c>
      <c r="D3115" s="90" t="s">
        <v>374</v>
      </c>
      <c r="E3115" s="90" t="s">
        <v>68</v>
      </c>
      <c r="F3115" s="90" t="s">
        <v>375</v>
      </c>
      <c r="G3115" s="90" t="s">
        <v>376</v>
      </c>
      <c r="H3115" s="90">
        <v>0.59</v>
      </c>
      <c r="I3115" s="90">
        <v>0.64</v>
      </c>
      <c r="J3115" s="90" t="s">
        <v>244</v>
      </c>
      <c r="K3115" s="90">
        <v>0.23000861262228001</v>
      </c>
      <c r="L3115" s="90">
        <v>3768.4617706860499</v>
      </c>
      <c r="M3115" s="90">
        <v>10.3370849493979</v>
      </c>
      <c r="N3115" s="90">
        <v>1.37513687899089</v>
      </c>
      <c r="O3115" s="90">
        <v>2.3776185677697099</v>
      </c>
      <c r="P3115" s="90">
        <v>0.31629332570243002</v>
      </c>
      <c r="Q3115" s="90">
        <v>866.77866359561199</v>
      </c>
      <c r="R3115" s="90">
        <v>1400</v>
      </c>
      <c r="S3115" s="90" t="s">
        <v>324</v>
      </c>
      <c r="T3115" s="90">
        <v>1400</v>
      </c>
      <c r="U3115" s="90" t="s">
        <v>378</v>
      </c>
      <c r="V3115" s="90" t="s">
        <v>244</v>
      </c>
      <c r="Z3115" s="90">
        <v>0</v>
      </c>
      <c r="AA3115" s="90">
        <v>1</v>
      </c>
      <c r="AB3115" s="90">
        <v>2.3776185677697099</v>
      </c>
      <c r="AC3115" s="90">
        <v>0.31629332570243002</v>
      </c>
      <c r="AD3115" s="90">
        <v>928.73124312640005</v>
      </c>
      <c r="AF3115" s="90">
        <v>-1</v>
      </c>
      <c r="AG3115" s="90">
        <v>-1</v>
      </c>
      <c r="AH3115" s="90">
        <v>-1</v>
      </c>
      <c r="AI3115" s="90">
        <v>-1</v>
      </c>
      <c r="AJ3115" s="90">
        <v>0</v>
      </c>
      <c r="AM3115" s="90" t="s">
        <v>379</v>
      </c>
      <c r="AN3115" s="90">
        <v>-1</v>
      </c>
      <c r="AQ3115" s="90">
        <v>391</v>
      </c>
      <c r="AR3115" s="90" t="s">
        <v>315</v>
      </c>
      <c r="AS3115" s="90" t="s">
        <v>430</v>
      </c>
      <c r="AT3115" s="90" t="s">
        <v>244</v>
      </c>
      <c r="AU3115" s="90">
        <v>22.5044</v>
      </c>
      <c r="AV3115" s="90">
        <v>129.96581317974699</v>
      </c>
      <c r="AW3115" s="90">
        <v>930.81183119779803</v>
      </c>
      <c r="AX3115" s="90">
        <v>0.75322890760000005</v>
      </c>
    </row>
    <row r="3116" spans="1:50" x14ac:dyDescent="0.25">
      <c r="A3116" s="102">
        <v>830000</v>
      </c>
      <c r="B3116" s="102">
        <v>2400000</v>
      </c>
      <c r="C3116" s="102">
        <v>2400000</v>
      </c>
      <c r="D3116" s="90" t="s">
        <v>374</v>
      </c>
      <c r="E3116" s="90" t="s">
        <v>68</v>
      </c>
      <c r="F3116" s="90" t="s">
        <v>375</v>
      </c>
      <c r="G3116" s="90" t="s">
        <v>376</v>
      </c>
      <c r="H3116" s="90">
        <v>0.59</v>
      </c>
      <c r="I3116" s="90">
        <v>0.64</v>
      </c>
      <c r="J3116" s="90" t="s">
        <v>381</v>
      </c>
      <c r="K3116" s="90">
        <v>0.12883441316069</v>
      </c>
      <c r="L3116" s="90">
        <v>3768.4617706860499</v>
      </c>
      <c r="M3116" s="90">
        <v>10.3370849493979</v>
      </c>
      <c r="N3116" s="90">
        <v>1.37513687899089</v>
      </c>
      <c r="O3116" s="90">
        <v>1.3317722732478801</v>
      </c>
      <c r="P3116" s="90">
        <v>0.17716495282041</v>
      </c>
      <c r="Q3116" s="90">
        <v>485.50756074483297</v>
      </c>
      <c r="R3116" s="90">
        <v>1400</v>
      </c>
      <c r="S3116" s="90" t="s">
        <v>324</v>
      </c>
      <c r="T3116" s="90">
        <v>1400</v>
      </c>
      <c r="U3116" s="90" t="s">
        <v>382</v>
      </c>
      <c r="V3116" s="90" t="s">
        <v>381</v>
      </c>
      <c r="Z3116" s="90">
        <v>0</v>
      </c>
      <c r="AA3116" s="90">
        <v>1</v>
      </c>
      <c r="AB3116" s="90">
        <v>1.3317722732478801</v>
      </c>
      <c r="AC3116" s="90">
        <v>0.17716495282041</v>
      </c>
      <c r="AD3116" s="90">
        <v>571.81631936539395</v>
      </c>
      <c r="AF3116" s="90">
        <v>-1</v>
      </c>
      <c r="AG3116" s="90">
        <v>-1</v>
      </c>
      <c r="AH3116" s="90">
        <v>-1</v>
      </c>
      <c r="AI3116" s="90">
        <v>-1</v>
      </c>
      <c r="AJ3116" s="90">
        <v>0</v>
      </c>
      <c r="AM3116" s="90" t="s">
        <v>379</v>
      </c>
      <c r="AN3116" s="90">
        <v>-1</v>
      </c>
      <c r="AQ3116" s="90">
        <v>391</v>
      </c>
      <c r="AR3116" s="90" t="s">
        <v>315</v>
      </c>
      <c r="AS3116" s="90" t="s">
        <v>430</v>
      </c>
      <c r="AT3116" s="90" t="s">
        <v>244</v>
      </c>
      <c r="AU3116" s="90">
        <v>22.5044</v>
      </c>
      <c r="AV3116" s="90">
        <v>110.671774524795</v>
      </c>
      <c r="AW3116" s="90">
        <v>521.37437232547495</v>
      </c>
      <c r="AX3116" s="90">
        <v>0.46376019410000002</v>
      </c>
    </row>
    <row r="3117" spans="1:50" x14ac:dyDescent="0.25">
      <c r="A3117" s="102">
        <v>830000</v>
      </c>
      <c r="B3117" s="102">
        <v>2400000</v>
      </c>
      <c r="C3117" s="102">
        <v>2400000</v>
      </c>
      <c r="D3117" s="90" t="s">
        <v>374</v>
      </c>
      <c r="E3117" s="90" t="s">
        <v>68</v>
      </c>
      <c r="F3117" s="90" t="s">
        <v>375</v>
      </c>
      <c r="G3117" s="90" t="s">
        <v>376</v>
      </c>
      <c r="H3117" s="90">
        <v>0.59</v>
      </c>
      <c r="I3117" s="90">
        <v>0.64</v>
      </c>
      <c r="J3117" s="90" t="s">
        <v>244</v>
      </c>
      <c r="K3117" s="90">
        <v>1.156009120577E-2</v>
      </c>
      <c r="L3117" s="90">
        <v>3768.4617706860499</v>
      </c>
      <c r="M3117" s="90">
        <v>10.3370849493979</v>
      </c>
      <c r="N3117" s="90">
        <v>1.37513687899089</v>
      </c>
      <c r="O3117" s="90">
        <v>0.11949764481686</v>
      </c>
      <c r="P3117" s="90">
        <v>1.5896707741550001E-2</v>
      </c>
      <c r="Q3117" s="90">
        <v>43.563761774599598</v>
      </c>
      <c r="R3117" s="90">
        <v>1410</v>
      </c>
      <c r="S3117" s="90" t="s">
        <v>325</v>
      </c>
      <c r="T3117" s="90">
        <v>1410</v>
      </c>
      <c r="U3117" s="90" t="s">
        <v>378</v>
      </c>
      <c r="V3117" s="90" t="s">
        <v>244</v>
      </c>
      <c r="Z3117" s="90">
        <v>0</v>
      </c>
      <c r="AA3117" s="90">
        <v>1</v>
      </c>
      <c r="AB3117" s="90">
        <v>0.11949764481686</v>
      </c>
      <c r="AC3117" s="90">
        <v>1.5896707741550001E-2</v>
      </c>
      <c r="AD3117" s="90">
        <v>43.563761774599598</v>
      </c>
      <c r="AF3117" s="90">
        <v>-1</v>
      </c>
      <c r="AG3117" s="90">
        <v>-1</v>
      </c>
      <c r="AH3117" s="90">
        <v>-1</v>
      </c>
      <c r="AI3117" s="90">
        <v>-1</v>
      </c>
      <c r="AJ3117" s="90">
        <v>0</v>
      </c>
      <c r="AM3117" s="90" t="s">
        <v>379</v>
      </c>
      <c r="AN3117" s="90">
        <v>-1</v>
      </c>
      <c r="AQ3117" s="90">
        <v>391</v>
      </c>
      <c r="AR3117" s="90" t="s">
        <v>315</v>
      </c>
      <c r="AS3117" s="90" t="s">
        <v>430</v>
      </c>
      <c r="AT3117" s="90" t="s">
        <v>244</v>
      </c>
      <c r="AU3117" s="90">
        <v>22.5044</v>
      </c>
      <c r="AV3117" s="90">
        <v>36.571054058637202</v>
      </c>
      <c r="AW3117" s="90">
        <v>46.782029339612201</v>
      </c>
      <c r="AX3117" s="90">
        <v>3.5331518100000001E-2</v>
      </c>
    </row>
    <row r="3118" spans="1:50" x14ac:dyDescent="0.25">
      <c r="A3118" s="102">
        <v>830000</v>
      </c>
      <c r="B3118" s="102">
        <v>2400000</v>
      </c>
      <c r="C3118" s="102">
        <v>2400000</v>
      </c>
      <c r="D3118" s="90" t="s">
        <v>374</v>
      </c>
      <c r="E3118" s="90" t="s">
        <v>68</v>
      </c>
      <c r="F3118" s="90" t="s">
        <v>375</v>
      </c>
      <c r="G3118" s="90" t="s">
        <v>376</v>
      </c>
      <c r="H3118" s="90">
        <v>0.59</v>
      </c>
      <c r="I3118" s="90">
        <v>0.64</v>
      </c>
      <c r="J3118" s="90" t="s">
        <v>244</v>
      </c>
      <c r="K3118" s="90">
        <v>7.6315350102899998E-3</v>
      </c>
      <c r="L3118" s="90">
        <v>3768.4617706860499</v>
      </c>
      <c r="M3118" s="90">
        <v>10.3370849493979</v>
      </c>
      <c r="N3118" s="90">
        <v>1.37513687899089</v>
      </c>
      <c r="O3118" s="90">
        <v>7.888782569569E-2</v>
      </c>
      <c r="P3118" s="90">
        <v>1.049440523596E-2</v>
      </c>
      <c r="Q3118" s="90">
        <v>28.759147937937598</v>
      </c>
      <c r="R3118" s="90">
        <v>1410</v>
      </c>
      <c r="S3118" s="90" t="s">
        <v>325</v>
      </c>
      <c r="T3118" s="90">
        <v>1410</v>
      </c>
      <c r="U3118" s="90" t="s">
        <v>378</v>
      </c>
      <c r="V3118" s="90" t="s">
        <v>244</v>
      </c>
      <c r="Z3118" s="90">
        <v>0</v>
      </c>
      <c r="AA3118" s="90">
        <v>1</v>
      </c>
      <c r="AB3118" s="90">
        <v>7.888782569569E-2</v>
      </c>
      <c r="AC3118" s="90">
        <v>1.049440523596E-2</v>
      </c>
      <c r="AD3118" s="90">
        <v>28.759147937938501</v>
      </c>
      <c r="AF3118" s="90">
        <v>-1</v>
      </c>
      <c r="AG3118" s="90">
        <v>-1</v>
      </c>
      <c r="AH3118" s="90">
        <v>-1</v>
      </c>
      <c r="AI3118" s="90">
        <v>-1</v>
      </c>
      <c r="AJ3118" s="90">
        <v>0</v>
      </c>
      <c r="AM3118" s="90" t="s">
        <v>379</v>
      </c>
      <c r="AN3118" s="90">
        <v>-1</v>
      </c>
      <c r="AQ3118" s="90">
        <v>391</v>
      </c>
      <c r="AR3118" s="90" t="s">
        <v>315</v>
      </c>
      <c r="AS3118" s="90" t="s">
        <v>430</v>
      </c>
      <c r="AT3118" s="90" t="s">
        <v>244</v>
      </c>
      <c r="AU3118" s="90">
        <v>22.5044</v>
      </c>
      <c r="AV3118" s="90">
        <v>24.2902092102361</v>
      </c>
      <c r="AW3118" s="90">
        <v>30.883726469171599</v>
      </c>
      <c r="AX3118" s="90">
        <v>2.3324531999999999E-2</v>
      </c>
    </row>
    <row r="3119" spans="1:50" x14ac:dyDescent="0.25">
      <c r="A3119" s="102">
        <v>830000</v>
      </c>
      <c r="B3119" s="102">
        <v>2400000</v>
      </c>
      <c r="C3119" s="102">
        <v>2400000</v>
      </c>
      <c r="D3119" s="90" t="s">
        <v>374</v>
      </c>
      <c r="E3119" s="90" t="s">
        <v>68</v>
      </c>
      <c r="F3119" s="90" t="s">
        <v>375</v>
      </c>
      <c r="G3119" s="90" t="s">
        <v>376</v>
      </c>
      <c r="H3119" s="90">
        <v>0.59</v>
      </c>
      <c r="I3119" s="90">
        <v>0.64</v>
      </c>
      <c r="J3119" s="90" t="s">
        <v>244</v>
      </c>
      <c r="K3119" s="90">
        <v>8.3003473957100008E-3</v>
      </c>
      <c r="L3119" s="90">
        <v>3768.4617706860499</v>
      </c>
      <c r="M3119" s="90">
        <v>10.3370849493979</v>
      </c>
      <c r="N3119" s="90">
        <v>1.37513687899089</v>
      </c>
      <c r="O3119" s="90">
        <v>8.5801396138979996E-2</v>
      </c>
      <c r="P3119" s="90">
        <v>1.141411381228E-2</v>
      </c>
      <c r="Q3119" s="90">
        <v>31.279541844154199</v>
      </c>
      <c r="R3119" s="90">
        <v>1410</v>
      </c>
      <c r="S3119" s="90" t="s">
        <v>325</v>
      </c>
      <c r="T3119" s="90">
        <v>1410</v>
      </c>
      <c r="U3119" s="90" t="s">
        <v>378</v>
      </c>
      <c r="V3119" s="90" t="s">
        <v>244</v>
      </c>
      <c r="Z3119" s="90">
        <v>0</v>
      </c>
      <c r="AA3119" s="90">
        <v>1</v>
      </c>
      <c r="AB3119" s="90">
        <v>8.5801396138979996E-2</v>
      </c>
      <c r="AC3119" s="90">
        <v>1.141411381228E-2</v>
      </c>
      <c r="AD3119" s="90">
        <v>31.279541844153801</v>
      </c>
      <c r="AF3119" s="90">
        <v>-1</v>
      </c>
      <c r="AG3119" s="90">
        <v>-1</v>
      </c>
      <c r="AH3119" s="90">
        <v>-1</v>
      </c>
      <c r="AI3119" s="90">
        <v>-1</v>
      </c>
      <c r="AJ3119" s="90">
        <v>0</v>
      </c>
      <c r="AM3119" s="90" t="s">
        <v>379</v>
      </c>
      <c r="AN3119" s="90">
        <v>-1</v>
      </c>
      <c r="AQ3119" s="90">
        <v>391</v>
      </c>
      <c r="AR3119" s="90" t="s">
        <v>315</v>
      </c>
      <c r="AS3119" s="90" t="s">
        <v>430</v>
      </c>
      <c r="AT3119" s="90" t="s">
        <v>244</v>
      </c>
      <c r="AU3119" s="90">
        <v>22.5044</v>
      </c>
      <c r="AV3119" s="90">
        <v>26.5881811112741</v>
      </c>
      <c r="AW3119" s="90">
        <v>33.590314166487801</v>
      </c>
      <c r="AX3119" s="90">
        <v>2.5368647099999999E-2</v>
      </c>
    </row>
    <row r="3120" spans="1:50" x14ac:dyDescent="0.25">
      <c r="A3120" s="102">
        <v>830000</v>
      </c>
      <c r="B3120" s="102">
        <v>2400000</v>
      </c>
      <c r="C3120" s="102">
        <v>2400000</v>
      </c>
      <c r="D3120" s="90" t="s">
        <v>374</v>
      </c>
      <c r="E3120" s="90" t="s">
        <v>68</v>
      </c>
      <c r="F3120" s="90" t="s">
        <v>375</v>
      </c>
      <c r="G3120" s="90" t="s">
        <v>376</v>
      </c>
      <c r="H3120" s="90">
        <v>0.59</v>
      </c>
      <c r="I3120" s="90">
        <v>0.64</v>
      </c>
      <c r="J3120" s="90" t="s">
        <v>244</v>
      </c>
      <c r="K3120" s="90">
        <v>0.12894348107831999</v>
      </c>
      <c r="L3120" s="90">
        <v>3786.0833759532502</v>
      </c>
      <c r="M3120" s="90">
        <v>11.6314418889924</v>
      </c>
      <c r="N3120" s="90">
        <v>1.5356567060494699</v>
      </c>
      <c r="O3120" s="90">
        <v>1.4997986071268801</v>
      </c>
      <c r="P3120" s="90">
        <v>0.19801292141928001</v>
      </c>
      <c r="Q3120" s="90">
        <v>488.19077014816997</v>
      </c>
      <c r="R3120" s="90">
        <v>1400</v>
      </c>
      <c r="S3120" s="90" t="s">
        <v>324</v>
      </c>
      <c r="T3120" s="90">
        <v>1400</v>
      </c>
      <c r="U3120" s="90" t="s">
        <v>378</v>
      </c>
      <c r="V3120" s="90" t="s">
        <v>244</v>
      </c>
      <c r="Z3120" s="90">
        <v>0</v>
      </c>
      <c r="AA3120" s="90">
        <v>1</v>
      </c>
      <c r="AB3120" s="90">
        <v>1.4997986071268801</v>
      </c>
      <c r="AC3120" s="90">
        <v>0.19801292141928001</v>
      </c>
      <c r="AD3120" s="90">
        <v>710.91344454100602</v>
      </c>
      <c r="AF3120" s="90">
        <v>-1</v>
      </c>
      <c r="AG3120" s="90">
        <v>-1</v>
      </c>
      <c r="AH3120" s="90">
        <v>-1</v>
      </c>
      <c r="AI3120" s="90">
        <v>-1</v>
      </c>
      <c r="AJ3120" s="90">
        <v>0</v>
      </c>
      <c r="AM3120" s="90" t="s">
        <v>379</v>
      </c>
      <c r="AN3120" s="90">
        <v>-1</v>
      </c>
      <c r="AQ3120" s="90">
        <v>391</v>
      </c>
      <c r="AR3120" s="90" t="s">
        <v>315</v>
      </c>
      <c r="AS3120" s="90" t="s">
        <v>430</v>
      </c>
      <c r="AT3120" s="90" t="s">
        <v>244</v>
      </c>
      <c r="AU3120" s="90">
        <v>22.5044</v>
      </c>
      <c r="AV3120" s="90">
        <v>129.776803752164</v>
      </c>
      <c r="AW3120" s="90">
        <v>521.81575452841003</v>
      </c>
      <c r="AX3120" s="90">
        <v>0.57657213669999996</v>
      </c>
    </row>
    <row r="3121" spans="1:50" x14ac:dyDescent="0.25">
      <c r="A3121" s="102">
        <v>830000</v>
      </c>
      <c r="B3121" s="102">
        <v>2400000</v>
      </c>
      <c r="C3121" s="102">
        <v>2400000</v>
      </c>
      <c r="D3121" s="90" t="s">
        <v>374</v>
      </c>
      <c r="E3121" s="90" t="s">
        <v>68</v>
      </c>
      <c r="F3121" s="90" t="s">
        <v>375</v>
      </c>
      <c r="G3121" s="90" t="s">
        <v>376</v>
      </c>
      <c r="H3121" s="90">
        <v>0.59</v>
      </c>
      <c r="I3121" s="90">
        <v>0.64</v>
      </c>
      <c r="J3121" s="90" t="s">
        <v>244</v>
      </c>
      <c r="K3121" s="90">
        <v>5.5890483730260003E-2</v>
      </c>
      <c r="L3121" s="90">
        <v>3786.0833759532502</v>
      </c>
      <c r="M3121" s="90">
        <v>11.6314418889924</v>
      </c>
      <c r="N3121" s="90">
        <v>1.5356567060494699</v>
      </c>
      <c r="O3121" s="90">
        <v>0.65008691365624005</v>
      </c>
      <c r="P3121" s="90">
        <v>8.5828596144720007E-2</v>
      </c>
      <c r="Q3121" s="90">
        <v>211.60603132513799</v>
      </c>
      <c r="R3121" s="90">
        <v>1410</v>
      </c>
      <c r="S3121" s="90" t="s">
        <v>325</v>
      </c>
      <c r="T3121" s="90">
        <v>1410</v>
      </c>
      <c r="U3121" s="90" t="s">
        <v>378</v>
      </c>
      <c r="V3121" s="90" t="s">
        <v>244</v>
      </c>
      <c r="Z3121" s="90">
        <v>0</v>
      </c>
      <c r="AA3121" s="90">
        <v>1</v>
      </c>
      <c r="AB3121" s="90">
        <v>0.65008691365624005</v>
      </c>
      <c r="AC3121" s="90">
        <v>8.5828596144720007E-2</v>
      </c>
      <c r="AD3121" s="90">
        <v>211.60603132513799</v>
      </c>
      <c r="AF3121" s="90">
        <v>-1</v>
      </c>
      <c r="AG3121" s="90">
        <v>-1</v>
      </c>
      <c r="AH3121" s="90">
        <v>-1</v>
      </c>
      <c r="AI3121" s="90">
        <v>-1</v>
      </c>
      <c r="AJ3121" s="90">
        <v>0</v>
      </c>
      <c r="AM3121" s="90" t="s">
        <v>379</v>
      </c>
      <c r="AN3121" s="90">
        <v>-1</v>
      </c>
      <c r="AQ3121" s="90">
        <v>391</v>
      </c>
      <c r="AR3121" s="90" t="s">
        <v>315</v>
      </c>
      <c r="AS3121" s="90" t="s">
        <v>430</v>
      </c>
      <c r="AT3121" s="90" t="s">
        <v>244</v>
      </c>
      <c r="AU3121" s="90">
        <v>22.5044</v>
      </c>
      <c r="AV3121" s="90">
        <v>109.048376731982</v>
      </c>
      <c r="AW3121" s="90">
        <v>226.180763034861</v>
      </c>
      <c r="AX3121" s="90">
        <v>0.17161884129999999</v>
      </c>
    </row>
    <row r="3122" spans="1:50" x14ac:dyDescent="0.25">
      <c r="A3122" s="102">
        <v>830000</v>
      </c>
      <c r="B3122" s="102">
        <v>2400000</v>
      </c>
      <c r="C3122" s="102">
        <v>2400000</v>
      </c>
      <c r="D3122" s="90" t="s">
        <v>374</v>
      </c>
      <c r="E3122" s="90" t="s">
        <v>68</v>
      </c>
      <c r="F3122" s="90" t="s">
        <v>375</v>
      </c>
      <c r="G3122" s="90" t="s">
        <v>376</v>
      </c>
      <c r="H3122" s="90">
        <v>0.59</v>
      </c>
      <c r="I3122" s="90">
        <v>0.64</v>
      </c>
      <c r="J3122" s="90" t="s">
        <v>244</v>
      </c>
      <c r="K3122" s="90">
        <v>7.6519889569969995E-2</v>
      </c>
      <c r="L3122" s="90">
        <v>3786.0833759532502</v>
      </c>
      <c r="M3122" s="90">
        <v>11.6314418889924</v>
      </c>
      <c r="N3122" s="90">
        <v>1.5356567060494699</v>
      </c>
      <c r="O3122" s="90">
        <v>0.89003664888524003</v>
      </c>
      <c r="P3122" s="90">
        <v>0.11750828156429</v>
      </c>
      <c r="Q3122" s="90">
        <v>289.710681830645</v>
      </c>
      <c r="R3122" s="90">
        <v>1410</v>
      </c>
      <c r="S3122" s="90" t="s">
        <v>325</v>
      </c>
      <c r="T3122" s="90">
        <v>1410</v>
      </c>
      <c r="U3122" s="90" t="s">
        <v>378</v>
      </c>
      <c r="V3122" s="90" t="s">
        <v>244</v>
      </c>
      <c r="Z3122" s="90">
        <v>0</v>
      </c>
      <c r="AA3122" s="90">
        <v>1</v>
      </c>
      <c r="AB3122" s="90">
        <v>0.89003664888524003</v>
      </c>
      <c r="AC3122" s="90">
        <v>0.11750828156429</v>
      </c>
      <c r="AD3122" s="90">
        <v>1416.3844664245401</v>
      </c>
      <c r="AF3122" s="90">
        <v>-1</v>
      </c>
      <c r="AG3122" s="90">
        <v>-1</v>
      </c>
      <c r="AH3122" s="90">
        <v>-1</v>
      </c>
      <c r="AI3122" s="90">
        <v>-1</v>
      </c>
      <c r="AJ3122" s="90">
        <v>0</v>
      </c>
      <c r="AM3122" s="90" t="s">
        <v>379</v>
      </c>
      <c r="AN3122" s="90">
        <v>-1</v>
      </c>
      <c r="AQ3122" s="90">
        <v>391</v>
      </c>
      <c r="AR3122" s="90" t="s">
        <v>315</v>
      </c>
      <c r="AS3122" s="90" t="s">
        <v>430</v>
      </c>
      <c r="AT3122" s="90" t="s">
        <v>244</v>
      </c>
      <c r="AU3122" s="90">
        <v>22.5044</v>
      </c>
      <c r="AV3122" s="90">
        <v>159.998812047277</v>
      </c>
      <c r="AW3122" s="90">
        <v>309.66500654757499</v>
      </c>
      <c r="AX3122" s="90">
        <v>1.1487303053</v>
      </c>
    </row>
    <row r="3123" spans="1:50" x14ac:dyDescent="0.25">
      <c r="A3123" s="102">
        <v>830000</v>
      </c>
      <c r="B3123" s="102">
        <v>2400000</v>
      </c>
      <c r="C3123" s="102">
        <v>2400000</v>
      </c>
      <c r="D3123" s="90" t="s">
        <v>374</v>
      </c>
      <c r="E3123" s="90" t="s">
        <v>68</v>
      </c>
      <c r="F3123" s="90" t="s">
        <v>375</v>
      </c>
      <c r="G3123" s="90" t="s">
        <v>376</v>
      </c>
      <c r="H3123" s="90">
        <v>0.59</v>
      </c>
      <c r="I3123" s="90">
        <v>0.64</v>
      </c>
      <c r="J3123" s="90" t="s">
        <v>409</v>
      </c>
      <c r="K3123" s="90">
        <v>5.3877486739299998E-3</v>
      </c>
      <c r="L3123" s="90">
        <v>2113.86734517066</v>
      </c>
      <c r="M3123" s="90">
        <v>6.0921352447092101</v>
      </c>
      <c r="N3123" s="90">
        <v>0.82827939852930998</v>
      </c>
      <c r="O3123" s="90">
        <v>3.2822893586100001E-2</v>
      </c>
      <c r="P3123" s="90">
        <v>4.4625612310700002E-3</v>
      </c>
      <c r="Q3123" s="90">
        <v>11.3889859858156</v>
      </c>
      <c r="R3123" s="90">
        <v>1400</v>
      </c>
      <c r="S3123" s="90" t="s">
        <v>324</v>
      </c>
      <c r="T3123" s="90">
        <v>1400</v>
      </c>
      <c r="U3123" s="90" t="s">
        <v>409</v>
      </c>
      <c r="V3123" s="90" t="s">
        <v>409</v>
      </c>
      <c r="Z3123" s="90">
        <v>0</v>
      </c>
      <c r="AA3123" s="90">
        <v>1</v>
      </c>
      <c r="AB3123" s="90">
        <v>3.2822893586100001E-2</v>
      </c>
      <c r="AC3123" s="90">
        <v>4.4625612310700002E-3</v>
      </c>
      <c r="AD3123" s="90">
        <v>62.267573095293002</v>
      </c>
      <c r="AF3123" s="90">
        <v>-1</v>
      </c>
      <c r="AG3123" s="90">
        <v>-1</v>
      </c>
      <c r="AH3123" s="90">
        <v>-1</v>
      </c>
      <c r="AI3123" s="90">
        <v>-1</v>
      </c>
      <c r="AJ3123" s="90">
        <v>0</v>
      </c>
      <c r="AM3123" s="90" t="s">
        <v>379</v>
      </c>
      <c r="AN3123" s="90">
        <v>-1</v>
      </c>
      <c r="AQ3123" s="90">
        <v>391</v>
      </c>
      <c r="AR3123" s="90" t="s">
        <v>315</v>
      </c>
      <c r="AS3123" s="90" t="s">
        <v>430</v>
      </c>
      <c r="AT3123" s="90" t="s">
        <v>244</v>
      </c>
      <c r="AU3123" s="90">
        <v>22.5044</v>
      </c>
      <c r="AV3123" s="90">
        <v>94.005342573250999</v>
      </c>
      <c r="AW3123" s="90">
        <v>21.8034453233875</v>
      </c>
      <c r="AX3123" s="90">
        <v>5.05008703E-2</v>
      </c>
    </row>
    <row r="3124" spans="1:50" x14ac:dyDescent="0.25">
      <c r="A3124" s="102">
        <v>830000</v>
      </c>
      <c r="B3124" s="102">
        <v>2400000</v>
      </c>
      <c r="C3124" s="102">
        <v>2400000</v>
      </c>
      <c r="D3124" s="90" t="s">
        <v>374</v>
      </c>
      <c r="E3124" s="90" t="s">
        <v>68</v>
      </c>
      <c r="F3124" s="90" t="s">
        <v>375</v>
      </c>
      <c r="G3124" s="90" t="s">
        <v>376</v>
      </c>
      <c r="H3124" s="90">
        <v>0.59</v>
      </c>
      <c r="I3124" s="90">
        <v>0.64</v>
      </c>
      <c r="J3124" s="90" t="s">
        <v>244</v>
      </c>
      <c r="K3124" s="90">
        <v>0.12898689005446001</v>
      </c>
      <c r="L3124" s="90">
        <v>2113.86734517066</v>
      </c>
      <c r="M3124" s="90">
        <v>6.0921352447092101</v>
      </c>
      <c r="N3124" s="90">
        <v>0.82827939852930998</v>
      </c>
      <c r="O3124" s="90">
        <v>0.78580557900624004</v>
      </c>
      <c r="P3124" s="90">
        <v>0.10683718371247</v>
      </c>
      <c r="Q3124" s="90">
        <v>272.66117484125402</v>
      </c>
      <c r="R3124" s="90">
        <v>1400</v>
      </c>
      <c r="S3124" s="90" t="s">
        <v>324</v>
      </c>
      <c r="T3124" s="90">
        <v>1400</v>
      </c>
      <c r="U3124" s="90" t="s">
        <v>378</v>
      </c>
      <c r="V3124" s="90" t="s">
        <v>244</v>
      </c>
      <c r="Z3124" s="90">
        <v>0</v>
      </c>
      <c r="AA3124" s="90">
        <v>1</v>
      </c>
      <c r="AB3124" s="90">
        <v>0.78580557900624004</v>
      </c>
      <c r="AC3124" s="90">
        <v>0.10683718371247</v>
      </c>
      <c r="AD3124" s="90">
        <v>435.47546908363898</v>
      </c>
      <c r="AF3124" s="90">
        <v>-1</v>
      </c>
      <c r="AG3124" s="90">
        <v>-1</v>
      </c>
      <c r="AH3124" s="90">
        <v>-1</v>
      </c>
      <c r="AI3124" s="90">
        <v>-1</v>
      </c>
      <c r="AJ3124" s="90">
        <v>0</v>
      </c>
      <c r="AM3124" s="90" t="s">
        <v>379</v>
      </c>
      <c r="AN3124" s="90">
        <v>-1</v>
      </c>
      <c r="AQ3124" s="90">
        <v>391</v>
      </c>
      <c r="AR3124" s="90" t="s">
        <v>315</v>
      </c>
      <c r="AS3124" s="90" t="s">
        <v>430</v>
      </c>
      <c r="AT3124" s="90" t="s">
        <v>244</v>
      </c>
      <c r="AU3124" s="90">
        <v>22.5044</v>
      </c>
      <c r="AV3124" s="90">
        <v>120.87714908717901</v>
      </c>
      <c r="AW3124" s="90">
        <v>521.991424422318</v>
      </c>
      <c r="AX3124" s="90">
        <v>0.35318367319999999</v>
      </c>
    </row>
    <row r="3125" spans="1:50" x14ac:dyDescent="0.25">
      <c r="A3125" s="102">
        <v>830000</v>
      </c>
      <c r="B3125" s="102">
        <v>2400000</v>
      </c>
      <c r="C3125" s="102">
        <v>2400000</v>
      </c>
      <c r="D3125" s="90" t="s">
        <v>374</v>
      </c>
      <c r="E3125" s="90" t="s">
        <v>68</v>
      </c>
      <c r="F3125" s="90" t="s">
        <v>375</v>
      </c>
      <c r="G3125" s="90" t="s">
        <v>376</v>
      </c>
      <c r="H3125" s="90">
        <v>0.59</v>
      </c>
      <c r="I3125" s="90">
        <v>0.64</v>
      </c>
      <c r="J3125" s="90" t="s">
        <v>244</v>
      </c>
      <c r="K3125" s="90">
        <v>0.18779277630026001</v>
      </c>
      <c r="L3125" s="90">
        <v>3791.3594703649601</v>
      </c>
      <c r="M3125" s="90">
        <v>11.529216237945301</v>
      </c>
      <c r="N3125" s="90">
        <v>1.5233333619945499</v>
      </c>
      <c r="O3125" s="90">
        <v>2.1651035258898599</v>
      </c>
      <c r="P3125" s="90">
        <v>0.28607100127976998</v>
      </c>
      <c r="Q3125" s="90">
        <v>711.98992089214698</v>
      </c>
      <c r="R3125" s="90">
        <v>1400</v>
      </c>
      <c r="S3125" s="90" t="s">
        <v>324</v>
      </c>
      <c r="T3125" s="90">
        <v>1400</v>
      </c>
      <c r="U3125" s="90" t="s">
        <v>378</v>
      </c>
      <c r="V3125" s="90" t="s">
        <v>244</v>
      </c>
      <c r="Z3125" s="90">
        <v>0</v>
      </c>
      <c r="AA3125" s="90">
        <v>1</v>
      </c>
      <c r="AB3125" s="90">
        <v>2.1651035258898599</v>
      </c>
      <c r="AC3125" s="90">
        <v>0.28607100127976998</v>
      </c>
      <c r="AD3125" s="90">
        <v>711.98992089214698</v>
      </c>
      <c r="AF3125" s="90">
        <v>-1</v>
      </c>
      <c r="AG3125" s="90">
        <v>-1</v>
      </c>
      <c r="AH3125" s="90">
        <v>-1</v>
      </c>
      <c r="AI3125" s="90">
        <v>-1</v>
      </c>
      <c r="AJ3125" s="90">
        <v>0</v>
      </c>
      <c r="AM3125" s="90" t="s">
        <v>379</v>
      </c>
      <c r="AN3125" s="90">
        <v>-1</v>
      </c>
      <c r="AQ3125" s="90">
        <v>391</v>
      </c>
      <c r="AR3125" s="90" t="s">
        <v>315</v>
      </c>
      <c r="AS3125" s="90" t="s">
        <v>430</v>
      </c>
      <c r="AT3125" s="90" t="s">
        <v>244</v>
      </c>
      <c r="AU3125" s="90">
        <v>22.5044</v>
      </c>
      <c r="AV3125" s="90">
        <v>130.40115717984099</v>
      </c>
      <c r="AW3125" s="90">
        <v>759.97040285106095</v>
      </c>
      <c r="AX3125" s="90">
        <v>0.57744519130000005</v>
      </c>
    </row>
    <row r="3126" spans="1:50" x14ac:dyDescent="0.25">
      <c r="A3126" s="102">
        <v>830000</v>
      </c>
      <c r="B3126" s="102">
        <v>2400000</v>
      </c>
      <c r="C3126" s="102">
        <v>2400000</v>
      </c>
      <c r="D3126" s="90" t="s">
        <v>374</v>
      </c>
      <c r="E3126" s="90" t="s">
        <v>68</v>
      </c>
      <c r="F3126" s="90" t="s">
        <v>375</v>
      </c>
      <c r="G3126" s="90" t="s">
        <v>376</v>
      </c>
      <c r="H3126" s="90">
        <v>0.59</v>
      </c>
      <c r="I3126" s="90">
        <v>0.64</v>
      </c>
      <c r="J3126" s="90" t="s">
        <v>244</v>
      </c>
      <c r="K3126" s="90">
        <v>1.6225213101919999E-2</v>
      </c>
      <c r="L3126" s="90">
        <v>3791.3594703649601</v>
      </c>
      <c r="M3126" s="90">
        <v>11.529216237945301</v>
      </c>
      <c r="N3126" s="90">
        <v>1.5233333619945499</v>
      </c>
      <c r="O3126" s="90">
        <v>0.18706399035881999</v>
      </c>
      <c r="P3126" s="90">
        <v>2.4716408423630001E-2</v>
      </c>
      <c r="Q3126" s="90">
        <v>61.5156153526693</v>
      </c>
      <c r="R3126" s="90">
        <v>1410</v>
      </c>
      <c r="S3126" s="90" t="s">
        <v>325</v>
      </c>
      <c r="T3126" s="90">
        <v>1410</v>
      </c>
      <c r="U3126" s="90" t="s">
        <v>378</v>
      </c>
      <c r="V3126" s="90" t="s">
        <v>244</v>
      </c>
      <c r="Z3126" s="90">
        <v>0</v>
      </c>
      <c r="AA3126" s="90">
        <v>1</v>
      </c>
      <c r="AB3126" s="90">
        <v>0.18706399035881999</v>
      </c>
      <c r="AC3126" s="90">
        <v>2.4716408423630001E-2</v>
      </c>
      <c r="AD3126" s="90">
        <v>61.515615352668497</v>
      </c>
      <c r="AF3126" s="90">
        <v>-1</v>
      </c>
      <c r="AG3126" s="90">
        <v>-1</v>
      </c>
      <c r="AH3126" s="90">
        <v>-1</v>
      </c>
      <c r="AI3126" s="90">
        <v>-1</v>
      </c>
      <c r="AJ3126" s="90">
        <v>0</v>
      </c>
      <c r="AM3126" s="90" t="s">
        <v>379</v>
      </c>
      <c r="AN3126" s="90">
        <v>-1</v>
      </c>
      <c r="AQ3126" s="90">
        <v>391</v>
      </c>
      <c r="AR3126" s="90" t="s">
        <v>315</v>
      </c>
      <c r="AS3126" s="90" t="s">
        <v>430</v>
      </c>
      <c r="AT3126" s="90" t="s">
        <v>244</v>
      </c>
      <c r="AU3126" s="90">
        <v>22.5044</v>
      </c>
      <c r="AV3126" s="90">
        <v>37.186874854959001</v>
      </c>
      <c r="AW3126" s="90">
        <v>65.661107846328804</v>
      </c>
      <c r="AX3126" s="90">
        <v>4.989101E-2</v>
      </c>
    </row>
    <row r="3127" spans="1:50" x14ac:dyDescent="0.25">
      <c r="A3127" s="102">
        <v>830000</v>
      </c>
      <c r="B3127" s="102">
        <v>2400000</v>
      </c>
      <c r="C3127" s="102">
        <v>2400000</v>
      </c>
      <c r="D3127" s="90" t="s">
        <v>374</v>
      </c>
      <c r="E3127" s="90" t="s">
        <v>68</v>
      </c>
      <c r="F3127" s="90" t="s">
        <v>375</v>
      </c>
      <c r="G3127" s="90" t="s">
        <v>376</v>
      </c>
      <c r="H3127" s="90">
        <v>0.59</v>
      </c>
      <c r="I3127" s="90">
        <v>0.64</v>
      </c>
      <c r="J3127" s="90" t="s">
        <v>244</v>
      </c>
      <c r="K3127" s="90">
        <v>2.1959601996280002E-2</v>
      </c>
      <c r="L3127" s="90">
        <v>3791.3594703649601</v>
      </c>
      <c r="M3127" s="90">
        <v>11.529216237945301</v>
      </c>
      <c r="N3127" s="90">
        <v>1.5233333619945499</v>
      </c>
      <c r="O3127" s="90">
        <v>0.25317699991442</v>
      </c>
      <c r="P3127" s="90">
        <v>3.3451794337059998E-2</v>
      </c>
      <c r="Q3127" s="90">
        <v>83.256744994071894</v>
      </c>
      <c r="R3127" s="90">
        <v>1430</v>
      </c>
      <c r="S3127" s="90" t="s">
        <v>326</v>
      </c>
      <c r="T3127" s="90">
        <v>1430</v>
      </c>
      <c r="U3127" s="90" t="s">
        <v>378</v>
      </c>
      <c r="V3127" s="90" t="s">
        <v>244</v>
      </c>
      <c r="Z3127" s="90">
        <v>0</v>
      </c>
      <c r="AA3127" s="90">
        <v>1</v>
      </c>
      <c r="AB3127" s="90">
        <v>0.25317699991442</v>
      </c>
      <c r="AC3127" s="90">
        <v>3.3451794337059998E-2</v>
      </c>
      <c r="AD3127" s="90">
        <v>83.256744994072307</v>
      </c>
      <c r="AF3127" s="90">
        <v>-1</v>
      </c>
      <c r="AG3127" s="90">
        <v>-1</v>
      </c>
      <c r="AH3127" s="90">
        <v>-1</v>
      </c>
      <c r="AI3127" s="90">
        <v>-1</v>
      </c>
      <c r="AJ3127" s="90">
        <v>0</v>
      </c>
      <c r="AM3127" s="90" t="s">
        <v>379</v>
      </c>
      <c r="AN3127" s="90">
        <v>-1</v>
      </c>
      <c r="AQ3127" s="90">
        <v>391</v>
      </c>
      <c r="AR3127" s="90" t="s">
        <v>315</v>
      </c>
      <c r="AS3127" s="90" t="s">
        <v>430</v>
      </c>
      <c r="AT3127" s="90" t="s">
        <v>244</v>
      </c>
      <c r="AU3127" s="90">
        <v>22.5044</v>
      </c>
      <c r="AV3127" s="90">
        <v>46.355315531589198</v>
      </c>
      <c r="AW3127" s="90">
        <v>88.867356372026293</v>
      </c>
      <c r="AX3127" s="90">
        <v>6.7523718600000004E-2</v>
      </c>
    </row>
    <row r="3128" spans="1:50" x14ac:dyDescent="0.25">
      <c r="A3128" s="102">
        <v>830000</v>
      </c>
      <c r="B3128" s="102">
        <v>2400000</v>
      </c>
      <c r="C3128" s="102">
        <v>2400000</v>
      </c>
      <c r="D3128" s="90" t="s">
        <v>374</v>
      </c>
      <c r="E3128" s="90" t="s">
        <v>68</v>
      </c>
      <c r="F3128" s="90" t="s">
        <v>375</v>
      </c>
      <c r="G3128" s="90" t="s">
        <v>376</v>
      </c>
      <c r="H3128" s="90">
        <v>0.59</v>
      </c>
      <c r="I3128" s="90">
        <v>0.64</v>
      </c>
      <c r="J3128" s="90" t="s">
        <v>244</v>
      </c>
      <c r="K3128" s="90">
        <v>0.36989795870228998</v>
      </c>
      <c r="L3128" s="90">
        <v>3791.3594703649601</v>
      </c>
      <c r="M3128" s="90">
        <v>11.529216237945301</v>
      </c>
      <c r="N3128" s="90">
        <v>1.5233333619945499</v>
      </c>
      <c r="O3128" s="90">
        <v>4.2646335518533096</v>
      </c>
      <c r="P3128" s="90">
        <v>0.56347790102488005</v>
      </c>
      <c r="Q3128" s="90">
        <v>1402.4161287946099</v>
      </c>
      <c r="R3128" s="90">
        <v>1410</v>
      </c>
      <c r="S3128" s="90" t="s">
        <v>325</v>
      </c>
      <c r="T3128" s="90">
        <v>1410</v>
      </c>
      <c r="U3128" s="90" t="s">
        <v>378</v>
      </c>
      <c r="V3128" s="90" t="s">
        <v>244</v>
      </c>
      <c r="Z3128" s="90">
        <v>0</v>
      </c>
      <c r="AA3128" s="90">
        <v>1</v>
      </c>
      <c r="AB3128" s="90">
        <v>4.2646335518533096</v>
      </c>
      <c r="AC3128" s="90">
        <v>0.56347790102488005</v>
      </c>
      <c r="AD3128" s="90">
        <v>1402.4161287946099</v>
      </c>
      <c r="AF3128" s="90">
        <v>-1</v>
      </c>
      <c r="AG3128" s="90">
        <v>-1</v>
      </c>
      <c r="AH3128" s="90">
        <v>-1</v>
      </c>
      <c r="AI3128" s="90">
        <v>-1</v>
      </c>
      <c r="AJ3128" s="90">
        <v>0</v>
      </c>
      <c r="AM3128" s="90" t="s">
        <v>379</v>
      </c>
      <c r="AN3128" s="90">
        <v>-1</v>
      </c>
      <c r="AQ3128" s="90">
        <v>391</v>
      </c>
      <c r="AR3128" s="90" t="s">
        <v>315</v>
      </c>
      <c r="AS3128" s="90" t="s">
        <v>430</v>
      </c>
      <c r="AT3128" s="90" t="s">
        <v>244</v>
      </c>
      <c r="AU3128" s="90">
        <v>22.5044</v>
      </c>
      <c r="AV3128" s="90">
        <v>159.87811541676299</v>
      </c>
      <c r="AW3128" s="90">
        <v>1496.9239298070199</v>
      </c>
      <c r="AX3128" s="90">
        <v>1.1374015642999999</v>
      </c>
    </row>
    <row r="3129" spans="1:50" x14ac:dyDescent="0.25">
      <c r="A3129" s="102">
        <v>830000</v>
      </c>
      <c r="B3129" s="102">
        <v>2400000</v>
      </c>
      <c r="C3129" s="102">
        <v>2400000</v>
      </c>
      <c r="D3129" s="90" t="s">
        <v>374</v>
      </c>
      <c r="E3129" s="90" t="s">
        <v>68</v>
      </c>
      <c r="F3129" s="90" t="s">
        <v>375</v>
      </c>
      <c r="G3129" s="90" t="s">
        <v>376</v>
      </c>
      <c r="H3129" s="90">
        <v>0.59</v>
      </c>
      <c r="I3129" s="90">
        <v>0.64</v>
      </c>
      <c r="J3129" s="90" t="s">
        <v>244</v>
      </c>
      <c r="K3129" s="90">
        <v>2.1887903659190001E-2</v>
      </c>
      <c r="L3129" s="90">
        <v>3791.3594703649601</v>
      </c>
      <c r="M3129" s="90">
        <v>11.529216237945301</v>
      </c>
      <c r="N3129" s="90">
        <v>1.5233333619945499</v>
      </c>
      <c r="O3129" s="90">
        <v>0.25235037428217</v>
      </c>
      <c r="P3129" s="90">
        <v>3.3342573868170002E-2</v>
      </c>
      <c r="Q3129" s="90">
        <v>82.984910824725006</v>
      </c>
      <c r="R3129" s="90">
        <v>1410</v>
      </c>
      <c r="S3129" s="90" t="s">
        <v>325</v>
      </c>
      <c r="T3129" s="90">
        <v>1410</v>
      </c>
      <c r="U3129" s="90" t="s">
        <v>378</v>
      </c>
      <c r="V3129" s="90" t="s">
        <v>244</v>
      </c>
      <c r="Z3129" s="90">
        <v>0</v>
      </c>
      <c r="AA3129" s="90">
        <v>1</v>
      </c>
      <c r="AB3129" s="90">
        <v>0.25235037428217</v>
      </c>
      <c r="AC3129" s="90">
        <v>3.3342573868170002E-2</v>
      </c>
      <c r="AD3129" s="90">
        <v>82.9849108247234</v>
      </c>
      <c r="AF3129" s="90">
        <v>-1</v>
      </c>
      <c r="AG3129" s="90">
        <v>-1</v>
      </c>
      <c r="AH3129" s="90">
        <v>-1</v>
      </c>
      <c r="AI3129" s="90">
        <v>-1</v>
      </c>
      <c r="AJ3129" s="90">
        <v>0</v>
      </c>
      <c r="AM3129" s="90" t="s">
        <v>379</v>
      </c>
      <c r="AN3129" s="90">
        <v>-1</v>
      </c>
      <c r="AQ3129" s="90">
        <v>391</v>
      </c>
      <c r="AR3129" s="90" t="s">
        <v>315</v>
      </c>
      <c r="AS3129" s="90" t="s">
        <v>430</v>
      </c>
      <c r="AT3129" s="90" t="s">
        <v>244</v>
      </c>
      <c r="AU3129" s="90">
        <v>22.5044</v>
      </c>
      <c r="AV3129" s="90">
        <v>45.580671432240102</v>
      </c>
      <c r="AW3129" s="90">
        <v>88.577203496084095</v>
      </c>
      <c r="AX3129" s="90">
        <v>6.7303252899999999E-2</v>
      </c>
    </row>
    <row r="3130" spans="1:50" x14ac:dyDescent="0.25">
      <c r="A3130" s="102">
        <v>830000</v>
      </c>
      <c r="B3130" s="102">
        <v>2400000</v>
      </c>
      <c r="C3130" s="102">
        <v>2400000</v>
      </c>
      <c r="D3130" s="90" t="s">
        <v>374</v>
      </c>
      <c r="E3130" s="90" t="s">
        <v>68</v>
      </c>
      <c r="F3130" s="90" t="s">
        <v>375</v>
      </c>
      <c r="G3130" s="90" t="s">
        <v>376</v>
      </c>
      <c r="H3130" s="90">
        <v>0.59</v>
      </c>
      <c r="I3130" s="90">
        <v>0.64</v>
      </c>
      <c r="J3130" s="90" t="s">
        <v>244</v>
      </c>
      <c r="K3130" s="90">
        <v>0.30787420986241998</v>
      </c>
      <c r="L3130" s="90">
        <v>3786.0833758122099</v>
      </c>
      <c r="M3130" s="90">
        <v>11.631441888559101</v>
      </c>
      <c r="N3130" s="90">
        <v>1.5356567059922701</v>
      </c>
      <c r="O3130" s="90">
        <v>3.5810209810008402</v>
      </c>
      <c r="P3130" s="90">
        <v>0.47278909497729998</v>
      </c>
      <c r="Q3130" s="90">
        <v>1165.63742780143</v>
      </c>
      <c r="R3130" s="90">
        <v>1410</v>
      </c>
      <c r="S3130" s="90" t="s">
        <v>325</v>
      </c>
      <c r="T3130" s="90">
        <v>1410</v>
      </c>
      <c r="U3130" s="90" t="s">
        <v>378</v>
      </c>
      <c r="V3130" s="90" t="s">
        <v>244</v>
      </c>
      <c r="Z3130" s="90">
        <v>0</v>
      </c>
      <c r="AA3130" s="90">
        <v>1</v>
      </c>
      <c r="AB3130" s="90">
        <v>3.5810209810008402</v>
      </c>
      <c r="AC3130" s="90">
        <v>0.47278909497729998</v>
      </c>
      <c r="AD3130" s="90">
        <v>2217.7931887894301</v>
      </c>
      <c r="AF3130" s="90">
        <v>-1</v>
      </c>
      <c r="AG3130" s="90">
        <v>-1</v>
      </c>
      <c r="AH3130" s="90">
        <v>-1</v>
      </c>
      <c r="AI3130" s="90">
        <v>-1</v>
      </c>
      <c r="AJ3130" s="90">
        <v>0</v>
      </c>
      <c r="AM3130" s="90" t="s">
        <v>379</v>
      </c>
      <c r="AN3130" s="90">
        <v>-1</v>
      </c>
      <c r="AQ3130" s="90">
        <v>391</v>
      </c>
      <c r="AR3130" s="90" t="s">
        <v>315</v>
      </c>
      <c r="AS3130" s="90" t="s">
        <v>430</v>
      </c>
      <c r="AT3130" s="90" t="s">
        <v>244</v>
      </c>
      <c r="AU3130" s="90">
        <v>22.5044</v>
      </c>
      <c r="AV3130" s="90">
        <v>148.777958730981</v>
      </c>
      <c r="AW3130" s="90">
        <v>1245.9227234730599</v>
      </c>
      <c r="AX3130" s="90">
        <v>1.7986968279</v>
      </c>
    </row>
    <row r="3131" spans="1:50" x14ac:dyDescent="0.25">
      <c r="A3131" s="102">
        <v>830000</v>
      </c>
      <c r="B3131" s="102">
        <v>2400000</v>
      </c>
      <c r="C3131" s="102">
        <v>2400000</v>
      </c>
      <c r="D3131" s="90" t="s">
        <v>374</v>
      </c>
      <c r="E3131" s="90" t="s">
        <v>68</v>
      </c>
      <c r="F3131" s="90" t="s">
        <v>375</v>
      </c>
      <c r="G3131" s="90" t="s">
        <v>376</v>
      </c>
      <c r="H3131" s="90">
        <v>0.59</v>
      </c>
      <c r="I3131" s="90">
        <v>0.64</v>
      </c>
      <c r="J3131" s="90" t="s">
        <v>244</v>
      </c>
      <c r="K3131" s="90">
        <v>0.16471315378779</v>
      </c>
      <c r="L3131" s="90">
        <v>3765.1812024666001</v>
      </c>
      <c r="M3131" s="90">
        <v>12.010351837924301</v>
      </c>
      <c r="N3131" s="90">
        <v>1.58129350221481</v>
      </c>
      <c r="O3131" s="90">
        <v>1.9782629293254901</v>
      </c>
      <c r="P3131" s="90">
        <v>0.26045983981394</v>
      </c>
      <c r="Q3131" s="90">
        <v>620.17487044077802</v>
      </c>
      <c r="R3131" s="90">
        <v>1400</v>
      </c>
      <c r="S3131" s="90" t="s">
        <v>324</v>
      </c>
      <c r="T3131" s="90">
        <v>1400</v>
      </c>
      <c r="U3131" s="90" t="s">
        <v>378</v>
      </c>
      <c r="V3131" s="90" t="s">
        <v>244</v>
      </c>
      <c r="Z3131" s="90">
        <v>0</v>
      </c>
      <c r="AA3131" s="90">
        <v>1</v>
      </c>
      <c r="AB3131" s="90">
        <v>1.9782629293254901</v>
      </c>
      <c r="AC3131" s="90">
        <v>0.26045983981394</v>
      </c>
      <c r="AD3131" s="90">
        <v>762.18432932149597</v>
      </c>
      <c r="AF3131" s="90">
        <v>-1</v>
      </c>
      <c r="AG3131" s="90">
        <v>-1</v>
      </c>
      <c r="AH3131" s="90">
        <v>-1</v>
      </c>
      <c r="AI3131" s="90">
        <v>-1</v>
      </c>
      <c r="AJ3131" s="90">
        <v>0</v>
      </c>
      <c r="AM3131" s="90" t="s">
        <v>379</v>
      </c>
      <c r="AN3131" s="90">
        <v>-1</v>
      </c>
      <c r="AQ3131" s="90">
        <v>391</v>
      </c>
      <c r="AR3131" s="90" t="s">
        <v>315</v>
      </c>
      <c r="AS3131" s="90" t="s">
        <v>430</v>
      </c>
      <c r="AT3131" s="90" t="s">
        <v>244</v>
      </c>
      <c r="AU3131" s="90">
        <v>22.5044</v>
      </c>
      <c r="AV3131" s="90">
        <v>119.840030609461</v>
      </c>
      <c r="AW3131" s="90">
        <v>666.57048425987603</v>
      </c>
      <c r="AX3131" s="90">
        <v>0.61815436280000002</v>
      </c>
    </row>
    <row r="3132" spans="1:50" x14ac:dyDescent="0.25">
      <c r="A3132" s="102">
        <v>830000</v>
      </c>
      <c r="B3132" s="102">
        <v>2400000</v>
      </c>
      <c r="C3132" s="102">
        <v>2400000</v>
      </c>
      <c r="D3132" s="90" t="s">
        <v>374</v>
      </c>
      <c r="E3132" s="90" t="s">
        <v>68</v>
      </c>
      <c r="F3132" s="90" t="s">
        <v>375</v>
      </c>
      <c r="G3132" s="90" t="s">
        <v>376</v>
      </c>
      <c r="H3132" s="90">
        <v>0.59</v>
      </c>
      <c r="I3132" s="90">
        <v>0.64</v>
      </c>
      <c r="J3132" s="90" t="s">
        <v>381</v>
      </c>
      <c r="K3132" s="90">
        <v>4.3687798337030001E-2</v>
      </c>
      <c r="L3132" s="90">
        <v>3765.1812024666001</v>
      </c>
      <c r="M3132" s="90">
        <v>12.010351837924301</v>
      </c>
      <c r="N3132" s="90">
        <v>1.58129350221481</v>
      </c>
      <c r="O3132" s="90">
        <v>0.52470582905202001</v>
      </c>
      <c r="P3132" s="90">
        <v>6.9083231636410003E-2</v>
      </c>
      <c r="Q3132" s="90">
        <v>164.49247707574099</v>
      </c>
      <c r="R3132" s="90">
        <v>1400</v>
      </c>
      <c r="S3132" s="90" t="s">
        <v>324</v>
      </c>
      <c r="T3132" s="90">
        <v>1400</v>
      </c>
      <c r="U3132" s="90" t="s">
        <v>382</v>
      </c>
      <c r="V3132" s="90" t="s">
        <v>381</v>
      </c>
      <c r="Z3132" s="90">
        <v>0</v>
      </c>
      <c r="AA3132" s="90">
        <v>1</v>
      </c>
      <c r="AB3132" s="90">
        <v>0.52470582905202001</v>
      </c>
      <c r="AC3132" s="90">
        <v>6.9083231636410003E-2</v>
      </c>
      <c r="AD3132" s="90">
        <v>198.48874184167099</v>
      </c>
      <c r="AF3132" s="90">
        <v>-1</v>
      </c>
      <c r="AG3132" s="90">
        <v>-1</v>
      </c>
      <c r="AH3132" s="90">
        <v>-1</v>
      </c>
      <c r="AI3132" s="90">
        <v>-1</v>
      </c>
      <c r="AJ3132" s="90">
        <v>0</v>
      </c>
      <c r="AM3132" s="90" t="s">
        <v>379</v>
      </c>
      <c r="AN3132" s="90">
        <v>-1</v>
      </c>
      <c r="AQ3132" s="90">
        <v>391</v>
      </c>
      <c r="AR3132" s="90" t="s">
        <v>315</v>
      </c>
      <c r="AS3132" s="90" t="s">
        <v>430</v>
      </c>
      <c r="AT3132" s="90" t="s">
        <v>244</v>
      </c>
      <c r="AU3132" s="90">
        <v>22.5044</v>
      </c>
      <c r="AV3132" s="90">
        <v>89.738734646329405</v>
      </c>
      <c r="AW3132" s="90">
        <v>176.79824728072899</v>
      </c>
      <c r="AX3132" s="90">
        <v>0.1609803259</v>
      </c>
    </row>
    <row r="3133" spans="1:50" x14ac:dyDescent="0.25">
      <c r="A3133" s="102">
        <v>830000</v>
      </c>
      <c r="B3133" s="102">
        <v>2400000</v>
      </c>
      <c r="C3133" s="102">
        <v>2400000</v>
      </c>
      <c r="D3133" s="90" t="s">
        <v>374</v>
      </c>
      <c r="E3133" s="90" t="s">
        <v>68</v>
      </c>
      <c r="F3133" s="90" t="s">
        <v>375</v>
      </c>
      <c r="G3133" s="90" t="s">
        <v>376</v>
      </c>
      <c r="H3133" s="90">
        <v>0.59</v>
      </c>
      <c r="I3133" s="90">
        <v>0.64</v>
      </c>
      <c r="J3133" s="90" t="s">
        <v>244</v>
      </c>
      <c r="K3133" s="90">
        <v>0.25537950382703001</v>
      </c>
      <c r="L3133" s="90">
        <v>3765.1868089002901</v>
      </c>
      <c r="M3133" s="90">
        <v>12.0103697215861</v>
      </c>
      <c r="N3133" s="90">
        <v>1.58129585679351</v>
      </c>
      <c r="O3133" s="90">
        <v>3.0672022602779099</v>
      </c>
      <c r="P3133" s="90">
        <v>0.40383055131167001</v>
      </c>
      <c r="Q3133" s="90">
        <v>961.55153907305805</v>
      </c>
      <c r="R3133" s="90">
        <v>1400</v>
      </c>
      <c r="S3133" s="90" t="s">
        <v>324</v>
      </c>
      <c r="T3133" s="90">
        <v>1400</v>
      </c>
      <c r="U3133" s="90" t="s">
        <v>378</v>
      </c>
      <c r="V3133" s="90" t="s">
        <v>244</v>
      </c>
      <c r="Z3133" s="90">
        <v>0</v>
      </c>
      <c r="AA3133" s="90">
        <v>1</v>
      </c>
      <c r="AB3133" s="90">
        <v>3.0672022602779099</v>
      </c>
      <c r="AC3133" s="90">
        <v>0.40383055131167001</v>
      </c>
      <c r="AD3133" s="90">
        <v>961.55153907305805</v>
      </c>
      <c r="AF3133" s="90">
        <v>-1</v>
      </c>
      <c r="AG3133" s="90">
        <v>-1</v>
      </c>
      <c r="AH3133" s="90">
        <v>-1</v>
      </c>
      <c r="AI3133" s="90">
        <v>-1</v>
      </c>
      <c r="AJ3133" s="90">
        <v>0</v>
      </c>
      <c r="AM3133" s="90" t="s">
        <v>379</v>
      </c>
      <c r="AN3133" s="90">
        <v>-1</v>
      </c>
      <c r="AQ3133" s="90">
        <v>391</v>
      </c>
      <c r="AR3133" s="90" t="s">
        <v>315</v>
      </c>
      <c r="AS3133" s="90" t="s">
        <v>430</v>
      </c>
      <c r="AT3133" s="90" t="s">
        <v>244</v>
      </c>
      <c r="AU3133" s="90">
        <v>22.5044</v>
      </c>
      <c r="AV3133" s="90">
        <v>178.217294816042</v>
      </c>
      <c r="AW3133" s="90">
        <v>1033.48418521176</v>
      </c>
      <c r="AX3133" s="90">
        <v>0.77984715250000003</v>
      </c>
    </row>
    <row r="3134" spans="1:50" x14ac:dyDescent="0.25">
      <c r="A3134" s="102">
        <v>830000</v>
      </c>
      <c r="B3134" s="102">
        <v>2400000</v>
      </c>
      <c r="C3134" s="102">
        <v>2400000</v>
      </c>
      <c r="D3134" s="90" t="s">
        <v>374</v>
      </c>
      <c r="E3134" s="90" t="s">
        <v>68</v>
      </c>
      <c r="F3134" s="90" t="s">
        <v>375</v>
      </c>
      <c r="G3134" s="90" t="s">
        <v>376</v>
      </c>
      <c r="H3134" s="90">
        <v>0.59</v>
      </c>
      <c r="I3134" s="90">
        <v>0.64</v>
      </c>
      <c r="J3134" s="90" t="s">
        <v>381</v>
      </c>
      <c r="K3134" s="90">
        <v>3.0740140353090001E-2</v>
      </c>
      <c r="L3134" s="90">
        <v>3765.1868089002901</v>
      </c>
      <c r="M3134" s="90">
        <v>12.0103697215861</v>
      </c>
      <c r="N3134" s="90">
        <v>1.58129585679351</v>
      </c>
      <c r="O3134" s="90">
        <v>0.36920045093412002</v>
      </c>
      <c r="P3134" s="90">
        <v>4.8609256577599999E-2</v>
      </c>
      <c r="Q3134" s="90">
        <v>115.742370961216</v>
      </c>
      <c r="R3134" s="90">
        <v>1400</v>
      </c>
      <c r="S3134" s="90" t="s">
        <v>324</v>
      </c>
      <c r="T3134" s="90">
        <v>1400</v>
      </c>
      <c r="U3134" s="90" t="s">
        <v>382</v>
      </c>
      <c r="V3134" s="90" t="s">
        <v>381</v>
      </c>
      <c r="Z3134" s="90">
        <v>0</v>
      </c>
      <c r="AA3134" s="90">
        <v>1</v>
      </c>
      <c r="AB3134" s="90">
        <v>0.36920045093412002</v>
      </c>
      <c r="AC3134" s="90">
        <v>4.8609256577599999E-2</v>
      </c>
      <c r="AD3134" s="90">
        <v>115.742370961216</v>
      </c>
      <c r="AF3134" s="90">
        <v>-1</v>
      </c>
      <c r="AG3134" s="90">
        <v>-1</v>
      </c>
      <c r="AH3134" s="90">
        <v>-1</v>
      </c>
      <c r="AI3134" s="90">
        <v>-1</v>
      </c>
      <c r="AJ3134" s="90">
        <v>0</v>
      </c>
      <c r="AM3134" s="90" t="s">
        <v>379</v>
      </c>
      <c r="AN3134" s="90">
        <v>-1</v>
      </c>
      <c r="AQ3134" s="90">
        <v>391</v>
      </c>
      <c r="AR3134" s="90" t="s">
        <v>315</v>
      </c>
      <c r="AS3134" s="90" t="s">
        <v>430</v>
      </c>
      <c r="AT3134" s="90" t="s">
        <v>244</v>
      </c>
      <c r="AU3134" s="90">
        <v>22.5044</v>
      </c>
      <c r="AV3134" s="90">
        <v>85.113961192305396</v>
      </c>
      <c r="AW3134" s="90">
        <v>124.400934413399</v>
      </c>
      <c r="AX3134" s="90">
        <v>9.3870536099999999E-2</v>
      </c>
    </row>
    <row r="3135" spans="1:50" x14ac:dyDescent="0.25">
      <c r="A3135" s="102">
        <v>830000</v>
      </c>
      <c r="B3135" s="102">
        <v>2400000</v>
      </c>
      <c r="C3135" s="102">
        <v>2400000</v>
      </c>
      <c r="D3135" s="90" t="s">
        <v>374</v>
      </c>
      <c r="E3135" s="90" t="s">
        <v>68</v>
      </c>
      <c r="F3135" s="90" t="s">
        <v>375</v>
      </c>
      <c r="G3135" s="90" t="s">
        <v>376</v>
      </c>
      <c r="H3135" s="90">
        <v>0.59</v>
      </c>
      <c r="I3135" s="90">
        <v>0.64</v>
      </c>
      <c r="J3135" s="90" t="s">
        <v>244</v>
      </c>
      <c r="K3135" s="90">
        <v>1.9063690440139999E-2</v>
      </c>
      <c r="L3135" s="90">
        <v>3765.1868089002901</v>
      </c>
      <c r="M3135" s="90">
        <v>12.0103697215861</v>
      </c>
      <c r="N3135" s="90">
        <v>1.58129585679351</v>
      </c>
      <c r="O3135" s="90">
        <v>0.22896197044399</v>
      </c>
      <c r="P3135" s="90">
        <v>3.0145334708189999E-2</v>
      </c>
      <c r="Q3135" s="90">
        <v>71.778355774188796</v>
      </c>
      <c r="R3135" s="90">
        <v>1410</v>
      </c>
      <c r="S3135" s="90" t="s">
        <v>325</v>
      </c>
      <c r="T3135" s="90">
        <v>1410</v>
      </c>
      <c r="U3135" s="90" t="s">
        <v>378</v>
      </c>
      <c r="V3135" s="90" t="s">
        <v>244</v>
      </c>
      <c r="Z3135" s="90">
        <v>0</v>
      </c>
      <c r="AA3135" s="90">
        <v>1</v>
      </c>
      <c r="AB3135" s="90">
        <v>0.22896197044399</v>
      </c>
      <c r="AC3135" s="90">
        <v>3.0145334708189999E-2</v>
      </c>
      <c r="AD3135" s="90">
        <v>101.43114750627799</v>
      </c>
      <c r="AF3135" s="90">
        <v>-1</v>
      </c>
      <c r="AG3135" s="90">
        <v>-1</v>
      </c>
      <c r="AH3135" s="90">
        <v>-1</v>
      </c>
      <c r="AI3135" s="90">
        <v>-1</v>
      </c>
      <c r="AJ3135" s="90">
        <v>0</v>
      </c>
      <c r="AM3135" s="90" t="s">
        <v>379</v>
      </c>
      <c r="AN3135" s="90">
        <v>-1</v>
      </c>
      <c r="AQ3135" s="90">
        <v>391</v>
      </c>
      <c r="AR3135" s="90" t="s">
        <v>315</v>
      </c>
      <c r="AS3135" s="90" t="s">
        <v>430</v>
      </c>
      <c r="AT3135" s="90" t="s">
        <v>244</v>
      </c>
      <c r="AU3135" s="90">
        <v>22.5044</v>
      </c>
      <c r="AV3135" s="90">
        <v>47.121080726075498</v>
      </c>
      <c r="AW3135" s="90">
        <v>77.148018092344103</v>
      </c>
      <c r="AX3135" s="90">
        <v>8.2263704399999998E-2</v>
      </c>
    </row>
    <row r="3136" spans="1:50" x14ac:dyDescent="0.25">
      <c r="A3136" s="102">
        <v>830000</v>
      </c>
      <c r="B3136" s="102">
        <v>2400000</v>
      </c>
      <c r="C3136" s="102">
        <v>2400000</v>
      </c>
      <c r="D3136" s="90" t="s">
        <v>374</v>
      </c>
      <c r="E3136" s="90" t="s">
        <v>68</v>
      </c>
      <c r="F3136" s="90" t="s">
        <v>375</v>
      </c>
      <c r="G3136" s="90" t="s">
        <v>376</v>
      </c>
      <c r="H3136" s="90">
        <v>0.59</v>
      </c>
      <c r="I3136" s="90">
        <v>0.64</v>
      </c>
      <c r="J3136" s="90" t="s">
        <v>244</v>
      </c>
      <c r="K3136" s="90">
        <v>3.9283866897369998E-2</v>
      </c>
      <c r="L3136" s="90">
        <v>3765.1868089002901</v>
      </c>
      <c r="M3136" s="90">
        <v>12.0103697215861</v>
      </c>
      <c r="N3136" s="90">
        <v>1.58129585679351</v>
      </c>
      <c r="O3136" s="90">
        <v>0.47181376553108001</v>
      </c>
      <c r="P3136" s="90">
        <v>6.2119415963649997E-2</v>
      </c>
      <c r="Q3136" s="90">
        <v>147.91109744460201</v>
      </c>
      <c r="R3136" s="90">
        <v>1410</v>
      </c>
      <c r="S3136" s="90" t="s">
        <v>325</v>
      </c>
      <c r="T3136" s="90">
        <v>1410</v>
      </c>
      <c r="U3136" s="90" t="s">
        <v>378</v>
      </c>
      <c r="V3136" s="90" t="s">
        <v>244</v>
      </c>
      <c r="Z3136" s="90">
        <v>0</v>
      </c>
      <c r="AA3136" s="90">
        <v>1</v>
      </c>
      <c r="AB3136" s="90">
        <v>0.47181376553108001</v>
      </c>
      <c r="AC3136" s="90">
        <v>6.2119415963649997E-2</v>
      </c>
      <c r="AD3136" s="90">
        <v>171.29467930379801</v>
      </c>
      <c r="AF3136" s="90">
        <v>-1</v>
      </c>
      <c r="AG3136" s="90">
        <v>-1</v>
      </c>
      <c r="AH3136" s="90">
        <v>-1</v>
      </c>
      <c r="AI3136" s="90">
        <v>-1</v>
      </c>
      <c r="AJ3136" s="90">
        <v>0</v>
      </c>
      <c r="AM3136" s="90" t="s">
        <v>379</v>
      </c>
      <c r="AN3136" s="90">
        <v>-1</v>
      </c>
      <c r="AQ3136" s="90">
        <v>391</v>
      </c>
      <c r="AR3136" s="90" t="s">
        <v>315</v>
      </c>
      <c r="AS3136" s="90" t="s">
        <v>430</v>
      </c>
      <c r="AT3136" s="90" t="s">
        <v>244</v>
      </c>
      <c r="AU3136" s="90">
        <v>22.5044</v>
      </c>
      <c r="AV3136" s="90">
        <v>57.224810097706403</v>
      </c>
      <c r="AW3136" s="90">
        <v>158.976169050359</v>
      </c>
      <c r="AX3136" s="90">
        <v>0.13892512509999999</v>
      </c>
    </row>
    <row r="3137" spans="1:50" x14ac:dyDescent="0.25">
      <c r="A3137" s="102">
        <v>830000</v>
      </c>
      <c r="B3137" s="102">
        <v>2400000</v>
      </c>
      <c r="C3137" s="102">
        <v>2400000</v>
      </c>
      <c r="D3137" s="90" t="s">
        <v>374</v>
      </c>
      <c r="E3137" s="90" t="s">
        <v>68</v>
      </c>
      <c r="F3137" s="90" t="s">
        <v>375</v>
      </c>
      <c r="G3137" s="90" t="s">
        <v>376</v>
      </c>
      <c r="H3137" s="90">
        <v>0.59</v>
      </c>
      <c r="I3137" s="90">
        <v>0.64</v>
      </c>
      <c r="J3137" s="90" t="s">
        <v>244</v>
      </c>
      <c r="K3137" s="90">
        <v>0.14605396034814999</v>
      </c>
      <c r="L3137" s="90">
        <v>3765.1868089002901</v>
      </c>
      <c r="M3137" s="90">
        <v>12.0103697215861</v>
      </c>
      <c r="N3137" s="90">
        <v>1.58129585679351</v>
      </c>
      <c r="O3137" s="90">
        <v>1.75416206308324</v>
      </c>
      <c r="P3137" s="90">
        <v>0.23095452236681999</v>
      </c>
      <c r="Q3137" s="90">
        <v>549.92044489052705</v>
      </c>
      <c r="R3137" s="90">
        <v>1410</v>
      </c>
      <c r="S3137" s="90" t="s">
        <v>325</v>
      </c>
      <c r="T3137" s="90">
        <v>1410</v>
      </c>
      <c r="U3137" s="90" t="s">
        <v>378</v>
      </c>
      <c r="V3137" s="90" t="s">
        <v>244</v>
      </c>
      <c r="Z3137" s="90">
        <v>0</v>
      </c>
      <c r="AA3137" s="90">
        <v>1</v>
      </c>
      <c r="AB3137" s="90">
        <v>1.75416206308324</v>
      </c>
      <c r="AC3137" s="90">
        <v>0.23095452236681999</v>
      </c>
      <c r="AD3137" s="90">
        <v>558.80736437270605</v>
      </c>
      <c r="AF3137" s="90">
        <v>-1</v>
      </c>
      <c r="AG3137" s="90">
        <v>-1</v>
      </c>
      <c r="AH3137" s="90">
        <v>-1</v>
      </c>
      <c r="AI3137" s="90">
        <v>-1</v>
      </c>
      <c r="AJ3137" s="90">
        <v>0</v>
      </c>
      <c r="AM3137" s="90" t="s">
        <v>379</v>
      </c>
      <c r="AN3137" s="90">
        <v>-1</v>
      </c>
      <c r="AQ3137" s="90">
        <v>391</v>
      </c>
      <c r="AR3137" s="90" t="s">
        <v>315</v>
      </c>
      <c r="AS3137" s="90" t="s">
        <v>430</v>
      </c>
      <c r="AT3137" s="90" t="s">
        <v>244</v>
      </c>
      <c r="AU3137" s="90">
        <v>22.5044</v>
      </c>
      <c r="AV3137" s="90">
        <v>96.156309360683395</v>
      </c>
      <c r="AW3137" s="90">
        <v>591.05940745189503</v>
      </c>
      <c r="AX3137" s="90">
        <v>0.45320954130000002</v>
      </c>
    </row>
    <row r="3138" spans="1:50" x14ac:dyDescent="0.25">
      <c r="A3138" s="102">
        <v>830000</v>
      </c>
      <c r="B3138" s="102">
        <v>2400000</v>
      </c>
      <c r="C3138" s="102">
        <v>2400000</v>
      </c>
      <c r="D3138" s="90" t="s">
        <v>374</v>
      </c>
      <c r="E3138" s="90" t="s">
        <v>68</v>
      </c>
      <c r="F3138" s="90" t="s">
        <v>375</v>
      </c>
      <c r="G3138" s="90" t="s">
        <v>376</v>
      </c>
      <c r="H3138" s="90">
        <v>0.59</v>
      </c>
      <c r="I3138" s="90">
        <v>0.64</v>
      </c>
      <c r="J3138" s="90" t="s">
        <v>244</v>
      </c>
      <c r="K3138" s="90">
        <v>0.10324658474369</v>
      </c>
      <c r="L3138" s="90">
        <v>3765.1868089002901</v>
      </c>
      <c r="M3138" s="90">
        <v>12.0103697215861</v>
      </c>
      <c r="N3138" s="90">
        <v>1.58129585679351</v>
      </c>
      <c r="O3138" s="90">
        <v>1.2400296552628201</v>
      </c>
      <c r="P3138" s="90">
        <v>0.16326339668327999</v>
      </c>
      <c r="Q3138" s="90">
        <v>388.74267894095902</v>
      </c>
      <c r="R3138" s="90">
        <v>1410</v>
      </c>
      <c r="S3138" s="90" t="s">
        <v>325</v>
      </c>
      <c r="T3138" s="90">
        <v>1410</v>
      </c>
      <c r="U3138" s="90" t="s">
        <v>378</v>
      </c>
      <c r="V3138" s="90" t="s">
        <v>244</v>
      </c>
      <c r="Z3138" s="90">
        <v>0</v>
      </c>
      <c r="AA3138" s="90">
        <v>1</v>
      </c>
      <c r="AB3138" s="90">
        <v>1.2400296552628201</v>
      </c>
      <c r="AC3138" s="90">
        <v>0.16326339668327999</v>
      </c>
      <c r="AD3138" s="90">
        <v>388.74267894095902</v>
      </c>
      <c r="AF3138" s="90">
        <v>-1</v>
      </c>
      <c r="AG3138" s="90">
        <v>-1</v>
      </c>
      <c r="AH3138" s="90">
        <v>-1</v>
      </c>
      <c r="AI3138" s="90">
        <v>-1</v>
      </c>
      <c r="AJ3138" s="90">
        <v>0</v>
      </c>
      <c r="AM3138" s="90" t="s">
        <v>379</v>
      </c>
      <c r="AN3138" s="90">
        <v>-1</v>
      </c>
      <c r="AQ3138" s="90">
        <v>391</v>
      </c>
      <c r="AR3138" s="90" t="s">
        <v>315</v>
      </c>
      <c r="AS3138" s="90" t="s">
        <v>430</v>
      </c>
      <c r="AT3138" s="90" t="s">
        <v>244</v>
      </c>
      <c r="AU3138" s="90">
        <v>22.5044</v>
      </c>
      <c r="AV3138" s="90">
        <v>85.512082324307102</v>
      </c>
      <c r="AW3138" s="90">
        <v>417.82410456087803</v>
      </c>
      <c r="AX3138" s="90">
        <v>0.31528197810000003</v>
      </c>
    </row>
    <row r="3139" spans="1:50" x14ac:dyDescent="0.25">
      <c r="A3139" s="102">
        <v>830000</v>
      </c>
      <c r="B3139" s="102">
        <v>2400000</v>
      </c>
      <c r="C3139" s="102">
        <v>2400000</v>
      </c>
      <c r="D3139" s="90" t="s">
        <v>374</v>
      </c>
      <c r="E3139" s="90" t="s">
        <v>68</v>
      </c>
      <c r="F3139" s="90" t="s">
        <v>375</v>
      </c>
      <c r="G3139" s="90" t="s">
        <v>376</v>
      </c>
      <c r="H3139" s="90">
        <v>0.59</v>
      </c>
      <c r="I3139" s="90">
        <v>0.64</v>
      </c>
      <c r="J3139" s="90" t="s">
        <v>381</v>
      </c>
      <c r="K3139" s="90">
        <v>4.3666696942999998E-4</v>
      </c>
      <c r="L3139" s="90">
        <v>3765.1868089002901</v>
      </c>
      <c r="M3139" s="90">
        <v>12.0103697215861</v>
      </c>
      <c r="N3139" s="90">
        <v>1.58129585679351</v>
      </c>
      <c r="O3139" s="90">
        <v>5.2445317480499997E-3</v>
      </c>
      <c r="P3139" s="90">
        <v>6.9049966954999999E-4</v>
      </c>
      <c r="Q3139" s="90">
        <v>1.6441327131803001</v>
      </c>
      <c r="R3139" s="90">
        <v>1410</v>
      </c>
      <c r="S3139" s="90" t="s">
        <v>325</v>
      </c>
      <c r="T3139" s="90">
        <v>1410</v>
      </c>
      <c r="U3139" s="90" t="s">
        <v>382</v>
      </c>
      <c r="V3139" s="90" t="s">
        <v>381</v>
      </c>
      <c r="Z3139" s="90">
        <v>0</v>
      </c>
      <c r="AA3139" s="90">
        <v>1</v>
      </c>
      <c r="AB3139" s="90">
        <v>5.2445317480499997E-3</v>
      </c>
      <c r="AC3139" s="90">
        <v>6.9049966954999999E-4</v>
      </c>
      <c r="AD3139" s="90">
        <v>1.6441327131794701</v>
      </c>
      <c r="AF3139" s="90">
        <v>-1</v>
      </c>
      <c r="AG3139" s="90">
        <v>-1</v>
      </c>
      <c r="AH3139" s="90">
        <v>-1</v>
      </c>
      <c r="AI3139" s="90">
        <v>-1</v>
      </c>
      <c r="AJ3139" s="90">
        <v>0</v>
      </c>
      <c r="AM3139" s="90" t="s">
        <v>379</v>
      </c>
      <c r="AN3139" s="90">
        <v>-1</v>
      </c>
      <c r="AQ3139" s="90">
        <v>391</v>
      </c>
      <c r="AR3139" s="90" t="s">
        <v>315</v>
      </c>
      <c r="AS3139" s="90" t="s">
        <v>430</v>
      </c>
      <c r="AT3139" s="90" t="s">
        <v>244</v>
      </c>
      <c r="AU3139" s="90">
        <v>22.5044</v>
      </c>
      <c r="AV3139" s="90">
        <v>10.1877476684977</v>
      </c>
      <c r="AW3139" s="90">
        <v>1.76712852968685</v>
      </c>
      <c r="AX3139" s="90">
        <v>1.3334410000000001E-3</v>
      </c>
    </row>
    <row r="3140" spans="1:50" x14ac:dyDescent="0.25">
      <c r="A3140" s="102">
        <v>830000</v>
      </c>
      <c r="B3140" s="102">
        <v>2400000</v>
      </c>
      <c r="C3140" s="102">
        <v>2400000</v>
      </c>
      <c r="D3140" s="90" t="s">
        <v>374</v>
      </c>
      <c r="E3140" s="90" t="s">
        <v>68</v>
      </c>
      <c r="F3140" s="90" t="s">
        <v>375</v>
      </c>
      <c r="G3140" s="90" t="s">
        <v>376</v>
      </c>
      <c r="H3140" s="90">
        <v>0.59</v>
      </c>
      <c r="I3140" s="90">
        <v>0.64</v>
      </c>
      <c r="J3140" s="90" t="s">
        <v>244</v>
      </c>
      <c r="K3140" s="90">
        <v>1.47205701641E-3</v>
      </c>
      <c r="L3140" s="90">
        <v>3765.1868089002901</v>
      </c>
      <c r="M3140" s="90">
        <v>12.0103697215861</v>
      </c>
      <c r="N3140" s="90">
        <v>1.58129585679351</v>
      </c>
      <c r="O3140" s="90">
        <v>1.7679949018390002E-2</v>
      </c>
      <c r="P3140" s="90">
        <v>2.3277576610200002E-3</v>
      </c>
      <c r="Q3140" s="90">
        <v>5.5425696601548804</v>
      </c>
      <c r="R3140" s="90">
        <v>1410</v>
      </c>
      <c r="S3140" s="90" t="s">
        <v>325</v>
      </c>
      <c r="T3140" s="90">
        <v>1410</v>
      </c>
      <c r="U3140" s="90" t="s">
        <v>378</v>
      </c>
      <c r="V3140" s="90" t="s">
        <v>244</v>
      </c>
      <c r="Z3140" s="90">
        <v>0</v>
      </c>
      <c r="AA3140" s="90">
        <v>1</v>
      </c>
      <c r="AB3140" s="90">
        <v>1.7679949018390002E-2</v>
      </c>
      <c r="AC3140" s="90">
        <v>2.3277576610200002E-3</v>
      </c>
      <c r="AD3140" s="90">
        <v>5.5425696601550998</v>
      </c>
      <c r="AF3140" s="90">
        <v>-1</v>
      </c>
      <c r="AG3140" s="90">
        <v>-1</v>
      </c>
      <c r="AH3140" s="90">
        <v>-1</v>
      </c>
      <c r="AI3140" s="90">
        <v>-1</v>
      </c>
      <c r="AJ3140" s="90">
        <v>0</v>
      </c>
      <c r="AM3140" s="90" t="s">
        <v>379</v>
      </c>
      <c r="AN3140" s="90">
        <v>-1</v>
      </c>
      <c r="AQ3140" s="90">
        <v>391</v>
      </c>
      <c r="AR3140" s="90" t="s">
        <v>315</v>
      </c>
      <c r="AS3140" s="90" t="s">
        <v>430</v>
      </c>
      <c r="AT3140" s="90" t="s">
        <v>244</v>
      </c>
      <c r="AU3140" s="90">
        <v>22.5044</v>
      </c>
      <c r="AV3140" s="90">
        <v>16.773396799089198</v>
      </c>
      <c r="AW3140" s="90">
        <v>5.9572033910182496</v>
      </c>
      <c r="AX3140" s="90">
        <v>4.4951903000000001E-3</v>
      </c>
    </row>
    <row r="3141" spans="1:50" x14ac:dyDescent="0.25">
      <c r="A3141" s="102">
        <v>830000</v>
      </c>
      <c r="B3141" s="102">
        <v>2400000</v>
      </c>
      <c r="C3141" s="102">
        <v>2400000</v>
      </c>
      <c r="D3141" s="90" t="s">
        <v>374</v>
      </c>
      <c r="E3141" s="90" t="s">
        <v>68</v>
      </c>
      <c r="F3141" s="90" t="s">
        <v>375</v>
      </c>
      <c r="G3141" s="90" t="s">
        <v>376</v>
      </c>
      <c r="H3141" s="90">
        <v>0.59</v>
      </c>
      <c r="I3141" s="90">
        <v>0.64</v>
      </c>
      <c r="J3141" s="90" t="s">
        <v>244</v>
      </c>
      <c r="K3141" s="90">
        <v>1.11142052637E-3</v>
      </c>
      <c r="L3141" s="90">
        <v>3765.1868089002901</v>
      </c>
      <c r="M3141" s="90">
        <v>12.0103697215861</v>
      </c>
      <c r="N3141" s="90">
        <v>1.58129585679351</v>
      </c>
      <c r="O3141" s="90">
        <v>1.334857143793E-2</v>
      </c>
      <c r="P3141" s="90">
        <v>1.7574846735100001E-3</v>
      </c>
      <c r="Q3141" s="90">
        <v>4.1847059050519304</v>
      </c>
      <c r="R3141" s="90">
        <v>1410</v>
      </c>
      <c r="S3141" s="90" t="s">
        <v>325</v>
      </c>
      <c r="T3141" s="90">
        <v>1410</v>
      </c>
      <c r="U3141" s="90" t="s">
        <v>378</v>
      </c>
      <c r="V3141" s="90" t="s">
        <v>244</v>
      </c>
      <c r="Z3141" s="90">
        <v>0</v>
      </c>
      <c r="AA3141" s="90">
        <v>1</v>
      </c>
      <c r="AB3141" s="90">
        <v>1.334857143793E-2</v>
      </c>
      <c r="AC3141" s="90">
        <v>1.7574846735100001E-3</v>
      </c>
      <c r="AD3141" s="90">
        <v>4.1847059050506497</v>
      </c>
      <c r="AF3141" s="90">
        <v>-1</v>
      </c>
      <c r="AG3141" s="90">
        <v>-1</v>
      </c>
      <c r="AH3141" s="90">
        <v>-1</v>
      </c>
      <c r="AI3141" s="90">
        <v>-1</v>
      </c>
      <c r="AJ3141" s="90">
        <v>0</v>
      </c>
      <c r="AM3141" s="90" t="s">
        <v>379</v>
      </c>
      <c r="AN3141" s="90">
        <v>-1</v>
      </c>
      <c r="AQ3141" s="90">
        <v>391</v>
      </c>
      <c r="AR3141" s="90" t="s">
        <v>315</v>
      </c>
      <c r="AS3141" s="90" t="s">
        <v>430</v>
      </c>
      <c r="AT3141" s="90" t="s">
        <v>244</v>
      </c>
      <c r="AU3141" s="90">
        <v>22.5044</v>
      </c>
      <c r="AV3141" s="90">
        <v>16.389783579725801</v>
      </c>
      <c r="AW3141" s="90">
        <v>4.4977592951505097</v>
      </c>
      <c r="AX3141" s="90">
        <v>3.3939221000000002E-3</v>
      </c>
    </row>
    <row r="3142" spans="1:50" x14ac:dyDescent="0.25">
      <c r="A3142" s="102">
        <v>830000</v>
      </c>
      <c r="B3142" s="102">
        <v>2400000</v>
      </c>
      <c r="C3142" s="102">
        <v>2400000</v>
      </c>
      <c r="D3142" s="90" t="s">
        <v>374</v>
      </c>
      <c r="E3142" s="90" t="s">
        <v>68</v>
      </c>
      <c r="F3142" s="90" t="s">
        <v>375</v>
      </c>
      <c r="G3142" s="90" t="s">
        <v>376</v>
      </c>
      <c r="H3142" s="90">
        <v>0.59</v>
      </c>
      <c r="I3142" s="90">
        <v>0.64</v>
      </c>
      <c r="J3142" s="90" t="s">
        <v>244</v>
      </c>
      <c r="K3142" s="90">
        <v>3.3541560432599998E-3</v>
      </c>
      <c r="L3142" s="90">
        <v>3765.1868089002901</v>
      </c>
      <c r="M3142" s="90">
        <v>12.0103697215861</v>
      </c>
      <c r="N3142" s="90">
        <v>1.58129585679351</v>
      </c>
      <c r="O3142" s="90">
        <v>4.0284654183440002E-2</v>
      </c>
      <c r="P3142" s="90">
        <v>5.30391305424E-3</v>
      </c>
      <c r="Q3142" s="90">
        <v>12.629024089075701</v>
      </c>
      <c r="R3142" s="90">
        <v>1410</v>
      </c>
      <c r="S3142" s="90" t="s">
        <v>325</v>
      </c>
      <c r="T3142" s="90">
        <v>1410</v>
      </c>
      <c r="U3142" s="90" t="s">
        <v>378</v>
      </c>
      <c r="V3142" s="90" t="s">
        <v>244</v>
      </c>
      <c r="Z3142" s="90">
        <v>0</v>
      </c>
      <c r="AA3142" s="90">
        <v>1</v>
      </c>
      <c r="AB3142" s="90">
        <v>4.0284654183440002E-2</v>
      </c>
      <c r="AC3142" s="90">
        <v>5.30391305424E-3</v>
      </c>
      <c r="AD3142" s="90">
        <v>12.6290240890756</v>
      </c>
      <c r="AF3142" s="90">
        <v>-1</v>
      </c>
      <c r="AG3142" s="90">
        <v>-1</v>
      </c>
      <c r="AH3142" s="90">
        <v>-1</v>
      </c>
      <c r="AI3142" s="90">
        <v>-1</v>
      </c>
      <c r="AJ3142" s="90">
        <v>0</v>
      </c>
      <c r="AM3142" s="90" t="s">
        <v>379</v>
      </c>
      <c r="AN3142" s="90">
        <v>-1</v>
      </c>
      <c r="AQ3142" s="90">
        <v>391</v>
      </c>
      <c r="AR3142" s="90" t="s">
        <v>315</v>
      </c>
      <c r="AS3142" s="90" t="s">
        <v>430</v>
      </c>
      <c r="AT3142" s="90" t="s">
        <v>244</v>
      </c>
      <c r="AU3142" s="90">
        <v>22.5044</v>
      </c>
      <c r="AV3142" s="90">
        <v>28.098706741935501</v>
      </c>
      <c r="AW3142" s="90">
        <v>13.5737879253983</v>
      </c>
      <c r="AX3142" s="90">
        <v>1.0242517499999999E-2</v>
      </c>
    </row>
    <row r="3143" spans="1:50" x14ac:dyDescent="0.25">
      <c r="A3143" s="102">
        <v>830000</v>
      </c>
      <c r="B3143" s="102">
        <v>2400000</v>
      </c>
      <c r="C3143" s="102">
        <v>2400000</v>
      </c>
      <c r="D3143" s="90" t="s">
        <v>374</v>
      </c>
      <c r="E3143" s="90" t="s">
        <v>68</v>
      </c>
      <c r="F3143" s="90" t="s">
        <v>375</v>
      </c>
      <c r="G3143" s="90" t="s">
        <v>376</v>
      </c>
      <c r="H3143" s="90">
        <v>0.59</v>
      </c>
      <c r="I3143" s="90">
        <v>0.64</v>
      </c>
      <c r="J3143" s="90" t="s">
        <v>244</v>
      </c>
      <c r="K3143" s="90">
        <v>1.1612883515399999E-3</v>
      </c>
      <c r="L3143" s="90">
        <v>3765.1868089002901</v>
      </c>
      <c r="M3143" s="90">
        <v>12.0103697215861</v>
      </c>
      <c r="N3143" s="90">
        <v>1.58129585679351</v>
      </c>
      <c r="O3143" s="90">
        <v>1.394750245536E-2</v>
      </c>
      <c r="P3143" s="90">
        <v>1.8363404588299999E-3</v>
      </c>
      <c r="Q3143" s="90">
        <v>4.3724675825479702</v>
      </c>
      <c r="R3143" s="90">
        <v>1410</v>
      </c>
      <c r="S3143" s="90" t="s">
        <v>325</v>
      </c>
      <c r="T3143" s="90">
        <v>1410</v>
      </c>
      <c r="U3143" s="90" t="s">
        <v>378</v>
      </c>
      <c r="V3143" s="90" t="s">
        <v>244</v>
      </c>
      <c r="Z3143" s="90">
        <v>0</v>
      </c>
      <c r="AA3143" s="90">
        <v>1</v>
      </c>
      <c r="AB3143" s="90">
        <v>1.394750245536E-2</v>
      </c>
      <c r="AC3143" s="90">
        <v>1.8363404588299999E-3</v>
      </c>
      <c r="AD3143" s="90">
        <v>4.3724675825467703</v>
      </c>
      <c r="AF3143" s="90">
        <v>-1</v>
      </c>
      <c r="AG3143" s="90">
        <v>-1</v>
      </c>
      <c r="AH3143" s="90">
        <v>-1</v>
      </c>
      <c r="AI3143" s="90">
        <v>-1</v>
      </c>
      <c r="AJ3143" s="90">
        <v>0</v>
      </c>
      <c r="AM3143" s="90" t="s">
        <v>379</v>
      </c>
      <c r="AN3143" s="90">
        <v>-1</v>
      </c>
      <c r="AQ3143" s="90">
        <v>391</v>
      </c>
      <c r="AR3143" s="90" t="s">
        <v>315</v>
      </c>
      <c r="AS3143" s="90" t="s">
        <v>430</v>
      </c>
      <c r="AT3143" s="90" t="s">
        <v>244</v>
      </c>
      <c r="AU3143" s="90">
        <v>22.5044</v>
      </c>
      <c r="AV3143" s="90">
        <v>32.668565949600698</v>
      </c>
      <c r="AW3143" s="90">
        <v>4.6995672236866701</v>
      </c>
      <c r="AX3143" s="90">
        <v>3.5462024000000002E-3</v>
      </c>
    </row>
    <row r="3144" spans="1:50" x14ac:dyDescent="0.25">
      <c r="A3144" s="102">
        <v>830000</v>
      </c>
      <c r="B3144" s="102">
        <v>2400000</v>
      </c>
      <c r="C3144" s="102">
        <v>2400000</v>
      </c>
      <c r="D3144" s="90" t="s">
        <v>374</v>
      </c>
      <c r="E3144" s="90" t="s">
        <v>68</v>
      </c>
      <c r="F3144" s="90" t="s">
        <v>375</v>
      </c>
      <c r="G3144" s="90" t="s">
        <v>376</v>
      </c>
      <c r="H3144" s="90">
        <v>0.59</v>
      </c>
      <c r="I3144" s="90">
        <v>0.64</v>
      </c>
      <c r="J3144" s="90" t="s">
        <v>381</v>
      </c>
      <c r="K3144" s="90">
        <v>1.384444535E-5</v>
      </c>
      <c r="L3144" s="90">
        <v>3765.1868089002901</v>
      </c>
      <c r="M3144" s="90">
        <v>12.0103697215861</v>
      </c>
      <c r="N3144" s="90">
        <v>1.58129585679351</v>
      </c>
      <c r="O3144" s="90">
        <v>1.6627690734999999E-4</v>
      </c>
      <c r="P3144" s="90">
        <v>2.189216408E-5</v>
      </c>
      <c r="Q3144" s="90">
        <v>5.2126923042240002E-2</v>
      </c>
      <c r="R3144" s="90">
        <v>1410</v>
      </c>
      <c r="S3144" s="90" t="s">
        <v>325</v>
      </c>
      <c r="T3144" s="90">
        <v>1410</v>
      </c>
      <c r="U3144" s="90" t="s">
        <v>382</v>
      </c>
      <c r="V3144" s="90" t="s">
        <v>381</v>
      </c>
      <c r="Z3144" s="90">
        <v>0</v>
      </c>
      <c r="AA3144" s="90">
        <v>1</v>
      </c>
      <c r="AB3144" s="90">
        <v>1.6627690734999999E-4</v>
      </c>
      <c r="AC3144" s="90">
        <v>2.189216408E-5</v>
      </c>
      <c r="AD3144" s="90">
        <v>5.212692304127E-2</v>
      </c>
      <c r="AF3144" s="90">
        <v>-1</v>
      </c>
      <c r="AG3144" s="90">
        <v>-1</v>
      </c>
      <c r="AH3144" s="90">
        <v>-1</v>
      </c>
      <c r="AI3144" s="90">
        <v>-1</v>
      </c>
      <c r="AJ3144" s="90">
        <v>0</v>
      </c>
      <c r="AM3144" s="90" t="s">
        <v>379</v>
      </c>
      <c r="AN3144" s="90">
        <v>-1</v>
      </c>
      <c r="AQ3144" s="90">
        <v>391</v>
      </c>
      <c r="AR3144" s="90" t="s">
        <v>315</v>
      </c>
      <c r="AS3144" s="90" t="s">
        <v>430</v>
      </c>
      <c r="AT3144" s="90" t="s">
        <v>244</v>
      </c>
      <c r="AU3144" s="90">
        <v>22.5044</v>
      </c>
      <c r="AV3144" s="90">
        <v>1.5349530406212</v>
      </c>
      <c r="AW3144" s="90">
        <v>5.602648261458E-2</v>
      </c>
      <c r="AX3144" s="90">
        <v>4.2276500000000001E-5</v>
      </c>
    </row>
    <row r="3145" spans="1:50" x14ac:dyDescent="0.25">
      <c r="A3145" s="102">
        <v>830000</v>
      </c>
      <c r="B3145" s="102">
        <v>2400000</v>
      </c>
      <c r="C3145" s="102">
        <v>2400000</v>
      </c>
      <c r="D3145" s="90" t="s">
        <v>374</v>
      </c>
      <c r="E3145" s="90" t="s">
        <v>68</v>
      </c>
      <c r="F3145" s="90" t="s">
        <v>375</v>
      </c>
      <c r="G3145" s="90" t="s">
        <v>376</v>
      </c>
      <c r="H3145" s="90">
        <v>0.59</v>
      </c>
      <c r="I3145" s="90">
        <v>0.64</v>
      </c>
      <c r="J3145" s="90" t="s">
        <v>244</v>
      </c>
      <c r="K3145" s="90">
        <v>8.283670688E-5</v>
      </c>
      <c r="L3145" s="90">
        <v>3780.3155087872801</v>
      </c>
      <c r="M3145" s="90">
        <v>11.514863752608701</v>
      </c>
      <c r="N3145" s="90">
        <v>1.60743760803818</v>
      </c>
      <c r="O3145" s="90">
        <v>9.5385339347000002E-4</v>
      </c>
      <c r="P3145" s="90">
        <v>1.3315483797E-4</v>
      </c>
      <c r="Q3145" s="90">
        <v>0.31314888772666999</v>
      </c>
      <c r="R3145" s="90">
        <v>1400</v>
      </c>
      <c r="S3145" s="90" t="s">
        <v>324</v>
      </c>
      <c r="T3145" s="90">
        <v>1400</v>
      </c>
      <c r="U3145" s="90" t="s">
        <v>378</v>
      </c>
      <c r="V3145" s="90" t="s">
        <v>244</v>
      </c>
      <c r="Z3145" s="90">
        <v>0</v>
      </c>
      <c r="AA3145" s="90">
        <v>1</v>
      </c>
      <c r="AB3145" s="90">
        <v>9.5385339347000002E-4</v>
      </c>
      <c r="AC3145" s="90">
        <v>1.3315483797E-4</v>
      </c>
      <c r="AD3145" s="90">
        <v>466.05631707740997</v>
      </c>
      <c r="AF3145" s="90">
        <v>-1</v>
      </c>
      <c r="AG3145" s="90">
        <v>-1</v>
      </c>
      <c r="AH3145" s="90">
        <v>-1</v>
      </c>
      <c r="AI3145" s="90">
        <v>-1</v>
      </c>
      <c r="AJ3145" s="90">
        <v>0</v>
      </c>
      <c r="AM3145" s="90" t="s">
        <v>379</v>
      </c>
      <c r="AN3145" s="90">
        <v>-1</v>
      </c>
      <c r="AQ3145" s="90">
        <v>391</v>
      </c>
      <c r="AR3145" s="90" t="s">
        <v>315</v>
      </c>
      <c r="AS3145" s="90" t="s">
        <v>430</v>
      </c>
      <c r="AT3145" s="90" t="s">
        <v>244</v>
      </c>
      <c r="AU3145" s="90">
        <v>22.5044</v>
      </c>
      <c r="AV3145" s="90">
        <v>16.183500830533099</v>
      </c>
      <c r="AW3145" s="90">
        <v>0.33522825926038002</v>
      </c>
      <c r="AX3145" s="90">
        <v>0.3779856586</v>
      </c>
    </row>
    <row r="3146" spans="1:50" x14ac:dyDescent="0.25">
      <c r="A3146" s="102">
        <v>830000</v>
      </c>
      <c r="B3146" s="102">
        <v>2400000</v>
      </c>
      <c r="C3146" s="102">
        <v>2400000</v>
      </c>
      <c r="D3146" s="90" t="s">
        <v>374</v>
      </c>
      <c r="E3146" s="90" t="s">
        <v>68</v>
      </c>
      <c r="F3146" s="90" t="s">
        <v>375</v>
      </c>
      <c r="G3146" s="90" t="s">
        <v>376</v>
      </c>
      <c r="H3146" s="90">
        <v>0.59</v>
      </c>
      <c r="I3146" s="90">
        <v>0.64</v>
      </c>
      <c r="J3146" s="90" t="s">
        <v>381</v>
      </c>
      <c r="K3146" s="90">
        <v>7.8454496079360003E-2</v>
      </c>
      <c r="L3146" s="90">
        <v>3780.3155087872801</v>
      </c>
      <c r="M3146" s="90">
        <v>11.514863752608701</v>
      </c>
      <c r="N3146" s="90">
        <v>1.60743760803818</v>
      </c>
      <c r="O3146" s="90">
        <v>0.90339283313343</v>
      </c>
      <c r="P3146" s="90">
        <v>0.12611070751764999</v>
      </c>
      <c r="Q3146" s="90">
        <v>296.58274826290301</v>
      </c>
      <c r="R3146" s="90">
        <v>1400</v>
      </c>
      <c r="S3146" s="90" t="s">
        <v>324</v>
      </c>
      <c r="T3146" s="90">
        <v>1400</v>
      </c>
      <c r="U3146" s="90" t="s">
        <v>382</v>
      </c>
      <c r="V3146" s="90" t="s">
        <v>381</v>
      </c>
      <c r="Z3146" s="90">
        <v>0</v>
      </c>
      <c r="AA3146" s="90">
        <v>1</v>
      </c>
      <c r="AB3146" s="90">
        <v>0.90339283313343</v>
      </c>
      <c r="AC3146" s="90">
        <v>0.12611070751764999</v>
      </c>
      <c r="AD3146" s="90">
        <v>879.39569195275806</v>
      </c>
      <c r="AF3146" s="90">
        <v>-1</v>
      </c>
      <c r="AG3146" s="90">
        <v>-1</v>
      </c>
      <c r="AH3146" s="90">
        <v>-1</v>
      </c>
      <c r="AI3146" s="90">
        <v>-1</v>
      </c>
      <c r="AJ3146" s="90">
        <v>0</v>
      </c>
      <c r="AM3146" s="90" t="s">
        <v>379</v>
      </c>
      <c r="AN3146" s="90">
        <v>-1</v>
      </c>
      <c r="AQ3146" s="90">
        <v>391</v>
      </c>
      <c r="AR3146" s="90" t="s">
        <v>315</v>
      </c>
      <c r="AS3146" s="90" t="s">
        <v>430</v>
      </c>
      <c r="AT3146" s="90" t="s">
        <v>244</v>
      </c>
      <c r="AU3146" s="90">
        <v>22.5044</v>
      </c>
      <c r="AV3146" s="90">
        <v>77.509699424303605</v>
      </c>
      <c r="AW3146" s="90">
        <v>317.49408132492198</v>
      </c>
      <c r="AX3146" s="90">
        <v>0.71321629519999996</v>
      </c>
    </row>
    <row r="3147" spans="1:50" x14ac:dyDescent="0.25">
      <c r="A3147" s="102">
        <v>830000</v>
      </c>
      <c r="B3147" s="102">
        <v>2400000</v>
      </c>
      <c r="C3147" s="102">
        <v>2400000</v>
      </c>
      <c r="D3147" s="90" t="s">
        <v>374</v>
      </c>
      <c r="E3147" s="90" t="s">
        <v>68</v>
      </c>
      <c r="F3147" s="90" t="s">
        <v>375</v>
      </c>
      <c r="G3147" s="90" t="s">
        <v>376</v>
      </c>
      <c r="H3147" s="90">
        <v>0.59</v>
      </c>
      <c r="I3147" s="90">
        <v>0.64</v>
      </c>
      <c r="J3147" s="90" t="s">
        <v>244</v>
      </c>
      <c r="K3147" s="90">
        <v>1.6893559137030001E-2</v>
      </c>
      <c r="L3147" s="90">
        <v>3780.3155087872801</v>
      </c>
      <c r="M3147" s="90">
        <v>11.514863752608701</v>
      </c>
      <c r="N3147" s="90">
        <v>1.60743760803818</v>
      </c>
      <c r="O3147" s="90">
        <v>0.19452703175957001</v>
      </c>
      <c r="P3147" s="90">
        <v>2.715534229048E-2</v>
      </c>
      <c r="Q3147" s="90">
        <v>63.862983604340897</v>
      </c>
      <c r="R3147" s="90">
        <v>1410</v>
      </c>
      <c r="S3147" s="90" t="s">
        <v>325</v>
      </c>
      <c r="T3147" s="90">
        <v>1410</v>
      </c>
      <c r="U3147" s="90" t="s">
        <v>378</v>
      </c>
      <c r="V3147" s="90" t="s">
        <v>244</v>
      </c>
      <c r="Z3147" s="90">
        <v>0</v>
      </c>
      <c r="AA3147" s="90">
        <v>1</v>
      </c>
      <c r="AB3147" s="90">
        <v>0.19452703175957001</v>
      </c>
      <c r="AC3147" s="90">
        <v>2.715534229048E-2</v>
      </c>
      <c r="AD3147" s="90">
        <v>422.90659357823</v>
      </c>
      <c r="AF3147" s="90">
        <v>-1</v>
      </c>
      <c r="AG3147" s="90">
        <v>-1</v>
      </c>
      <c r="AH3147" s="90">
        <v>-1</v>
      </c>
      <c r="AI3147" s="90">
        <v>-1</v>
      </c>
      <c r="AJ3147" s="90">
        <v>0</v>
      </c>
      <c r="AM3147" s="90" t="s">
        <v>379</v>
      </c>
      <c r="AN3147" s="90">
        <v>-1</v>
      </c>
      <c r="AQ3147" s="90">
        <v>391</v>
      </c>
      <c r="AR3147" s="90" t="s">
        <v>315</v>
      </c>
      <c r="AS3147" s="90" t="s">
        <v>430</v>
      </c>
      <c r="AT3147" s="90" t="s">
        <v>244</v>
      </c>
      <c r="AU3147" s="90">
        <v>22.5044</v>
      </c>
      <c r="AV3147" s="90">
        <v>66.554324538282501</v>
      </c>
      <c r="AW3147" s="90">
        <v>68.365808290896297</v>
      </c>
      <c r="AX3147" s="90">
        <v>0.34298993799999999</v>
      </c>
    </row>
    <row r="3148" spans="1:50" x14ac:dyDescent="0.25">
      <c r="A3148" s="102">
        <v>830000</v>
      </c>
      <c r="B3148" s="102">
        <v>2400000</v>
      </c>
      <c r="C3148" s="102">
        <v>2400000</v>
      </c>
      <c r="D3148" s="90" t="s">
        <v>374</v>
      </c>
      <c r="E3148" s="90" t="s">
        <v>68</v>
      </c>
      <c r="F3148" s="90" t="s">
        <v>375</v>
      </c>
      <c r="G3148" s="90" t="s">
        <v>376</v>
      </c>
      <c r="H3148" s="90">
        <v>0.59</v>
      </c>
      <c r="I3148" s="90">
        <v>0.64</v>
      </c>
      <c r="J3148" s="90" t="s">
        <v>244</v>
      </c>
      <c r="K3148" s="90">
        <v>5.1244872024650001E-2</v>
      </c>
      <c r="L3148" s="90">
        <v>3765.1868086197601</v>
      </c>
      <c r="M3148" s="90">
        <v>12.0103697206912</v>
      </c>
      <c r="N3148" s="90">
        <v>1.5812958566756901</v>
      </c>
      <c r="O3148" s="90">
        <v>0.61546985930564002</v>
      </c>
      <c r="P3148" s="90">
        <v>8.1033303808459994E-2</v>
      </c>
      <c r="Q3148" s="90">
        <v>192.946516156646</v>
      </c>
      <c r="R3148" s="90">
        <v>1400</v>
      </c>
      <c r="S3148" s="90" t="s">
        <v>324</v>
      </c>
      <c r="T3148" s="90">
        <v>1400</v>
      </c>
      <c r="U3148" s="90" t="s">
        <v>378</v>
      </c>
      <c r="V3148" s="90" t="s">
        <v>244</v>
      </c>
      <c r="Z3148" s="90">
        <v>0</v>
      </c>
      <c r="AA3148" s="90">
        <v>1</v>
      </c>
      <c r="AB3148" s="90">
        <v>0.61546985930564002</v>
      </c>
      <c r="AC3148" s="90">
        <v>8.1033303808459994E-2</v>
      </c>
      <c r="AD3148" s="90">
        <v>192.94651615664699</v>
      </c>
      <c r="AF3148" s="90">
        <v>-1</v>
      </c>
      <c r="AG3148" s="90">
        <v>-1</v>
      </c>
      <c r="AH3148" s="90">
        <v>-1</v>
      </c>
      <c r="AI3148" s="90">
        <v>-1</v>
      </c>
      <c r="AJ3148" s="90">
        <v>0</v>
      </c>
      <c r="AM3148" s="90" t="s">
        <v>379</v>
      </c>
      <c r="AN3148" s="90">
        <v>-1</v>
      </c>
      <c r="AQ3148" s="90">
        <v>391</v>
      </c>
      <c r="AR3148" s="90" t="s">
        <v>315</v>
      </c>
      <c r="AS3148" s="90" t="s">
        <v>430</v>
      </c>
      <c r="AT3148" s="90" t="s">
        <v>244</v>
      </c>
      <c r="AU3148" s="90">
        <v>22.5044</v>
      </c>
      <c r="AV3148" s="90">
        <v>119.097479994762</v>
      </c>
      <c r="AW3148" s="90">
        <v>207.38063946804999</v>
      </c>
      <c r="AX3148" s="90">
        <v>0.15648541460000001</v>
      </c>
    </row>
    <row r="3149" spans="1:50" x14ac:dyDescent="0.25">
      <c r="A3149" s="102">
        <v>830000</v>
      </c>
      <c r="B3149" s="102">
        <v>2400000</v>
      </c>
      <c r="C3149" s="102">
        <v>2400000</v>
      </c>
      <c r="D3149" s="90" t="s">
        <v>374</v>
      </c>
      <c r="E3149" s="90" t="s">
        <v>68</v>
      </c>
      <c r="F3149" s="90" t="s">
        <v>375</v>
      </c>
      <c r="G3149" s="90" t="s">
        <v>376</v>
      </c>
      <c r="H3149" s="90">
        <v>0.59</v>
      </c>
      <c r="I3149" s="90">
        <v>0.64</v>
      </c>
      <c r="J3149" s="90" t="s">
        <v>381</v>
      </c>
      <c r="K3149" s="90">
        <v>6.2295092144540001E-2</v>
      </c>
      <c r="L3149" s="90">
        <v>3765.1868086197601</v>
      </c>
      <c r="M3149" s="90">
        <v>12.0103697206912</v>
      </c>
      <c r="N3149" s="90">
        <v>1.5812958566756901</v>
      </c>
      <c r="O3149" s="90">
        <v>0.74818708844045001</v>
      </c>
      <c r="P3149" s="90">
        <v>9.8506971099389995E-2</v>
      </c>
      <c r="Q3149" s="90">
        <v>234.55265918437399</v>
      </c>
      <c r="R3149" s="90">
        <v>1400</v>
      </c>
      <c r="S3149" s="90" t="s">
        <v>324</v>
      </c>
      <c r="T3149" s="90">
        <v>1400</v>
      </c>
      <c r="U3149" s="90" t="s">
        <v>382</v>
      </c>
      <c r="V3149" s="90" t="s">
        <v>381</v>
      </c>
      <c r="Z3149" s="90">
        <v>0</v>
      </c>
      <c r="AA3149" s="90">
        <v>1</v>
      </c>
      <c r="AB3149" s="90">
        <v>0.74818708844045001</v>
      </c>
      <c r="AC3149" s="90">
        <v>9.8506971099389995E-2</v>
      </c>
      <c r="AD3149" s="90">
        <v>234.552659184373</v>
      </c>
      <c r="AF3149" s="90">
        <v>-1</v>
      </c>
      <c r="AG3149" s="90">
        <v>-1</v>
      </c>
      <c r="AH3149" s="90">
        <v>-1</v>
      </c>
      <c r="AI3149" s="90">
        <v>-1</v>
      </c>
      <c r="AJ3149" s="90">
        <v>0</v>
      </c>
      <c r="AM3149" s="90" t="s">
        <v>379</v>
      </c>
      <c r="AN3149" s="90">
        <v>-1</v>
      </c>
      <c r="AQ3149" s="90">
        <v>391</v>
      </c>
      <c r="AR3149" s="90" t="s">
        <v>315</v>
      </c>
      <c r="AS3149" s="90" t="s">
        <v>430</v>
      </c>
      <c r="AT3149" s="90" t="s">
        <v>244</v>
      </c>
      <c r="AU3149" s="90">
        <v>22.5044</v>
      </c>
      <c r="AV3149" s="90">
        <v>110.214066794057</v>
      </c>
      <c r="AW3149" s="90">
        <v>252.09929372913001</v>
      </c>
      <c r="AX3149" s="90">
        <v>0.1902292451</v>
      </c>
    </row>
    <row r="3150" spans="1:50" x14ac:dyDescent="0.25">
      <c r="A3150" s="102">
        <v>830000</v>
      </c>
      <c r="B3150" s="102">
        <v>2400000</v>
      </c>
      <c r="C3150" s="102">
        <v>2400000</v>
      </c>
      <c r="D3150" s="90" t="s">
        <v>374</v>
      </c>
      <c r="E3150" s="90" t="s">
        <v>68</v>
      </c>
      <c r="F3150" s="90" t="s">
        <v>375</v>
      </c>
      <c r="G3150" s="90" t="s">
        <v>376</v>
      </c>
      <c r="H3150" s="90">
        <v>0.59</v>
      </c>
      <c r="I3150" s="90">
        <v>0.64</v>
      </c>
      <c r="J3150" s="90" t="s">
        <v>244</v>
      </c>
      <c r="K3150" s="90">
        <v>6.5373318144770001E-2</v>
      </c>
      <c r="L3150" s="90">
        <v>3765.1868086197601</v>
      </c>
      <c r="M3150" s="90">
        <v>12.0103697206912</v>
      </c>
      <c r="N3150" s="90">
        <v>1.5812958566756901</v>
      </c>
      <c r="O3150" s="90">
        <v>0.78515772078709001</v>
      </c>
      <c r="P3150" s="90">
        <v>0.10337455711947</v>
      </c>
      <c r="Q3150" s="90">
        <v>246.14275511440201</v>
      </c>
      <c r="R3150" s="90">
        <v>1410</v>
      </c>
      <c r="S3150" s="90" t="s">
        <v>325</v>
      </c>
      <c r="T3150" s="90">
        <v>1410</v>
      </c>
      <c r="U3150" s="90" t="s">
        <v>378</v>
      </c>
      <c r="V3150" s="90" t="s">
        <v>244</v>
      </c>
      <c r="Z3150" s="90">
        <v>0</v>
      </c>
      <c r="AA3150" s="90">
        <v>1</v>
      </c>
      <c r="AB3150" s="90">
        <v>0.78515772078709001</v>
      </c>
      <c r="AC3150" s="90">
        <v>0.10337455711947</v>
      </c>
      <c r="AD3150" s="90">
        <v>246.14275511440101</v>
      </c>
      <c r="AF3150" s="90">
        <v>-1</v>
      </c>
      <c r="AG3150" s="90">
        <v>-1</v>
      </c>
      <c r="AH3150" s="90">
        <v>-1</v>
      </c>
      <c r="AI3150" s="90">
        <v>-1</v>
      </c>
      <c r="AJ3150" s="90">
        <v>0</v>
      </c>
      <c r="AM3150" s="90" t="s">
        <v>379</v>
      </c>
      <c r="AN3150" s="90">
        <v>-1</v>
      </c>
      <c r="AQ3150" s="90">
        <v>391</v>
      </c>
      <c r="AR3150" s="90" t="s">
        <v>315</v>
      </c>
      <c r="AS3150" s="90" t="s">
        <v>430</v>
      </c>
      <c r="AT3150" s="90" t="s">
        <v>244</v>
      </c>
      <c r="AU3150" s="90">
        <v>22.5044</v>
      </c>
      <c r="AV3150" s="90">
        <v>84.804430500752702</v>
      </c>
      <c r="AW3150" s="90">
        <v>264.556432387771</v>
      </c>
      <c r="AX3150" s="90">
        <v>0.1996291607</v>
      </c>
    </row>
    <row r="3151" spans="1:50" x14ac:dyDescent="0.25">
      <c r="A3151" s="102">
        <v>830000</v>
      </c>
      <c r="B3151" s="102">
        <v>2400000</v>
      </c>
      <c r="C3151" s="102">
        <v>2400000</v>
      </c>
      <c r="D3151" s="90" t="s">
        <v>374</v>
      </c>
      <c r="E3151" s="90" t="s">
        <v>68</v>
      </c>
      <c r="F3151" s="90" t="s">
        <v>375</v>
      </c>
      <c r="G3151" s="90" t="s">
        <v>376</v>
      </c>
      <c r="H3151" s="90">
        <v>0.59</v>
      </c>
      <c r="I3151" s="90">
        <v>0.64</v>
      </c>
      <c r="J3151" s="90" t="s">
        <v>244</v>
      </c>
      <c r="K3151" s="90">
        <v>6.5663841072800003E-2</v>
      </c>
      <c r="L3151" s="90">
        <v>3765.1868086197601</v>
      </c>
      <c r="M3151" s="90">
        <v>12.0103697206912</v>
      </c>
      <c r="N3151" s="90">
        <v>1.5812958566756901</v>
      </c>
      <c r="O3151" s="90">
        <v>0.78864700856512004</v>
      </c>
      <c r="P3151" s="90">
        <v>0.10383395982184</v>
      </c>
      <c r="Q3151" s="90">
        <v>247.23662821063701</v>
      </c>
      <c r="R3151" s="90">
        <v>1410</v>
      </c>
      <c r="S3151" s="90" t="s">
        <v>325</v>
      </c>
      <c r="T3151" s="90">
        <v>1410</v>
      </c>
      <c r="U3151" s="90" t="s">
        <v>378</v>
      </c>
      <c r="V3151" s="90" t="s">
        <v>244</v>
      </c>
      <c r="Z3151" s="90">
        <v>0</v>
      </c>
      <c r="AA3151" s="90">
        <v>1</v>
      </c>
      <c r="AB3151" s="90">
        <v>0.78864700856512004</v>
      </c>
      <c r="AC3151" s="90">
        <v>0.10383395982184</v>
      </c>
      <c r="AD3151" s="90">
        <v>247.23662821063601</v>
      </c>
      <c r="AF3151" s="90">
        <v>-1</v>
      </c>
      <c r="AG3151" s="90">
        <v>-1</v>
      </c>
      <c r="AH3151" s="90">
        <v>-1</v>
      </c>
      <c r="AI3151" s="90">
        <v>-1</v>
      </c>
      <c r="AJ3151" s="90">
        <v>0</v>
      </c>
      <c r="AM3151" s="90" t="s">
        <v>379</v>
      </c>
      <c r="AN3151" s="90">
        <v>-1</v>
      </c>
      <c r="AQ3151" s="90">
        <v>391</v>
      </c>
      <c r="AR3151" s="90" t="s">
        <v>315</v>
      </c>
      <c r="AS3151" s="90" t="s">
        <v>430</v>
      </c>
      <c r="AT3151" s="90" t="s">
        <v>244</v>
      </c>
      <c r="AU3151" s="90">
        <v>22.5044</v>
      </c>
      <c r="AV3151" s="90">
        <v>85.1127168680041</v>
      </c>
      <c r="AW3151" s="90">
        <v>265.73213696494003</v>
      </c>
      <c r="AX3151" s="90">
        <v>0.20051632459999999</v>
      </c>
    </row>
    <row r="3152" spans="1:50" x14ac:dyDescent="0.25">
      <c r="A3152" s="102">
        <v>830000</v>
      </c>
      <c r="B3152" s="102">
        <v>2400000</v>
      </c>
      <c r="C3152" s="102">
        <v>2400000</v>
      </c>
      <c r="D3152" s="90" t="s">
        <v>374</v>
      </c>
      <c r="E3152" s="90" t="s">
        <v>68</v>
      </c>
      <c r="F3152" s="90" t="s">
        <v>375</v>
      </c>
      <c r="G3152" s="90" t="s">
        <v>376</v>
      </c>
      <c r="H3152" s="90">
        <v>0.59</v>
      </c>
      <c r="I3152" s="90">
        <v>0.64</v>
      </c>
      <c r="J3152" s="90" t="s">
        <v>244</v>
      </c>
      <c r="K3152" s="90">
        <v>0.11110720958181999</v>
      </c>
      <c r="L3152" s="90">
        <v>3765.1868086197601</v>
      </c>
      <c r="M3152" s="90">
        <v>12.0103697206912</v>
      </c>
      <c r="N3152" s="90">
        <v>1.5812958566756901</v>
      </c>
      <c r="O3152" s="90">
        <v>1.3344386657120599</v>
      </c>
      <c r="P3152" s="90">
        <v>0.17569337015854</v>
      </c>
      <c r="Q3152" s="90">
        <v>418.33939986004299</v>
      </c>
      <c r="R3152" s="90">
        <v>1410</v>
      </c>
      <c r="S3152" s="90" t="s">
        <v>325</v>
      </c>
      <c r="T3152" s="90">
        <v>1410</v>
      </c>
      <c r="U3152" s="90" t="s">
        <v>378</v>
      </c>
      <c r="V3152" s="90" t="s">
        <v>244</v>
      </c>
      <c r="Z3152" s="90">
        <v>0</v>
      </c>
      <c r="AA3152" s="90">
        <v>1</v>
      </c>
      <c r="AB3152" s="90">
        <v>1.3344386657120599</v>
      </c>
      <c r="AC3152" s="90">
        <v>0.17569337015854</v>
      </c>
      <c r="AD3152" s="90">
        <v>418.33939986004299</v>
      </c>
      <c r="AF3152" s="90">
        <v>-1</v>
      </c>
      <c r="AG3152" s="90">
        <v>-1</v>
      </c>
      <c r="AH3152" s="90">
        <v>-1</v>
      </c>
      <c r="AI3152" s="90">
        <v>-1</v>
      </c>
      <c r="AJ3152" s="90">
        <v>0</v>
      </c>
      <c r="AM3152" s="90" t="s">
        <v>379</v>
      </c>
      <c r="AN3152" s="90">
        <v>-1</v>
      </c>
      <c r="AQ3152" s="90">
        <v>391</v>
      </c>
      <c r="AR3152" s="90" t="s">
        <v>315</v>
      </c>
      <c r="AS3152" s="90" t="s">
        <v>430</v>
      </c>
      <c r="AT3152" s="90" t="s">
        <v>244</v>
      </c>
      <c r="AU3152" s="90">
        <v>22.5044</v>
      </c>
      <c r="AV3152" s="90">
        <v>95.181106172038596</v>
      </c>
      <c r="AW3152" s="90">
        <v>449.634924671156</v>
      </c>
      <c r="AX3152" s="90">
        <v>0.33928580689999999</v>
      </c>
    </row>
    <row r="3153" spans="1:50" x14ac:dyDescent="0.25">
      <c r="A3153" s="102">
        <v>830000</v>
      </c>
      <c r="B3153" s="102">
        <v>2400000</v>
      </c>
      <c r="C3153" s="102">
        <v>2400000</v>
      </c>
      <c r="D3153" s="90" t="s">
        <v>374</v>
      </c>
      <c r="E3153" s="90" t="s">
        <v>68</v>
      </c>
      <c r="F3153" s="90" t="s">
        <v>375</v>
      </c>
      <c r="G3153" s="90" t="s">
        <v>376</v>
      </c>
      <c r="H3153" s="90">
        <v>0.59</v>
      </c>
      <c r="I3153" s="90">
        <v>0.64</v>
      </c>
      <c r="J3153" s="90" t="s">
        <v>244</v>
      </c>
      <c r="K3153" s="90">
        <v>0.14127490952362001</v>
      </c>
      <c r="L3153" s="90">
        <v>3765.1868086197601</v>
      </c>
      <c r="M3153" s="90">
        <v>12.0103697206912</v>
      </c>
      <c r="N3153" s="90">
        <v>1.5812958566756901</v>
      </c>
      <c r="O3153" s="90">
        <v>1.6967638956358999</v>
      </c>
      <c r="P3153" s="90">
        <v>0.22339742908193</v>
      </c>
      <c r="Q3153" s="90">
        <v>531.92642572729198</v>
      </c>
      <c r="R3153" s="90">
        <v>1410</v>
      </c>
      <c r="S3153" s="90" t="s">
        <v>325</v>
      </c>
      <c r="T3153" s="90">
        <v>1410</v>
      </c>
      <c r="U3153" s="90" t="s">
        <v>378</v>
      </c>
      <c r="V3153" s="90" t="s">
        <v>244</v>
      </c>
      <c r="Z3153" s="90">
        <v>0</v>
      </c>
      <c r="AA3153" s="90">
        <v>1</v>
      </c>
      <c r="AB3153" s="90">
        <v>1.6967638956358999</v>
      </c>
      <c r="AC3153" s="90">
        <v>0.22339742908193</v>
      </c>
      <c r="AD3153" s="90">
        <v>531.92642572729198</v>
      </c>
      <c r="AF3153" s="90">
        <v>-1</v>
      </c>
      <c r="AG3153" s="90">
        <v>-1</v>
      </c>
      <c r="AH3153" s="90">
        <v>-1</v>
      </c>
      <c r="AI3153" s="90">
        <v>-1</v>
      </c>
      <c r="AJ3153" s="90">
        <v>0</v>
      </c>
      <c r="AM3153" s="90" t="s">
        <v>379</v>
      </c>
      <c r="AN3153" s="90">
        <v>-1</v>
      </c>
      <c r="AQ3153" s="90">
        <v>391</v>
      </c>
      <c r="AR3153" s="90" t="s">
        <v>315</v>
      </c>
      <c r="AS3153" s="90" t="s">
        <v>430</v>
      </c>
      <c r="AT3153" s="90" t="s">
        <v>244</v>
      </c>
      <c r="AU3153" s="90">
        <v>22.5044</v>
      </c>
      <c r="AV3153" s="90">
        <v>102.997958231699</v>
      </c>
      <c r="AW3153" s="90">
        <v>571.71927492964596</v>
      </c>
      <c r="AX3153" s="90">
        <v>0.43140829339999998</v>
      </c>
    </row>
    <row r="3154" spans="1:50" x14ac:dyDescent="0.25">
      <c r="A3154" s="102">
        <v>830000</v>
      </c>
      <c r="B3154" s="102">
        <v>2400000</v>
      </c>
      <c r="C3154" s="102">
        <v>2400000</v>
      </c>
      <c r="D3154" s="90" t="s">
        <v>374</v>
      </c>
      <c r="E3154" s="90" t="s">
        <v>68</v>
      </c>
      <c r="F3154" s="90" t="s">
        <v>375</v>
      </c>
      <c r="G3154" s="90" t="s">
        <v>376</v>
      </c>
      <c r="H3154" s="90">
        <v>0.59</v>
      </c>
      <c r="I3154" s="90">
        <v>0.64</v>
      </c>
      <c r="J3154" s="90" t="s">
        <v>381</v>
      </c>
      <c r="K3154" s="90">
        <v>4.2032223802000003E-3</v>
      </c>
      <c r="L3154" s="90">
        <v>3765.1868086197601</v>
      </c>
      <c r="M3154" s="90">
        <v>12.0103697206912</v>
      </c>
      <c r="N3154" s="90">
        <v>1.5812958566756901</v>
      </c>
      <c r="O3154" s="90">
        <v>5.0482254804590003E-2</v>
      </c>
      <c r="P3154" s="90">
        <v>6.6465381345099999E-3</v>
      </c>
      <c r="Q3154" s="90">
        <v>15.825917459658299</v>
      </c>
      <c r="R3154" s="90">
        <v>1410</v>
      </c>
      <c r="S3154" s="90" t="s">
        <v>325</v>
      </c>
      <c r="T3154" s="90">
        <v>1410</v>
      </c>
      <c r="U3154" s="90" t="s">
        <v>382</v>
      </c>
      <c r="V3154" s="90" t="s">
        <v>381</v>
      </c>
      <c r="Z3154" s="90">
        <v>0</v>
      </c>
      <c r="AA3154" s="90">
        <v>1</v>
      </c>
      <c r="AB3154" s="90">
        <v>5.0482254804590003E-2</v>
      </c>
      <c r="AC3154" s="90">
        <v>6.6465381345099999E-3</v>
      </c>
      <c r="AD3154" s="90">
        <v>15.8259174596568</v>
      </c>
      <c r="AF3154" s="90">
        <v>-1</v>
      </c>
      <c r="AG3154" s="90">
        <v>-1</v>
      </c>
      <c r="AH3154" s="90">
        <v>-1</v>
      </c>
      <c r="AI3154" s="90">
        <v>-1</v>
      </c>
      <c r="AJ3154" s="90">
        <v>0</v>
      </c>
      <c r="AM3154" s="90" t="s">
        <v>379</v>
      </c>
      <c r="AN3154" s="90">
        <v>-1</v>
      </c>
      <c r="AQ3154" s="90">
        <v>391</v>
      </c>
      <c r="AR3154" s="90" t="s">
        <v>315</v>
      </c>
      <c r="AS3154" s="90" t="s">
        <v>430</v>
      </c>
      <c r="AT3154" s="90" t="s">
        <v>244</v>
      </c>
      <c r="AU3154" s="90">
        <v>22.5044</v>
      </c>
      <c r="AV3154" s="90">
        <v>71.600848195537395</v>
      </c>
      <c r="AW3154" s="90">
        <v>17.009837484122599</v>
      </c>
      <c r="AX3154" s="90">
        <v>1.2835294000000001E-2</v>
      </c>
    </row>
    <row r="3155" spans="1:50" x14ac:dyDescent="0.25">
      <c r="A3155" s="102">
        <v>830000</v>
      </c>
      <c r="B3155" s="102">
        <v>2400000</v>
      </c>
      <c r="C3155" s="102">
        <v>2400000</v>
      </c>
      <c r="D3155" s="90" t="s">
        <v>374</v>
      </c>
      <c r="E3155" s="90" t="s">
        <v>68</v>
      </c>
      <c r="F3155" s="90" t="s">
        <v>375</v>
      </c>
      <c r="G3155" s="90" t="s">
        <v>376</v>
      </c>
      <c r="H3155" s="90">
        <v>0.59</v>
      </c>
      <c r="I3155" s="90">
        <v>0.64</v>
      </c>
      <c r="J3155" s="90" t="s">
        <v>244</v>
      </c>
      <c r="K3155" s="90">
        <v>0.11660098886452</v>
      </c>
      <c r="L3155" s="90">
        <v>3765.1868086197601</v>
      </c>
      <c r="M3155" s="90">
        <v>12.0103697206912</v>
      </c>
      <c r="N3155" s="90">
        <v>1.5812958566756901</v>
      </c>
      <c r="O3155" s="90">
        <v>1.4004209860611001</v>
      </c>
      <c r="P3155" s="90">
        <v>0.18438066057575001</v>
      </c>
      <c r="Q3155" s="90">
        <v>439.024505144714</v>
      </c>
      <c r="R3155" s="90">
        <v>1410</v>
      </c>
      <c r="S3155" s="90" t="s">
        <v>325</v>
      </c>
      <c r="T3155" s="90">
        <v>1410</v>
      </c>
      <c r="U3155" s="90" t="s">
        <v>378</v>
      </c>
      <c r="V3155" s="90" t="s">
        <v>244</v>
      </c>
      <c r="Z3155" s="90">
        <v>0</v>
      </c>
      <c r="AA3155" s="90">
        <v>1</v>
      </c>
      <c r="AB3155" s="90">
        <v>1.4004209860611001</v>
      </c>
      <c r="AC3155" s="90">
        <v>0.18438066057575001</v>
      </c>
      <c r="AD3155" s="90">
        <v>439.024505144714</v>
      </c>
      <c r="AF3155" s="90">
        <v>-1</v>
      </c>
      <c r="AG3155" s="90">
        <v>-1</v>
      </c>
      <c r="AH3155" s="90">
        <v>-1</v>
      </c>
      <c r="AI3155" s="90">
        <v>-1</v>
      </c>
      <c r="AJ3155" s="90">
        <v>0</v>
      </c>
      <c r="AM3155" s="90" t="s">
        <v>379</v>
      </c>
      <c r="AN3155" s="90">
        <v>-1</v>
      </c>
      <c r="AQ3155" s="90">
        <v>391</v>
      </c>
      <c r="AR3155" s="90" t="s">
        <v>315</v>
      </c>
      <c r="AS3155" s="90" t="s">
        <v>430</v>
      </c>
      <c r="AT3155" s="90" t="s">
        <v>244</v>
      </c>
      <c r="AU3155" s="90">
        <v>22.5044</v>
      </c>
      <c r="AV3155" s="90">
        <v>110.86611585823699</v>
      </c>
      <c r="AW3155" s="90">
        <v>471.86746064457799</v>
      </c>
      <c r="AX3155" s="90">
        <v>0.35606204800000002</v>
      </c>
    </row>
    <row r="3156" spans="1:50" x14ac:dyDescent="0.25">
      <c r="A3156" s="102">
        <v>830000</v>
      </c>
      <c r="B3156" s="102">
        <v>2400000</v>
      </c>
      <c r="C3156" s="102">
        <v>2400000</v>
      </c>
      <c r="D3156" s="90" t="s">
        <v>374</v>
      </c>
      <c r="E3156" s="90" t="s">
        <v>68</v>
      </c>
      <c r="F3156" s="90" t="s">
        <v>375</v>
      </c>
      <c r="G3156" s="90" t="s">
        <v>376</v>
      </c>
      <c r="H3156" s="90">
        <v>0.59</v>
      </c>
      <c r="I3156" s="90">
        <v>0.64</v>
      </c>
      <c r="J3156" s="90" t="s">
        <v>244</v>
      </c>
      <c r="K3156" s="90">
        <v>5.8900526185590003E-2</v>
      </c>
      <c r="L3156" s="90">
        <v>3759.4889412406801</v>
      </c>
      <c r="M3156" s="90">
        <v>10.8134649684301</v>
      </c>
      <c r="N3156" s="90">
        <v>2.08319415777604</v>
      </c>
      <c r="O3156" s="90">
        <v>0.63691877653000994</v>
      </c>
      <c r="P3156" s="90">
        <v>0.12270123203975999</v>
      </c>
      <c r="Q3156" s="90">
        <v>221.43587682799401</v>
      </c>
      <c r="R3156" s="90">
        <v>1300</v>
      </c>
      <c r="S3156" s="90" t="s">
        <v>387</v>
      </c>
      <c r="T3156" s="90">
        <v>1300</v>
      </c>
      <c r="U3156" s="90" t="s">
        <v>378</v>
      </c>
      <c r="V3156" s="90" t="s">
        <v>244</v>
      </c>
      <c r="Z3156" s="90">
        <v>0</v>
      </c>
      <c r="AA3156" s="90">
        <v>1</v>
      </c>
      <c r="AB3156" s="90">
        <v>0.63691877653000994</v>
      </c>
      <c r="AC3156" s="90">
        <v>0.12270123203975999</v>
      </c>
      <c r="AD3156" s="90">
        <v>973.56832669663595</v>
      </c>
      <c r="AF3156" s="90">
        <v>-1</v>
      </c>
      <c r="AG3156" s="90">
        <v>-1</v>
      </c>
      <c r="AH3156" s="90">
        <v>-1</v>
      </c>
      <c r="AI3156" s="90">
        <v>-1</v>
      </c>
      <c r="AJ3156" s="90">
        <v>0</v>
      </c>
      <c r="AM3156" s="90" t="s">
        <v>379</v>
      </c>
      <c r="AN3156" s="90">
        <v>-1</v>
      </c>
      <c r="AQ3156" s="90">
        <v>391</v>
      </c>
      <c r="AR3156" s="90" t="s">
        <v>315</v>
      </c>
      <c r="AS3156" s="90" t="s">
        <v>430</v>
      </c>
      <c r="AT3156" s="90" t="s">
        <v>244</v>
      </c>
      <c r="AU3156" s="90">
        <v>22.5044</v>
      </c>
      <c r="AV3156" s="90">
        <v>67.842706484708202</v>
      </c>
      <c r="AW3156" s="90">
        <v>238.36197267690599</v>
      </c>
      <c r="AX3156" s="90">
        <v>0.78959312790000002</v>
      </c>
    </row>
    <row r="3157" spans="1:50" x14ac:dyDescent="0.25">
      <c r="A3157" s="102">
        <v>830000</v>
      </c>
      <c r="B3157" s="102">
        <v>2400000</v>
      </c>
      <c r="C3157" s="102">
        <v>2400000</v>
      </c>
      <c r="D3157" s="90" t="s">
        <v>374</v>
      </c>
      <c r="E3157" s="90" t="s">
        <v>68</v>
      </c>
      <c r="F3157" s="90" t="s">
        <v>375</v>
      </c>
      <c r="G3157" s="90" t="s">
        <v>376</v>
      </c>
      <c r="H3157" s="90">
        <v>0.59</v>
      </c>
      <c r="I3157" s="90">
        <v>0.64</v>
      </c>
      <c r="J3157" s="90" t="s">
        <v>244</v>
      </c>
      <c r="K3157" s="90">
        <v>5.5295566339009998E-2</v>
      </c>
      <c r="L3157" s="90">
        <v>3773.6971398513801</v>
      </c>
      <c r="M3157" s="90">
        <v>11.1423697590581</v>
      </c>
      <c r="N3157" s="90">
        <v>1.8689494469478301</v>
      </c>
      <c r="O3157" s="90">
        <v>0.61612364618584003</v>
      </c>
      <c r="P3157" s="90">
        <v>0.10334461812796999</v>
      </c>
      <c r="Q3157" s="90">
        <v>208.668720540007</v>
      </c>
      <c r="R3157" s="90">
        <v>1300</v>
      </c>
      <c r="S3157" s="90" t="s">
        <v>387</v>
      </c>
      <c r="T3157" s="90">
        <v>1300</v>
      </c>
      <c r="U3157" s="90" t="s">
        <v>378</v>
      </c>
      <c r="V3157" s="90" t="s">
        <v>244</v>
      </c>
      <c r="Z3157" s="90">
        <v>0</v>
      </c>
      <c r="AA3157" s="90">
        <v>1</v>
      </c>
      <c r="AB3157" s="90">
        <v>0.61612364618584003</v>
      </c>
      <c r="AC3157" s="90">
        <v>0.10334461812796999</v>
      </c>
      <c r="AD3157" s="90">
        <v>379.451951030494</v>
      </c>
      <c r="AF3157" s="90">
        <v>-1</v>
      </c>
      <c r="AG3157" s="90">
        <v>-1</v>
      </c>
      <c r="AH3157" s="90">
        <v>-1</v>
      </c>
      <c r="AI3157" s="90">
        <v>-1</v>
      </c>
      <c r="AJ3157" s="90">
        <v>0</v>
      </c>
      <c r="AM3157" s="90" t="s">
        <v>379</v>
      </c>
      <c r="AN3157" s="90">
        <v>-1</v>
      </c>
      <c r="AQ3157" s="90">
        <v>391</v>
      </c>
      <c r="AR3157" s="90" t="s">
        <v>315</v>
      </c>
      <c r="AS3157" s="90" t="s">
        <v>430</v>
      </c>
      <c r="AT3157" s="90" t="s">
        <v>244</v>
      </c>
      <c r="AU3157" s="90">
        <v>22.5044</v>
      </c>
      <c r="AV3157" s="90">
        <v>82.047189264419004</v>
      </c>
      <c r="AW3157" s="90">
        <v>223.77321776929199</v>
      </c>
      <c r="AX3157" s="90">
        <v>0.3077469189</v>
      </c>
    </row>
    <row r="3158" spans="1:50" x14ac:dyDescent="0.25">
      <c r="A3158" s="102">
        <v>830000</v>
      </c>
      <c r="B3158" s="102">
        <v>2400000</v>
      </c>
      <c r="C3158" s="102">
        <v>2400000</v>
      </c>
      <c r="D3158" s="90" t="s">
        <v>374</v>
      </c>
      <c r="E3158" s="90" t="s">
        <v>68</v>
      </c>
      <c r="F3158" s="90" t="s">
        <v>375</v>
      </c>
      <c r="G3158" s="90" t="s">
        <v>376</v>
      </c>
      <c r="H3158" s="90">
        <v>0.59</v>
      </c>
      <c r="I3158" s="90">
        <v>0.64</v>
      </c>
      <c r="J3158" s="90" t="s">
        <v>244</v>
      </c>
      <c r="K3158" s="90">
        <v>4.6554334770199997E-2</v>
      </c>
      <c r="L3158" s="90">
        <v>3773.6971398513801</v>
      </c>
      <c r="M3158" s="90">
        <v>11.1423697590581</v>
      </c>
      <c r="N3158" s="90">
        <v>1.8689494469478301</v>
      </c>
      <c r="O3158" s="90">
        <v>0.51872561189660005</v>
      </c>
      <c r="P3158" s="90">
        <v>8.7007698221789997E-2</v>
      </c>
      <c r="Q3158" s="90">
        <v>175.68195997000601</v>
      </c>
      <c r="R3158" s="90">
        <v>1400</v>
      </c>
      <c r="S3158" s="90" t="s">
        <v>324</v>
      </c>
      <c r="T3158" s="90">
        <v>1400</v>
      </c>
      <c r="U3158" s="90" t="s">
        <v>378</v>
      </c>
      <c r="V3158" s="90" t="s">
        <v>244</v>
      </c>
      <c r="Z3158" s="90">
        <v>0</v>
      </c>
      <c r="AA3158" s="90">
        <v>1</v>
      </c>
      <c r="AB3158" s="90">
        <v>0.51872561189660005</v>
      </c>
      <c r="AC3158" s="90">
        <v>8.7007698221789997E-2</v>
      </c>
      <c r="AD3158" s="90">
        <v>326.33177663674701</v>
      </c>
      <c r="AF3158" s="90">
        <v>-1</v>
      </c>
      <c r="AG3158" s="90">
        <v>-1</v>
      </c>
      <c r="AH3158" s="90">
        <v>-1</v>
      </c>
      <c r="AI3158" s="90">
        <v>-1</v>
      </c>
      <c r="AJ3158" s="90">
        <v>0</v>
      </c>
      <c r="AM3158" s="90" t="s">
        <v>379</v>
      </c>
      <c r="AN3158" s="90">
        <v>-1</v>
      </c>
      <c r="AQ3158" s="90">
        <v>391</v>
      </c>
      <c r="AR3158" s="90" t="s">
        <v>315</v>
      </c>
      <c r="AS3158" s="90" t="s">
        <v>430</v>
      </c>
      <c r="AT3158" s="90" t="s">
        <v>244</v>
      </c>
      <c r="AU3158" s="90">
        <v>22.5044</v>
      </c>
      <c r="AV3158" s="90">
        <v>94.246796295267103</v>
      </c>
      <c r="AW3158" s="90">
        <v>188.398708655365</v>
      </c>
      <c r="AX3158" s="90">
        <v>0.26466486350000001</v>
      </c>
    </row>
    <row r="3159" spans="1:50" x14ac:dyDescent="0.25">
      <c r="A3159" s="102">
        <v>830000</v>
      </c>
      <c r="B3159" s="102">
        <v>2400000</v>
      </c>
      <c r="C3159" s="102">
        <v>2400000</v>
      </c>
      <c r="D3159" s="90" t="s">
        <v>374</v>
      </c>
      <c r="E3159" s="90" t="s">
        <v>68</v>
      </c>
      <c r="F3159" s="90" t="s">
        <v>375</v>
      </c>
      <c r="G3159" s="90" t="s">
        <v>376</v>
      </c>
      <c r="H3159" s="90">
        <v>0.59</v>
      </c>
      <c r="I3159" s="90">
        <v>0.64</v>
      </c>
      <c r="J3159" s="90" t="s">
        <v>244</v>
      </c>
      <c r="K3159" s="90">
        <v>0.13467523223304001</v>
      </c>
      <c r="L3159" s="90">
        <v>3773.6971398513801</v>
      </c>
      <c r="M3159" s="90">
        <v>11.1423697590581</v>
      </c>
      <c r="N3159" s="90">
        <v>1.8689494469478301</v>
      </c>
      <c r="O3159" s="90">
        <v>1.5006012349276501</v>
      </c>
      <c r="P3159" s="90">
        <v>0.25170120079952002</v>
      </c>
      <c r="Q3159" s="90">
        <v>508.22353868667398</v>
      </c>
      <c r="R3159" s="90">
        <v>1300</v>
      </c>
      <c r="S3159" s="90" t="s">
        <v>387</v>
      </c>
      <c r="T3159" s="90">
        <v>1300</v>
      </c>
      <c r="U3159" s="90" t="s">
        <v>378</v>
      </c>
      <c r="V3159" s="90" t="s">
        <v>244</v>
      </c>
      <c r="Z3159" s="90">
        <v>0</v>
      </c>
      <c r="AA3159" s="90">
        <v>1</v>
      </c>
      <c r="AB3159" s="90">
        <v>1.5006012349276501</v>
      </c>
      <c r="AC3159" s="90">
        <v>0.25170120079952002</v>
      </c>
      <c r="AD3159" s="90">
        <v>1035.3113773493401</v>
      </c>
      <c r="AF3159" s="90">
        <v>-1</v>
      </c>
      <c r="AG3159" s="90">
        <v>-1</v>
      </c>
      <c r="AH3159" s="90">
        <v>-1</v>
      </c>
      <c r="AI3159" s="90">
        <v>-1</v>
      </c>
      <c r="AJ3159" s="90">
        <v>0</v>
      </c>
      <c r="AM3159" s="90" t="s">
        <v>379</v>
      </c>
      <c r="AN3159" s="90">
        <v>-1</v>
      </c>
      <c r="AQ3159" s="90">
        <v>391</v>
      </c>
      <c r="AR3159" s="90" t="s">
        <v>315</v>
      </c>
      <c r="AS3159" s="90" t="s">
        <v>430</v>
      </c>
      <c r="AT3159" s="90" t="s">
        <v>244</v>
      </c>
      <c r="AU3159" s="90">
        <v>22.5044</v>
      </c>
      <c r="AV3159" s="90">
        <v>125.421132577828</v>
      </c>
      <c r="AW3159" s="90">
        <v>545.01132850051999</v>
      </c>
      <c r="AX3159" s="90">
        <v>0.8396685948</v>
      </c>
    </row>
    <row r="3160" spans="1:50" x14ac:dyDescent="0.25">
      <c r="A3160" s="102">
        <v>830000</v>
      </c>
      <c r="B3160" s="102">
        <v>2400000</v>
      </c>
      <c r="C3160" s="102">
        <v>2400000</v>
      </c>
      <c r="D3160" s="90" t="s">
        <v>374</v>
      </c>
      <c r="E3160" s="90" t="s">
        <v>68</v>
      </c>
      <c r="F3160" s="90" t="s">
        <v>375</v>
      </c>
      <c r="G3160" s="90" t="s">
        <v>376</v>
      </c>
      <c r="H3160" s="90">
        <v>0.59</v>
      </c>
      <c r="I3160" s="90">
        <v>0.64</v>
      </c>
      <c r="J3160" s="90" t="s">
        <v>244</v>
      </c>
      <c r="K3160" s="90">
        <v>2.3768310041099999E-3</v>
      </c>
      <c r="L3160" s="90">
        <v>2240.08209311362</v>
      </c>
      <c r="M3160" s="90">
        <v>6.4464406966650998</v>
      </c>
      <c r="N3160" s="90">
        <v>0.88509513281274999</v>
      </c>
      <c r="O3160" s="90">
        <v>1.532210011399E-2</v>
      </c>
      <c r="P3160" s="90">
        <v>2.1037215532499999E-3</v>
      </c>
      <c r="Q3160" s="90">
        <v>5.3242965706663101</v>
      </c>
      <c r="R3160" s="90">
        <v>1400</v>
      </c>
      <c r="S3160" s="90" t="s">
        <v>324</v>
      </c>
      <c r="T3160" s="90">
        <v>1400</v>
      </c>
      <c r="U3160" s="90" t="s">
        <v>378</v>
      </c>
      <c r="V3160" s="90" t="s">
        <v>244</v>
      </c>
      <c r="Z3160" s="90">
        <v>0</v>
      </c>
      <c r="AA3160" s="90">
        <v>1</v>
      </c>
      <c r="AB3160" s="90">
        <v>1.532210011399E-2</v>
      </c>
      <c r="AC3160" s="90">
        <v>2.1037215532499999E-3</v>
      </c>
      <c r="AD3160" s="90">
        <v>446.336493541989</v>
      </c>
      <c r="AF3160" s="90">
        <v>-1</v>
      </c>
      <c r="AG3160" s="90">
        <v>-1</v>
      </c>
      <c r="AH3160" s="90">
        <v>-1</v>
      </c>
      <c r="AI3160" s="90">
        <v>-1</v>
      </c>
      <c r="AJ3160" s="90">
        <v>0</v>
      </c>
      <c r="AM3160" s="90" t="s">
        <v>379</v>
      </c>
      <c r="AN3160" s="90">
        <v>-1</v>
      </c>
      <c r="AQ3160" s="90">
        <v>391</v>
      </c>
      <c r="AR3160" s="90" t="s">
        <v>315</v>
      </c>
      <c r="AS3160" s="90" t="s">
        <v>430</v>
      </c>
      <c r="AT3160" s="90" t="s">
        <v>244</v>
      </c>
      <c r="AU3160" s="90">
        <v>22.5044</v>
      </c>
      <c r="AV3160" s="90">
        <v>14.9543927826941</v>
      </c>
      <c r="AW3160" s="90">
        <v>9.6186938139470399</v>
      </c>
      <c r="AX3160" s="90">
        <v>0.36199228999999999</v>
      </c>
    </row>
    <row r="3161" spans="1:50" x14ac:dyDescent="0.25">
      <c r="A3161" s="102">
        <v>830000</v>
      </c>
      <c r="B3161" s="102">
        <v>2400000</v>
      </c>
      <c r="C3161" s="102">
        <v>2400000</v>
      </c>
      <c r="D3161" s="90" t="s">
        <v>374</v>
      </c>
      <c r="E3161" s="90" t="s">
        <v>68</v>
      </c>
      <c r="F3161" s="90" t="s">
        <v>375</v>
      </c>
      <c r="G3161" s="90" t="s">
        <v>376</v>
      </c>
      <c r="H3161" s="90">
        <v>0.59</v>
      </c>
      <c r="I3161" s="90">
        <v>0.64</v>
      </c>
      <c r="J3161" s="90" t="s">
        <v>244</v>
      </c>
      <c r="K3161" s="90">
        <v>0.12653262756863001</v>
      </c>
      <c r="L3161" s="90">
        <v>3792.58573091175</v>
      </c>
      <c r="M3161" s="90">
        <v>11.4910899389074</v>
      </c>
      <c r="N3161" s="90">
        <v>1.51871465595726</v>
      </c>
      <c r="O3161" s="90">
        <v>1.4539978035974199</v>
      </c>
      <c r="P3161" s="90">
        <v>0.19216695594526001</v>
      </c>
      <c r="Q3161" s="90">
        <v>479.88583781156399</v>
      </c>
      <c r="R3161" s="90">
        <v>1400</v>
      </c>
      <c r="S3161" s="90" t="s">
        <v>324</v>
      </c>
      <c r="T3161" s="90">
        <v>1400</v>
      </c>
      <c r="U3161" s="90" t="s">
        <v>378</v>
      </c>
      <c r="V3161" s="90" t="s">
        <v>244</v>
      </c>
      <c r="Z3161" s="90">
        <v>0</v>
      </c>
      <c r="AA3161" s="90">
        <v>1</v>
      </c>
      <c r="AB3161" s="90">
        <v>1.4539978035974199</v>
      </c>
      <c r="AC3161" s="90">
        <v>0.19216695594526001</v>
      </c>
      <c r="AD3161" s="90">
        <v>1291.66346131209</v>
      </c>
      <c r="AF3161" s="90">
        <v>-1</v>
      </c>
      <c r="AG3161" s="90">
        <v>-1</v>
      </c>
      <c r="AH3161" s="90">
        <v>-1</v>
      </c>
      <c r="AI3161" s="90">
        <v>-1</v>
      </c>
      <c r="AJ3161" s="90">
        <v>0</v>
      </c>
      <c r="AM3161" s="90" t="s">
        <v>379</v>
      </c>
      <c r="AN3161" s="90">
        <v>-1</v>
      </c>
      <c r="AQ3161" s="90">
        <v>391</v>
      </c>
      <c r="AR3161" s="90" t="s">
        <v>315</v>
      </c>
      <c r="AS3161" s="90" t="s">
        <v>430</v>
      </c>
      <c r="AT3161" s="90" t="s">
        <v>244</v>
      </c>
      <c r="AU3161" s="90">
        <v>22.5044</v>
      </c>
      <c r="AV3161" s="90">
        <v>139.714949170805</v>
      </c>
      <c r="AW3161" s="90">
        <v>512.05937651926399</v>
      </c>
      <c r="AX3161" s="90">
        <v>1.0475778275000001</v>
      </c>
    </row>
    <row r="3162" spans="1:50" x14ac:dyDescent="0.25">
      <c r="A3162" s="102">
        <v>830000</v>
      </c>
      <c r="B3162" s="102">
        <v>2400000</v>
      </c>
      <c r="C3162" s="102">
        <v>2400000</v>
      </c>
      <c r="D3162" s="90" t="s">
        <v>374</v>
      </c>
      <c r="E3162" s="90" t="s">
        <v>68</v>
      </c>
      <c r="F3162" s="90" t="s">
        <v>375</v>
      </c>
      <c r="G3162" s="90" t="s">
        <v>376</v>
      </c>
      <c r="H3162" s="90">
        <v>0.59</v>
      </c>
      <c r="I3162" s="90">
        <v>0.64</v>
      </c>
      <c r="J3162" s="90" t="s">
        <v>244</v>
      </c>
      <c r="K3162" s="90">
        <v>0.16603913852291</v>
      </c>
      <c r="L3162" s="90">
        <v>3792.58573091175</v>
      </c>
      <c r="M3162" s="90">
        <v>11.4910899389074</v>
      </c>
      <c r="N3162" s="90">
        <v>1.51871465595726</v>
      </c>
      <c r="O3162" s="90">
        <v>1.90797067414551</v>
      </c>
      <c r="P3162" s="90">
        <v>0.25216607313726003</v>
      </c>
      <c r="Q3162" s="90">
        <v>629.71766753488305</v>
      </c>
      <c r="R3162" s="90">
        <v>1410</v>
      </c>
      <c r="S3162" s="90" t="s">
        <v>325</v>
      </c>
      <c r="T3162" s="90">
        <v>1410</v>
      </c>
      <c r="U3162" s="90" t="s">
        <v>378</v>
      </c>
      <c r="V3162" s="90" t="s">
        <v>244</v>
      </c>
      <c r="Z3162" s="90">
        <v>0</v>
      </c>
      <c r="AA3162" s="90">
        <v>1</v>
      </c>
      <c r="AB3162" s="90">
        <v>1.90797067414551</v>
      </c>
      <c r="AC3162" s="90">
        <v>0.25216607313726003</v>
      </c>
      <c r="AD3162" s="90">
        <v>629.71766753488305</v>
      </c>
      <c r="AF3162" s="90">
        <v>-1</v>
      </c>
      <c r="AG3162" s="90">
        <v>-1</v>
      </c>
      <c r="AH3162" s="90">
        <v>-1</v>
      </c>
      <c r="AI3162" s="90">
        <v>-1</v>
      </c>
      <c r="AJ3162" s="90">
        <v>0</v>
      </c>
      <c r="AM3162" s="90" t="s">
        <v>379</v>
      </c>
      <c r="AN3162" s="90">
        <v>-1</v>
      </c>
      <c r="AQ3162" s="90">
        <v>391</v>
      </c>
      <c r="AR3162" s="90" t="s">
        <v>315</v>
      </c>
      <c r="AS3162" s="90" t="s">
        <v>430</v>
      </c>
      <c r="AT3162" s="90" t="s">
        <v>244</v>
      </c>
      <c r="AU3162" s="90">
        <v>22.5044</v>
      </c>
      <c r="AV3162" s="90">
        <v>104.65215116989501</v>
      </c>
      <c r="AW3162" s="90">
        <v>671.93655410121596</v>
      </c>
      <c r="AX3162" s="90">
        <v>0.51071992499999996</v>
      </c>
    </row>
    <row r="3163" spans="1:50" x14ac:dyDescent="0.25">
      <c r="A3163" s="102">
        <v>830000</v>
      </c>
      <c r="B3163" s="102">
        <v>2400000</v>
      </c>
      <c r="C3163" s="102">
        <v>2400000</v>
      </c>
      <c r="D3163" s="90" t="s">
        <v>374</v>
      </c>
      <c r="E3163" s="90" t="s">
        <v>68</v>
      </c>
      <c r="F3163" s="90" t="s">
        <v>375</v>
      </c>
      <c r="G3163" s="90" t="s">
        <v>376</v>
      </c>
      <c r="H3163" s="90">
        <v>0.59</v>
      </c>
      <c r="I3163" s="90">
        <v>0.64</v>
      </c>
      <c r="J3163" s="90" t="s">
        <v>244</v>
      </c>
      <c r="K3163" s="90">
        <v>2.3141455293590001E-2</v>
      </c>
      <c r="L3163" s="90">
        <v>3792.58573091175</v>
      </c>
      <c r="M3163" s="90">
        <v>11.4910899389074</v>
      </c>
      <c r="N3163" s="90">
        <v>1.51871465595726</v>
      </c>
      <c r="O3163" s="90">
        <v>0.26592054409589999</v>
      </c>
      <c r="P3163" s="90">
        <v>3.5145267314559997E-2</v>
      </c>
      <c r="Q3163" s="90">
        <v>87.765953139020496</v>
      </c>
      <c r="R3163" s="90">
        <v>1410</v>
      </c>
      <c r="S3163" s="90" t="s">
        <v>325</v>
      </c>
      <c r="T3163" s="90">
        <v>1410</v>
      </c>
      <c r="U3163" s="90" t="s">
        <v>378</v>
      </c>
      <c r="V3163" s="90" t="s">
        <v>244</v>
      </c>
      <c r="Z3163" s="90">
        <v>0</v>
      </c>
      <c r="AA3163" s="90">
        <v>1</v>
      </c>
      <c r="AB3163" s="90">
        <v>0.26592054409589999</v>
      </c>
      <c r="AC3163" s="90">
        <v>3.5145267314559997E-2</v>
      </c>
      <c r="AD3163" s="90">
        <v>112.489145992278</v>
      </c>
      <c r="AF3163" s="90">
        <v>-1</v>
      </c>
      <c r="AG3163" s="90">
        <v>-1</v>
      </c>
      <c r="AH3163" s="90">
        <v>-1</v>
      </c>
      <c r="AI3163" s="90">
        <v>-1</v>
      </c>
      <c r="AJ3163" s="90">
        <v>0</v>
      </c>
      <c r="AM3163" s="90" t="s">
        <v>379</v>
      </c>
      <c r="AN3163" s="90">
        <v>-1</v>
      </c>
      <c r="AQ3163" s="90">
        <v>391</v>
      </c>
      <c r="AR3163" s="90" t="s">
        <v>315</v>
      </c>
      <c r="AS3163" s="90" t="s">
        <v>430</v>
      </c>
      <c r="AT3163" s="90" t="s">
        <v>244</v>
      </c>
      <c r="AU3163" s="90">
        <v>22.5044</v>
      </c>
      <c r="AV3163" s="90">
        <v>48.184061346472497</v>
      </c>
      <c r="AW3163" s="90">
        <v>93.650146978566596</v>
      </c>
      <c r="AX3163" s="90">
        <v>9.1232072999999997E-2</v>
      </c>
    </row>
    <row r="3164" spans="1:50" x14ac:dyDescent="0.25">
      <c r="A3164" s="102">
        <v>830000</v>
      </c>
      <c r="B3164" s="102">
        <v>2400000</v>
      </c>
      <c r="C3164" s="102">
        <v>2400000</v>
      </c>
      <c r="D3164" s="90" t="s">
        <v>374</v>
      </c>
      <c r="E3164" s="90" t="s">
        <v>68</v>
      </c>
      <c r="F3164" s="90" t="s">
        <v>375</v>
      </c>
      <c r="G3164" s="90" t="s">
        <v>376</v>
      </c>
      <c r="H3164" s="90">
        <v>0.59</v>
      </c>
      <c r="I3164" s="90">
        <v>0.64</v>
      </c>
      <c r="J3164" s="90" t="s">
        <v>244</v>
      </c>
      <c r="K3164" s="90">
        <v>8.8704387938219997E-2</v>
      </c>
      <c r="L3164" s="90">
        <v>3782.5074819634901</v>
      </c>
      <c r="M3164" s="90">
        <v>11.621001462490099</v>
      </c>
      <c r="N3164" s="90">
        <v>1.53427289356009</v>
      </c>
      <c r="O3164" s="90">
        <v>1.03083382195942</v>
      </c>
      <c r="P3164" s="90">
        <v>0.13609673795346</v>
      </c>
      <c r="Q3164" s="90">
        <v>335.52501105933601</v>
      </c>
      <c r="R3164" s="90">
        <v>1400</v>
      </c>
      <c r="S3164" s="90" t="s">
        <v>324</v>
      </c>
      <c r="T3164" s="90">
        <v>1400</v>
      </c>
      <c r="U3164" s="90" t="s">
        <v>378</v>
      </c>
      <c r="V3164" s="90" t="s">
        <v>244</v>
      </c>
      <c r="Z3164" s="90">
        <v>0</v>
      </c>
      <c r="AA3164" s="90">
        <v>1</v>
      </c>
      <c r="AB3164" s="90">
        <v>1.03083382195942</v>
      </c>
      <c r="AC3164" s="90">
        <v>0.13609673795346</v>
      </c>
      <c r="AD3164" s="90">
        <v>667.02793309579795</v>
      </c>
      <c r="AF3164" s="90">
        <v>-1</v>
      </c>
      <c r="AG3164" s="90">
        <v>-1</v>
      </c>
      <c r="AH3164" s="90">
        <v>-1</v>
      </c>
      <c r="AI3164" s="90">
        <v>-1</v>
      </c>
      <c r="AJ3164" s="90">
        <v>0</v>
      </c>
      <c r="AM3164" s="90" t="s">
        <v>379</v>
      </c>
      <c r="AN3164" s="90">
        <v>-1</v>
      </c>
      <c r="AQ3164" s="90">
        <v>391</v>
      </c>
      <c r="AR3164" s="90" t="s">
        <v>315</v>
      </c>
      <c r="AS3164" s="90" t="s">
        <v>430</v>
      </c>
      <c r="AT3164" s="90" t="s">
        <v>244</v>
      </c>
      <c r="AU3164" s="90">
        <v>22.5044</v>
      </c>
      <c r="AV3164" s="90">
        <v>143.57026158164001</v>
      </c>
      <c r="AW3164" s="90">
        <v>358.973922022875</v>
      </c>
      <c r="AX3164" s="90">
        <v>0.54097967000000002</v>
      </c>
    </row>
    <row r="3165" spans="1:50" x14ac:dyDescent="0.25">
      <c r="A3165" s="102">
        <v>830000</v>
      </c>
      <c r="B3165" s="102">
        <v>2400000</v>
      </c>
      <c r="C3165" s="102">
        <v>2400000</v>
      </c>
      <c r="D3165" s="90" t="s">
        <v>374</v>
      </c>
      <c r="E3165" s="90" t="s">
        <v>68</v>
      </c>
      <c r="F3165" s="90" t="s">
        <v>375</v>
      </c>
      <c r="G3165" s="90" t="s">
        <v>376</v>
      </c>
      <c r="H3165" s="90">
        <v>0.59</v>
      </c>
      <c r="I3165" s="90">
        <v>0.64</v>
      </c>
      <c r="J3165" s="90" t="s">
        <v>381</v>
      </c>
      <c r="K3165" s="90">
        <v>2.1835615077150001E-2</v>
      </c>
      <c r="L3165" s="90">
        <v>3782.5074819634901</v>
      </c>
      <c r="M3165" s="90">
        <v>11.621001462490099</v>
      </c>
      <c r="N3165" s="90">
        <v>1.53427289356009</v>
      </c>
      <c r="O3165" s="90">
        <v>0.25375171474593999</v>
      </c>
      <c r="P3165" s="90">
        <v>3.3501792327079997E-2</v>
      </c>
      <c r="Q3165" s="90">
        <v>82.593377402598506</v>
      </c>
      <c r="R3165" s="90">
        <v>1400</v>
      </c>
      <c r="S3165" s="90" t="s">
        <v>324</v>
      </c>
      <c r="T3165" s="90">
        <v>1400</v>
      </c>
      <c r="U3165" s="90" t="s">
        <v>382</v>
      </c>
      <c r="V3165" s="90" t="s">
        <v>381</v>
      </c>
      <c r="Z3165" s="90">
        <v>0</v>
      </c>
      <c r="AA3165" s="90">
        <v>1</v>
      </c>
      <c r="AB3165" s="90">
        <v>0.25375171474593999</v>
      </c>
      <c r="AC3165" s="90">
        <v>3.3501792327079997E-2</v>
      </c>
      <c r="AD3165" s="90">
        <v>180.90853141212</v>
      </c>
      <c r="AF3165" s="90">
        <v>-1</v>
      </c>
      <c r="AG3165" s="90">
        <v>-1</v>
      </c>
      <c r="AH3165" s="90">
        <v>-1</v>
      </c>
      <c r="AI3165" s="90">
        <v>-1</v>
      </c>
      <c r="AJ3165" s="90">
        <v>0</v>
      </c>
      <c r="AM3165" s="90" t="s">
        <v>379</v>
      </c>
      <c r="AN3165" s="90">
        <v>-1</v>
      </c>
      <c r="AQ3165" s="90">
        <v>391</v>
      </c>
      <c r="AR3165" s="90" t="s">
        <v>315</v>
      </c>
      <c r="AS3165" s="90" t="s">
        <v>430</v>
      </c>
      <c r="AT3165" s="90" t="s">
        <v>244</v>
      </c>
      <c r="AU3165" s="90">
        <v>22.5044</v>
      </c>
      <c r="AV3165" s="90">
        <v>60.471791988227999</v>
      </c>
      <c r="AW3165" s="90">
        <v>88.365599112022494</v>
      </c>
      <c r="AX3165" s="90">
        <v>0.1467222477</v>
      </c>
    </row>
    <row r="3166" spans="1:50" x14ac:dyDescent="0.25">
      <c r="A3166" s="102">
        <v>830000</v>
      </c>
      <c r="B3166" s="102">
        <v>2400000</v>
      </c>
      <c r="C3166" s="102">
        <v>2400000</v>
      </c>
      <c r="D3166" s="90" t="s">
        <v>374</v>
      </c>
      <c r="E3166" s="90" t="s">
        <v>68</v>
      </c>
      <c r="F3166" s="90" t="s">
        <v>375</v>
      </c>
      <c r="G3166" s="90" t="s">
        <v>376</v>
      </c>
      <c r="H3166" s="90">
        <v>0.59</v>
      </c>
      <c r="I3166" s="90">
        <v>0.64</v>
      </c>
      <c r="J3166" s="90" t="s">
        <v>244</v>
      </c>
      <c r="K3166" s="90">
        <v>0.30809078339090001</v>
      </c>
      <c r="L3166" s="90">
        <v>3782.5074819634901</v>
      </c>
      <c r="M3166" s="90">
        <v>11.621001462490099</v>
      </c>
      <c r="N3166" s="90">
        <v>1.53427289356009</v>
      </c>
      <c r="O3166" s="90">
        <v>3.5803234443654102</v>
      </c>
      <c r="P3166" s="90">
        <v>0.47269533771235001</v>
      </c>
      <c r="Q3166" s="90">
        <v>1165.35569330008</v>
      </c>
      <c r="R3166" s="90">
        <v>1410</v>
      </c>
      <c r="S3166" s="90" t="s">
        <v>325</v>
      </c>
      <c r="T3166" s="90">
        <v>1410</v>
      </c>
      <c r="U3166" s="90" t="s">
        <v>378</v>
      </c>
      <c r="V3166" s="90" t="s">
        <v>244</v>
      </c>
      <c r="Z3166" s="90">
        <v>0</v>
      </c>
      <c r="AA3166" s="90">
        <v>1</v>
      </c>
      <c r="AB3166" s="90">
        <v>3.5803234443654102</v>
      </c>
      <c r="AC3166" s="90">
        <v>0.47269533771235001</v>
      </c>
      <c r="AD3166" s="90">
        <v>1165.35569330008</v>
      </c>
      <c r="AF3166" s="90">
        <v>-1</v>
      </c>
      <c r="AG3166" s="90">
        <v>-1</v>
      </c>
      <c r="AH3166" s="90">
        <v>-1</v>
      </c>
      <c r="AI3166" s="90">
        <v>-1</v>
      </c>
      <c r="AJ3166" s="90">
        <v>0</v>
      </c>
      <c r="AM3166" s="90" t="s">
        <v>379</v>
      </c>
      <c r="AN3166" s="90">
        <v>-1</v>
      </c>
      <c r="AQ3166" s="90">
        <v>391</v>
      </c>
      <c r="AR3166" s="90" t="s">
        <v>315</v>
      </c>
      <c r="AS3166" s="90" t="s">
        <v>430</v>
      </c>
      <c r="AT3166" s="90" t="s">
        <v>244</v>
      </c>
      <c r="AU3166" s="90">
        <v>22.5044</v>
      </c>
      <c r="AV3166" s="90">
        <v>146.30796425431299</v>
      </c>
      <c r="AW3166" s="90">
        <v>1246.79916544772</v>
      </c>
      <c r="AX3166" s="90">
        <v>0.94513843740000003</v>
      </c>
    </row>
    <row r="3167" spans="1:50" x14ac:dyDescent="0.25">
      <c r="A3167" s="102">
        <v>830000</v>
      </c>
      <c r="B3167" s="102">
        <v>2400000</v>
      </c>
      <c r="C3167" s="102">
        <v>2400000</v>
      </c>
      <c r="D3167" s="90" t="s">
        <v>374</v>
      </c>
      <c r="E3167" s="90" t="s">
        <v>68</v>
      </c>
      <c r="F3167" s="90" t="s">
        <v>375</v>
      </c>
      <c r="G3167" s="90" t="s">
        <v>376</v>
      </c>
      <c r="H3167" s="90">
        <v>0.59</v>
      </c>
      <c r="I3167" s="90">
        <v>0.64</v>
      </c>
      <c r="J3167" s="90" t="s">
        <v>381</v>
      </c>
      <c r="K3167" s="90">
        <v>1.6537947032999999E-4</v>
      </c>
      <c r="L3167" s="90">
        <v>3782.5074819634901</v>
      </c>
      <c r="M3167" s="90">
        <v>11.621001462490099</v>
      </c>
      <c r="N3167" s="90">
        <v>1.53427289356009</v>
      </c>
      <c r="O3167" s="90">
        <v>1.9218750665799999E-3</v>
      </c>
      <c r="P3167" s="90">
        <v>2.5373723847999999E-4</v>
      </c>
      <c r="Q3167" s="90">
        <v>0.62554908389015995</v>
      </c>
      <c r="R3167" s="90">
        <v>1410</v>
      </c>
      <c r="S3167" s="90" t="s">
        <v>325</v>
      </c>
      <c r="T3167" s="90">
        <v>1410</v>
      </c>
      <c r="U3167" s="90" t="s">
        <v>382</v>
      </c>
      <c r="V3167" s="90" t="s">
        <v>381</v>
      </c>
      <c r="Z3167" s="90">
        <v>0</v>
      </c>
      <c r="AA3167" s="90">
        <v>1</v>
      </c>
      <c r="AB3167" s="90">
        <v>1.9218750665799999E-3</v>
      </c>
      <c r="AC3167" s="90">
        <v>2.5373723847999999E-4</v>
      </c>
      <c r="AD3167" s="90">
        <v>0.62554908388966002</v>
      </c>
      <c r="AF3167" s="90">
        <v>-1</v>
      </c>
      <c r="AG3167" s="90">
        <v>-1</v>
      </c>
      <c r="AH3167" s="90">
        <v>-1</v>
      </c>
      <c r="AI3167" s="90">
        <v>-1</v>
      </c>
      <c r="AJ3167" s="90">
        <v>0</v>
      </c>
      <c r="AM3167" s="90" t="s">
        <v>379</v>
      </c>
      <c r="AN3167" s="90">
        <v>-1</v>
      </c>
      <c r="AQ3167" s="90">
        <v>391</v>
      </c>
      <c r="AR3167" s="90" t="s">
        <v>315</v>
      </c>
      <c r="AS3167" s="90" t="s">
        <v>430</v>
      </c>
      <c r="AT3167" s="90" t="s">
        <v>244</v>
      </c>
      <c r="AU3167" s="90">
        <v>22.5044</v>
      </c>
      <c r="AV3167" s="90">
        <v>12.9757083716563</v>
      </c>
      <c r="AW3167" s="90">
        <v>0.66926697164157001</v>
      </c>
      <c r="AX3167" s="90">
        <v>5.0733910000000002E-4</v>
      </c>
    </row>
    <row r="3168" spans="1:50" x14ac:dyDescent="0.25">
      <c r="A3168" s="102">
        <v>830000</v>
      </c>
      <c r="B3168" s="102">
        <v>2400000</v>
      </c>
      <c r="C3168" s="102">
        <v>2400000</v>
      </c>
      <c r="D3168" s="90" t="s">
        <v>374</v>
      </c>
      <c r="E3168" s="90" t="s">
        <v>68</v>
      </c>
      <c r="F3168" s="90" t="s">
        <v>375</v>
      </c>
      <c r="G3168" s="90" t="s">
        <v>376</v>
      </c>
      <c r="H3168" s="90">
        <v>0.59</v>
      </c>
      <c r="I3168" s="90">
        <v>0.64</v>
      </c>
      <c r="J3168" s="90" t="s">
        <v>244</v>
      </c>
      <c r="K3168" s="90">
        <v>0.15304149342911</v>
      </c>
      <c r="L3168" s="90">
        <v>3766.1642985213698</v>
      </c>
      <c r="M3168" s="90">
        <v>11.9339834255667</v>
      </c>
      <c r="N3168" s="90">
        <v>1.57199723109769</v>
      </c>
      <c r="O3168" s="90">
        <v>1.8263946460070699</v>
      </c>
      <c r="P3168" s="90">
        <v>0.24058080391361999</v>
      </c>
      <c r="Q3168" s="90">
        <v>576.37940874513401</v>
      </c>
      <c r="R3168" s="90">
        <v>1400</v>
      </c>
      <c r="S3168" s="90" t="s">
        <v>324</v>
      </c>
      <c r="T3168" s="90">
        <v>1400</v>
      </c>
      <c r="U3168" s="90" t="s">
        <v>378</v>
      </c>
      <c r="V3168" s="90" t="s">
        <v>244</v>
      </c>
      <c r="Z3168" s="90">
        <v>0</v>
      </c>
      <c r="AA3168" s="90">
        <v>1</v>
      </c>
      <c r="AB3168" s="90">
        <v>1.8263946460070699</v>
      </c>
      <c r="AC3168" s="90">
        <v>0.24058080391361999</v>
      </c>
      <c r="AD3168" s="90">
        <v>591.75085837529605</v>
      </c>
      <c r="AF3168" s="90">
        <v>-1</v>
      </c>
      <c r="AG3168" s="90">
        <v>-1</v>
      </c>
      <c r="AH3168" s="90">
        <v>-1</v>
      </c>
      <c r="AI3168" s="90">
        <v>-1</v>
      </c>
      <c r="AJ3168" s="90">
        <v>0</v>
      </c>
      <c r="AM3168" s="90" t="s">
        <v>379</v>
      </c>
      <c r="AN3168" s="90">
        <v>-1</v>
      </c>
      <c r="AQ3168" s="90">
        <v>391</v>
      </c>
      <c r="AR3168" s="90" t="s">
        <v>315</v>
      </c>
      <c r="AS3168" s="90" t="s">
        <v>430</v>
      </c>
      <c r="AT3168" s="90" t="s">
        <v>244</v>
      </c>
      <c r="AU3168" s="90">
        <v>22.5044</v>
      </c>
      <c r="AV3168" s="90">
        <v>138.40204332305899</v>
      </c>
      <c r="AW3168" s="90">
        <v>619.33695057730904</v>
      </c>
      <c r="AX3168" s="90">
        <v>0.47992770350000002</v>
      </c>
    </row>
    <row r="3169" spans="1:50" x14ac:dyDescent="0.25">
      <c r="A3169" s="102">
        <v>830000</v>
      </c>
      <c r="B3169" s="102">
        <v>2400000</v>
      </c>
      <c r="C3169" s="102">
        <v>2400000</v>
      </c>
      <c r="D3169" s="90" t="s">
        <v>374</v>
      </c>
      <c r="E3169" s="90" t="s">
        <v>68</v>
      </c>
      <c r="F3169" s="90" t="s">
        <v>375</v>
      </c>
      <c r="G3169" s="90" t="s">
        <v>376</v>
      </c>
      <c r="H3169" s="90">
        <v>0.59</v>
      </c>
      <c r="I3169" s="90">
        <v>0.64</v>
      </c>
      <c r="J3169" s="90" t="s">
        <v>381</v>
      </c>
      <c r="K3169" s="90">
        <v>6.0969332475040001E-2</v>
      </c>
      <c r="L3169" s="90">
        <v>3766.1642985213698</v>
      </c>
      <c r="M3169" s="90">
        <v>11.9339834255667</v>
      </c>
      <c r="N3169" s="90">
        <v>1.57199723109769</v>
      </c>
      <c r="O3169" s="90">
        <v>0.72760700322502003</v>
      </c>
      <c r="P3169" s="90">
        <v>9.5843621832640002E-2</v>
      </c>
      <c r="Q3169" s="90">
        <v>229.62052327218299</v>
      </c>
      <c r="R3169" s="90">
        <v>1400</v>
      </c>
      <c r="S3169" s="90" t="s">
        <v>324</v>
      </c>
      <c r="T3169" s="90">
        <v>1400</v>
      </c>
      <c r="U3169" s="90" t="s">
        <v>382</v>
      </c>
      <c r="V3169" s="90" t="s">
        <v>381</v>
      </c>
      <c r="Z3169" s="90">
        <v>0</v>
      </c>
      <c r="AA3169" s="90">
        <v>1</v>
      </c>
      <c r="AB3169" s="90">
        <v>0.72760700322502003</v>
      </c>
      <c r="AC3169" s="90">
        <v>9.5843621832640002E-2</v>
      </c>
      <c r="AD3169" s="90">
        <v>440.09429956854302</v>
      </c>
      <c r="AF3169" s="90">
        <v>-1</v>
      </c>
      <c r="AG3169" s="90">
        <v>-1</v>
      </c>
      <c r="AH3169" s="90">
        <v>-1</v>
      </c>
      <c r="AI3169" s="90">
        <v>-1</v>
      </c>
      <c r="AJ3169" s="90">
        <v>0</v>
      </c>
      <c r="AM3169" s="90" t="s">
        <v>379</v>
      </c>
      <c r="AN3169" s="90">
        <v>-1</v>
      </c>
      <c r="AQ3169" s="90">
        <v>391</v>
      </c>
      <c r="AR3169" s="90" t="s">
        <v>315</v>
      </c>
      <c r="AS3169" s="90" t="s">
        <v>430</v>
      </c>
      <c r="AT3169" s="90" t="s">
        <v>244</v>
      </c>
      <c r="AU3169" s="90">
        <v>22.5044</v>
      </c>
      <c r="AV3169" s="90">
        <v>117.595271168759</v>
      </c>
      <c r="AW3169" s="90">
        <v>246.73413469606399</v>
      </c>
      <c r="AX3169" s="90">
        <v>0.35692968330000002</v>
      </c>
    </row>
    <row r="3170" spans="1:50" x14ac:dyDescent="0.25">
      <c r="A3170" s="102">
        <v>830000</v>
      </c>
      <c r="B3170" s="102">
        <v>2400000</v>
      </c>
      <c r="C3170" s="102">
        <v>2400000</v>
      </c>
      <c r="D3170" s="90" t="s">
        <v>374</v>
      </c>
      <c r="E3170" s="90" t="s">
        <v>68</v>
      </c>
      <c r="F3170" s="90" t="s">
        <v>375</v>
      </c>
      <c r="G3170" s="90" t="s">
        <v>376</v>
      </c>
      <c r="H3170" s="90">
        <v>0.59</v>
      </c>
      <c r="I3170" s="90">
        <v>0.64</v>
      </c>
      <c r="J3170" s="90" t="s">
        <v>244</v>
      </c>
      <c r="K3170" s="90">
        <v>3.4898884841000002E-4</v>
      </c>
      <c r="L3170" s="90">
        <v>3766.1642985213698</v>
      </c>
      <c r="M3170" s="90">
        <v>11.9339834255667</v>
      </c>
      <c r="N3170" s="90">
        <v>1.57199723109769</v>
      </c>
      <c r="O3170" s="90">
        <v>4.1648271326499998E-3</v>
      </c>
      <c r="P3170" s="90">
        <v>5.4860950338000004E-4</v>
      </c>
      <c r="Q3170" s="90">
        <v>1.3143493414713601</v>
      </c>
      <c r="R3170" s="90">
        <v>1410</v>
      </c>
      <c r="S3170" s="90" t="s">
        <v>325</v>
      </c>
      <c r="T3170" s="90">
        <v>1410</v>
      </c>
      <c r="U3170" s="90" t="s">
        <v>378</v>
      </c>
      <c r="V3170" s="90" t="s">
        <v>244</v>
      </c>
      <c r="Z3170" s="90">
        <v>0</v>
      </c>
      <c r="AA3170" s="90">
        <v>1</v>
      </c>
      <c r="AB3170" s="90">
        <v>4.1648271326499998E-3</v>
      </c>
      <c r="AC3170" s="90">
        <v>5.4860950338000004E-4</v>
      </c>
      <c r="AD3170" s="90">
        <v>2.1892392362269999</v>
      </c>
      <c r="AF3170" s="90">
        <v>-1</v>
      </c>
      <c r="AG3170" s="90">
        <v>-1</v>
      </c>
      <c r="AH3170" s="90">
        <v>-1</v>
      </c>
      <c r="AI3170" s="90">
        <v>-1</v>
      </c>
      <c r="AJ3170" s="90">
        <v>0</v>
      </c>
      <c r="AM3170" s="90" t="s">
        <v>379</v>
      </c>
      <c r="AN3170" s="90">
        <v>-1</v>
      </c>
      <c r="AQ3170" s="90">
        <v>391</v>
      </c>
      <c r="AR3170" s="90" t="s">
        <v>315</v>
      </c>
      <c r="AS3170" s="90" t="s">
        <v>430</v>
      </c>
      <c r="AT3170" s="90" t="s">
        <v>244</v>
      </c>
      <c r="AU3170" s="90">
        <v>22.5044</v>
      </c>
      <c r="AV3170" s="90">
        <v>12.7502218692541</v>
      </c>
      <c r="AW3170" s="90">
        <v>1.4123077625418301</v>
      </c>
      <c r="AX3170" s="90">
        <v>1.7755386999999999E-3</v>
      </c>
    </row>
    <row r="3171" spans="1:50" x14ac:dyDescent="0.25">
      <c r="A3171" s="102">
        <v>830000</v>
      </c>
      <c r="B3171" s="102">
        <v>2400000</v>
      </c>
      <c r="C3171" s="102">
        <v>2400000</v>
      </c>
      <c r="D3171" s="90" t="s">
        <v>374</v>
      </c>
      <c r="E3171" s="90" t="s">
        <v>68</v>
      </c>
      <c r="F3171" s="90" t="s">
        <v>375</v>
      </c>
      <c r="G3171" s="90" t="s">
        <v>376</v>
      </c>
      <c r="H3171" s="90">
        <v>0.59</v>
      </c>
      <c r="I3171" s="90">
        <v>0.64</v>
      </c>
      <c r="J3171" s="90" t="s">
        <v>244</v>
      </c>
      <c r="K3171" s="90">
        <v>3.5382227483169999E-2</v>
      </c>
      <c r="L3171" s="90">
        <v>3777.7995630966798</v>
      </c>
      <c r="M3171" s="90">
        <v>11.521248300094101</v>
      </c>
      <c r="N3171" s="90">
        <v>1.5978712444273</v>
      </c>
      <c r="O3171" s="90">
        <v>0.40764742824408001</v>
      </c>
      <c r="P3171" s="90">
        <v>5.6536243859150001E-2</v>
      </c>
      <c r="Q3171" s="90">
        <v>133.66696352732899</v>
      </c>
      <c r="R3171" s="90">
        <v>1300</v>
      </c>
      <c r="S3171" s="90" t="s">
        <v>387</v>
      </c>
      <c r="T3171" s="90">
        <v>1300</v>
      </c>
      <c r="U3171" s="90" t="s">
        <v>378</v>
      </c>
      <c r="V3171" s="90" t="s">
        <v>244</v>
      </c>
      <c r="Z3171" s="90">
        <v>0</v>
      </c>
      <c r="AA3171" s="90">
        <v>1</v>
      </c>
      <c r="AB3171" s="90">
        <v>0.40764742824408001</v>
      </c>
      <c r="AC3171" s="90">
        <v>5.6536243859150001E-2</v>
      </c>
      <c r="AD3171" s="90">
        <v>133.66696352733001</v>
      </c>
      <c r="AF3171" s="90">
        <v>-1</v>
      </c>
      <c r="AG3171" s="90">
        <v>-1</v>
      </c>
      <c r="AH3171" s="90">
        <v>-1</v>
      </c>
      <c r="AI3171" s="90">
        <v>-1</v>
      </c>
      <c r="AJ3171" s="90">
        <v>0</v>
      </c>
      <c r="AM3171" s="90" t="s">
        <v>379</v>
      </c>
      <c r="AN3171" s="90">
        <v>-1</v>
      </c>
      <c r="AQ3171" s="90">
        <v>391</v>
      </c>
      <c r="AR3171" s="90" t="s">
        <v>315</v>
      </c>
      <c r="AS3171" s="90" t="s">
        <v>430</v>
      </c>
      <c r="AT3171" s="90" t="s">
        <v>244</v>
      </c>
      <c r="AU3171" s="90">
        <v>22.5044</v>
      </c>
      <c r="AV3171" s="90">
        <v>47.881951538632102</v>
      </c>
      <c r="AW3171" s="90">
        <v>143.18679452910899</v>
      </c>
      <c r="AX3171" s="90">
        <v>0.10840791850000001</v>
      </c>
    </row>
    <row r="3172" spans="1:50" x14ac:dyDescent="0.25">
      <c r="A3172" s="102">
        <v>830000</v>
      </c>
      <c r="B3172" s="102">
        <v>2400000</v>
      </c>
      <c r="C3172" s="102">
        <v>2400000</v>
      </c>
      <c r="D3172" s="90" t="s">
        <v>374</v>
      </c>
      <c r="E3172" s="90" t="s">
        <v>68</v>
      </c>
      <c r="F3172" s="90" t="s">
        <v>375</v>
      </c>
      <c r="G3172" s="90" t="s">
        <v>376</v>
      </c>
      <c r="H3172" s="90">
        <v>0.59</v>
      </c>
      <c r="I3172" s="90">
        <v>0.64</v>
      </c>
      <c r="J3172" s="90" t="s">
        <v>244</v>
      </c>
      <c r="K3172" s="90">
        <v>0.13680248097933001</v>
      </c>
      <c r="L3172" s="90">
        <v>3777.7995630966798</v>
      </c>
      <c r="M3172" s="90">
        <v>11.521248300094101</v>
      </c>
      <c r="N3172" s="90">
        <v>1.5978712444273</v>
      </c>
      <c r="O3172" s="90">
        <v>1.57613535143179</v>
      </c>
      <c r="P3172" s="90">
        <v>0.21859275052318</v>
      </c>
      <c r="Q3172" s="90">
        <v>516.81235287426205</v>
      </c>
      <c r="R3172" s="90">
        <v>1400</v>
      </c>
      <c r="S3172" s="90" t="s">
        <v>324</v>
      </c>
      <c r="T3172" s="90">
        <v>1400</v>
      </c>
      <c r="U3172" s="90" t="s">
        <v>378</v>
      </c>
      <c r="V3172" s="90" t="s">
        <v>244</v>
      </c>
      <c r="Z3172" s="90">
        <v>0</v>
      </c>
      <c r="AA3172" s="90">
        <v>1</v>
      </c>
      <c r="AB3172" s="90">
        <v>1.57613535143179</v>
      </c>
      <c r="AC3172" s="90">
        <v>0.21859275052318</v>
      </c>
      <c r="AD3172" s="90">
        <v>538.05946009726404</v>
      </c>
      <c r="AF3172" s="90">
        <v>-1</v>
      </c>
      <c r="AG3172" s="90">
        <v>-1</v>
      </c>
      <c r="AH3172" s="90">
        <v>-1</v>
      </c>
      <c r="AI3172" s="90">
        <v>-1</v>
      </c>
      <c r="AJ3172" s="90">
        <v>0</v>
      </c>
      <c r="AM3172" s="90" t="s">
        <v>379</v>
      </c>
      <c r="AN3172" s="90">
        <v>-1</v>
      </c>
      <c r="AQ3172" s="90">
        <v>391</v>
      </c>
      <c r="AR3172" s="90" t="s">
        <v>315</v>
      </c>
      <c r="AS3172" s="90" t="s">
        <v>430</v>
      </c>
      <c r="AT3172" s="90" t="s">
        <v>244</v>
      </c>
      <c r="AU3172" s="90">
        <v>22.5044</v>
      </c>
      <c r="AV3172" s="90">
        <v>127.05696437619601</v>
      </c>
      <c r="AW3172" s="90">
        <v>553.61999875146205</v>
      </c>
      <c r="AX3172" s="90">
        <v>0.43638236829999999</v>
      </c>
    </row>
    <row r="3173" spans="1:50" x14ac:dyDescent="0.25">
      <c r="A3173" s="102">
        <v>830000</v>
      </c>
      <c r="B3173" s="102">
        <v>2400000</v>
      </c>
      <c r="C3173" s="102">
        <v>2400000</v>
      </c>
      <c r="D3173" s="90" t="s">
        <v>374</v>
      </c>
      <c r="E3173" s="90" t="s">
        <v>68</v>
      </c>
      <c r="F3173" s="90" t="s">
        <v>375</v>
      </c>
      <c r="G3173" s="90" t="s">
        <v>376</v>
      </c>
      <c r="H3173" s="90">
        <v>0.59</v>
      </c>
      <c r="I3173" s="90">
        <v>0.64</v>
      </c>
      <c r="J3173" s="90" t="s">
        <v>381</v>
      </c>
      <c r="K3173" s="90">
        <v>3.3588376645050003E-2</v>
      </c>
      <c r="L3173" s="90">
        <v>3777.7995630966798</v>
      </c>
      <c r="M3173" s="90">
        <v>11.521248300094101</v>
      </c>
      <c r="N3173" s="90">
        <v>1.5978712444273</v>
      </c>
      <c r="O3173" s="90">
        <v>0.38698002732470999</v>
      </c>
      <c r="P3173" s="90">
        <v>5.3669901188119998E-2</v>
      </c>
      <c r="Q3173" s="90">
        <v>126.8901546148</v>
      </c>
      <c r="R3173" s="90">
        <v>1400</v>
      </c>
      <c r="S3173" s="90" t="s">
        <v>324</v>
      </c>
      <c r="T3173" s="90">
        <v>1400</v>
      </c>
      <c r="U3173" s="90" t="s">
        <v>382</v>
      </c>
      <c r="V3173" s="90" t="s">
        <v>381</v>
      </c>
      <c r="Z3173" s="90">
        <v>0</v>
      </c>
      <c r="AA3173" s="90">
        <v>1</v>
      </c>
      <c r="AB3173" s="90">
        <v>0.38698002732470999</v>
      </c>
      <c r="AC3173" s="90">
        <v>5.3669901188119998E-2</v>
      </c>
      <c r="AD3173" s="90">
        <v>389.29216509846799</v>
      </c>
      <c r="AF3173" s="90">
        <v>-1</v>
      </c>
      <c r="AG3173" s="90">
        <v>-1</v>
      </c>
      <c r="AH3173" s="90">
        <v>-1</v>
      </c>
      <c r="AI3173" s="90">
        <v>-1</v>
      </c>
      <c r="AJ3173" s="90">
        <v>0</v>
      </c>
      <c r="AM3173" s="90" t="s">
        <v>379</v>
      </c>
      <c r="AN3173" s="90">
        <v>-1</v>
      </c>
      <c r="AQ3173" s="90">
        <v>391</v>
      </c>
      <c r="AR3173" s="90" t="s">
        <v>315</v>
      </c>
      <c r="AS3173" s="90" t="s">
        <v>430</v>
      </c>
      <c r="AT3173" s="90" t="s">
        <v>244</v>
      </c>
      <c r="AU3173" s="90">
        <v>22.5044</v>
      </c>
      <c r="AV3173" s="90">
        <v>105.46702972257501</v>
      </c>
      <c r="AW3173" s="90">
        <v>135.92733774401401</v>
      </c>
      <c r="AX3173" s="90">
        <v>0.31572762780000002</v>
      </c>
    </row>
    <row r="3174" spans="1:50" x14ac:dyDescent="0.25">
      <c r="A3174" s="102">
        <v>830000</v>
      </c>
      <c r="B3174" s="102">
        <v>2400000</v>
      </c>
      <c r="C3174" s="102">
        <v>2400000</v>
      </c>
      <c r="D3174" s="90" t="s">
        <v>374</v>
      </c>
      <c r="E3174" s="90" t="s">
        <v>68</v>
      </c>
      <c r="F3174" s="90" t="s">
        <v>375</v>
      </c>
      <c r="G3174" s="90" t="s">
        <v>376</v>
      </c>
      <c r="H3174" s="90">
        <v>0.59</v>
      </c>
      <c r="I3174" s="90">
        <v>0.64</v>
      </c>
      <c r="J3174" s="90" t="s">
        <v>244</v>
      </c>
      <c r="K3174" s="90">
        <v>0.16942201883281</v>
      </c>
      <c r="L3174" s="90">
        <v>3765.17631526901</v>
      </c>
      <c r="M3174" s="90">
        <v>12.0103362485057</v>
      </c>
      <c r="N3174" s="90">
        <v>1.5812914496982899</v>
      </c>
      <c r="O3174" s="90">
        <v>2.0348154140827499</v>
      </c>
      <c r="P3174" s="90">
        <v>0.26790558977095003</v>
      </c>
      <c r="Q3174" s="90">
        <v>637.90377259436798</v>
      </c>
      <c r="R3174" s="90">
        <v>1400</v>
      </c>
      <c r="S3174" s="90" t="s">
        <v>324</v>
      </c>
      <c r="T3174" s="90">
        <v>1400</v>
      </c>
      <c r="U3174" s="90" t="s">
        <v>378</v>
      </c>
      <c r="V3174" s="90" t="s">
        <v>244</v>
      </c>
      <c r="Z3174" s="90">
        <v>0</v>
      </c>
      <c r="AA3174" s="90">
        <v>1</v>
      </c>
      <c r="AB3174" s="90">
        <v>2.0348154140827499</v>
      </c>
      <c r="AC3174" s="90">
        <v>0.26790558977095003</v>
      </c>
      <c r="AD3174" s="90">
        <v>637.90377259436798</v>
      </c>
      <c r="AF3174" s="90">
        <v>-1</v>
      </c>
      <c r="AG3174" s="90">
        <v>-1</v>
      </c>
      <c r="AH3174" s="90">
        <v>-1</v>
      </c>
      <c r="AI3174" s="90">
        <v>-1</v>
      </c>
      <c r="AJ3174" s="90">
        <v>0</v>
      </c>
      <c r="AM3174" s="90" t="s">
        <v>379</v>
      </c>
      <c r="AN3174" s="90">
        <v>-1</v>
      </c>
      <c r="AQ3174" s="90">
        <v>391</v>
      </c>
      <c r="AR3174" s="90" t="s">
        <v>315</v>
      </c>
      <c r="AS3174" s="90" t="s">
        <v>430</v>
      </c>
      <c r="AT3174" s="90" t="s">
        <v>244</v>
      </c>
      <c r="AU3174" s="90">
        <v>22.5044</v>
      </c>
      <c r="AV3174" s="90">
        <v>152.84336220906999</v>
      </c>
      <c r="AW3174" s="90">
        <v>685.62658500954399</v>
      </c>
      <c r="AX3174" s="90">
        <v>0.51735910190000001</v>
      </c>
    </row>
    <row r="3175" spans="1:50" x14ac:dyDescent="0.25">
      <c r="A3175" s="102">
        <v>830000</v>
      </c>
      <c r="B3175" s="102">
        <v>2400000</v>
      </c>
      <c r="C3175" s="102">
        <v>2400000</v>
      </c>
      <c r="D3175" s="90" t="s">
        <v>374</v>
      </c>
      <c r="E3175" s="90" t="s">
        <v>68</v>
      </c>
      <c r="F3175" s="90" t="s">
        <v>375</v>
      </c>
      <c r="G3175" s="90" t="s">
        <v>376</v>
      </c>
      <c r="H3175" s="90">
        <v>0.59</v>
      </c>
      <c r="I3175" s="90">
        <v>0.64</v>
      </c>
      <c r="J3175" s="90" t="s">
        <v>381</v>
      </c>
      <c r="K3175" s="90">
        <v>9.0910032070549998E-2</v>
      </c>
      <c r="L3175" s="90">
        <v>3765.17631526901</v>
      </c>
      <c r="M3175" s="90">
        <v>12.0103362485057</v>
      </c>
      <c r="N3175" s="90">
        <v>1.5812914496982899</v>
      </c>
      <c r="O3175" s="90">
        <v>1.09186005352974</v>
      </c>
      <c r="P3175" s="90">
        <v>0.14375525640494999</v>
      </c>
      <c r="Q3175" s="90">
        <v>342.29229957238101</v>
      </c>
      <c r="R3175" s="90">
        <v>1400</v>
      </c>
      <c r="S3175" s="90" t="s">
        <v>324</v>
      </c>
      <c r="T3175" s="90">
        <v>1400</v>
      </c>
      <c r="U3175" s="90" t="s">
        <v>382</v>
      </c>
      <c r="V3175" s="90" t="s">
        <v>381</v>
      </c>
      <c r="Z3175" s="90">
        <v>0</v>
      </c>
      <c r="AA3175" s="90">
        <v>1</v>
      </c>
      <c r="AB3175" s="90">
        <v>1.09186005352974</v>
      </c>
      <c r="AC3175" s="90">
        <v>0.14375525640494999</v>
      </c>
      <c r="AD3175" s="90">
        <v>342.29229957238198</v>
      </c>
      <c r="AF3175" s="90">
        <v>-1</v>
      </c>
      <c r="AG3175" s="90">
        <v>-1</v>
      </c>
      <c r="AH3175" s="90">
        <v>-1</v>
      </c>
      <c r="AI3175" s="90">
        <v>-1</v>
      </c>
      <c r="AJ3175" s="90">
        <v>0</v>
      </c>
      <c r="AM3175" s="90" t="s">
        <v>379</v>
      </c>
      <c r="AN3175" s="90">
        <v>-1</v>
      </c>
      <c r="AQ3175" s="90">
        <v>391</v>
      </c>
      <c r="AR3175" s="90" t="s">
        <v>315</v>
      </c>
      <c r="AS3175" s="90" t="s">
        <v>430</v>
      </c>
      <c r="AT3175" s="90" t="s">
        <v>244</v>
      </c>
      <c r="AU3175" s="90">
        <v>22.5044</v>
      </c>
      <c r="AV3175" s="90">
        <v>115.277316805666</v>
      </c>
      <c r="AW3175" s="90">
        <v>367.89984714529601</v>
      </c>
      <c r="AX3175" s="90">
        <v>0.27760932649999998</v>
      </c>
    </row>
    <row r="3176" spans="1:50" x14ac:dyDescent="0.25">
      <c r="A3176" s="102">
        <v>830000</v>
      </c>
      <c r="B3176" s="102">
        <v>2400000</v>
      </c>
      <c r="C3176" s="102">
        <v>2400000</v>
      </c>
      <c r="D3176" s="90" t="s">
        <v>374</v>
      </c>
      <c r="E3176" s="90" t="s">
        <v>68</v>
      </c>
      <c r="F3176" s="90" t="s">
        <v>375</v>
      </c>
      <c r="G3176" s="90" t="s">
        <v>376</v>
      </c>
      <c r="H3176" s="90">
        <v>0.59</v>
      </c>
      <c r="I3176" s="90">
        <v>0.64</v>
      </c>
      <c r="J3176" s="90" t="s">
        <v>244</v>
      </c>
      <c r="K3176" s="90">
        <v>1.2267365675999999E-4</v>
      </c>
      <c r="L3176" s="90">
        <v>3765.17631526901</v>
      </c>
      <c r="M3176" s="90">
        <v>12.0103362485057</v>
      </c>
      <c r="N3176" s="90">
        <v>1.5812914496982899</v>
      </c>
      <c r="O3176" s="90">
        <v>1.47335186661E-3</v>
      </c>
      <c r="P3176" s="90">
        <v>1.9398280454999999E-4</v>
      </c>
      <c r="Q3176" s="90">
        <v>0.46188794697030999</v>
      </c>
      <c r="R3176" s="90">
        <v>1410</v>
      </c>
      <c r="S3176" s="90" t="s">
        <v>325</v>
      </c>
      <c r="T3176" s="90">
        <v>1410</v>
      </c>
      <c r="U3176" s="90" t="s">
        <v>378</v>
      </c>
      <c r="V3176" s="90" t="s">
        <v>244</v>
      </c>
      <c r="Z3176" s="90">
        <v>0</v>
      </c>
      <c r="AA3176" s="90">
        <v>1</v>
      </c>
      <c r="AB3176" s="90">
        <v>1.47335186661E-3</v>
      </c>
      <c r="AC3176" s="90">
        <v>1.9398280454999999E-4</v>
      </c>
      <c r="AD3176" s="90">
        <v>0.46188794696955998</v>
      </c>
      <c r="AF3176" s="90">
        <v>-1</v>
      </c>
      <c r="AG3176" s="90">
        <v>-1</v>
      </c>
      <c r="AH3176" s="90">
        <v>-1</v>
      </c>
      <c r="AI3176" s="90">
        <v>-1</v>
      </c>
      <c r="AJ3176" s="90">
        <v>0</v>
      </c>
      <c r="AM3176" s="90" t="s">
        <v>379</v>
      </c>
      <c r="AN3176" s="90">
        <v>-1</v>
      </c>
      <c r="AQ3176" s="90">
        <v>391</v>
      </c>
      <c r="AR3176" s="90" t="s">
        <v>315</v>
      </c>
      <c r="AS3176" s="90" t="s">
        <v>430</v>
      </c>
      <c r="AT3176" s="90" t="s">
        <v>244</v>
      </c>
      <c r="AU3176" s="90">
        <v>22.5044</v>
      </c>
      <c r="AV3176" s="90">
        <v>12.9468166126513</v>
      </c>
      <c r="AW3176" s="90">
        <v>0.49644267575006001</v>
      </c>
      <c r="AX3176" s="90">
        <v>3.7460500000000002E-4</v>
      </c>
    </row>
    <row r="3177" spans="1:50" x14ac:dyDescent="0.25">
      <c r="A3177" s="102">
        <v>830000</v>
      </c>
      <c r="B3177" s="102">
        <v>2400000</v>
      </c>
      <c r="C3177" s="102">
        <v>2400000</v>
      </c>
      <c r="D3177" s="90" t="s">
        <v>374</v>
      </c>
      <c r="E3177" s="90" t="s">
        <v>68</v>
      </c>
      <c r="F3177" s="90" t="s">
        <v>375</v>
      </c>
      <c r="G3177" s="90" t="s">
        <v>376</v>
      </c>
      <c r="H3177" s="90">
        <v>0.59</v>
      </c>
      <c r="I3177" s="90">
        <v>0.64</v>
      </c>
      <c r="J3177" s="90" t="s">
        <v>244</v>
      </c>
      <c r="K3177" s="90">
        <v>0.32889736799904001</v>
      </c>
      <c r="L3177" s="90">
        <v>3763.4851427663398</v>
      </c>
      <c r="M3177" s="90">
        <v>10.1014979891092</v>
      </c>
      <c r="N3177" s="90">
        <v>1.3440496003072899</v>
      </c>
      <c r="O3177" s="90">
        <v>3.3223561014656799</v>
      </c>
      <c r="P3177" s="90">
        <v>0.44205437600123998</v>
      </c>
      <c r="Q3177" s="90">
        <v>1237.8003579593601</v>
      </c>
      <c r="R3177" s="90">
        <v>1400</v>
      </c>
      <c r="S3177" s="90" t="s">
        <v>324</v>
      </c>
      <c r="T3177" s="90">
        <v>1400</v>
      </c>
      <c r="U3177" s="90" t="s">
        <v>378</v>
      </c>
      <c r="V3177" s="90" t="s">
        <v>244</v>
      </c>
      <c r="Z3177" s="90">
        <v>0</v>
      </c>
      <c r="AA3177" s="90">
        <v>1</v>
      </c>
      <c r="AB3177" s="90">
        <v>3.3223561014656799</v>
      </c>
      <c r="AC3177" s="90">
        <v>0.44205437600123998</v>
      </c>
      <c r="AD3177" s="90">
        <v>1237.8003579593601</v>
      </c>
      <c r="AF3177" s="90">
        <v>-1</v>
      </c>
      <c r="AG3177" s="90">
        <v>-1</v>
      </c>
      <c r="AH3177" s="90">
        <v>-1</v>
      </c>
      <c r="AI3177" s="90">
        <v>-1</v>
      </c>
      <c r="AJ3177" s="90">
        <v>0</v>
      </c>
      <c r="AM3177" s="90" t="s">
        <v>379</v>
      </c>
      <c r="AN3177" s="90">
        <v>-1</v>
      </c>
      <c r="AQ3177" s="90">
        <v>391</v>
      </c>
      <c r="AR3177" s="90" t="s">
        <v>315</v>
      </c>
      <c r="AS3177" s="90" t="s">
        <v>430</v>
      </c>
      <c r="AT3177" s="90" t="s">
        <v>244</v>
      </c>
      <c r="AU3177" s="90">
        <v>22.5044</v>
      </c>
      <c r="AV3177" s="90">
        <v>153.179795625243</v>
      </c>
      <c r="AW3177" s="90">
        <v>1331.00042599739</v>
      </c>
      <c r="AX3177" s="90">
        <v>1.0038932344</v>
      </c>
    </row>
    <row r="3178" spans="1:50" x14ac:dyDescent="0.25">
      <c r="A3178" s="102">
        <v>830000</v>
      </c>
      <c r="B3178" s="102">
        <v>2400000</v>
      </c>
      <c r="C3178" s="102">
        <v>2400000</v>
      </c>
      <c r="D3178" s="90" t="s">
        <v>374</v>
      </c>
      <c r="E3178" s="90" t="s">
        <v>68</v>
      </c>
      <c r="F3178" s="90" t="s">
        <v>375</v>
      </c>
      <c r="G3178" s="90" t="s">
        <v>376</v>
      </c>
      <c r="H3178" s="90">
        <v>0.59</v>
      </c>
      <c r="I3178" s="90">
        <v>0.64</v>
      </c>
      <c r="J3178" s="90" t="s">
        <v>244</v>
      </c>
      <c r="K3178" s="90">
        <v>1.2542467368900001E-3</v>
      </c>
      <c r="L3178" s="90">
        <v>3763.4851427663398</v>
      </c>
      <c r="M3178" s="90">
        <v>10.1014979891092</v>
      </c>
      <c r="N3178" s="90">
        <v>1.3440496003072899</v>
      </c>
      <c r="O3178" s="90">
        <v>1.266977089054E-2</v>
      </c>
      <c r="P3178" s="90">
        <v>1.6857698254E-3</v>
      </c>
      <c r="Q3178" s="90">
        <v>4.7203389596486804</v>
      </c>
      <c r="R3178" s="90">
        <v>1410</v>
      </c>
      <c r="S3178" s="90" t="s">
        <v>325</v>
      </c>
      <c r="T3178" s="90">
        <v>1410</v>
      </c>
      <c r="U3178" s="90" t="s">
        <v>378</v>
      </c>
      <c r="V3178" s="90" t="s">
        <v>244</v>
      </c>
      <c r="Z3178" s="90">
        <v>0</v>
      </c>
      <c r="AA3178" s="90">
        <v>1</v>
      </c>
      <c r="AB3178" s="90">
        <v>1.266977089054E-2</v>
      </c>
      <c r="AC3178" s="90">
        <v>1.6857698254E-3</v>
      </c>
      <c r="AD3178" s="90">
        <v>4.7203389596480401</v>
      </c>
      <c r="AF3178" s="90">
        <v>-1</v>
      </c>
      <c r="AG3178" s="90">
        <v>-1</v>
      </c>
      <c r="AH3178" s="90">
        <v>-1</v>
      </c>
      <c r="AI3178" s="90">
        <v>-1</v>
      </c>
      <c r="AJ3178" s="90">
        <v>0</v>
      </c>
      <c r="AM3178" s="90" t="s">
        <v>379</v>
      </c>
      <c r="AN3178" s="90">
        <v>-1</v>
      </c>
      <c r="AQ3178" s="90">
        <v>391</v>
      </c>
      <c r="AR3178" s="90" t="s">
        <v>315</v>
      </c>
      <c r="AS3178" s="90" t="s">
        <v>430</v>
      </c>
      <c r="AT3178" s="90" t="s">
        <v>244</v>
      </c>
      <c r="AU3178" s="90">
        <v>22.5044</v>
      </c>
      <c r="AV3178" s="90">
        <v>10.208223216112399</v>
      </c>
      <c r="AW3178" s="90">
        <v>5.0757564624568499</v>
      </c>
      <c r="AX3178" s="90">
        <v>3.8283365000000001E-3</v>
      </c>
    </row>
    <row r="3179" spans="1:50" x14ac:dyDescent="0.25">
      <c r="A3179" s="102">
        <v>830000</v>
      </c>
      <c r="B3179" s="102">
        <v>2400000</v>
      </c>
      <c r="C3179" s="102">
        <v>2400000</v>
      </c>
      <c r="D3179" s="90" t="s">
        <v>374</v>
      </c>
      <c r="E3179" s="90" t="s">
        <v>68</v>
      </c>
      <c r="F3179" s="90" t="s">
        <v>375</v>
      </c>
      <c r="G3179" s="90" t="s">
        <v>376</v>
      </c>
      <c r="H3179" s="90">
        <v>0.59</v>
      </c>
      <c r="I3179" s="90">
        <v>0.64</v>
      </c>
      <c r="J3179" s="90" t="s">
        <v>244</v>
      </c>
      <c r="K3179" s="90">
        <v>3.8136682106040001E-2</v>
      </c>
      <c r="L3179" s="90">
        <v>3763.4851427663398</v>
      </c>
      <c r="M3179" s="90">
        <v>10.1014979891092</v>
      </c>
      <c r="N3179" s="90">
        <v>1.3440496003072899</v>
      </c>
      <c r="O3179" s="90">
        <v>0.38523761760551001</v>
      </c>
      <c r="P3179" s="90">
        <v>5.1257592341670002E-2</v>
      </c>
      <c r="Q3179" s="90">
        <v>143.52683650050301</v>
      </c>
      <c r="R3179" s="90">
        <v>1410</v>
      </c>
      <c r="S3179" s="90" t="s">
        <v>325</v>
      </c>
      <c r="T3179" s="90">
        <v>1410</v>
      </c>
      <c r="U3179" s="90" t="s">
        <v>378</v>
      </c>
      <c r="V3179" s="90" t="s">
        <v>244</v>
      </c>
      <c r="Z3179" s="90">
        <v>0</v>
      </c>
      <c r="AA3179" s="90">
        <v>1</v>
      </c>
      <c r="AB3179" s="90">
        <v>0.38523761760551001</v>
      </c>
      <c r="AC3179" s="90">
        <v>5.1257592341670002E-2</v>
      </c>
      <c r="AD3179" s="90">
        <v>143.52683650050199</v>
      </c>
      <c r="AF3179" s="90">
        <v>-1</v>
      </c>
      <c r="AG3179" s="90">
        <v>-1</v>
      </c>
      <c r="AH3179" s="90">
        <v>-1</v>
      </c>
      <c r="AI3179" s="90">
        <v>-1</v>
      </c>
      <c r="AJ3179" s="90">
        <v>0</v>
      </c>
      <c r="AM3179" s="90" t="s">
        <v>379</v>
      </c>
      <c r="AN3179" s="90">
        <v>-1</v>
      </c>
      <c r="AQ3179" s="90">
        <v>391</v>
      </c>
      <c r="AR3179" s="90" t="s">
        <v>315</v>
      </c>
      <c r="AS3179" s="90" t="s">
        <v>430</v>
      </c>
      <c r="AT3179" s="90" t="s">
        <v>244</v>
      </c>
      <c r="AU3179" s="90">
        <v>22.5044</v>
      </c>
      <c r="AV3179" s="90">
        <v>81.461966234885395</v>
      </c>
      <c r="AW3179" s="90">
        <v>154.33367690987399</v>
      </c>
      <c r="AX3179" s="90">
        <v>0.1164045714</v>
      </c>
    </row>
    <row r="3180" spans="1:50" x14ac:dyDescent="0.25">
      <c r="A3180" s="102">
        <v>830000</v>
      </c>
      <c r="B3180" s="102">
        <v>2400000</v>
      </c>
      <c r="C3180" s="102">
        <v>2400000</v>
      </c>
      <c r="D3180" s="90" t="s">
        <v>374</v>
      </c>
      <c r="E3180" s="90" t="s">
        <v>68</v>
      </c>
      <c r="F3180" s="90" t="s">
        <v>375</v>
      </c>
      <c r="G3180" s="90" t="s">
        <v>376</v>
      </c>
      <c r="H3180" s="90">
        <v>0.59</v>
      </c>
      <c r="I3180" s="90">
        <v>0.64</v>
      </c>
      <c r="J3180" s="90" t="s">
        <v>244</v>
      </c>
      <c r="K3180" s="90">
        <v>1.453999047599E-2</v>
      </c>
      <c r="L3180" s="90">
        <v>3763.4851427663398</v>
      </c>
      <c r="M3180" s="90">
        <v>10.1014979891092</v>
      </c>
      <c r="N3180" s="90">
        <v>1.3440496003072899</v>
      </c>
      <c r="O3180" s="90">
        <v>0.14687568455496999</v>
      </c>
      <c r="P3180" s="90">
        <v>1.9542468387730001E-2</v>
      </c>
      <c r="Q3180" s="90">
        <v>54.721038132386397</v>
      </c>
      <c r="R3180" s="90">
        <v>1420</v>
      </c>
      <c r="S3180" s="90" t="s">
        <v>327</v>
      </c>
      <c r="T3180" s="90">
        <v>1420</v>
      </c>
      <c r="U3180" s="90" t="s">
        <v>378</v>
      </c>
      <c r="V3180" s="90" t="s">
        <v>244</v>
      </c>
      <c r="Z3180" s="90">
        <v>0</v>
      </c>
      <c r="AA3180" s="90">
        <v>1</v>
      </c>
      <c r="AB3180" s="90">
        <v>0.14687568455496999</v>
      </c>
      <c r="AC3180" s="90">
        <v>1.9542468387730001E-2</v>
      </c>
      <c r="AD3180" s="90">
        <v>54.721038132384898</v>
      </c>
      <c r="AF3180" s="90">
        <v>-1</v>
      </c>
      <c r="AG3180" s="90">
        <v>-1</v>
      </c>
      <c r="AH3180" s="90">
        <v>-1</v>
      </c>
      <c r="AI3180" s="90">
        <v>-1</v>
      </c>
      <c r="AJ3180" s="90">
        <v>0</v>
      </c>
      <c r="AM3180" s="90" t="s">
        <v>379</v>
      </c>
      <c r="AN3180" s="90">
        <v>-1</v>
      </c>
      <c r="AQ3180" s="90">
        <v>391</v>
      </c>
      <c r="AR3180" s="90" t="s">
        <v>315</v>
      </c>
      <c r="AS3180" s="90" t="s">
        <v>430</v>
      </c>
      <c r="AT3180" s="90" t="s">
        <v>244</v>
      </c>
      <c r="AU3180" s="90">
        <v>22.5044</v>
      </c>
      <c r="AV3180" s="90">
        <v>33.989260094646397</v>
      </c>
      <c r="AW3180" s="90">
        <v>58.841253839429903</v>
      </c>
      <c r="AX3180" s="90">
        <v>4.4380403999999998E-2</v>
      </c>
    </row>
    <row r="3181" spans="1:50" x14ac:dyDescent="0.25">
      <c r="A3181" s="102">
        <v>830000</v>
      </c>
      <c r="B3181" s="102">
        <v>2400000</v>
      </c>
      <c r="C3181" s="102">
        <v>2400000</v>
      </c>
      <c r="D3181" s="90" t="s">
        <v>374</v>
      </c>
      <c r="E3181" s="90" t="s">
        <v>68</v>
      </c>
      <c r="F3181" s="90" t="s">
        <v>375</v>
      </c>
      <c r="G3181" s="90" t="s">
        <v>376</v>
      </c>
      <c r="H3181" s="90">
        <v>0.59</v>
      </c>
      <c r="I3181" s="90">
        <v>0.64</v>
      </c>
      <c r="J3181" s="90" t="s">
        <v>244</v>
      </c>
      <c r="K3181" s="90">
        <v>5.0601152051199999E-2</v>
      </c>
      <c r="L3181" s="90">
        <v>3829.5798420525098</v>
      </c>
      <c r="M3181" s="90">
        <v>10.579595238091001</v>
      </c>
      <c r="N3181" s="90">
        <v>1.4537198822919</v>
      </c>
      <c r="O3181" s="90">
        <v>0.53533970728279001</v>
      </c>
      <c r="P3181" s="90">
        <v>7.3559900803700007E-2</v>
      </c>
      <c r="Q3181" s="90">
        <v>193.78115187991</v>
      </c>
      <c r="R3181" s="90">
        <v>1410</v>
      </c>
      <c r="S3181" s="90" t="s">
        <v>325</v>
      </c>
      <c r="T3181" s="90">
        <v>1410</v>
      </c>
      <c r="U3181" s="90" t="s">
        <v>378</v>
      </c>
      <c r="V3181" s="90" t="s">
        <v>244</v>
      </c>
      <c r="Z3181" s="90">
        <v>0</v>
      </c>
      <c r="AA3181" s="90">
        <v>1</v>
      </c>
      <c r="AB3181" s="90">
        <v>0.53533970728279001</v>
      </c>
      <c r="AC3181" s="90">
        <v>7.3559900803700007E-2</v>
      </c>
      <c r="AD3181" s="90">
        <v>806.03726272152403</v>
      </c>
      <c r="AF3181" s="90">
        <v>-1</v>
      </c>
      <c r="AG3181" s="90">
        <v>-1</v>
      </c>
      <c r="AH3181" s="90">
        <v>-1</v>
      </c>
      <c r="AI3181" s="90">
        <v>-1</v>
      </c>
      <c r="AJ3181" s="90">
        <v>0</v>
      </c>
      <c r="AM3181" s="90" t="s">
        <v>379</v>
      </c>
      <c r="AN3181" s="90">
        <v>-1</v>
      </c>
      <c r="AQ3181" s="90">
        <v>391</v>
      </c>
      <c r="AR3181" s="90" t="s">
        <v>315</v>
      </c>
      <c r="AS3181" s="90" t="s">
        <v>430</v>
      </c>
      <c r="AT3181" s="90" t="s">
        <v>244</v>
      </c>
      <c r="AU3181" s="90">
        <v>22.5044</v>
      </c>
      <c r="AV3181" s="90">
        <v>73.419012997997299</v>
      </c>
      <c r="AW3181" s="90">
        <v>204.775597159239</v>
      </c>
      <c r="AX3181" s="90">
        <v>0.65372040769999995</v>
      </c>
    </row>
    <row r="3182" spans="1:50" x14ac:dyDescent="0.25">
      <c r="A3182" s="102">
        <v>830000</v>
      </c>
      <c r="B3182" s="102">
        <v>2400000</v>
      </c>
      <c r="C3182" s="102">
        <v>2400000</v>
      </c>
      <c r="D3182" s="90" t="s">
        <v>374</v>
      </c>
      <c r="E3182" s="90" t="s">
        <v>68</v>
      </c>
      <c r="F3182" s="90" t="s">
        <v>375</v>
      </c>
      <c r="G3182" s="90" t="s">
        <v>376</v>
      </c>
      <c r="H3182" s="90">
        <v>0.59</v>
      </c>
      <c r="I3182" s="90">
        <v>0.64</v>
      </c>
      <c r="J3182" s="90" t="s">
        <v>244</v>
      </c>
      <c r="K3182" s="90">
        <v>5.8613341540799998E-3</v>
      </c>
      <c r="L3182" s="90">
        <v>3800.5498850239301</v>
      </c>
      <c r="M3182" s="90">
        <v>10.455098689695401</v>
      </c>
      <c r="N3182" s="90">
        <v>1.75395756062439</v>
      </c>
      <c r="O3182" s="90">
        <v>6.1280827034180002E-2</v>
      </c>
      <c r="P3182" s="90">
        <v>1.028053135489E-2</v>
      </c>
      <c r="Q3182" s="90">
        <v>22.2762928453756</v>
      </c>
      <c r="R3182" s="90">
        <v>1400</v>
      </c>
      <c r="S3182" s="90" t="s">
        <v>324</v>
      </c>
      <c r="T3182" s="90">
        <v>1400</v>
      </c>
      <c r="U3182" s="90" t="s">
        <v>378</v>
      </c>
      <c r="V3182" s="90" t="s">
        <v>244</v>
      </c>
      <c r="Z3182" s="90">
        <v>0</v>
      </c>
      <c r="AA3182" s="90">
        <v>1</v>
      </c>
      <c r="AB3182" s="90">
        <v>6.1280827034180002E-2</v>
      </c>
      <c r="AC3182" s="90">
        <v>1.028053135489E-2</v>
      </c>
      <c r="AD3182" s="90">
        <v>22.276292845374201</v>
      </c>
      <c r="AF3182" s="90">
        <v>-1</v>
      </c>
      <c r="AG3182" s="90">
        <v>-1</v>
      </c>
      <c r="AH3182" s="90">
        <v>-1</v>
      </c>
      <c r="AI3182" s="90">
        <v>-1</v>
      </c>
      <c r="AJ3182" s="90">
        <v>0</v>
      </c>
      <c r="AM3182" s="90" t="s">
        <v>379</v>
      </c>
      <c r="AN3182" s="90">
        <v>-1</v>
      </c>
      <c r="AQ3182" s="90">
        <v>391</v>
      </c>
      <c r="AR3182" s="90" t="s">
        <v>315</v>
      </c>
      <c r="AS3182" s="90" t="s">
        <v>430</v>
      </c>
      <c r="AT3182" s="90" t="s">
        <v>244</v>
      </c>
      <c r="AU3182" s="90">
        <v>22.5044</v>
      </c>
      <c r="AV3182" s="90">
        <v>100.903444175424</v>
      </c>
      <c r="AW3182" s="90">
        <v>23.7199777652697</v>
      </c>
      <c r="AX3182" s="90">
        <v>1.8066742E-2</v>
      </c>
    </row>
    <row r="3183" spans="1:50" x14ac:dyDescent="0.25">
      <c r="A3183" s="102">
        <v>830000</v>
      </c>
      <c r="B3183" s="102">
        <v>2400000</v>
      </c>
      <c r="C3183" s="102">
        <v>2400000</v>
      </c>
      <c r="D3183" s="90" t="s">
        <v>374</v>
      </c>
      <c r="E3183" s="90" t="s">
        <v>68</v>
      </c>
      <c r="F3183" s="90" t="s">
        <v>375</v>
      </c>
      <c r="G3183" s="90" t="s">
        <v>376</v>
      </c>
      <c r="H3183" s="90">
        <v>0.59</v>
      </c>
      <c r="I3183" s="90">
        <v>0.64</v>
      </c>
      <c r="J3183" s="90" t="s">
        <v>381</v>
      </c>
      <c r="K3183" s="90">
        <v>5.5349249948970003E-2</v>
      </c>
      <c r="L3183" s="90">
        <v>3800.5498850239301</v>
      </c>
      <c r="M3183" s="90">
        <v>10.455098689695401</v>
      </c>
      <c r="N3183" s="90">
        <v>1.75395756062439</v>
      </c>
      <c r="O3183" s="90">
        <v>0.57868187061712995</v>
      </c>
      <c r="P3183" s="90">
        <v>9.7080235422890002E-2</v>
      </c>
      <c r="Q3183" s="90">
        <v>210.35758552972999</v>
      </c>
      <c r="R3183" s="90">
        <v>1400</v>
      </c>
      <c r="S3183" s="90" t="s">
        <v>324</v>
      </c>
      <c r="T3183" s="90">
        <v>1400</v>
      </c>
      <c r="U3183" s="90" t="s">
        <v>382</v>
      </c>
      <c r="V3183" s="90" t="s">
        <v>381</v>
      </c>
      <c r="Z3183" s="90">
        <v>0</v>
      </c>
      <c r="AA3183" s="90">
        <v>1</v>
      </c>
      <c r="AB3183" s="90">
        <v>0.57868187061712995</v>
      </c>
      <c r="AC3183" s="90">
        <v>9.7080235422890002E-2</v>
      </c>
      <c r="AD3183" s="90">
        <v>210.35758552972899</v>
      </c>
      <c r="AF3183" s="90">
        <v>-1</v>
      </c>
      <c r="AG3183" s="90">
        <v>-1</v>
      </c>
      <c r="AH3183" s="90">
        <v>-1</v>
      </c>
      <c r="AI3183" s="90">
        <v>-1</v>
      </c>
      <c r="AJ3183" s="90">
        <v>0</v>
      </c>
      <c r="AM3183" s="90" t="s">
        <v>379</v>
      </c>
      <c r="AN3183" s="90">
        <v>-1</v>
      </c>
      <c r="AQ3183" s="90">
        <v>391</v>
      </c>
      <c r="AR3183" s="90" t="s">
        <v>315</v>
      </c>
      <c r="AS3183" s="90" t="s">
        <v>430</v>
      </c>
      <c r="AT3183" s="90" t="s">
        <v>244</v>
      </c>
      <c r="AU3183" s="90">
        <v>22.5044</v>
      </c>
      <c r="AV3183" s="90">
        <v>109.04422206679401</v>
      </c>
      <c r="AW3183" s="90">
        <v>223.99046763102399</v>
      </c>
      <c r="AX3183" s="90">
        <v>0.17060631430000001</v>
      </c>
    </row>
    <row r="3184" spans="1:50" x14ac:dyDescent="0.25">
      <c r="A3184" s="102">
        <v>830000</v>
      </c>
      <c r="B3184" s="102">
        <v>2400000</v>
      </c>
      <c r="C3184" s="102">
        <v>2400000</v>
      </c>
      <c r="D3184" s="90" t="s">
        <v>374</v>
      </c>
      <c r="E3184" s="90" t="s">
        <v>68</v>
      </c>
      <c r="F3184" s="90" t="s">
        <v>375</v>
      </c>
      <c r="G3184" s="90" t="s">
        <v>376</v>
      </c>
      <c r="H3184" s="90">
        <v>0.59</v>
      </c>
      <c r="I3184" s="90">
        <v>0.64</v>
      </c>
      <c r="J3184" s="90" t="s">
        <v>244</v>
      </c>
      <c r="K3184" s="90">
        <v>7.3829256543000001E-4</v>
      </c>
      <c r="L3184" s="90">
        <v>3800.5498850239301</v>
      </c>
      <c r="M3184" s="90">
        <v>10.455098689695401</v>
      </c>
      <c r="N3184" s="90">
        <v>1.75395756062439</v>
      </c>
      <c r="O3184" s="90">
        <v>7.71892163345E-3</v>
      </c>
      <c r="P3184" s="90">
        <v>1.2949338270900001E-3</v>
      </c>
      <c r="Q3184" s="90">
        <v>2.8059177246628102</v>
      </c>
      <c r="R3184" s="90">
        <v>1410</v>
      </c>
      <c r="S3184" s="90" t="s">
        <v>325</v>
      </c>
      <c r="T3184" s="90">
        <v>1410</v>
      </c>
      <c r="U3184" s="90" t="s">
        <v>378</v>
      </c>
      <c r="V3184" s="90" t="s">
        <v>244</v>
      </c>
      <c r="Z3184" s="90">
        <v>0</v>
      </c>
      <c r="AA3184" s="90">
        <v>1</v>
      </c>
      <c r="AB3184" s="90">
        <v>7.71892163345E-3</v>
      </c>
      <c r="AC3184" s="90">
        <v>1.2949338270900001E-3</v>
      </c>
      <c r="AD3184" s="90">
        <v>2.8059177246628</v>
      </c>
      <c r="AF3184" s="90">
        <v>-1</v>
      </c>
      <c r="AG3184" s="90">
        <v>-1</v>
      </c>
      <c r="AH3184" s="90">
        <v>-1</v>
      </c>
      <c r="AI3184" s="90">
        <v>-1</v>
      </c>
      <c r="AJ3184" s="90">
        <v>0</v>
      </c>
      <c r="AM3184" s="90" t="s">
        <v>379</v>
      </c>
      <c r="AN3184" s="90">
        <v>-1</v>
      </c>
      <c r="AQ3184" s="90">
        <v>391</v>
      </c>
      <c r="AR3184" s="90" t="s">
        <v>315</v>
      </c>
      <c r="AS3184" s="90" t="s">
        <v>430</v>
      </c>
      <c r="AT3184" s="90" t="s">
        <v>244</v>
      </c>
      <c r="AU3184" s="90">
        <v>22.5044</v>
      </c>
      <c r="AV3184" s="90">
        <v>10.0016730309842</v>
      </c>
      <c r="AW3184" s="90">
        <v>2.9877640100246001</v>
      </c>
      <c r="AX3184" s="90">
        <v>2.2756834999999999E-3</v>
      </c>
    </row>
    <row r="3185" spans="1:50" x14ac:dyDescent="0.25">
      <c r="A3185" s="102">
        <v>830000</v>
      </c>
      <c r="B3185" s="102">
        <v>2400000</v>
      </c>
      <c r="C3185" s="102">
        <v>2400000</v>
      </c>
      <c r="D3185" s="90" t="s">
        <v>374</v>
      </c>
      <c r="E3185" s="90" t="s">
        <v>68</v>
      </c>
      <c r="F3185" s="90" t="s">
        <v>375</v>
      </c>
      <c r="G3185" s="90" t="s">
        <v>376</v>
      </c>
      <c r="H3185" s="90">
        <v>0.59</v>
      </c>
      <c r="I3185" s="90">
        <v>0.64</v>
      </c>
      <c r="J3185" s="90" t="s">
        <v>244</v>
      </c>
      <c r="K3185" s="90">
        <v>4.1914569259570003E-2</v>
      </c>
      <c r="L3185" s="90">
        <v>3800.5498850239301</v>
      </c>
      <c r="M3185" s="90">
        <v>10.455098689695401</v>
      </c>
      <c r="N3185" s="90">
        <v>1.75395756062439</v>
      </c>
      <c r="O3185" s="90">
        <v>0.43822095814493001</v>
      </c>
      <c r="P3185" s="90">
        <v>7.3516375653139995E-2</v>
      </c>
      <c r="Q3185" s="90">
        <v>159.298411380305</v>
      </c>
      <c r="R3185" s="90">
        <v>1430</v>
      </c>
      <c r="S3185" s="90" t="s">
        <v>326</v>
      </c>
      <c r="T3185" s="90">
        <v>1430</v>
      </c>
      <c r="U3185" s="90" t="s">
        <v>378</v>
      </c>
      <c r="V3185" s="90" t="s">
        <v>244</v>
      </c>
      <c r="Z3185" s="90">
        <v>0</v>
      </c>
      <c r="AA3185" s="90">
        <v>1</v>
      </c>
      <c r="AB3185" s="90">
        <v>0.43822095814493001</v>
      </c>
      <c r="AC3185" s="90">
        <v>7.3516375653139995E-2</v>
      </c>
      <c r="AD3185" s="90">
        <v>159.298411380305</v>
      </c>
      <c r="AF3185" s="90">
        <v>-1</v>
      </c>
      <c r="AG3185" s="90">
        <v>-1</v>
      </c>
      <c r="AH3185" s="90">
        <v>-1</v>
      </c>
      <c r="AI3185" s="90">
        <v>-1</v>
      </c>
      <c r="AJ3185" s="90">
        <v>0</v>
      </c>
      <c r="AM3185" s="90" t="s">
        <v>379</v>
      </c>
      <c r="AN3185" s="90">
        <v>-1</v>
      </c>
      <c r="AQ3185" s="90">
        <v>391</v>
      </c>
      <c r="AR3185" s="90" t="s">
        <v>315</v>
      </c>
      <c r="AS3185" s="90" t="s">
        <v>430</v>
      </c>
      <c r="AT3185" s="90" t="s">
        <v>244</v>
      </c>
      <c r="AU3185" s="90">
        <v>22.5044</v>
      </c>
      <c r="AV3185" s="90">
        <v>95.704010453258505</v>
      </c>
      <c r="AW3185" s="90">
        <v>169.62224380024</v>
      </c>
      <c r="AX3185" s="90">
        <v>0.1291957919</v>
      </c>
    </row>
    <row r="3186" spans="1:50" x14ac:dyDescent="0.25">
      <c r="A3186" s="102">
        <v>830000</v>
      </c>
      <c r="B3186" s="102">
        <v>2400000</v>
      </c>
      <c r="C3186" s="102">
        <v>2400000</v>
      </c>
      <c r="D3186" s="90" t="s">
        <v>374</v>
      </c>
      <c r="E3186" s="90" t="s">
        <v>68</v>
      </c>
      <c r="F3186" s="90" t="s">
        <v>375</v>
      </c>
      <c r="G3186" s="90" t="s">
        <v>376</v>
      </c>
      <c r="H3186" s="90">
        <v>0.59</v>
      </c>
      <c r="I3186" s="90">
        <v>0.64</v>
      </c>
      <c r="J3186" s="90" t="s">
        <v>244</v>
      </c>
      <c r="K3186" s="90">
        <v>2.6229475848799999E-3</v>
      </c>
      <c r="L3186" s="90">
        <v>3800.5498850239301</v>
      </c>
      <c r="M3186" s="90">
        <v>10.455098689695401</v>
      </c>
      <c r="N3186" s="90">
        <v>1.75395756062439</v>
      </c>
      <c r="O3186" s="90">
        <v>2.7423175857910001E-2</v>
      </c>
      <c r="P3186" s="90">
        <v>4.6005387476299999E-3</v>
      </c>
      <c r="Q3186" s="90">
        <v>9.9686431421736899</v>
      </c>
      <c r="R3186" s="90">
        <v>1410</v>
      </c>
      <c r="S3186" s="90" t="s">
        <v>325</v>
      </c>
      <c r="T3186" s="90">
        <v>1410</v>
      </c>
      <c r="U3186" s="90" t="s">
        <v>378</v>
      </c>
      <c r="V3186" s="90" t="s">
        <v>244</v>
      </c>
      <c r="Z3186" s="90">
        <v>0</v>
      </c>
      <c r="AA3186" s="90">
        <v>1</v>
      </c>
      <c r="AB3186" s="90">
        <v>2.7423175857910001E-2</v>
      </c>
      <c r="AC3186" s="90">
        <v>4.6005387476299999E-3</v>
      </c>
      <c r="AD3186" s="90">
        <v>9.9686431421742991</v>
      </c>
      <c r="AF3186" s="90">
        <v>-1</v>
      </c>
      <c r="AG3186" s="90">
        <v>-1</v>
      </c>
      <c r="AH3186" s="90">
        <v>-1</v>
      </c>
      <c r="AI3186" s="90">
        <v>-1</v>
      </c>
      <c r="AJ3186" s="90">
        <v>0</v>
      </c>
      <c r="AM3186" s="90" t="s">
        <v>379</v>
      </c>
      <c r="AN3186" s="90">
        <v>-1</v>
      </c>
      <c r="AQ3186" s="90">
        <v>391</v>
      </c>
      <c r="AR3186" s="90" t="s">
        <v>315</v>
      </c>
      <c r="AS3186" s="90" t="s">
        <v>430</v>
      </c>
      <c r="AT3186" s="90" t="s">
        <v>244</v>
      </c>
      <c r="AU3186" s="90">
        <v>22.5044</v>
      </c>
      <c r="AV3186" s="90">
        <v>31.935366939557799</v>
      </c>
      <c r="AW3186" s="90">
        <v>10.614692279527199</v>
      </c>
      <c r="AX3186" s="90">
        <v>8.0848686999999992E-3</v>
      </c>
    </row>
    <row r="3187" spans="1:50" x14ac:dyDescent="0.25">
      <c r="A3187" s="102">
        <v>830000</v>
      </c>
      <c r="B3187" s="102">
        <v>2400000</v>
      </c>
      <c r="C3187" s="102">
        <v>2400000</v>
      </c>
      <c r="D3187" s="90" t="s">
        <v>374</v>
      </c>
      <c r="E3187" s="90" t="s">
        <v>68</v>
      </c>
      <c r="F3187" s="90" t="s">
        <v>375</v>
      </c>
      <c r="G3187" s="90" t="s">
        <v>376</v>
      </c>
      <c r="H3187" s="90">
        <v>0.59</v>
      </c>
      <c r="I3187" s="90">
        <v>0.64</v>
      </c>
      <c r="J3187" s="90" t="s">
        <v>244</v>
      </c>
      <c r="K3187" s="90">
        <v>0.16657748002003001</v>
      </c>
      <c r="L3187" s="90">
        <v>3800.5498850239301</v>
      </c>
      <c r="M3187" s="90">
        <v>10.455098689695401</v>
      </c>
      <c r="N3187" s="90">
        <v>1.75395756062439</v>
      </c>
      <c r="O3187" s="90">
        <v>1.7415839930902399</v>
      </c>
      <c r="P3187" s="90">
        <v>0.29216983051090001</v>
      </c>
      <c r="Q3187" s="90">
        <v>633.08602253772403</v>
      </c>
      <c r="R3187" s="90">
        <v>1410</v>
      </c>
      <c r="S3187" s="90" t="s">
        <v>325</v>
      </c>
      <c r="T3187" s="90">
        <v>1410</v>
      </c>
      <c r="U3187" s="90" t="s">
        <v>378</v>
      </c>
      <c r="V3187" s="90" t="s">
        <v>244</v>
      </c>
      <c r="Z3187" s="90">
        <v>0</v>
      </c>
      <c r="AA3187" s="90">
        <v>1</v>
      </c>
      <c r="AB3187" s="90">
        <v>1.7415839930902399</v>
      </c>
      <c r="AC3187" s="90">
        <v>0.29216983051090001</v>
      </c>
      <c r="AD3187" s="90">
        <v>633.08602253772403</v>
      </c>
      <c r="AF3187" s="90">
        <v>-1</v>
      </c>
      <c r="AG3187" s="90">
        <v>-1</v>
      </c>
      <c r="AH3187" s="90">
        <v>-1</v>
      </c>
      <c r="AI3187" s="90">
        <v>-1</v>
      </c>
      <c r="AJ3187" s="90">
        <v>0</v>
      </c>
      <c r="AM3187" s="90" t="s">
        <v>379</v>
      </c>
      <c r="AN3187" s="90">
        <v>-1</v>
      </c>
      <c r="AQ3187" s="90">
        <v>391</v>
      </c>
      <c r="AR3187" s="90" t="s">
        <v>315</v>
      </c>
      <c r="AS3187" s="90" t="s">
        <v>430</v>
      </c>
      <c r="AT3187" s="90" t="s">
        <v>244</v>
      </c>
      <c r="AU3187" s="90">
        <v>22.5044</v>
      </c>
      <c r="AV3187" s="90">
        <v>118.83277421508301</v>
      </c>
      <c r="AW3187" s="90">
        <v>674.11514484629095</v>
      </c>
      <c r="AX3187" s="90">
        <v>0.51345176199999998</v>
      </c>
    </row>
    <row r="3188" spans="1:50" x14ac:dyDescent="0.25">
      <c r="A3188" s="102">
        <v>830000</v>
      </c>
      <c r="B3188" s="102">
        <v>2400000</v>
      </c>
      <c r="C3188" s="102">
        <v>2400000</v>
      </c>
      <c r="D3188" s="90" t="s">
        <v>374</v>
      </c>
      <c r="E3188" s="90" t="s">
        <v>68</v>
      </c>
      <c r="F3188" s="90" t="s">
        <v>375</v>
      </c>
      <c r="G3188" s="90" t="s">
        <v>376</v>
      </c>
      <c r="H3188" s="90">
        <v>0.59</v>
      </c>
      <c r="I3188" s="90">
        <v>0.64</v>
      </c>
      <c r="J3188" s="90" t="s">
        <v>244</v>
      </c>
      <c r="K3188" s="90">
        <v>5.24702483007E-3</v>
      </c>
      <c r="L3188" s="90">
        <v>3800.5498850239301</v>
      </c>
      <c r="M3188" s="90">
        <v>10.455098689695401</v>
      </c>
      <c r="N3188" s="90">
        <v>1.75395756062439</v>
      </c>
      <c r="O3188" s="90">
        <v>5.4858162425660002E-2</v>
      </c>
      <c r="P3188" s="90">
        <v>9.2030588714799993E-3</v>
      </c>
      <c r="Q3188" s="90">
        <v>19.941579614640201</v>
      </c>
      <c r="R3188" s="90">
        <v>1430</v>
      </c>
      <c r="S3188" s="90" t="s">
        <v>326</v>
      </c>
      <c r="T3188" s="90">
        <v>1430</v>
      </c>
      <c r="U3188" s="90" t="s">
        <v>378</v>
      </c>
      <c r="V3188" s="90" t="s">
        <v>244</v>
      </c>
      <c r="Z3188" s="90">
        <v>0</v>
      </c>
      <c r="AA3188" s="90">
        <v>1</v>
      </c>
      <c r="AB3188" s="90">
        <v>5.4858162425660002E-2</v>
      </c>
      <c r="AC3188" s="90">
        <v>9.2030588714799993E-3</v>
      </c>
      <c r="AD3188" s="90">
        <v>19.941579614640599</v>
      </c>
      <c r="AF3188" s="90">
        <v>-1</v>
      </c>
      <c r="AG3188" s="90">
        <v>-1</v>
      </c>
      <c r="AH3188" s="90">
        <v>-1</v>
      </c>
      <c r="AI3188" s="90">
        <v>-1</v>
      </c>
      <c r="AJ3188" s="90">
        <v>0</v>
      </c>
      <c r="AM3188" s="90" t="s">
        <v>379</v>
      </c>
      <c r="AN3188" s="90">
        <v>-1</v>
      </c>
      <c r="AQ3188" s="90">
        <v>391</v>
      </c>
      <c r="AR3188" s="90" t="s">
        <v>315</v>
      </c>
      <c r="AS3188" s="90" t="s">
        <v>430</v>
      </c>
      <c r="AT3188" s="90" t="s">
        <v>244</v>
      </c>
      <c r="AU3188" s="90">
        <v>22.5044</v>
      </c>
      <c r="AV3188" s="90">
        <v>62.237062829180203</v>
      </c>
      <c r="AW3188" s="90">
        <v>21.233956132061401</v>
      </c>
      <c r="AX3188" s="90">
        <v>1.6173219499999999E-2</v>
      </c>
    </row>
    <row r="3189" spans="1:50" x14ac:dyDescent="0.25">
      <c r="A3189" s="102">
        <v>830000</v>
      </c>
      <c r="B3189" s="102">
        <v>2400000</v>
      </c>
      <c r="C3189" s="102">
        <v>2400000</v>
      </c>
      <c r="D3189" s="90" t="s">
        <v>374</v>
      </c>
      <c r="E3189" s="90" t="s">
        <v>68</v>
      </c>
      <c r="F3189" s="90" t="s">
        <v>375</v>
      </c>
      <c r="G3189" s="90" t="s">
        <v>376</v>
      </c>
      <c r="H3189" s="90">
        <v>0.59</v>
      </c>
      <c r="I3189" s="90">
        <v>0.64</v>
      </c>
      <c r="J3189" s="90" t="s">
        <v>244</v>
      </c>
      <c r="K3189" s="90">
        <v>1.377135540526E-2</v>
      </c>
      <c r="L3189" s="90">
        <v>3800.5498850239301</v>
      </c>
      <c r="M3189" s="90">
        <v>10.455098689695401</v>
      </c>
      <c r="N3189" s="90">
        <v>1.75395756062439</v>
      </c>
      <c r="O3189" s="90">
        <v>0.14398087985291</v>
      </c>
      <c r="P3189" s="90">
        <v>2.4154372933109999E-2</v>
      </c>
      <c r="Q3189" s="90">
        <v>52.338723202103601</v>
      </c>
      <c r="R3189" s="90">
        <v>1300</v>
      </c>
      <c r="S3189" s="90" t="s">
        <v>387</v>
      </c>
      <c r="T3189" s="90">
        <v>1300</v>
      </c>
      <c r="U3189" s="90" t="s">
        <v>378</v>
      </c>
      <c r="V3189" s="90" t="s">
        <v>244</v>
      </c>
      <c r="Z3189" s="90">
        <v>0</v>
      </c>
      <c r="AA3189" s="90">
        <v>1</v>
      </c>
      <c r="AB3189" s="90">
        <v>0.14398087985291</v>
      </c>
      <c r="AC3189" s="90">
        <v>2.4154372933109999E-2</v>
      </c>
      <c r="AD3189" s="90">
        <v>52.338723202103999</v>
      </c>
      <c r="AF3189" s="90">
        <v>-1</v>
      </c>
      <c r="AG3189" s="90">
        <v>-1</v>
      </c>
      <c r="AH3189" s="90">
        <v>-1</v>
      </c>
      <c r="AI3189" s="90">
        <v>-1</v>
      </c>
      <c r="AJ3189" s="90">
        <v>0</v>
      </c>
      <c r="AM3189" s="90" t="s">
        <v>379</v>
      </c>
      <c r="AN3189" s="90">
        <v>-1</v>
      </c>
      <c r="AQ3189" s="90">
        <v>391</v>
      </c>
      <c r="AR3189" s="90" t="s">
        <v>315</v>
      </c>
      <c r="AS3189" s="90" t="s">
        <v>430</v>
      </c>
      <c r="AT3189" s="90" t="s">
        <v>244</v>
      </c>
      <c r="AU3189" s="90">
        <v>22.5044</v>
      </c>
      <c r="AV3189" s="90">
        <v>91.940058203736001</v>
      </c>
      <c r="AW3189" s="90">
        <v>55.730698066950097</v>
      </c>
      <c r="AX3189" s="90">
        <v>4.2448275100000002E-2</v>
      </c>
    </row>
    <row r="3190" spans="1:50" x14ac:dyDescent="0.25">
      <c r="A3190" s="102">
        <v>830000</v>
      </c>
      <c r="B3190" s="102">
        <v>2400000</v>
      </c>
      <c r="C3190" s="102">
        <v>2400000</v>
      </c>
      <c r="D3190" s="90" t="s">
        <v>374</v>
      </c>
      <c r="E3190" s="90" t="s">
        <v>68</v>
      </c>
      <c r="F3190" s="90" t="s">
        <v>375</v>
      </c>
      <c r="G3190" s="90" t="s">
        <v>376</v>
      </c>
      <c r="H3190" s="90">
        <v>0.59</v>
      </c>
      <c r="I3190" s="90">
        <v>0.64</v>
      </c>
      <c r="J3190" s="90" t="s">
        <v>244</v>
      </c>
      <c r="K3190" s="90">
        <v>0.32568119983054999</v>
      </c>
      <c r="L3190" s="90">
        <v>3800.5498850239301</v>
      </c>
      <c r="M3190" s="90">
        <v>10.455098689695401</v>
      </c>
      <c r="N3190" s="90">
        <v>1.75395756062439</v>
      </c>
      <c r="O3190" s="90">
        <v>3.4050290856068499</v>
      </c>
      <c r="P3190" s="90">
        <v>0.57123100279602002</v>
      </c>
      <c r="Q3190" s="90">
        <v>1237.7676465704601</v>
      </c>
      <c r="R3190" s="90">
        <v>1300</v>
      </c>
      <c r="S3190" s="90" t="s">
        <v>387</v>
      </c>
      <c r="T3190" s="90">
        <v>1300</v>
      </c>
      <c r="U3190" s="90" t="s">
        <v>378</v>
      </c>
      <c r="V3190" s="90" t="s">
        <v>244</v>
      </c>
      <c r="Z3190" s="90">
        <v>0</v>
      </c>
      <c r="AA3190" s="90">
        <v>1</v>
      </c>
      <c r="AB3190" s="90">
        <v>3.4050290856068499</v>
      </c>
      <c r="AC3190" s="90">
        <v>0.57123100279602002</v>
      </c>
      <c r="AD3190" s="90">
        <v>1237.7676465704601</v>
      </c>
      <c r="AF3190" s="90">
        <v>-1</v>
      </c>
      <c r="AG3190" s="90">
        <v>-1</v>
      </c>
      <c r="AH3190" s="90">
        <v>-1</v>
      </c>
      <c r="AI3190" s="90">
        <v>-1</v>
      </c>
      <c r="AJ3190" s="90">
        <v>0</v>
      </c>
      <c r="AM3190" s="90" t="s">
        <v>379</v>
      </c>
      <c r="AN3190" s="90">
        <v>-1</v>
      </c>
      <c r="AQ3190" s="90">
        <v>391</v>
      </c>
      <c r="AR3190" s="90" t="s">
        <v>315</v>
      </c>
      <c r="AS3190" s="90" t="s">
        <v>430</v>
      </c>
      <c r="AT3190" s="90" t="s">
        <v>244</v>
      </c>
      <c r="AU3190" s="90">
        <v>22.5044</v>
      </c>
      <c r="AV3190" s="90">
        <v>148.23346841229201</v>
      </c>
      <c r="AW3190" s="90">
        <v>1317.98505518921</v>
      </c>
      <c r="AX3190" s="90">
        <v>1.0038667044</v>
      </c>
    </row>
    <row r="3191" spans="1:50" x14ac:dyDescent="0.25">
      <c r="A3191" s="102">
        <v>830000</v>
      </c>
      <c r="B3191" s="102">
        <v>2400000</v>
      </c>
      <c r="C3191" s="102">
        <v>2400000</v>
      </c>
      <c r="D3191" s="90" t="s">
        <v>374</v>
      </c>
      <c r="E3191" s="90" t="s">
        <v>68</v>
      </c>
      <c r="F3191" s="90" t="s">
        <v>375</v>
      </c>
      <c r="G3191" s="90" t="s">
        <v>376</v>
      </c>
      <c r="H3191" s="90">
        <v>0.59</v>
      </c>
      <c r="I3191" s="90">
        <v>0.64</v>
      </c>
      <c r="J3191" s="90" t="s">
        <v>244</v>
      </c>
      <c r="K3191" s="90">
        <v>0.10072767472568001</v>
      </c>
      <c r="L3191" s="90">
        <v>3755.00126747697</v>
      </c>
      <c r="M3191" s="90">
        <v>11.9283576034332</v>
      </c>
      <c r="N3191" s="90">
        <v>1.91206338829912</v>
      </c>
      <c r="O3191" s="90">
        <v>1.2015157246903101</v>
      </c>
      <c r="P3191" s="90">
        <v>0.19259769903148999</v>
      </c>
      <c r="Q3191" s="90">
        <v>378.232546264966</v>
      </c>
      <c r="R3191" s="90">
        <v>1300</v>
      </c>
      <c r="S3191" s="90" t="s">
        <v>387</v>
      </c>
      <c r="T3191" s="90">
        <v>1300</v>
      </c>
      <c r="U3191" s="90" t="s">
        <v>378</v>
      </c>
      <c r="V3191" s="90" t="s">
        <v>244</v>
      </c>
      <c r="Z3191" s="90">
        <v>0</v>
      </c>
      <c r="AA3191" s="90">
        <v>1</v>
      </c>
      <c r="AB3191" s="90">
        <v>1.2015157246903101</v>
      </c>
      <c r="AC3191" s="90">
        <v>0.19259769903148999</v>
      </c>
      <c r="AD3191" s="90">
        <v>378.232546264966</v>
      </c>
      <c r="AF3191" s="90">
        <v>-1</v>
      </c>
      <c r="AG3191" s="90">
        <v>-1</v>
      </c>
      <c r="AH3191" s="90">
        <v>-1</v>
      </c>
      <c r="AI3191" s="90">
        <v>-1</v>
      </c>
      <c r="AJ3191" s="90">
        <v>0</v>
      </c>
      <c r="AM3191" s="90" t="s">
        <v>379</v>
      </c>
      <c r="AN3191" s="90">
        <v>-1</v>
      </c>
      <c r="AQ3191" s="90">
        <v>391</v>
      </c>
      <c r="AR3191" s="90" t="s">
        <v>315</v>
      </c>
      <c r="AS3191" s="90" t="s">
        <v>430</v>
      </c>
      <c r="AT3191" s="90" t="s">
        <v>244</v>
      </c>
      <c r="AU3191" s="90">
        <v>22.5044</v>
      </c>
      <c r="AV3191" s="90">
        <v>93.131016632268597</v>
      </c>
      <c r="AW3191" s="90">
        <v>407.63043737706801</v>
      </c>
      <c r="AX3191" s="90">
        <v>0.30675794509999998</v>
      </c>
    </row>
    <row r="3192" spans="1:50" x14ac:dyDescent="0.25">
      <c r="A3192" s="102">
        <v>830000</v>
      </c>
      <c r="B3192" s="102">
        <v>2400000</v>
      </c>
      <c r="C3192" s="102">
        <v>2400000</v>
      </c>
      <c r="D3192" s="90" t="s">
        <v>374</v>
      </c>
      <c r="E3192" s="90" t="s">
        <v>68</v>
      </c>
      <c r="F3192" s="90" t="s">
        <v>375</v>
      </c>
      <c r="G3192" s="90" t="s">
        <v>376</v>
      </c>
      <c r="H3192" s="90">
        <v>0.59</v>
      </c>
      <c r="I3192" s="90">
        <v>0.64</v>
      </c>
      <c r="J3192" s="90" t="s">
        <v>244</v>
      </c>
      <c r="K3192" s="90">
        <v>6.8120238173979997E-2</v>
      </c>
      <c r="L3192" s="90">
        <v>3755.00126747697</v>
      </c>
      <c r="M3192" s="90">
        <v>11.9283576034332</v>
      </c>
      <c r="N3192" s="90">
        <v>1.91206338829912</v>
      </c>
      <c r="O3192" s="90">
        <v>0.81256256097037005</v>
      </c>
      <c r="P3192" s="90">
        <v>0.13025021341469001</v>
      </c>
      <c r="Q3192" s="90">
        <v>255.79158068415799</v>
      </c>
      <c r="R3192" s="90">
        <v>1400</v>
      </c>
      <c r="S3192" s="90" t="s">
        <v>324</v>
      </c>
      <c r="T3192" s="90">
        <v>1400</v>
      </c>
      <c r="U3192" s="90" t="s">
        <v>378</v>
      </c>
      <c r="V3192" s="90" t="s">
        <v>244</v>
      </c>
      <c r="Z3192" s="90">
        <v>0</v>
      </c>
      <c r="AA3192" s="90">
        <v>1</v>
      </c>
      <c r="AB3192" s="90">
        <v>0.81256256097037005</v>
      </c>
      <c r="AC3192" s="90">
        <v>0.13025021341469001</v>
      </c>
      <c r="AD3192" s="90">
        <v>255.791580684156</v>
      </c>
      <c r="AF3192" s="90">
        <v>-1</v>
      </c>
      <c r="AG3192" s="90">
        <v>-1</v>
      </c>
      <c r="AH3192" s="90">
        <v>-1</v>
      </c>
      <c r="AI3192" s="90">
        <v>-1</v>
      </c>
      <c r="AJ3192" s="90">
        <v>0</v>
      </c>
      <c r="AM3192" s="90" t="s">
        <v>379</v>
      </c>
      <c r="AN3192" s="90">
        <v>-1</v>
      </c>
      <c r="AQ3192" s="90">
        <v>391</v>
      </c>
      <c r="AR3192" s="90" t="s">
        <v>315</v>
      </c>
      <c r="AS3192" s="90" t="s">
        <v>430</v>
      </c>
      <c r="AT3192" s="90" t="s">
        <v>244</v>
      </c>
      <c r="AU3192" s="90">
        <v>22.5044</v>
      </c>
      <c r="AV3192" s="90">
        <v>126.993866278317</v>
      </c>
      <c r="AW3192" s="90">
        <v>275.672823349819</v>
      </c>
      <c r="AX3192" s="90">
        <v>0.2074546478</v>
      </c>
    </row>
    <row r="3193" spans="1:50" x14ac:dyDescent="0.25">
      <c r="A3193" s="102">
        <v>830000</v>
      </c>
      <c r="B3193" s="102">
        <v>2400000</v>
      </c>
      <c r="C3193" s="102">
        <v>2400000</v>
      </c>
      <c r="D3193" s="90" t="s">
        <v>374</v>
      </c>
      <c r="E3193" s="90" t="s">
        <v>68</v>
      </c>
      <c r="F3193" s="90" t="s">
        <v>375</v>
      </c>
      <c r="G3193" s="90" t="s">
        <v>376</v>
      </c>
      <c r="H3193" s="90">
        <v>0.59</v>
      </c>
      <c r="I3193" s="90">
        <v>0.64</v>
      </c>
      <c r="J3193" s="90" t="s">
        <v>381</v>
      </c>
      <c r="K3193" s="90">
        <v>7.9568121610190001E-2</v>
      </c>
      <c r="L3193" s="90">
        <v>3755.00126747697</v>
      </c>
      <c r="M3193" s="90">
        <v>11.9283576034332</v>
      </c>
      <c r="N3193" s="90">
        <v>1.91206338829912</v>
      </c>
      <c r="O3193" s="90">
        <v>0.94911700839988999</v>
      </c>
      <c r="P3193" s="90">
        <v>0.15213929220659</v>
      </c>
      <c r="Q3193" s="90">
        <v>298.778397497051</v>
      </c>
      <c r="R3193" s="90">
        <v>1400</v>
      </c>
      <c r="S3193" s="90" t="s">
        <v>324</v>
      </c>
      <c r="T3193" s="90">
        <v>1400</v>
      </c>
      <c r="U3193" s="90" t="s">
        <v>382</v>
      </c>
      <c r="V3193" s="90" t="s">
        <v>381</v>
      </c>
      <c r="Z3193" s="90">
        <v>0</v>
      </c>
      <c r="AA3193" s="90">
        <v>1</v>
      </c>
      <c r="AB3193" s="90">
        <v>0.94911700839988999</v>
      </c>
      <c r="AC3193" s="90">
        <v>0.15213929220659</v>
      </c>
      <c r="AD3193" s="90">
        <v>298.778397497051</v>
      </c>
      <c r="AF3193" s="90">
        <v>-1</v>
      </c>
      <c r="AG3193" s="90">
        <v>-1</v>
      </c>
      <c r="AH3193" s="90">
        <v>-1</v>
      </c>
      <c r="AI3193" s="90">
        <v>-1</v>
      </c>
      <c r="AJ3193" s="90">
        <v>0</v>
      </c>
      <c r="AM3193" s="90" t="s">
        <v>379</v>
      </c>
      <c r="AN3193" s="90">
        <v>-1</v>
      </c>
      <c r="AQ3193" s="90">
        <v>391</v>
      </c>
      <c r="AR3193" s="90" t="s">
        <v>315</v>
      </c>
      <c r="AS3193" s="90" t="s">
        <v>430</v>
      </c>
      <c r="AT3193" s="90" t="s">
        <v>244</v>
      </c>
      <c r="AU3193" s="90">
        <v>22.5044</v>
      </c>
      <c r="AV3193" s="90">
        <v>112.346818735846</v>
      </c>
      <c r="AW3193" s="90">
        <v>322.00076395653002</v>
      </c>
      <c r="AX3193" s="90">
        <v>0.2423182461</v>
      </c>
    </row>
    <row r="3194" spans="1:50" x14ac:dyDescent="0.25">
      <c r="A3194" s="102">
        <v>830000</v>
      </c>
      <c r="B3194" s="102">
        <v>2400000</v>
      </c>
      <c r="C3194" s="102">
        <v>2400000</v>
      </c>
      <c r="D3194" s="90" t="s">
        <v>374</v>
      </c>
      <c r="E3194" s="90" t="s">
        <v>68</v>
      </c>
      <c r="F3194" s="90" t="s">
        <v>375</v>
      </c>
      <c r="G3194" s="90" t="s">
        <v>376</v>
      </c>
      <c r="H3194" s="90">
        <v>0.59</v>
      </c>
      <c r="I3194" s="90">
        <v>0.64</v>
      </c>
      <c r="J3194" s="90" t="s">
        <v>244</v>
      </c>
      <c r="K3194" s="90">
        <v>3.24086790151E-3</v>
      </c>
      <c r="L3194" s="90">
        <v>3773.7761584468099</v>
      </c>
      <c r="M3194" s="90">
        <v>11.818031225508401</v>
      </c>
      <c r="N3194" s="90">
        <v>1.5580686661130601</v>
      </c>
      <c r="O3194" s="90">
        <v>3.8300678057859999E-2</v>
      </c>
      <c r="P3194" s="90">
        <v>5.0494947283599998E-3</v>
      </c>
      <c r="Q3194" s="90">
        <v>12.230310019416599</v>
      </c>
      <c r="R3194" s="90">
        <v>1400</v>
      </c>
      <c r="S3194" s="90" t="s">
        <v>324</v>
      </c>
      <c r="T3194" s="90">
        <v>1400</v>
      </c>
      <c r="U3194" s="90" t="s">
        <v>378</v>
      </c>
      <c r="V3194" s="90" t="s">
        <v>244</v>
      </c>
      <c r="Z3194" s="90">
        <v>0</v>
      </c>
      <c r="AA3194" s="90">
        <v>1</v>
      </c>
      <c r="AB3194" s="90">
        <v>3.8300678057859999E-2</v>
      </c>
      <c r="AC3194" s="90">
        <v>5.0494947283599998E-3</v>
      </c>
      <c r="AD3194" s="90">
        <v>14.0136668061732</v>
      </c>
      <c r="AF3194" s="90">
        <v>-1</v>
      </c>
      <c r="AG3194" s="90">
        <v>-1</v>
      </c>
      <c r="AH3194" s="90">
        <v>-1</v>
      </c>
      <c r="AI3194" s="90">
        <v>-1</v>
      </c>
      <c r="AJ3194" s="90">
        <v>0</v>
      </c>
      <c r="AM3194" s="90" t="s">
        <v>379</v>
      </c>
      <c r="AN3194" s="90">
        <v>-1</v>
      </c>
      <c r="AQ3194" s="90">
        <v>391</v>
      </c>
      <c r="AR3194" s="90" t="s">
        <v>315</v>
      </c>
      <c r="AS3194" s="90" t="s">
        <v>430</v>
      </c>
      <c r="AT3194" s="90" t="s">
        <v>244</v>
      </c>
      <c r="AU3194" s="90">
        <v>22.5044</v>
      </c>
      <c r="AV3194" s="90">
        <v>88.4817930760493</v>
      </c>
      <c r="AW3194" s="90">
        <v>13.115327081399499</v>
      </c>
      <c r="AX3194" s="90">
        <v>1.1365504300000001E-2</v>
      </c>
    </row>
    <row r="3195" spans="1:50" x14ac:dyDescent="0.25">
      <c r="A3195" s="102">
        <v>830000</v>
      </c>
      <c r="B3195" s="102">
        <v>2400000</v>
      </c>
      <c r="C3195" s="102">
        <v>2400000</v>
      </c>
      <c r="D3195" s="90" t="s">
        <v>374</v>
      </c>
      <c r="E3195" s="90" t="s">
        <v>68</v>
      </c>
      <c r="F3195" s="90" t="s">
        <v>375</v>
      </c>
      <c r="G3195" s="90" t="s">
        <v>376</v>
      </c>
      <c r="H3195" s="90">
        <v>0.59</v>
      </c>
      <c r="I3195" s="90">
        <v>0.64</v>
      </c>
      <c r="J3195" s="90" t="s">
        <v>381</v>
      </c>
      <c r="K3195" s="90">
        <v>5.0355538602329997E-2</v>
      </c>
      <c r="L3195" s="90">
        <v>3773.7761584468099</v>
      </c>
      <c r="M3195" s="90">
        <v>11.818031225508401</v>
      </c>
      <c r="N3195" s="90">
        <v>1.5580686661130601</v>
      </c>
      <c r="O3195" s="90">
        <v>0.59510332757963003</v>
      </c>
      <c r="P3195" s="90">
        <v>7.8457386861530004E-2</v>
      </c>
      <c r="Q3195" s="90">
        <v>190.03053102321999</v>
      </c>
      <c r="R3195" s="90">
        <v>1400</v>
      </c>
      <c r="S3195" s="90" t="s">
        <v>324</v>
      </c>
      <c r="T3195" s="90">
        <v>1400</v>
      </c>
      <c r="U3195" s="90" t="s">
        <v>382</v>
      </c>
      <c r="V3195" s="90" t="s">
        <v>381</v>
      </c>
      <c r="Z3195" s="90">
        <v>0</v>
      </c>
      <c r="AA3195" s="90">
        <v>1</v>
      </c>
      <c r="AB3195" s="90">
        <v>0.59510332757963003</v>
      </c>
      <c r="AC3195" s="90">
        <v>7.8457386861530004E-2</v>
      </c>
      <c r="AD3195" s="90">
        <v>223.103824821833</v>
      </c>
      <c r="AF3195" s="90">
        <v>-1</v>
      </c>
      <c r="AG3195" s="90">
        <v>-1</v>
      </c>
      <c r="AH3195" s="90">
        <v>-1</v>
      </c>
      <c r="AI3195" s="90">
        <v>-1</v>
      </c>
      <c r="AJ3195" s="90">
        <v>0</v>
      </c>
      <c r="AM3195" s="90" t="s">
        <v>379</v>
      </c>
      <c r="AN3195" s="90">
        <v>-1</v>
      </c>
      <c r="AQ3195" s="90">
        <v>391</v>
      </c>
      <c r="AR3195" s="90" t="s">
        <v>315</v>
      </c>
      <c r="AS3195" s="90" t="s">
        <v>430</v>
      </c>
      <c r="AT3195" s="90" t="s">
        <v>244</v>
      </c>
      <c r="AU3195" s="90">
        <v>22.5044</v>
      </c>
      <c r="AV3195" s="90">
        <v>95.430378515930201</v>
      </c>
      <c r="AW3195" s="90">
        <v>203.78163479624899</v>
      </c>
      <c r="AX3195" s="90">
        <v>0.18094389690000001</v>
      </c>
    </row>
    <row r="3196" spans="1:50" x14ac:dyDescent="0.25">
      <c r="A3196" s="102">
        <v>830000</v>
      </c>
      <c r="B3196" s="102">
        <v>2400000</v>
      </c>
      <c r="C3196" s="102">
        <v>2400000</v>
      </c>
      <c r="D3196" s="90" t="s">
        <v>374</v>
      </c>
      <c r="E3196" s="90" t="s">
        <v>68</v>
      </c>
      <c r="F3196" s="90" t="s">
        <v>375</v>
      </c>
      <c r="G3196" s="90" t="s">
        <v>376</v>
      </c>
      <c r="H3196" s="90">
        <v>0.59</v>
      </c>
      <c r="I3196" s="90">
        <v>0.64</v>
      </c>
      <c r="J3196" s="90" t="s">
        <v>244</v>
      </c>
      <c r="K3196" s="90">
        <v>0.34553416681874999</v>
      </c>
      <c r="L3196" s="90">
        <v>3773.7761584468099</v>
      </c>
      <c r="M3196" s="90">
        <v>11.818031225508401</v>
      </c>
      <c r="N3196" s="90">
        <v>1.5580686661130601</v>
      </c>
      <c r="O3196" s="90">
        <v>4.0835335729441304</v>
      </c>
      <c r="P3196" s="90">
        <v>0.53836595839179002</v>
      </c>
      <c r="Q3196" s="90">
        <v>1303.9686006694101</v>
      </c>
      <c r="R3196" s="90">
        <v>1430</v>
      </c>
      <c r="S3196" s="90" t="s">
        <v>326</v>
      </c>
      <c r="T3196" s="90">
        <v>1430</v>
      </c>
      <c r="U3196" s="90" t="s">
        <v>378</v>
      </c>
      <c r="V3196" s="90" t="s">
        <v>244</v>
      </c>
      <c r="Z3196" s="90">
        <v>0</v>
      </c>
      <c r="AA3196" s="90">
        <v>1</v>
      </c>
      <c r="AB3196" s="90">
        <v>4.0835335729441304</v>
      </c>
      <c r="AC3196" s="90">
        <v>0.53836595839179002</v>
      </c>
      <c r="AD3196" s="90">
        <v>1303.9686006694101</v>
      </c>
      <c r="AF3196" s="90">
        <v>-1</v>
      </c>
      <c r="AG3196" s="90">
        <v>-1</v>
      </c>
      <c r="AH3196" s="90">
        <v>-1</v>
      </c>
      <c r="AI3196" s="90">
        <v>-1</v>
      </c>
      <c r="AJ3196" s="90">
        <v>0</v>
      </c>
      <c r="AM3196" s="90" t="s">
        <v>379</v>
      </c>
      <c r="AN3196" s="90">
        <v>-1</v>
      </c>
      <c r="AQ3196" s="90">
        <v>391</v>
      </c>
      <c r="AR3196" s="90" t="s">
        <v>315</v>
      </c>
      <c r="AS3196" s="90" t="s">
        <v>430</v>
      </c>
      <c r="AT3196" s="90" t="s">
        <v>244</v>
      </c>
      <c r="AU3196" s="90">
        <v>22.5044</v>
      </c>
      <c r="AV3196" s="90">
        <v>152.105090525332</v>
      </c>
      <c r="AW3196" s="90">
        <v>1398.3271621491201</v>
      </c>
      <c r="AX3196" s="90">
        <v>1.0575576648</v>
      </c>
    </row>
    <row r="3197" spans="1:50" x14ac:dyDescent="0.25">
      <c r="A3197" s="102">
        <v>830000</v>
      </c>
      <c r="B3197" s="102">
        <v>2400000</v>
      </c>
      <c r="C3197" s="102">
        <v>2400000</v>
      </c>
      <c r="D3197" s="90" t="s">
        <v>374</v>
      </c>
      <c r="E3197" s="90" t="s">
        <v>68</v>
      </c>
      <c r="F3197" s="90" t="s">
        <v>375</v>
      </c>
      <c r="G3197" s="90" t="s">
        <v>376</v>
      </c>
      <c r="H3197" s="90">
        <v>0.59</v>
      </c>
      <c r="I3197" s="90">
        <v>0.64</v>
      </c>
      <c r="J3197" s="90" t="s">
        <v>244</v>
      </c>
      <c r="K3197" s="90">
        <v>0.20592452017491999</v>
      </c>
      <c r="L3197" s="90">
        <v>3773.7761584468099</v>
      </c>
      <c r="M3197" s="90">
        <v>11.818031225508401</v>
      </c>
      <c r="N3197" s="90">
        <v>1.5580686661130601</v>
      </c>
      <c r="O3197" s="90">
        <v>2.43362240952515</v>
      </c>
      <c r="P3197" s="90">
        <v>0.32084454246892002</v>
      </c>
      <c r="Q3197" s="90">
        <v>777.11304467574598</v>
      </c>
      <c r="R3197" s="90">
        <v>1410</v>
      </c>
      <c r="S3197" s="90" t="s">
        <v>325</v>
      </c>
      <c r="T3197" s="90">
        <v>1410</v>
      </c>
      <c r="U3197" s="90" t="s">
        <v>378</v>
      </c>
      <c r="V3197" s="90" t="s">
        <v>244</v>
      </c>
      <c r="Z3197" s="90">
        <v>0</v>
      </c>
      <c r="AA3197" s="90">
        <v>1</v>
      </c>
      <c r="AB3197" s="90">
        <v>2.43362240952515</v>
      </c>
      <c r="AC3197" s="90">
        <v>0.32084454246892002</v>
      </c>
      <c r="AD3197" s="90">
        <v>790.21490054061906</v>
      </c>
      <c r="AF3197" s="90">
        <v>-1</v>
      </c>
      <c r="AG3197" s="90">
        <v>-1</v>
      </c>
      <c r="AH3197" s="90">
        <v>-1</v>
      </c>
      <c r="AI3197" s="90">
        <v>-1</v>
      </c>
      <c r="AJ3197" s="90">
        <v>0</v>
      </c>
      <c r="AM3197" s="90" t="s">
        <v>379</v>
      </c>
      <c r="AN3197" s="90">
        <v>-1</v>
      </c>
      <c r="AQ3197" s="90">
        <v>391</v>
      </c>
      <c r="AR3197" s="90" t="s">
        <v>315</v>
      </c>
      <c r="AS3197" s="90" t="s">
        <v>430</v>
      </c>
      <c r="AT3197" s="90" t="s">
        <v>244</v>
      </c>
      <c r="AU3197" s="90">
        <v>22.5044</v>
      </c>
      <c r="AV3197" s="90">
        <v>126.477376232189</v>
      </c>
      <c r="AW3197" s="90">
        <v>833.346966999551</v>
      </c>
      <c r="AX3197" s="90">
        <v>0.6408879972</v>
      </c>
    </row>
    <row r="3198" spans="1:50" x14ac:dyDescent="0.25">
      <c r="A3198" s="102">
        <v>830000</v>
      </c>
      <c r="B3198" s="102">
        <v>2400000</v>
      </c>
      <c r="C3198" s="102">
        <v>2400000</v>
      </c>
      <c r="D3198" s="90" t="s">
        <v>374</v>
      </c>
      <c r="E3198" s="90" t="s">
        <v>68</v>
      </c>
      <c r="F3198" s="90" t="s">
        <v>375</v>
      </c>
      <c r="G3198" s="90" t="s">
        <v>376</v>
      </c>
      <c r="H3198" s="90">
        <v>0.59</v>
      </c>
      <c r="I3198" s="90">
        <v>0.64</v>
      </c>
      <c r="J3198" s="90" t="s">
        <v>244</v>
      </c>
      <c r="K3198" s="90">
        <v>5.2048215832090003E-2</v>
      </c>
      <c r="L3198" s="90">
        <v>3786.0833751069899</v>
      </c>
      <c r="M3198" s="90">
        <v>11.631441886392601</v>
      </c>
      <c r="N3198" s="90">
        <v>1.53565670570623</v>
      </c>
      <c r="O3198" s="90">
        <v>0.60539579774139995</v>
      </c>
      <c r="P3198" s="90">
        <v>7.9928191662590006E-2</v>
      </c>
      <c r="Q3198" s="90">
        <v>197.05888466586401</v>
      </c>
      <c r="R3198" s="90">
        <v>1400</v>
      </c>
      <c r="S3198" s="90" t="s">
        <v>324</v>
      </c>
      <c r="T3198" s="90">
        <v>1400</v>
      </c>
      <c r="U3198" s="90" t="s">
        <v>378</v>
      </c>
      <c r="V3198" s="90" t="s">
        <v>244</v>
      </c>
      <c r="Z3198" s="90">
        <v>0</v>
      </c>
      <c r="AA3198" s="90">
        <v>1</v>
      </c>
      <c r="AB3198" s="90">
        <v>0.60539579774139995</v>
      </c>
      <c r="AC3198" s="90">
        <v>7.9928191662590006E-2</v>
      </c>
      <c r="AD3198" s="90">
        <v>342.85706782070997</v>
      </c>
      <c r="AF3198" s="90">
        <v>-1</v>
      </c>
      <c r="AG3198" s="90">
        <v>-1</v>
      </c>
      <c r="AH3198" s="90">
        <v>-1</v>
      </c>
      <c r="AI3198" s="90">
        <v>-1</v>
      </c>
      <c r="AJ3198" s="90">
        <v>0</v>
      </c>
      <c r="AM3198" s="90" t="s">
        <v>379</v>
      </c>
      <c r="AN3198" s="90">
        <v>-1</v>
      </c>
      <c r="AQ3198" s="90">
        <v>391</v>
      </c>
      <c r="AR3198" s="90" t="s">
        <v>315</v>
      </c>
      <c r="AS3198" s="90" t="s">
        <v>430</v>
      </c>
      <c r="AT3198" s="90" t="s">
        <v>244</v>
      </c>
      <c r="AU3198" s="90">
        <v>22.5044</v>
      </c>
      <c r="AV3198" s="90">
        <v>176.165021284315</v>
      </c>
      <c r="AW3198" s="90">
        <v>210.631656514562</v>
      </c>
      <c r="AX3198" s="90">
        <v>0.27806737050000002</v>
      </c>
    </row>
    <row r="3199" spans="1:50" x14ac:dyDescent="0.25">
      <c r="A3199" s="102">
        <v>830000</v>
      </c>
      <c r="B3199" s="102">
        <v>2400000</v>
      </c>
      <c r="C3199" s="102">
        <v>2400000</v>
      </c>
      <c r="D3199" s="90" t="s">
        <v>374</v>
      </c>
      <c r="E3199" s="90" t="s">
        <v>68</v>
      </c>
      <c r="F3199" s="90" t="s">
        <v>375</v>
      </c>
      <c r="G3199" s="90" t="s">
        <v>376</v>
      </c>
      <c r="H3199" s="90">
        <v>0.59</v>
      </c>
      <c r="I3199" s="90">
        <v>0.64</v>
      </c>
      <c r="J3199" s="90" t="s">
        <v>244</v>
      </c>
      <c r="K3199" s="90">
        <v>3.8024016236480003E-2</v>
      </c>
      <c r="L3199" s="90">
        <v>3786.0833751069899</v>
      </c>
      <c r="M3199" s="90">
        <v>11.631441886392601</v>
      </c>
      <c r="N3199" s="90">
        <v>1.53565670570623</v>
      </c>
      <c r="O3199" s="90">
        <v>0.44227413514195002</v>
      </c>
      <c r="P3199" s="90">
        <v>5.8391835511439998E-2</v>
      </c>
      <c r="Q3199" s="90">
        <v>143.96209572776201</v>
      </c>
      <c r="R3199" s="90">
        <v>1410</v>
      </c>
      <c r="S3199" s="90" t="s">
        <v>325</v>
      </c>
      <c r="T3199" s="90">
        <v>1410</v>
      </c>
      <c r="U3199" s="90" t="s">
        <v>378</v>
      </c>
      <c r="V3199" s="90" t="s">
        <v>244</v>
      </c>
      <c r="Z3199" s="90">
        <v>0</v>
      </c>
      <c r="AA3199" s="90">
        <v>1</v>
      </c>
      <c r="AB3199" s="90">
        <v>0.44227413514195002</v>
      </c>
      <c r="AC3199" s="90">
        <v>5.8391835511439998E-2</v>
      </c>
      <c r="AD3199" s="90">
        <v>208.06492623643001</v>
      </c>
      <c r="AF3199" s="90">
        <v>-1</v>
      </c>
      <c r="AG3199" s="90">
        <v>-1</v>
      </c>
      <c r="AH3199" s="90">
        <v>-1</v>
      </c>
      <c r="AI3199" s="90">
        <v>-1</v>
      </c>
      <c r="AJ3199" s="90">
        <v>0</v>
      </c>
      <c r="AM3199" s="90" t="s">
        <v>379</v>
      </c>
      <c r="AN3199" s="90">
        <v>-1</v>
      </c>
      <c r="AQ3199" s="90">
        <v>391</v>
      </c>
      <c r="AR3199" s="90" t="s">
        <v>315</v>
      </c>
      <c r="AS3199" s="90" t="s">
        <v>430</v>
      </c>
      <c r="AT3199" s="90" t="s">
        <v>244</v>
      </c>
      <c r="AU3199" s="90">
        <v>22.5044</v>
      </c>
      <c r="AV3199" s="90">
        <v>57.837344259595802</v>
      </c>
      <c r="AW3199" s="90">
        <v>153.877734312071</v>
      </c>
      <c r="AX3199" s="90">
        <v>0.16874689879999999</v>
      </c>
    </row>
    <row r="3200" spans="1:50" x14ac:dyDescent="0.25">
      <c r="A3200" s="102">
        <v>830000</v>
      </c>
      <c r="B3200" s="102">
        <v>2400000</v>
      </c>
      <c r="C3200" s="102">
        <v>2400000</v>
      </c>
      <c r="D3200" s="90" t="s">
        <v>374</v>
      </c>
      <c r="E3200" s="90" t="s">
        <v>68</v>
      </c>
      <c r="F3200" s="90" t="s">
        <v>375</v>
      </c>
      <c r="G3200" s="90" t="s">
        <v>376</v>
      </c>
      <c r="H3200" s="90">
        <v>0.59</v>
      </c>
      <c r="I3200" s="90">
        <v>0.64</v>
      </c>
      <c r="J3200" s="90" t="s">
        <v>244</v>
      </c>
      <c r="K3200" s="90">
        <v>0.27929706760979001</v>
      </c>
      <c r="L3200" s="90">
        <v>3786.0833751069899</v>
      </c>
      <c r="M3200" s="90">
        <v>11.631441886392601</v>
      </c>
      <c r="N3200" s="90">
        <v>1.53565670570623</v>
      </c>
      <c r="O3200" s="90">
        <v>3.2486276109432199</v>
      </c>
      <c r="P3200" s="90">
        <v>0.42890441475906999</v>
      </c>
      <c r="Q3200" s="90">
        <v>1057.44198439358</v>
      </c>
      <c r="R3200" s="90">
        <v>1430</v>
      </c>
      <c r="S3200" s="90" t="s">
        <v>326</v>
      </c>
      <c r="T3200" s="90">
        <v>1430</v>
      </c>
      <c r="U3200" s="90" t="s">
        <v>378</v>
      </c>
      <c r="V3200" s="90" t="s">
        <v>244</v>
      </c>
      <c r="Z3200" s="90">
        <v>0</v>
      </c>
      <c r="AA3200" s="90">
        <v>1</v>
      </c>
      <c r="AB3200" s="90">
        <v>3.2486276109432199</v>
      </c>
      <c r="AC3200" s="90">
        <v>0.42890441475906999</v>
      </c>
      <c r="AD3200" s="90">
        <v>1106.20922902957</v>
      </c>
      <c r="AF3200" s="90">
        <v>-1</v>
      </c>
      <c r="AG3200" s="90">
        <v>-1</v>
      </c>
      <c r="AH3200" s="90">
        <v>-1</v>
      </c>
      <c r="AI3200" s="90">
        <v>-1</v>
      </c>
      <c r="AJ3200" s="90">
        <v>0</v>
      </c>
      <c r="AM3200" s="90" t="s">
        <v>379</v>
      </c>
      <c r="AN3200" s="90">
        <v>-1</v>
      </c>
      <c r="AQ3200" s="90">
        <v>391</v>
      </c>
      <c r="AR3200" s="90" t="s">
        <v>315</v>
      </c>
      <c r="AS3200" s="90" t="s">
        <v>430</v>
      </c>
      <c r="AT3200" s="90" t="s">
        <v>244</v>
      </c>
      <c r="AU3200" s="90">
        <v>22.5044</v>
      </c>
      <c r="AV3200" s="90">
        <v>133.280829068863</v>
      </c>
      <c r="AW3200" s="90">
        <v>1130.27513181419</v>
      </c>
      <c r="AX3200" s="90">
        <v>0.89716887999999995</v>
      </c>
    </row>
    <row r="3201" spans="1:50" x14ac:dyDescent="0.25">
      <c r="A3201" s="102">
        <v>830000</v>
      </c>
      <c r="B3201" s="102">
        <v>2400000</v>
      </c>
      <c r="C3201" s="102">
        <v>2400000</v>
      </c>
      <c r="D3201" s="90" t="s">
        <v>374</v>
      </c>
      <c r="E3201" s="90" t="s">
        <v>68</v>
      </c>
      <c r="F3201" s="90" t="s">
        <v>375</v>
      </c>
      <c r="G3201" s="90" t="s">
        <v>376</v>
      </c>
      <c r="H3201" s="90">
        <v>0.59</v>
      </c>
      <c r="I3201" s="90">
        <v>0.64</v>
      </c>
      <c r="J3201" s="90" t="s">
        <v>244</v>
      </c>
      <c r="K3201" s="90">
        <v>0.10603898906371</v>
      </c>
      <c r="L3201" s="90">
        <v>3786.0833751069899</v>
      </c>
      <c r="M3201" s="90">
        <v>11.631441886392601</v>
      </c>
      <c r="N3201" s="90">
        <v>1.53565670570623</v>
      </c>
      <c r="O3201" s="90">
        <v>1.23338633898637</v>
      </c>
      <c r="P3201" s="90">
        <v>0.16283948462198999</v>
      </c>
      <c r="Q3201" s="90">
        <v>401.47245360726498</v>
      </c>
      <c r="R3201" s="90">
        <v>1410</v>
      </c>
      <c r="S3201" s="90" t="s">
        <v>325</v>
      </c>
      <c r="T3201" s="90">
        <v>1410</v>
      </c>
      <c r="U3201" s="90" t="s">
        <v>378</v>
      </c>
      <c r="V3201" s="90" t="s">
        <v>244</v>
      </c>
      <c r="Z3201" s="90">
        <v>0</v>
      </c>
      <c r="AA3201" s="90">
        <v>1</v>
      </c>
      <c r="AB3201" s="90">
        <v>1.23338633898637</v>
      </c>
      <c r="AC3201" s="90">
        <v>0.16283948462198999</v>
      </c>
      <c r="AD3201" s="90">
        <v>681.77271885544303</v>
      </c>
      <c r="AF3201" s="90">
        <v>-1</v>
      </c>
      <c r="AG3201" s="90">
        <v>-1</v>
      </c>
      <c r="AH3201" s="90">
        <v>-1</v>
      </c>
      <c r="AI3201" s="90">
        <v>-1</v>
      </c>
      <c r="AJ3201" s="90">
        <v>0</v>
      </c>
      <c r="AM3201" s="90" t="s">
        <v>379</v>
      </c>
      <c r="AN3201" s="90">
        <v>-1</v>
      </c>
      <c r="AQ3201" s="90">
        <v>391</v>
      </c>
      <c r="AR3201" s="90" t="s">
        <v>315</v>
      </c>
      <c r="AS3201" s="90" t="s">
        <v>430</v>
      </c>
      <c r="AT3201" s="90" t="s">
        <v>244</v>
      </c>
      <c r="AU3201" s="90">
        <v>22.5044</v>
      </c>
      <c r="AV3201" s="90">
        <v>124.920692399407</v>
      </c>
      <c r="AW3201" s="90">
        <v>429.12456391727801</v>
      </c>
      <c r="AX3201" s="90">
        <v>0.5529381337</v>
      </c>
    </row>
    <row r="3202" spans="1:50" x14ac:dyDescent="0.25">
      <c r="A3202" s="102">
        <v>830000</v>
      </c>
      <c r="B3202" s="102">
        <v>2400000</v>
      </c>
      <c r="C3202" s="102">
        <v>2400000</v>
      </c>
      <c r="D3202" s="90" t="s">
        <v>374</v>
      </c>
      <c r="E3202" s="90" t="s">
        <v>68</v>
      </c>
      <c r="F3202" s="90" t="s">
        <v>375</v>
      </c>
      <c r="G3202" s="90" t="s">
        <v>376</v>
      </c>
      <c r="H3202" s="90">
        <v>0.59</v>
      </c>
      <c r="I3202" s="90">
        <v>0.64</v>
      </c>
      <c r="J3202" s="90" t="s">
        <v>244</v>
      </c>
      <c r="K3202" s="90">
        <v>0.11948648801976</v>
      </c>
      <c r="L3202" s="90">
        <v>2176.7336699941502</v>
      </c>
      <c r="M3202" s="90">
        <v>6.2861362830793501</v>
      </c>
      <c r="N3202" s="90">
        <v>0.85875812512570004</v>
      </c>
      <c r="O3202" s="90">
        <v>0.75110834767876999</v>
      </c>
      <c r="P3202" s="90">
        <v>0.10260999242969999</v>
      </c>
      <c r="Q3202" s="90">
        <v>260.09026158197503</v>
      </c>
      <c r="R3202" s="90">
        <v>1400</v>
      </c>
      <c r="S3202" s="90" t="s">
        <v>324</v>
      </c>
      <c r="T3202" s="90">
        <v>1400</v>
      </c>
      <c r="U3202" s="90" t="s">
        <v>378</v>
      </c>
      <c r="V3202" s="90" t="s">
        <v>244</v>
      </c>
      <c r="Z3202" s="90">
        <v>0</v>
      </c>
      <c r="AA3202" s="90">
        <v>1</v>
      </c>
      <c r="AB3202" s="90">
        <v>0.75110834767876999</v>
      </c>
      <c r="AC3202" s="90">
        <v>0.10260999242969999</v>
      </c>
      <c r="AD3202" s="90">
        <v>446.92091655367801</v>
      </c>
      <c r="AF3202" s="90">
        <v>-1</v>
      </c>
      <c r="AG3202" s="90">
        <v>-1</v>
      </c>
      <c r="AH3202" s="90">
        <v>-1</v>
      </c>
      <c r="AI3202" s="90">
        <v>-1</v>
      </c>
      <c r="AJ3202" s="90">
        <v>0</v>
      </c>
      <c r="AM3202" s="90" t="s">
        <v>379</v>
      </c>
      <c r="AN3202" s="90">
        <v>-1</v>
      </c>
      <c r="AQ3202" s="90">
        <v>391</v>
      </c>
      <c r="AR3202" s="90" t="s">
        <v>315</v>
      </c>
      <c r="AS3202" s="90" t="s">
        <v>430</v>
      </c>
      <c r="AT3202" s="90" t="s">
        <v>244</v>
      </c>
      <c r="AU3202" s="90">
        <v>22.5044</v>
      </c>
      <c r="AV3202" s="90">
        <v>120.33297985448399</v>
      </c>
      <c r="AW3202" s="90">
        <v>483.54466143280598</v>
      </c>
      <c r="AX3202" s="90">
        <v>0.36246627460000003</v>
      </c>
    </row>
    <row r="3203" spans="1:50" x14ac:dyDescent="0.25">
      <c r="A3203" s="102">
        <v>830000</v>
      </c>
      <c r="B3203" s="102">
        <v>2400000</v>
      </c>
      <c r="C3203" s="102">
        <v>2400000</v>
      </c>
      <c r="D3203" s="90" t="s">
        <v>374</v>
      </c>
      <c r="E3203" s="90" t="s">
        <v>68</v>
      </c>
      <c r="F3203" s="90" t="s">
        <v>375</v>
      </c>
      <c r="G3203" s="90" t="s">
        <v>376</v>
      </c>
      <c r="H3203" s="90">
        <v>0.59</v>
      </c>
      <c r="I3203" s="90">
        <v>0.64</v>
      </c>
      <c r="J3203" s="90" t="s">
        <v>244</v>
      </c>
      <c r="K3203" s="90">
        <v>5.5734381031190001E-2</v>
      </c>
      <c r="L3203" s="90">
        <v>3784.87342610308</v>
      </c>
      <c r="M3203" s="90">
        <v>11.6278956940131</v>
      </c>
      <c r="N3203" s="90">
        <v>1.5351868214812601</v>
      </c>
      <c r="O3203" s="90">
        <v>0.64807356920114001</v>
      </c>
      <c r="P3203" s="90">
        <v>8.5562687262500006E-2</v>
      </c>
      <c r="Q3203" s="90">
        <v>210.947577685281</v>
      </c>
      <c r="R3203" s="90">
        <v>1410</v>
      </c>
      <c r="S3203" s="90" t="s">
        <v>325</v>
      </c>
      <c r="T3203" s="90">
        <v>1410</v>
      </c>
      <c r="U3203" s="90" t="s">
        <v>378</v>
      </c>
      <c r="V3203" s="90" t="s">
        <v>244</v>
      </c>
      <c r="Z3203" s="90">
        <v>0</v>
      </c>
      <c r="AA3203" s="90">
        <v>1</v>
      </c>
      <c r="AB3203" s="90">
        <v>0.64807356920114001</v>
      </c>
      <c r="AC3203" s="90">
        <v>8.5562687262500006E-2</v>
      </c>
      <c r="AD3203" s="90">
        <v>210.947577685282</v>
      </c>
      <c r="AF3203" s="90">
        <v>-1</v>
      </c>
      <c r="AG3203" s="90">
        <v>-1</v>
      </c>
      <c r="AH3203" s="90">
        <v>-1</v>
      </c>
      <c r="AI3203" s="90">
        <v>-1</v>
      </c>
      <c r="AJ3203" s="90">
        <v>0</v>
      </c>
      <c r="AM3203" s="90" t="s">
        <v>379</v>
      </c>
      <c r="AN3203" s="90">
        <v>-1</v>
      </c>
      <c r="AQ3203" s="90">
        <v>391</v>
      </c>
      <c r="AR3203" s="90" t="s">
        <v>315</v>
      </c>
      <c r="AS3203" s="90" t="s">
        <v>430</v>
      </c>
      <c r="AT3203" s="90" t="s">
        <v>244</v>
      </c>
      <c r="AU3203" s="90">
        <v>22.5044</v>
      </c>
      <c r="AV3203" s="90">
        <v>60.744624513278197</v>
      </c>
      <c r="AW3203" s="90">
        <v>225.54903782458899</v>
      </c>
      <c r="AX3203" s="90">
        <v>0.1710848156</v>
      </c>
    </row>
    <row r="3204" spans="1:50" x14ac:dyDescent="0.25">
      <c r="A3204" s="102">
        <v>830000</v>
      </c>
      <c r="B3204" s="102">
        <v>2400000</v>
      </c>
      <c r="C3204" s="102">
        <v>2400000</v>
      </c>
      <c r="D3204" s="90" t="s">
        <v>374</v>
      </c>
      <c r="E3204" s="90" t="s">
        <v>68</v>
      </c>
      <c r="F3204" s="90" t="s">
        <v>375</v>
      </c>
      <c r="G3204" s="90" t="s">
        <v>376</v>
      </c>
      <c r="H3204" s="90">
        <v>0.59</v>
      </c>
      <c r="I3204" s="90">
        <v>0.64</v>
      </c>
      <c r="J3204" s="90" t="s">
        <v>244</v>
      </c>
      <c r="K3204" s="90">
        <v>0.45479922738084999</v>
      </c>
      <c r="L3204" s="90">
        <v>3784.87342610308</v>
      </c>
      <c r="M3204" s="90">
        <v>11.6278956940131</v>
      </c>
      <c r="N3204" s="90">
        <v>1.5351868214812601</v>
      </c>
      <c r="O3204" s="90">
        <v>5.2883579777023604</v>
      </c>
      <c r="P3204" s="90">
        <v>0.69820178029494995</v>
      </c>
      <c r="Q3204" s="90">
        <v>1721.3575099260099</v>
      </c>
      <c r="R3204" s="90">
        <v>1410</v>
      </c>
      <c r="S3204" s="90" t="s">
        <v>325</v>
      </c>
      <c r="T3204" s="90">
        <v>1410</v>
      </c>
      <c r="U3204" s="90" t="s">
        <v>378</v>
      </c>
      <c r="V3204" s="90" t="s">
        <v>244</v>
      </c>
      <c r="Z3204" s="90">
        <v>0</v>
      </c>
      <c r="AA3204" s="90">
        <v>1</v>
      </c>
      <c r="AB3204" s="90">
        <v>5.2883579777023604</v>
      </c>
      <c r="AC3204" s="90">
        <v>0.69820178029494995</v>
      </c>
      <c r="AD3204" s="90">
        <v>1721.3575099260099</v>
      </c>
      <c r="AF3204" s="90">
        <v>-1</v>
      </c>
      <c r="AG3204" s="90">
        <v>-1</v>
      </c>
      <c r="AH3204" s="90">
        <v>-1</v>
      </c>
      <c r="AI3204" s="90">
        <v>-1</v>
      </c>
      <c r="AJ3204" s="90">
        <v>0</v>
      </c>
      <c r="AM3204" s="90" t="s">
        <v>379</v>
      </c>
      <c r="AN3204" s="90">
        <v>-1</v>
      </c>
      <c r="AQ3204" s="90">
        <v>391</v>
      </c>
      <c r="AR3204" s="90" t="s">
        <v>315</v>
      </c>
      <c r="AS3204" s="90" t="s">
        <v>430</v>
      </c>
      <c r="AT3204" s="90" t="s">
        <v>244</v>
      </c>
      <c r="AU3204" s="90">
        <v>22.5044</v>
      </c>
      <c r="AV3204" s="90">
        <v>173.626449297188</v>
      </c>
      <c r="AW3204" s="90">
        <v>1840.5071742287701</v>
      </c>
      <c r="AX3204" s="90">
        <v>1.3960725951999999</v>
      </c>
    </row>
    <row r="3205" spans="1:50" x14ac:dyDescent="0.25">
      <c r="A3205" s="102">
        <v>830000</v>
      </c>
      <c r="B3205" s="102">
        <v>2400000</v>
      </c>
      <c r="C3205" s="102">
        <v>2400000</v>
      </c>
      <c r="D3205" s="90" t="s">
        <v>374</v>
      </c>
      <c r="E3205" s="90" t="s">
        <v>68</v>
      </c>
      <c r="F3205" s="90" t="s">
        <v>375</v>
      </c>
      <c r="G3205" s="90" t="s">
        <v>376</v>
      </c>
      <c r="H3205" s="90">
        <v>0.59</v>
      </c>
      <c r="I3205" s="90">
        <v>0.64</v>
      </c>
      <c r="J3205" s="90" t="s">
        <v>244</v>
      </c>
      <c r="K3205" s="90">
        <v>0.10722984514078999</v>
      </c>
      <c r="L3205" s="90">
        <v>3784.87342610308</v>
      </c>
      <c r="M3205" s="90">
        <v>11.6278956940131</v>
      </c>
      <c r="N3205" s="90">
        <v>1.5351868214812601</v>
      </c>
      <c r="O3205" s="90">
        <v>1.2468574545823099</v>
      </c>
      <c r="P3205" s="90">
        <v>0.16461784512961999</v>
      </c>
      <c r="Q3205" s="90">
        <v>405.851391358532</v>
      </c>
      <c r="R3205" s="90">
        <v>1410</v>
      </c>
      <c r="S3205" s="90" t="s">
        <v>325</v>
      </c>
      <c r="T3205" s="90">
        <v>1410</v>
      </c>
      <c r="U3205" s="90" t="s">
        <v>378</v>
      </c>
      <c r="V3205" s="90" t="s">
        <v>244</v>
      </c>
      <c r="Z3205" s="90">
        <v>0</v>
      </c>
      <c r="AA3205" s="90">
        <v>1</v>
      </c>
      <c r="AB3205" s="90">
        <v>1.2468574545823099</v>
      </c>
      <c r="AC3205" s="90">
        <v>0.16461784512961999</v>
      </c>
      <c r="AD3205" s="90">
        <v>405.851391358532</v>
      </c>
      <c r="AF3205" s="90">
        <v>-1</v>
      </c>
      <c r="AG3205" s="90">
        <v>-1</v>
      </c>
      <c r="AH3205" s="90">
        <v>-1</v>
      </c>
      <c r="AI3205" s="90">
        <v>-1</v>
      </c>
      <c r="AJ3205" s="90">
        <v>0</v>
      </c>
      <c r="AM3205" s="90" t="s">
        <v>379</v>
      </c>
      <c r="AN3205" s="90">
        <v>-1</v>
      </c>
      <c r="AQ3205" s="90">
        <v>391</v>
      </c>
      <c r="AR3205" s="90" t="s">
        <v>315</v>
      </c>
      <c r="AS3205" s="90" t="s">
        <v>430</v>
      </c>
      <c r="AT3205" s="90" t="s">
        <v>244</v>
      </c>
      <c r="AU3205" s="90">
        <v>22.5044</v>
      </c>
      <c r="AV3205" s="90">
        <v>91.787973277577095</v>
      </c>
      <c r="AW3205" s="90">
        <v>433.94378748097103</v>
      </c>
      <c r="AX3205" s="90">
        <v>0.32915765720000001</v>
      </c>
    </row>
    <row r="3206" spans="1:50" x14ac:dyDescent="0.25">
      <c r="A3206" s="102">
        <v>830000</v>
      </c>
      <c r="B3206" s="102">
        <v>2400000</v>
      </c>
      <c r="C3206" s="102">
        <v>2400000</v>
      </c>
      <c r="D3206" s="90" t="s">
        <v>374</v>
      </c>
      <c r="E3206" s="90" t="s">
        <v>68</v>
      </c>
      <c r="F3206" s="90" t="s">
        <v>375</v>
      </c>
      <c r="G3206" s="90" t="s">
        <v>376</v>
      </c>
      <c r="H3206" s="90">
        <v>0.59</v>
      </c>
      <c r="I3206" s="90">
        <v>0.64</v>
      </c>
      <c r="J3206" s="90" t="s">
        <v>244</v>
      </c>
      <c r="K3206" s="90">
        <v>5.950236724046E-2</v>
      </c>
      <c r="L3206" s="90">
        <v>3211.0445167476801</v>
      </c>
      <c r="M3206" s="90">
        <v>8.7218205798598394</v>
      </c>
      <c r="N3206" s="90">
        <v>1.5234225348282699</v>
      </c>
      <c r="O3206" s="90">
        <v>0.51896897114826002</v>
      </c>
      <c r="P3206" s="90">
        <v>9.0647247129750003E-2</v>
      </c>
      <c r="Q3206" s="90">
        <v>191.064750061002</v>
      </c>
      <c r="R3206" s="90">
        <v>1200</v>
      </c>
      <c r="S3206" s="90" t="s">
        <v>384</v>
      </c>
      <c r="T3206" s="90">
        <v>1200</v>
      </c>
      <c r="U3206" s="90" t="s">
        <v>378</v>
      </c>
      <c r="V3206" s="90" t="s">
        <v>244</v>
      </c>
      <c r="Z3206" s="90">
        <v>0</v>
      </c>
      <c r="AA3206" s="90">
        <v>1</v>
      </c>
      <c r="AB3206" s="90">
        <v>0.51896897114826002</v>
      </c>
      <c r="AC3206" s="90">
        <v>9.0647247129750003E-2</v>
      </c>
      <c r="AD3206" s="90">
        <v>614.54733697440599</v>
      </c>
      <c r="AF3206" s="90">
        <v>-1</v>
      </c>
      <c r="AG3206" s="90">
        <v>-1</v>
      </c>
      <c r="AH3206" s="90">
        <v>-1</v>
      </c>
      <c r="AI3206" s="90">
        <v>-1</v>
      </c>
      <c r="AJ3206" s="90">
        <v>0</v>
      </c>
      <c r="AM3206" s="90" t="s">
        <v>379</v>
      </c>
      <c r="AN3206" s="90">
        <v>-1</v>
      </c>
      <c r="AQ3206" s="90">
        <v>391</v>
      </c>
      <c r="AR3206" s="90" t="s">
        <v>315</v>
      </c>
      <c r="AS3206" s="90" t="s">
        <v>430</v>
      </c>
      <c r="AT3206" s="90" t="s">
        <v>244</v>
      </c>
      <c r="AU3206" s="90">
        <v>22.5044</v>
      </c>
      <c r="AV3206" s="90">
        <v>115.631982101022</v>
      </c>
      <c r="AW3206" s="90">
        <v>240.79753701507701</v>
      </c>
      <c r="AX3206" s="90">
        <v>0.49841633169999999</v>
      </c>
    </row>
    <row r="3207" spans="1:50" x14ac:dyDescent="0.25">
      <c r="A3207" s="102">
        <v>830000</v>
      </c>
      <c r="B3207" s="102">
        <v>2400000</v>
      </c>
      <c r="C3207" s="102">
        <v>2400000</v>
      </c>
      <c r="D3207" s="90" t="s">
        <v>374</v>
      </c>
      <c r="E3207" s="90" t="s">
        <v>68</v>
      </c>
      <c r="F3207" s="90" t="s">
        <v>375</v>
      </c>
      <c r="G3207" s="90" t="s">
        <v>376</v>
      </c>
      <c r="H3207" s="90">
        <v>0.59</v>
      </c>
      <c r="I3207" s="90">
        <v>0.64</v>
      </c>
      <c r="J3207" s="90" t="s">
        <v>244</v>
      </c>
      <c r="K3207" s="90">
        <v>0.13394441063217999</v>
      </c>
      <c r="L3207" s="90">
        <v>3211.0445167476801</v>
      </c>
      <c r="M3207" s="90">
        <v>8.7218205798598394</v>
      </c>
      <c r="N3207" s="90">
        <v>1.5234225348282699</v>
      </c>
      <c r="O3207" s="90">
        <v>1.1682391172090101</v>
      </c>
      <c r="P3207" s="90">
        <v>0.20405393357136001</v>
      </c>
      <c r="Q3207" s="90">
        <v>430.10146530948703</v>
      </c>
      <c r="R3207" s="90">
        <v>1300</v>
      </c>
      <c r="S3207" s="90" t="s">
        <v>387</v>
      </c>
      <c r="T3207" s="90">
        <v>1300</v>
      </c>
      <c r="U3207" s="90" t="s">
        <v>378</v>
      </c>
      <c r="V3207" s="90" t="s">
        <v>244</v>
      </c>
      <c r="Z3207" s="90">
        <v>0</v>
      </c>
      <c r="AA3207" s="90">
        <v>1</v>
      </c>
      <c r="AB3207" s="90">
        <v>1.1682391172090101</v>
      </c>
      <c r="AC3207" s="90">
        <v>0.20405393357136001</v>
      </c>
      <c r="AD3207" s="90">
        <v>693.44980679922901</v>
      </c>
      <c r="AF3207" s="90">
        <v>-1</v>
      </c>
      <c r="AG3207" s="90">
        <v>-1</v>
      </c>
      <c r="AH3207" s="90">
        <v>-1</v>
      </c>
      <c r="AI3207" s="90">
        <v>-1</v>
      </c>
      <c r="AJ3207" s="90">
        <v>0</v>
      </c>
      <c r="AM3207" s="90" t="s">
        <v>379</v>
      </c>
      <c r="AN3207" s="90">
        <v>-1</v>
      </c>
      <c r="AQ3207" s="90">
        <v>391</v>
      </c>
      <c r="AR3207" s="90" t="s">
        <v>315</v>
      </c>
      <c r="AS3207" s="90" t="s">
        <v>430</v>
      </c>
      <c r="AT3207" s="90" t="s">
        <v>244</v>
      </c>
      <c r="AU3207" s="90">
        <v>22.5044</v>
      </c>
      <c r="AV3207" s="90">
        <v>129.943912240554</v>
      </c>
      <c r="AW3207" s="90">
        <v>542.053798411451</v>
      </c>
      <c r="AX3207" s="90">
        <v>0.56240860240000001</v>
      </c>
    </row>
    <row r="3208" spans="1:50" x14ac:dyDescent="0.25">
      <c r="A3208" s="102">
        <v>830000</v>
      </c>
      <c r="B3208" s="102">
        <v>2400000</v>
      </c>
      <c r="C3208" s="102">
        <v>2400000</v>
      </c>
      <c r="D3208" s="90" t="s">
        <v>374</v>
      </c>
      <c r="E3208" s="90" t="s">
        <v>68</v>
      </c>
      <c r="F3208" s="90" t="s">
        <v>375</v>
      </c>
      <c r="G3208" s="90" t="s">
        <v>376</v>
      </c>
      <c r="H3208" s="90">
        <v>0.59</v>
      </c>
      <c r="I3208" s="90">
        <v>0.64</v>
      </c>
      <c r="J3208" s="90" t="s">
        <v>244</v>
      </c>
      <c r="K3208" s="90">
        <v>5.1821969197990002E-2</v>
      </c>
      <c r="L3208" s="90">
        <v>3211.0445167476801</v>
      </c>
      <c r="M3208" s="90">
        <v>8.7218205798598394</v>
      </c>
      <c r="N3208" s="90">
        <v>1.5234225348282699</v>
      </c>
      <c r="O3208" s="90">
        <v>0.45198191743990002</v>
      </c>
      <c r="P3208" s="90">
        <v>7.8946755675390001E-2</v>
      </c>
      <c r="Q3208" s="90">
        <v>166.402650040276</v>
      </c>
      <c r="R3208" s="90">
        <v>1300</v>
      </c>
      <c r="S3208" s="90" t="s">
        <v>387</v>
      </c>
      <c r="T3208" s="90">
        <v>1300</v>
      </c>
      <c r="U3208" s="90" t="s">
        <v>378</v>
      </c>
      <c r="V3208" s="90" t="s">
        <v>244</v>
      </c>
      <c r="Z3208" s="90">
        <v>0</v>
      </c>
      <c r="AA3208" s="90">
        <v>1</v>
      </c>
      <c r="AB3208" s="90">
        <v>0.45198191743990002</v>
      </c>
      <c r="AC3208" s="90">
        <v>7.8946755675390001E-2</v>
      </c>
      <c r="AD3208" s="90">
        <v>273.27573107878402</v>
      </c>
      <c r="AF3208" s="90">
        <v>-1</v>
      </c>
      <c r="AG3208" s="90">
        <v>-1</v>
      </c>
      <c r="AH3208" s="90">
        <v>-1</v>
      </c>
      <c r="AI3208" s="90">
        <v>-1</v>
      </c>
      <c r="AJ3208" s="90">
        <v>0</v>
      </c>
      <c r="AM3208" s="90" t="s">
        <v>379</v>
      </c>
      <c r="AN3208" s="90">
        <v>-1</v>
      </c>
      <c r="AQ3208" s="90">
        <v>391</v>
      </c>
      <c r="AR3208" s="90" t="s">
        <v>315</v>
      </c>
      <c r="AS3208" s="90" t="s">
        <v>430</v>
      </c>
      <c r="AT3208" s="90" t="s">
        <v>244</v>
      </c>
      <c r="AU3208" s="90">
        <v>22.5044</v>
      </c>
      <c r="AV3208" s="90">
        <v>64.518923100813097</v>
      </c>
      <c r="AW3208" s="90">
        <v>209.71606887030501</v>
      </c>
      <c r="AX3208" s="90">
        <v>0.22163481839999999</v>
      </c>
    </row>
    <row r="3209" spans="1:50" x14ac:dyDescent="0.25">
      <c r="A3209" s="102">
        <v>830000</v>
      </c>
      <c r="B3209" s="102">
        <v>2400000</v>
      </c>
      <c r="C3209" s="102">
        <v>2400000</v>
      </c>
      <c r="D3209" s="90" t="s">
        <v>374</v>
      </c>
      <c r="E3209" s="90" t="s">
        <v>68</v>
      </c>
      <c r="F3209" s="90" t="s">
        <v>375</v>
      </c>
      <c r="G3209" s="90" t="s">
        <v>376</v>
      </c>
      <c r="H3209" s="90">
        <v>0.59</v>
      </c>
      <c r="I3209" s="90">
        <v>0.64</v>
      </c>
      <c r="J3209" s="90" t="s">
        <v>244</v>
      </c>
      <c r="K3209" s="90">
        <v>1.746884322953E-2</v>
      </c>
      <c r="L3209" s="90">
        <v>3770.6719591851202</v>
      </c>
      <c r="M3209" s="90">
        <v>11.2297498236424</v>
      </c>
      <c r="N3209" s="90">
        <v>1.79496199580031</v>
      </c>
      <c r="O3209" s="90">
        <v>0.19617073917608999</v>
      </c>
      <c r="P3209" s="90">
        <v>3.1355909707600001E-2</v>
      </c>
      <c r="Q3209" s="90">
        <v>65.869277325004802</v>
      </c>
      <c r="R3209" s="90">
        <v>1300</v>
      </c>
      <c r="S3209" s="90" t="s">
        <v>387</v>
      </c>
      <c r="T3209" s="90">
        <v>1300</v>
      </c>
      <c r="U3209" s="90" t="s">
        <v>378</v>
      </c>
      <c r="V3209" s="90" t="s">
        <v>244</v>
      </c>
      <c r="Z3209" s="90">
        <v>0</v>
      </c>
      <c r="AA3209" s="90">
        <v>1</v>
      </c>
      <c r="AB3209" s="90">
        <v>0.19617073917608999</v>
      </c>
      <c r="AC3209" s="90">
        <v>3.1355909707600001E-2</v>
      </c>
      <c r="AD3209" s="90">
        <v>579.70453268285496</v>
      </c>
      <c r="AF3209" s="90">
        <v>-1</v>
      </c>
      <c r="AG3209" s="90">
        <v>-1</v>
      </c>
      <c r="AH3209" s="90">
        <v>-1</v>
      </c>
      <c r="AI3209" s="90">
        <v>-1</v>
      </c>
      <c r="AJ3209" s="90">
        <v>0</v>
      </c>
      <c r="AM3209" s="90" t="s">
        <v>379</v>
      </c>
      <c r="AN3209" s="90">
        <v>-1</v>
      </c>
      <c r="AQ3209" s="90">
        <v>391</v>
      </c>
      <c r="AR3209" s="90" t="s">
        <v>315</v>
      </c>
      <c r="AS3209" s="90" t="s">
        <v>430</v>
      </c>
      <c r="AT3209" s="90" t="s">
        <v>244</v>
      </c>
      <c r="AU3209" s="90">
        <v>22.5044</v>
      </c>
      <c r="AV3209" s="90">
        <v>36.035658439650099</v>
      </c>
      <c r="AW3209" s="90">
        <v>70.693900415338007</v>
      </c>
      <c r="AX3209" s="90">
        <v>0.47015777180000001</v>
      </c>
    </row>
    <row r="3210" spans="1:50" x14ac:dyDescent="0.25">
      <c r="A3210" s="102">
        <v>830000</v>
      </c>
      <c r="B3210" s="102">
        <v>2400000</v>
      </c>
      <c r="C3210" s="102">
        <v>2400000</v>
      </c>
      <c r="D3210" s="90" t="s">
        <v>374</v>
      </c>
      <c r="E3210" s="90" t="s">
        <v>68</v>
      </c>
      <c r="F3210" s="90" t="s">
        <v>375</v>
      </c>
      <c r="G3210" s="90" t="s">
        <v>376</v>
      </c>
      <c r="H3210" s="90">
        <v>0.59</v>
      </c>
      <c r="I3210" s="90">
        <v>0.64</v>
      </c>
      <c r="J3210" s="90" t="s">
        <v>244</v>
      </c>
      <c r="K3210" s="90">
        <v>4.0881596216300001E-3</v>
      </c>
      <c r="L3210" s="90">
        <v>3770.6719591851202</v>
      </c>
      <c r="M3210" s="90">
        <v>11.2297498236424</v>
      </c>
      <c r="N3210" s="90">
        <v>1.79496199580031</v>
      </c>
      <c r="O3210" s="90">
        <v>4.5909009790070003E-2</v>
      </c>
      <c r="P3210" s="90">
        <v>7.3380911535999996E-3</v>
      </c>
      <c r="Q3210" s="90">
        <v>15.415108849971899</v>
      </c>
      <c r="R3210" s="90">
        <v>1400</v>
      </c>
      <c r="S3210" s="90" t="s">
        <v>324</v>
      </c>
      <c r="T3210" s="90">
        <v>1400</v>
      </c>
      <c r="U3210" s="90" t="s">
        <v>378</v>
      </c>
      <c r="V3210" s="90" t="s">
        <v>244</v>
      </c>
      <c r="Z3210" s="90">
        <v>0</v>
      </c>
      <c r="AA3210" s="90">
        <v>1</v>
      </c>
      <c r="AB3210" s="90">
        <v>4.5909009790070003E-2</v>
      </c>
      <c r="AC3210" s="90">
        <v>7.3380911535999996E-3</v>
      </c>
      <c r="AD3210" s="90">
        <v>253.93073254391001</v>
      </c>
      <c r="AF3210" s="90">
        <v>-1</v>
      </c>
      <c r="AG3210" s="90">
        <v>-1</v>
      </c>
      <c r="AH3210" s="90">
        <v>-1</v>
      </c>
      <c r="AI3210" s="90">
        <v>-1</v>
      </c>
      <c r="AJ3210" s="90">
        <v>0</v>
      </c>
      <c r="AM3210" s="90" t="s">
        <v>379</v>
      </c>
      <c r="AN3210" s="90">
        <v>-1</v>
      </c>
      <c r="AQ3210" s="90">
        <v>391</v>
      </c>
      <c r="AR3210" s="90" t="s">
        <v>315</v>
      </c>
      <c r="AS3210" s="90" t="s">
        <v>430</v>
      </c>
      <c r="AT3210" s="90" t="s">
        <v>244</v>
      </c>
      <c r="AU3210" s="90">
        <v>22.5044</v>
      </c>
      <c r="AV3210" s="90">
        <v>17.470702228994799</v>
      </c>
      <c r="AW3210" s="90">
        <v>16.544195020609902</v>
      </c>
      <c r="AX3210" s="90">
        <v>0.20594544410000001</v>
      </c>
    </row>
    <row r="3211" spans="1:50" x14ac:dyDescent="0.25">
      <c r="A3211" s="102">
        <v>830000</v>
      </c>
      <c r="B3211" s="102">
        <v>2400000</v>
      </c>
      <c r="C3211" s="102">
        <v>2400000</v>
      </c>
      <c r="D3211" s="90" t="s">
        <v>374</v>
      </c>
      <c r="E3211" s="90" t="s">
        <v>68</v>
      </c>
      <c r="F3211" s="90" t="s">
        <v>375</v>
      </c>
      <c r="G3211" s="90" t="s">
        <v>376</v>
      </c>
      <c r="H3211" s="90">
        <v>0.59</v>
      </c>
      <c r="I3211" s="90">
        <v>0.64</v>
      </c>
      <c r="J3211" s="90" t="s">
        <v>381</v>
      </c>
      <c r="K3211" s="90">
        <v>2.3861765853500001E-3</v>
      </c>
      <c r="L3211" s="90">
        <v>3770.6719591851202</v>
      </c>
      <c r="M3211" s="90">
        <v>11.2297498236424</v>
      </c>
      <c r="N3211" s="90">
        <v>1.79496199580031</v>
      </c>
      <c r="O3211" s="90">
        <v>2.6796166088610001E-2</v>
      </c>
      <c r="P3211" s="90">
        <v>4.2830962859800002E-3</v>
      </c>
      <c r="Q3211" s="90">
        <v>8.9974891400772901</v>
      </c>
      <c r="R3211" s="90">
        <v>1400</v>
      </c>
      <c r="S3211" s="90" t="s">
        <v>324</v>
      </c>
      <c r="T3211" s="90">
        <v>1400</v>
      </c>
      <c r="U3211" s="90" t="s">
        <v>382</v>
      </c>
      <c r="V3211" s="90" t="s">
        <v>381</v>
      </c>
      <c r="Z3211" s="90">
        <v>0</v>
      </c>
      <c r="AA3211" s="90">
        <v>1</v>
      </c>
      <c r="AB3211" s="90">
        <v>2.6796166088610001E-2</v>
      </c>
      <c r="AC3211" s="90">
        <v>4.2830962859800002E-3</v>
      </c>
      <c r="AD3211" s="90">
        <v>325.494420203419</v>
      </c>
      <c r="AF3211" s="90">
        <v>-1</v>
      </c>
      <c r="AG3211" s="90">
        <v>-1</v>
      </c>
      <c r="AH3211" s="90">
        <v>-1</v>
      </c>
      <c r="AI3211" s="90">
        <v>-1</v>
      </c>
      <c r="AJ3211" s="90">
        <v>0</v>
      </c>
      <c r="AM3211" s="90" t="s">
        <v>379</v>
      </c>
      <c r="AN3211" s="90">
        <v>-1</v>
      </c>
      <c r="AQ3211" s="90">
        <v>391</v>
      </c>
      <c r="AR3211" s="90" t="s">
        <v>315</v>
      </c>
      <c r="AS3211" s="90" t="s">
        <v>430</v>
      </c>
      <c r="AT3211" s="90" t="s">
        <v>244</v>
      </c>
      <c r="AU3211" s="90">
        <v>22.5044</v>
      </c>
      <c r="AV3211" s="90">
        <v>15.236864679624301</v>
      </c>
      <c r="AW3211" s="90">
        <v>9.6565140394417597</v>
      </c>
      <c r="AX3211" s="90">
        <v>0.26398574229999999</v>
      </c>
    </row>
    <row r="3212" spans="1:50" x14ac:dyDescent="0.25">
      <c r="A3212" s="102">
        <v>830000</v>
      </c>
      <c r="B3212" s="102">
        <v>2400000</v>
      </c>
      <c r="C3212" s="102">
        <v>2500000</v>
      </c>
      <c r="D3212" s="90" t="s">
        <v>374</v>
      </c>
      <c r="E3212" s="90" t="s">
        <v>68</v>
      </c>
      <c r="F3212" s="90" t="s">
        <v>375</v>
      </c>
      <c r="G3212" s="90" t="s">
        <v>376</v>
      </c>
      <c r="H3212" s="90">
        <v>0.59</v>
      </c>
      <c r="I3212" s="90">
        <v>0.64</v>
      </c>
      <c r="J3212" s="90" t="s">
        <v>244</v>
      </c>
      <c r="K3212" s="90">
        <v>8.7885098274449999E-2</v>
      </c>
      <c r="L3212" s="90">
        <v>3756.2835610223401</v>
      </c>
      <c r="M3212" s="90">
        <v>11.9390769739543</v>
      </c>
      <c r="N3212" s="90">
        <v>1.8683593751668901</v>
      </c>
      <c r="O3212" s="90">
        <v>1.04926695316227</v>
      </c>
      <c r="P3212" s="90">
        <v>0.16420094729854001</v>
      </c>
      <c r="Q3212" s="90">
        <v>330.12134990717101</v>
      </c>
      <c r="R3212" s="90">
        <v>1300</v>
      </c>
      <c r="S3212" s="90" t="s">
        <v>387</v>
      </c>
      <c r="T3212" s="90">
        <v>1300</v>
      </c>
      <c r="U3212" s="90" t="s">
        <v>378</v>
      </c>
      <c r="V3212" s="90" t="s">
        <v>244</v>
      </c>
      <c r="Z3212" s="90">
        <v>0</v>
      </c>
      <c r="AA3212" s="90">
        <v>1</v>
      </c>
      <c r="AB3212" s="90">
        <v>1.04926695316227</v>
      </c>
      <c r="AC3212" s="90">
        <v>0.16420094729854001</v>
      </c>
      <c r="AD3212" s="90">
        <v>330.12134990716999</v>
      </c>
      <c r="AF3212" s="90">
        <v>-1</v>
      </c>
      <c r="AG3212" s="90">
        <v>-1</v>
      </c>
      <c r="AH3212" s="90">
        <v>-1</v>
      </c>
      <c r="AI3212" s="90">
        <v>-1</v>
      </c>
      <c r="AJ3212" s="90">
        <v>0</v>
      </c>
      <c r="AM3212" s="90" t="s">
        <v>379</v>
      </c>
      <c r="AN3212" s="90">
        <v>-1</v>
      </c>
      <c r="AQ3212" s="90">
        <v>391</v>
      </c>
      <c r="AR3212" s="90" t="s">
        <v>315</v>
      </c>
      <c r="AS3212" s="90" t="s">
        <v>430</v>
      </c>
      <c r="AT3212" s="90" t="s">
        <v>244</v>
      </c>
      <c r="AU3212" s="90">
        <v>22.5044</v>
      </c>
      <c r="AV3212" s="90">
        <v>80.9029621951276</v>
      </c>
      <c r="AW3212" s="90">
        <v>355.65837438523499</v>
      </c>
      <c r="AX3212" s="90">
        <v>0.26773832110000001</v>
      </c>
    </row>
    <row r="3213" spans="1:50" x14ac:dyDescent="0.25">
      <c r="A3213" s="102">
        <v>830000</v>
      </c>
      <c r="B3213" s="102">
        <v>2400000</v>
      </c>
      <c r="C3213" s="102">
        <v>2500000</v>
      </c>
      <c r="D3213" s="90" t="s">
        <v>374</v>
      </c>
      <c r="E3213" s="90" t="s">
        <v>68</v>
      </c>
      <c r="F3213" s="90" t="s">
        <v>375</v>
      </c>
      <c r="G3213" s="90" t="s">
        <v>376</v>
      </c>
      <c r="H3213" s="90">
        <v>0.59</v>
      </c>
      <c r="I3213" s="90">
        <v>0.64</v>
      </c>
      <c r="J3213" s="90" t="s">
        <v>244</v>
      </c>
      <c r="K3213" s="90">
        <v>9.4422989825080003E-2</v>
      </c>
      <c r="L3213" s="90">
        <v>3756.2835610223401</v>
      </c>
      <c r="M3213" s="90">
        <v>11.9390769739543</v>
      </c>
      <c r="N3213" s="90">
        <v>1.8683593751668901</v>
      </c>
      <c r="O3213" s="90">
        <v>1.12732334363261</v>
      </c>
      <c r="P3213" s="90">
        <v>0.17641607827097999</v>
      </c>
      <c r="Q3213" s="90">
        <v>354.67952446254998</v>
      </c>
      <c r="R3213" s="90">
        <v>1400</v>
      </c>
      <c r="S3213" s="90" t="s">
        <v>324</v>
      </c>
      <c r="T3213" s="90">
        <v>1400</v>
      </c>
      <c r="U3213" s="90" t="s">
        <v>378</v>
      </c>
      <c r="V3213" s="90" t="s">
        <v>244</v>
      </c>
      <c r="Z3213" s="90">
        <v>0</v>
      </c>
      <c r="AA3213" s="90">
        <v>1</v>
      </c>
      <c r="AB3213" s="90">
        <v>1.12732334363261</v>
      </c>
      <c r="AC3213" s="90">
        <v>0.17641607827097999</v>
      </c>
      <c r="AD3213" s="90">
        <v>354.67952446254998</v>
      </c>
      <c r="AF3213" s="90">
        <v>-1</v>
      </c>
      <c r="AG3213" s="90">
        <v>-1</v>
      </c>
      <c r="AH3213" s="90">
        <v>-1</v>
      </c>
      <c r="AI3213" s="90">
        <v>-1</v>
      </c>
      <c r="AJ3213" s="90">
        <v>0</v>
      </c>
      <c r="AM3213" s="90" t="s">
        <v>379</v>
      </c>
      <c r="AN3213" s="90">
        <v>-1</v>
      </c>
      <c r="AQ3213" s="90">
        <v>391</v>
      </c>
      <c r="AR3213" s="90" t="s">
        <v>315</v>
      </c>
      <c r="AS3213" s="90" t="s">
        <v>430</v>
      </c>
      <c r="AT3213" s="90" t="s">
        <v>244</v>
      </c>
      <c r="AU3213" s="90">
        <v>22.5044</v>
      </c>
      <c r="AV3213" s="90">
        <v>130.48996540465899</v>
      </c>
      <c r="AW3213" s="90">
        <v>382.11628279585898</v>
      </c>
      <c r="AX3213" s="90">
        <v>0.28765573760000002</v>
      </c>
    </row>
    <row r="3214" spans="1:50" x14ac:dyDescent="0.25">
      <c r="A3214" s="102">
        <v>830000</v>
      </c>
      <c r="B3214" s="102">
        <v>2400000</v>
      </c>
      <c r="C3214" s="102">
        <v>2500000</v>
      </c>
      <c r="D3214" s="90" t="s">
        <v>374</v>
      </c>
      <c r="E3214" s="90" t="s">
        <v>68</v>
      </c>
      <c r="F3214" s="90" t="s">
        <v>375</v>
      </c>
      <c r="G3214" s="90" t="s">
        <v>376</v>
      </c>
      <c r="H3214" s="90">
        <v>0.59</v>
      </c>
      <c r="I3214" s="90">
        <v>0.64</v>
      </c>
      <c r="J3214" s="90" t="s">
        <v>381</v>
      </c>
      <c r="K3214" s="90">
        <v>6.7421382686350007E-2</v>
      </c>
      <c r="L3214" s="90">
        <v>3756.2835610223401</v>
      </c>
      <c r="M3214" s="90">
        <v>11.9390769739543</v>
      </c>
      <c r="N3214" s="90">
        <v>1.8683593751668901</v>
      </c>
      <c r="O3214" s="90">
        <v>0.80494907758281997</v>
      </c>
      <c r="P3214" s="90">
        <v>0.12596737242875999</v>
      </c>
      <c r="Q3214" s="90">
        <v>253.253831446151</v>
      </c>
      <c r="R3214" s="90">
        <v>1400</v>
      </c>
      <c r="S3214" s="90" t="s">
        <v>324</v>
      </c>
      <c r="T3214" s="90">
        <v>1400</v>
      </c>
      <c r="U3214" s="90" t="s">
        <v>382</v>
      </c>
      <c r="V3214" s="90" t="s">
        <v>381</v>
      </c>
      <c r="Z3214" s="90">
        <v>0</v>
      </c>
      <c r="AA3214" s="90">
        <v>1</v>
      </c>
      <c r="AB3214" s="90">
        <v>0.80494907758281997</v>
      </c>
      <c r="AC3214" s="90">
        <v>0.12596737242875999</v>
      </c>
      <c r="AD3214" s="90">
        <v>253.25383144615199</v>
      </c>
      <c r="AF3214" s="90">
        <v>-1</v>
      </c>
      <c r="AG3214" s="90">
        <v>-1</v>
      </c>
      <c r="AH3214" s="90">
        <v>-1</v>
      </c>
      <c r="AI3214" s="90">
        <v>-1</v>
      </c>
      <c r="AJ3214" s="90">
        <v>0</v>
      </c>
      <c r="AM3214" s="90" t="s">
        <v>379</v>
      </c>
      <c r="AN3214" s="90">
        <v>-1</v>
      </c>
      <c r="AQ3214" s="90">
        <v>391</v>
      </c>
      <c r="AR3214" s="90" t="s">
        <v>315</v>
      </c>
      <c r="AS3214" s="90" t="s">
        <v>430</v>
      </c>
      <c r="AT3214" s="90" t="s">
        <v>244</v>
      </c>
      <c r="AU3214" s="90">
        <v>22.5044</v>
      </c>
      <c r="AV3214" s="90">
        <v>110.927166763218</v>
      </c>
      <c r="AW3214" s="90">
        <v>272.84465553136499</v>
      </c>
      <c r="AX3214" s="90">
        <v>0.205396457</v>
      </c>
    </row>
    <row r="3215" spans="1:50" x14ac:dyDescent="0.25">
      <c r="A3215" s="102">
        <v>830000</v>
      </c>
      <c r="B3215" s="102">
        <v>2400000</v>
      </c>
      <c r="C3215" s="102">
        <v>2500000</v>
      </c>
      <c r="D3215" s="90" t="s">
        <v>374</v>
      </c>
      <c r="E3215" s="90" t="s">
        <v>68</v>
      </c>
      <c r="F3215" s="90" t="s">
        <v>375</v>
      </c>
      <c r="G3215" s="90" t="s">
        <v>376</v>
      </c>
      <c r="H3215" s="90">
        <v>0.59</v>
      </c>
      <c r="I3215" s="90">
        <v>0.64</v>
      </c>
      <c r="J3215" s="90" t="s">
        <v>244</v>
      </c>
      <c r="K3215" s="90">
        <v>2.31949186982E-2</v>
      </c>
      <c r="L3215" s="90">
        <v>3785.4418739412199</v>
      </c>
      <c r="M3215" s="90">
        <v>11.6296066566091</v>
      </c>
      <c r="N3215" s="90">
        <v>1.5354130642434101</v>
      </c>
      <c r="O3215" s="90">
        <v>0.26974778089217999</v>
      </c>
      <c r="P3215" s="90">
        <v>3.5613781193289999E-2</v>
      </c>
      <c r="Q3215" s="90">
        <v>87.803016502858796</v>
      </c>
      <c r="R3215" s="90">
        <v>1400</v>
      </c>
      <c r="S3215" s="90" t="s">
        <v>324</v>
      </c>
      <c r="T3215" s="90">
        <v>1400</v>
      </c>
      <c r="U3215" s="90" t="s">
        <v>378</v>
      </c>
      <c r="V3215" s="90" t="s">
        <v>244</v>
      </c>
      <c r="Z3215" s="90">
        <v>0</v>
      </c>
      <c r="AA3215" s="90">
        <v>1</v>
      </c>
      <c r="AB3215" s="90">
        <v>0.26974778089217999</v>
      </c>
      <c r="AC3215" s="90">
        <v>3.5613781193289999E-2</v>
      </c>
      <c r="AD3215" s="90">
        <v>852.79073330078495</v>
      </c>
      <c r="AF3215" s="90">
        <v>-1</v>
      </c>
      <c r="AG3215" s="90">
        <v>-1</v>
      </c>
      <c r="AH3215" s="90">
        <v>-1</v>
      </c>
      <c r="AI3215" s="90">
        <v>-1</v>
      </c>
      <c r="AJ3215" s="90">
        <v>0</v>
      </c>
      <c r="AM3215" s="90" t="s">
        <v>379</v>
      </c>
      <c r="AN3215" s="90">
        <v>-1</v>
      </c>
      <c r="AQ3215" s="90">
        <v>391</v>
      </c>
      <c r="AR3215" s="90" t="s">
        <v>315</v>
      </c>
      <c r="AS3215" s="90" t="s">
        <v>430</v>
      </c>
      <c r="AT3215" s="90" t="s">
        <v>244</v>
      </c>
      <c r="AU3215" s="90">
        <v>22.5044</v>
      </c>
      <c r="AV3215" s="90">
        <v>51.949067780298698</v>
      </c>
      <c r="AW3215" s="90">
        <v>93.866505700887004</v>
      </c>
      <c r="AX3215" s="90">
        <v>0.69163887530000001</v>
      </c>
    </row>
    <row r="3216" spans="1:50" x14ac:dyDescent="0.25">
      <c r="A3216" s="102">
        <v>830000</v>
      </c>
      <c r="B3216" s="102">
        <v>2400000</v>
      </c>
      <c r="C3216" s="102">
        <v>2500000</v>
      </c>
      <c r="D3216" s="90" t="s">
        <v>374</v>
      </c>
      <c r="E3216" s="90" t="s">
        <v>68</v>
      </c>
      <c r="F3216" s="90" t="s">
        <v>375</v>
      </c>
      <c r="G3216" s="90" t="s">
        <v>376</v>
      </c>
      <c r="H3216" s="90">
        <v>0.59</v>
      </c>
      <c r="I3216" s="90">
        <v>0.64</v>
      </c>
      <c r="J3216" s="90" t="s">
        <v>244</v>
      </c>
      <c r="K3216" s="90">
        <v>0.12429104325588</v>
      </c>
      <c r="L3216" s="90">
        <v>3785.4418739412199</v>
      </c>
      <c r="M3216" s="90">
        <v>11.6296066566091</v>
      </c>
      <c r="N3216" s="90">
        <v>1.5354130642434101</v>
      </c>
      <c r="O3216" s="90">
        <v>1.4454559440055299</v>
      </c>
      <c r="P3216" s="90">
        <v>0.19083809158352</v>
      </c>
      <c r="Q3216" s="90">
        <v>470.49651969666701</v>
      </c>
      <c r="R3216" s="90">
        <v>1410</v>
      </c>
      <c r="S3216" s="90" t="s">
        <v>325</v>
      </c>
      <c r="T3216" s="90">
        <v>1410</v>
      </c>
      <c r="U3216" s="90" t="s">
        <v>378</v>
      </c>
      <c r="V3216" s="90" t="s">
        <v>244</v>
      </c>
      <c r="Z3216" s="90">
        <v>0</v>
      </c>
      <c r="AA3216" s="90">
        <v>1</v>
      </c>
      <c r="AB3216" s="90">
        <v>1.4454559440055299</v>
      </c>
      <c r="AC3216" s="90">
        <v>0.19083809158352</v>
      </c>
      <c r="AD3216" s="90">
        <v>961.27773717664002</v>
      </c>
      <c r="AF3216" s="90">
        <v>-1</v>
      </c>
      <c r="AG3216" s="90">
        <v>-1</v>
      </c>
      <c r="AH3216" s="90">
        <v>-1</v>
      </c>
      <c r="AI3216" s="90">
        <v>-1</v>
      </c>
      <c r="AJ3216" s="90">
        <v>0</v>
      </c>
      <c r="AM3216" s="90" t="s">
        <v>379</v>
      </c>
      <c r="AN3216" s="90">
        <v>-1</v>
      </c>
      <c r="AQ3216" s="90">
        <v>391</v>
      </c>
      <c r="AR3216" s="90" t="s">
        <v>315</v>
      </c>
      <c r="AS3216" s="90" t="s">
        <v>430</v>
      </c>
      <c r="AT3216" s="90" t="s">
        <v>244</v>
      </c>
      <c r="AU3216" s="90">
        <v>22.5044</v>
      </c>
      <c r="AV3216" s="90">
        <v>89.879334372884898</v>
      </c>
      <c r="AW3216" s="90">
        <v>502.98800664687502</v>
      </c>
      <c r="AX3216" s="90">
        <v>0.77962509099999999</v>
      </c>
    </row>
    <row r="3217" spans="1:50" x14ac:dyDescent="0.25">
      <c r="A3217" s="102">
        <v>830000</v>
      </c>
      <c r="B3217" s="102">
        <v>2400000</v>
      </c>
      <c r="C3217" s="102">
        <v>2500000</v>
      </c>
      <c r="D3217" s="90" t="s">
        <v>374</v>
      </c>
      <c r="E3217" s="90" t="s">
        <v>68</v>
      </c>
      <c r="F3217" s="90" t="s">
        <v>375</v>
      </c>
      <c r="G3217" s="90" t="s">
        <v>376</v>
      </c>
      <c r="H3217" s="90">
        <v>0.59</v>
      </c>
      <c r="I3217" s="90">
        <v>0.64</v>
      </c>
      <c r="J3217" s="90" t="s">
        <v>244</v>
      </c>
      <c r="K3217" s="90">
        <v>3.14814066922E-3</v>
      </c>
      <c r="L3217" s="90">
        <v>3823.9760263861199</v>
      </c>
      <c r="M3217" s="90">
        <v>10.7849911355018</v>
      </c>
      <c r="N3217" s="90">
        <v>1.43344038853355</v>
      </c>
      <c r="O3217" s="90">
        <v>3.3952669210910003E-2</v>
      </c>
      <c r="P3217" s="90">
        <v>4.5126719840499997E-3</v>
      </c>
      <c r="Q3217" s="90">
        <v>12.0384144468113</v>
      </c>
      <c r="R3217" s="90">
        <v>1400</v>
      </c>
      <c r="S3217" s="90" t="s">
        <v>324</v>
      </c>
      <c r="T3217" s="90">
        <v>1400</v>
      </c>
      <c r="U3217" s="90" t="s">
        <v>378</v>
      </c>
      <c r="V3217" s="90" t="s">
        <v>244</v>
      </c>
      <c r="Z3217" s="90">
        <v>0</v>
      </c>
      <c r="AA3217" s="90">
        <v>1</v>
      </c>
      <c r="AB3217" s="90">
        <v>3.3952669210910003E-2</v>
      </c>
      <c r="AC3217" s="90">
        <v>4.5126719840499997E-3</v>
      </c>
      <c r="AD3217" s="90">
        <v>12.0384144468114</v>
      </c>
      <c r="AF3217" s="90">
        <v>-1</v>
      </c>
      <c r="AG3217" s="90">
        <v>-1</v>
      </c>
      <c r="AH3217" s="90">
        <v>-1</v>
      </c>
      <c r="AI3217" s="90">
        <v>-1</v>
      </c>
      <c r="AJ3217" s="90">
        <v>0</v>
      </c>
      <c r="AM3217" s="90" t="s">
        <v>379</v>
      </c>
      <c r="AN3217" s="90">
        <v>-1</v>
      </c>
      <c r="AQ3217" s="90">
        <v>391</v>
      </c>
      <c r="AR3217" s="90" t="s">
        <v>315</v>
      </c>
      <c r="AS3217" s="90" t="s">
        <v>430</v>
      </c>
      <c r="AT3217" s="90" t="s">
        <v>244</v>
      </c>
      <c r="AU3217" s="90">
        <v>22.5044</v>
      </c>
      <c r="AV3217" s="90">
        <v>100.401127369318</v>
      </c>
      <c r="AW3217" s="90">
        <v>12.7400732858759</v>
      </c>
      <c r="AX3217" s="90">
        <v>9.7635154000000005E-3</v>
      </c>
    </row>
    <row r="3218" spans="1:50" x14ac:dyDescent="0.25">
      <c r="A3218" s="102">
        <v>830000</v>
      </c>
      <c r="B3218" s="102">
        <v>2400000</v>
      </c>
      <c r="C3218" s="102">
        <v>2500000</v>
      </c>
      <c r="D3218" s="90" t="s">
        <v>374</v>
      </c>
      <c r="E3218" s="90" t="s">
        <v>68</v>
      </c>
      <c r="F3218" s="90" t="s">
        <v>375</v>
      </c>
      <c r="G3218" s="90" t="s">
        <v>376</v>
      </c>
      <c r="H3218" s="90">
        <v>0.59</v>
      </c>
      <c r="I3218" s="90">
        <v>0.64</v>
      </c>
      <c r="J3218" s="90" t="s">
        <v>381</v>
      </c>
      <c r="K3218" s="90">
        <v>0.22335602763788001</v>
      </c>
      <c r="L3218" s="90">
        <v>3823.9760263861199</v>
      </c>
      <c r="M3218" s="90">
        <v>10.7849911355018</v>
      </c>
      <c r="N3218" s="90">
        <v>1.43344038853355</v>
      </c>
      <c r="O3218" s="90">
        <v>2.4088927781354501</v>
      </c>
      <c r="P3218" s="90">
        <v>0.32016755103854999</v>
      </c>
      <c r="Q3218" s="90">
        <v>854.108095036093</v>
      </c>
      <c r="R3218" s="90">
        <v>1400</v>
      </c>
      <c r="S3218" s="90" t="s">
        <v>324</v>
      </c>
      <c r="T3218" s="90">
        <v>1400</v>
      </c>
      <c r="U3218" s="90" t="s">
        <v>382</v>
      </c>
      <c r="V3218" s="90" t="s">
        <v>381</v>
      </c>
      <c r="Z3218" s="90">
        <v>0</v>
      </c>
      <c r="AA3218" s="90">
        <v>1</v>
      </c>
      <c r="AB3218" s="90">
        <v>2.4088927781354501</v>
      </c>
      <c r="AC3218" s="90">
        <v>0.32016755103854999</v>
      </c>
      <c r="AD3218" s="90">
        <v>854.108095036093</v>
      </c>
      <c r="AF3218" s="90">
        <v>-1</v>
      </c>
      <c r="AG3218" s="90">
        <v>-1</v>
      </c>
      <c r="AH3218" s="90">
        <v>-1</v>
      </c>
      <c r="AI3218" s="90">
        <v>-1</v>
      </c>
      <c r="AJ3218" s="90">
        <v>0</v>
      </c>
      <c r="AM3218" s="90" t="s">
        <v>379</v>
      </c>
      <c r="AN3218" s="90">
        <v>-1</v>
      </c>
      <c r="AQ3218" s="90">
        <v>391</v>
      </c>
      <c r="AR3218" s="90" t="s">
        <v>315</v>
      </c>
      <c r="AS3218" s="90" t="s">
        <v>430</v>
      </c>
      <c r="AT3218" s="90" t="s">
        <v>244</v>
      </c>
      <c r="AU3218" s="90">
        <v>22.5044</v>
      </c>
      <c r="AV3218" s="90">
        <v>136.291411382343</v>
      </c>
      <c r="AW3218" s="90">
        <v>903.88977492811</v>
      </c>
      <c r="AX3218" s="90">
        <v>0.69270729519999996</v>
      </c>
    </row>
    <row r="3219" spans="1:50" x14ac:dyDescent="0.25">
      <c r="A3219" s="102">
        <v>830000</v>
      </c>
      <c r="B3219" s="102">
        <v>2400000</v>
      </c>
      <c r="C3219" s="102">
        <v>2500000</v>
      </c>
      <c r="D3219" s="90" t="s">
        <v>374</v>
      </c>
      <c r="E3219" s="90" t="s">
        <v>68</v>
      </c>
      <c r="F3219" s="90" t="s">
        <v>375</v>
      </c>
      <c r="G3219" s="90" t="s">
        <v>376</v>
      </c>
      <c r="H3219" s="90">
        <v>0.59</v>
      </c>
      <c r="I3219" s="90">
        <v>0.64</v>
      </c>
      <c r="J3219" s="90" t="s">
        <v>244</v>
      </c>
      <c r="K3219" s="90">
        <v>0.16823887405182</v>
      </c>
      <c r="L3219" s="90">
        <v>3823.9760263861199</v>
      </c>
      <c r="M3219" s="90">
        <v>10.7849911355018</v>
      </c>
      <c r="N3219" s="90">
        <v>1.43344038853355</v>
      </c>
      <c r="O3219" s="90">
        <v>1.8144547652957299</v>
      </c>
      <c r="P3219" s="90">
        <v>0.24116039698729</v>
      </c>
      <c r="Q3219" s="90">
        <v>643.34142108036895</v>
      </c>
      <c r="R3219" s="90">
        <v>1410</v>
      </c>
      <c r="S3219" s="90" t="s">
        <v>325</v>
      </c>
      <c r="T3219" s="90">
        <v>1410</v>
      </c>
      <c r="U3219" s="90" t="s">
        <v>378</v>
      </c>
      <c r="V3219" s="90" t="s">
        <v>244</v>
      </c>
      <c r="Z3219" s="90">
        <v>0</v>
      </c>
      <c r="AA3219" s="90">
        <v>1</v>
      </c>
      <c r="AB3219" s="90">
        <v>1.8144547652957299</v>
      </c>
      <c r="AC3219" s="90">
        <v>0.24116039698729</v>
      </c>
      <c r="AD3219" s="90">
        <v>643.34142108036895</v>
      </c>
      <c r="AF3219" s="90">
        <v>-1</v>
      </c>
      <c r="AG3219" s="90">
        <v>-1</v>
      </c>
      <c r="AH3219" s="90">
        <v>-1</v>
      </c>
      <c r="AI3219" s="90">
        <v>-1</v>
      </c>
      <c r="AJ3219" s="90">
        <v>0</v>
      </c>
      <c r="AM3219" s="90" t="s">
        <v>379</v>
      </c>
      <c r="AN3219" s="90">
        <v>-1</v>
      </c>
      <c r="AQ3219" s="90">
        <v>391</v>
      </c>
      <c r="AR3219" s="90" t="s">
        <v>315</v>
      </c>
      <c r="AS3219" s="90" t="s">
        <v>430</v>
      </c>
      <c r="AT3219" s="90" t="s">
        <v>244</v>
      </c>
      <c r="AU3219" s="90">
        <v>22.5044</v>
      </c>
      <c r="AV3219" s="90">
        <v>106.482597871859</v>
      </c>
      <c r="AW3219" s="90">
        <v>680.83856795396798</v>
      </c>
      <c r="AX3219" s="90">
        <v>0.52176919799999999</v>
      </c>
    </row>
    <row r="3220" spans="1:50" x14ac:dyDescent="0.25">
      <c r="A3220" s="102">
        <v>830000</v>
      </c>
      <c r="B3220" s="102">
        <v>2400000</v>
      </c>
      <c r="C3220" s="102">
        <v>2500000</v>
      </c>
      <c r="D3220" s="90" t="s">
        <v>374</v>
      </c>
      <c r="E3220" s="90" t="s">
        <v>68</v>
      </c>
      <c r="F3220" s="90" t="s">
        <v>375</v>
      </c>
      <c r="G3220" s="90" t="s">
        <v>376</v>
      </c>
      <c r="H3220" s="90">
        <v>0.59</v>
      </c>
      <c r="I3220" s="90">
        <v>0.64</v>
      </c>
      <c r="J3220" s="90" t="s">
        <v>244</v>
      </c>
      <c r="K3220" s="90">
        <v>0.17858533137247001</v>
      </c>
      <c r="L3220" s="90">
        <v>3823.9760263861199</v>
      </c>
      <c r="M3220" s="90">
        <v>10.7849911355018</v>
      </c>
      <c r="N3220" s="90">
        <v>1.43344038853355</v>
      </c>
      <c r="O3220" s="90">
        <v>1.92604121578279</v>
      </c>
      <c r="P3220" s="90">
        <v>0.25599142678894998</v>
      </c>
      <c r="Q3220" s="90">
        <v>682.90602583256202</v>
      </c>
      <c r="R3220" s="90">
        <v>1410</v>
      </c>
      <c r="S3220" s="90" t="s">
        <v>325</v>
      </c>
      <c r="T3220" s="90">
        <v>1410</v>
      </c>
      <c r="U3220" s="90" t="s">
        <v>378</v>
      </c>
      <c r="V3220" s="90" t="s">
        <v>244</v>
      </c>
      <c r="Z3220" s="90">
        <v>0</v>
      </c>
      <c r="AA3220" s="90">
        <v>1</v>
      </c>
      <c r="AB3220" s="90">
        <v>1.92604121578279</v>
      </c>
      <c r="AC3220" s="90">
        <v>0.25599142678894998</v>
      </c>
      <c r="AD3220" s="90">
        <v>682.90602583256202</v>
      </c>
      <c r="AF3220" s="90">
        <v>-1</v>
      </c>
      <c r="AG3220" s="90">
        <v>-1</v>
      </c>
      <c r="AH3220" s="90">
        <v>-1</v>
      </c>
      <c r="AI3220" s="90">
        <v>-1</v>
      </c>
      <c r="AJ3220" s="90">
        <v>0</v>
      </c>
      <c r="AM3220" s="90" t="s">
        <v>379</v>
      </c>
      <c r="AN3220" s="90">
        <v>-1</v>
      </c>
      <c r="AQ3220" s="90">
        <v>391</v>
      </c>
      <c r="AR3220" s="90" t="s">
        <v>315</v>
      </c>
      <c r="AS3220" s="90" t="s">
        <v>430</v>
      </c>
      <c r="AT3220" s="90" t="s">
        <v>244</v>
      </c>
      <c r="AU3220" s="90">
        <v>22.5044</v>
      </c>
      <c r="AV3220" s="90">
        <v>108.917635770914</v>
      </c>
      <c r="AW3220" s="90">
        <v>722.70919521112705</v>
      </c>
      <c r="AX3220" s="90">
        <v>0.55385727969999998</v>
      </c>
    </row>
    <row r="3221" spans="1:50" x14ac:dyDescent="0.25">
      <c r="A3221" s="102">
        <v>830000</v>
      </c>
      <c r="B3221" s="102">
        <v>2400000</v>
      </c>
      <c r="C3221" s="102">
        <v>2500000</v>
      </c>
      <c r="D3221" s="90" t="s">
        <v>374</v>
      </c>
      <c r="E3221" s="90" t="s">
        <v>68</v>
      </c>
      <c r="F3221" s="90" t="s">
        <v>375</v>
      </c>
      <c r="G3221" s="90" t="s">
        <v>376</v>
      </c>
      <c r="H3221" s="90">
        <v>0.59</v>
      </c>
      <c r="I3221" s="90">
        <v>0.64</v>
      </c>
      <c r="J3221" s="90" t="s">
        <v>244</v>
      </c>
      <c r="K3221" s="90">
        <v>4.4270811057520003E-2</v>
      </c>
      <c r="L3221" s="90">
        <v>3823.9760263861199</v>
      </c>
      <c r="M3221" s="90">
        <v>10.7849911355018</v>
      </c>
      <c r="N3221" s="90">
        <v>1.43344038853355</v>
      </c>
      <c r="O3221" s="90">
        <v>0.47746030481684998</v>
      </c>
      <c r="P3221" s="90">
        <v>6.3459568602989999E-2</v>
      </c>
      <c r="Q3221" s="90">
        <v>169.29052015263301</v>
      </c>
      <c r="R3221" s="90">
        <v>1410</v>
      </c>
      <c r="S3221" s="90" t="s">
        <v>325</v>
      </c>
      <c r="T3221" s="90">
        <v>1410</v>
      </c>
      <c r="U3221" s="90" t="s">
        <v>378</v>
      </c>
      <c r="V3221" s="90" t="s">
        <v>244</v>
      </c>
      <c r="Z3221" s="90">
        <v>0</v>
      </c>
      <c r="AA3221" s="90">
        <v>1</v>
      </c>
      <c r="AB3221" s="90">
        <v>0.47746030481684998</v>
      </c>
      <c r="AC3221" s="90">
        <v>6.3459568602989999E-2</v>
      </c>
      <c r="AD3221" s="90">
        <v>169.91867970373599</v>
      </c>
      <c r="AF3221" s="90">
        <v>-1</v>
      </c>
      <c r="AG3221" s="90">
        <v>-1</v>
      </c>
      <c r="AH3221" s="90">
        <v>-1</v>
      </c>
      <c r="AI3221" s="90">
        <v>-1</v>
      </c>
      <c r="AJ3221" s="90">
        <v>0</v>
      </c>
      <c r="AM3221" s="90" t="s">
        <v>379</v>
      </c>
      <c r="AN3221" s="90">
        <v>-1</v>
      </c>
      <c r="AQ3221" s="90">
        <v>391</v>
      </c>
      <c r="AR3221" s="90" t="s">
        <v>315</v>
      </c>
      <c r="AS3221" s="90" t="s">
        <v>430</v>
      </c>
      <c r="AT3221" s="90" t="s">
        <v>244</v>
      </c>
      <c r="AU3221" s="90">
        <v>22.5044</v>
      </c>
      <c r="AV3221" s="90">
        <v>73.723807302003493</v>
      </c>
      <c r="AW3221" s="90">
        <v>179.157616052989</v>
      </c>
      <c r="AX3221" s="90">
        <v>0.13780914820000001</v>
      </c>
    </row>
    <row r="3222" spans="1:50" x14ac:dyDescent="0.25">
      <c r="A3222" s="102">
        <v>830000</v>
      </c>
      <c r="B3222" s="102">
        <v>2400000</v>
      </c>
      <c r="C3222" s="102">
        <v>2500000</v>
      </c>
      <c r="D3222" s="90" t="s">
        <v>374</v>
      </c>
      <c r="E3222" s="90" t="s">
        <v>68</v>
      </c>
      <c r="F3222" s="90" t="s">
        <v>375</v>
      </c>
      <c r="G3222" s="90" t="s">
        <v>376</v>
      </c>
      <c r="H3222" s="90">
        <v>0.59</v>
      </c>
      <c r="I3222" s="90">
        <v>0.64</v>
      </c>
      <c r="J3222" s="90" t="s">
        <v>244</v>
      </c>
      <c r="K3222" s="90">
        <v>2.2328582247899999E-2</v>
      </c>
      <c r="L3222" s="90">
        <v>3768.8095995379699</v>
      </c>
      <c r="M3222" s="90">
        <v>11.407741061544201</v>
      </c>
      <c r="N3222" s="90">
        <v>1.5057129593822001</v>
      </c>
      <c r="O3222" s="90">
        <v>0.25471868455548002</v>
      </c>
      <c r="P3222" s="90">
        <v>3.3620435655299999E-2</v>
      </c>
      <c r="Q3222" s="90">
        <v>84.152175119973805</v>
      </c>
      <c r="R3222" s="90">
        <v>1410</v>
      </c>
      <c r="S3222" s="90" t="s">
        <v>325</v>
      </c>
      <c r="T3222" s="90">
        <v>1410</v>
      </c>
      <c r="U3222" s="90" t="s">
        <v>378</v>
      </c>
      <c r="V3222" s="90" t="s">
        <v>244</v>
      </c>
      <c r="Z3222" s="90">
        <v>0</v>
      </c>
      <c r="AA3222" s="90">
        <v>1</v>
      </c>
      <c r="AB3222" s="90">
        <v>0.25471868455548002</v>
      </c>
      <c r="AC3222" s="90">
        <v>3.3620435655299999E-2</v>
      </c>
      <c r="AD3222" s="90">
        <v>228.51116194845</v>
      </c>
      <c r="AF3222" s="90">
        <v>-1</v>
      </c>
      <c r="AG3222" s="90">
        <v>-1</v>
      </c>
      <c r="AH3222" s="90">
        <v>-1</v>
      </c>
      <c r="AI3222" s="90">
        <v>-1</v>
      </c>
      <c r="AJ3222" s="90">
        <v>0</v>
      </c>
      <c r="AM3222" s="90" t="s">
        <v>379</v>
      </c>
      <c r="AN3222" s="90">
        <v>-1</v>
      </c>
      <c r="AQ3222" s="90">
        <v>391</v>
      </c>
      <c r="AR3222" s="90" t="s">
        <v>315</v>
      </c>
      <c r="AS3222" s="90" t="s">
        <v>430</v>
      </c>
      <c r="AT3222" s="90" t="s">
        <v>244</v>
      </c>
      <c r="AU3222" s="90">
        <v>22.5044</v>
      </c>
      <c r="AV3222" s="90">
        <v>44.8894428053488</v>
      </c>
      <c r="AW3222" s="90">
        <v>90.360566473018096</v>
      </c>
      <c r="AX3222" s="90">
        <v>0.18532940949999999</v>
      </c>
    </row>
    <row r="3223" spans="1:50" x14ac:dyDescent="0.25">
      <c r="A3223" s="102">
        <v>830000</v>
      </c>
      <c r="B3223" s="102">
        <v>2400000</v>
      </c>
      <c r="C3223" s="102">
        <v>2500000</v>
      </c>
      <c r="D3223" s="90" t="s">
        <v>374</v>
      </c>
      <c r="E3223" s="90" t="s">
        <v>68</v>
      </c>
      <c r="F3223" s="90" t="s">
        <v>375</v>
      </c>
      <c r="G3223" s="90" t="s">
        <v>376</v>
      </c>
      <c r="H3223" s="90">
        <v>0.59</v>
      </c>
      <c r="I3223" s="90">
        <v>0.64</v>
      </c>
      <c r="J3223" s="90" t="s">
        <v>244</v>
      </c>
      <c r="K3223" s="90">
        <v>2.2826319843330001E-2</v>
      </c>
      <c r="L3223" s="90">
        <v>3768.8095995379699</v>
      </c>
      <c r="M3223" s="90">
        <v>11.407741061544201</v>
      </c>
      <c r="N3223" s="90">
        <v>1.5057129593822001</v>
      </c>
      <c r="O3223" s="90">
        <v>0.26039674616077002</v>
      </c>
      <c r="P3223" s="90">
        <v>3.4369885603110002E-2</v>
      </c>
      <c r="Q3223" s="90">
        <v>86.028053347692705</v>
      </c>
      <c r="R3223" s="90">
        <v>1410</v>
      </c>
      <c r="S3223" s="90" t="s">
        <v>325</v>
      </c>
      <c r="T3223" s="90">
        <v>1410</v>
      </c>
      <c r="U3223" s="90" t="s">
        <v>378</v>
      </c>
      <c r="V3223" s="90" t="s">
        <v>244</v>
      </c>
      <c r="Z3223" s="90">
        <v>0</v>
      </c>
      <c r="AA3223" s="90">
        <v>1</v>
      </c>
      <c r="AB3223" s="90">
        <v>0.26039674616077002</v>
      </c>
      <c r="AC3223" s="90">
        <v>3.4369885603110002E-2</v>
      </c>
      <c r="AD3223" s="90">
        <v>131.82038001006501</v>
      </c>
      <c r="AF3223" s="90">
        <v>-1</v>
      </c>
      <c r="AG3223" s="90">
        <v>-1</v>
      </c>
      <c r="AH3223" s="90">
        <v>-1</v>
      </c>
      <c r="AI3223" s="90">
        <v>-1</v>
      </c>
      <c r="AJ3223" s="90">
        <v>0</v>
      </c>
      <c r="AM3223" s="90" t="s">
        <v>379</v>
      </c>
      <c r="AN3223" s="90">
        <v>-1</v>
      </c>
      <c r="AQ3223" s="90">
        <v>391</v>
      </c>
      <c r="AR3223" s="90" t="s">
        <v>315</v>
      </c>
      <c r="AS3223" s="90" t="s">
        <v>430</v>
      </c>
      <c r="AT3223" s="90" t="s">
        <v>244</v>
      </c>
      <c r="AU3223" s="90">
        <v>22.5044</v>
      </c>
      <c r="AV3223" s="90">
        <v>42.358730363110602</v>
      </c>
      <c r="AW3223" s="90">
        <v>92.374839057765499</v>
      </c>
      <c r="AX3223" s="90">
        <v>0.1069102839</v>
      </c>
    </row>
    <row r="3224" spans="1:50" x14ac:dyDescent="0.25">
      <c r="A3224" s="102">
        <v>830000</v>
      </c>
      <c r="B3224" s="102">
        <v>2400000</v>
      </c>
      <c r="C3224" s="102">
        <v>2500000</v>
      </c>
      <c r="D3224" s="90" t="s">
        <v>374</v>
      </c>
      <c r="E3224" s="90" t="s">
        <v>68</v>
      </c>
      <c r="F3224" s="90" t="s">
        <v>375</v>
      </c>
      <c r="G3224" s="90" t="s">
        <v>376</v>
      </c>
      <c r="H3224" s="90">
        <v>0.59</v>
      </c>
      <c r="I3224" s="90">
        <v>0.64</v>
      </c>
      <c r="J3224" s="90" t="s">
        <v>244</v>
      </c>
      <c r="K3224" s="90">
        <v>3.3445363843660002E-2</v>
      </c>
      <c r="L3224" s="90">
        <v>3782.2248086847198</v>
      </c>
      <c r="M3224" s="90">
        <v>11.6268660065177</v>
      </c>
      <c r="N3224" s="90">
        <v>1.53498047562894</v>
      </c>
      <c r="O3224" s="90">
        <v>0.38886476394956998</v>
      </c>
      <c r="P3224" s="90">
        <v>5.1337980500329998E-2</v>
      </c>
      <c r="Q3224" s="90">
        <v>126.497884865012</v>
      </c>
      <c r="R3224" s="90">
        <v>1400</v>
      </c>
      <c r="S3224" s="90" t="s">
        <v>324</v>
      </c>
      <c r="T3224" s="90">
        <v>1400</v>
      </c>
      <c r="U3224" s="90" t="s">
        <v>378</v>
      </c>
      <c r="V3224" s="90" t="s">
        <v>244</v>
      </c>
      <c r="Z3224" s="90">
        <v>0</v>
      </c>
      <c r="AA3224" s="90">
        <v>1</v>
      </c>
      <c r="AB3224" s="90">
        <v>0.38886476394956998</v>
      </c>
      <c r="AC3224" s="90">
        <v>5.1337980500329998E-2</v>
      </c>
      <c r="AD3224" s="90">
        <v>677.26780672839197</v>
      </c>
      <c r="AF3224" s="90">
        <v>-1</v>
      </c>
      <c r="AG3224" s="90">
        <v>-1</v>
      </c>
      <c r="AH3224" s="90">
        <v>-1</v>
      </c>
      <c r="AI3224" s="90">
        <v>-1</v>
      </c>
      <c r="AJ3224" s="90">
        <v>0</v>
      </c>
      <c r="AM3224" s="90" t="s">
        <v>379</v>
      </c>
      <c r="AN3224" s="90">
        <v>-1</v>
      </c>
      <c r="AQ3224" s="90">
        <v>391</v>
      </c>
      <c r="AR3224" s="90" t="s">
        <v>315</v>
      </c>
      <c r="AS3224" s="90" t="s">
        <v>430</v>
      </c>
      <c r="AT3224" s="90" t="s">
        <v>244</v>
      </c>
      <c r="AU3224" s="90">
        <v>22.5044</v>
      </c>
      <c r="AV3224" s="90">
        <v>89.622802269929807</v>
      </c>
      <c r="AW3224" s="90">
        <v>135.34858547025601</v>
      </c>
      <c r="AX3224" s="90">
        <v>0.54928451479999996</v>
      </c>
    </row>
    <row r="3225" spans="1:50" x14ac:dyDescent="0.25">
      <c r="A3225" s="102">
        <v>830000</v>
      </c>
      <c r="B3225" s="102">
        <v>2400000</v>
      </c>
      <c r="C3225" s="102">
        <v>2500000</v>
      </c>
      <c r="D3225" s="90" t="s">
        <v>374</v>
      </c>
      <c r="E3225" s="90" t="s">
        <v>68</v>
      </c>
      <c r="F3225" s="90" t="s">
        <v>375</v>
      </c>
      <c r="G3225" s="90" t="s">
        <v>376</v>
      </c>
      <c r="H3225" s="90">
        <v>0.59</v>
      </c>
      <c r="I3225" s="90">
        <v>0.64</v>
      </c>
      <c r="J3225" s="90" t="s">
        <v>244</v>
      </c>
      <c r="K3225" s="90">
        <v>0.29256458059272</v>
      </c>
      <c r="L3225" s="90">
        <v>3782.2248086847198</v>
      </c>
      <c r="M3225" s="90">
        <v>11.6268660065177</v>
      </c>
      <c r="N3225" s="90">
        <v>1.53498047562894</v>
      </c>
      <c r="O3225" s="90">
        <v>3.4016091768046501</v>
      </c>
      <c r="P3225" s="90">
        <v>0.44908091907039999</v>
      </c>
      <c r="Q3225" s="90">
        <v>1106.5450148602399</v>
      </c>
      <c r="R3225" s="90">
        <v>1410</v>
      </c>
      <c r="S3225" s="90" t="s">
        <v>325</v>
      </c>
      <c r="T3225" s="90">
        <v>1410</v>
      </c>
      <c r="U3225" s="90" t="s">
        <v>378</v>
      </c>
      <c r="V3225" s="90" t="s">
        <v>244</v>
      </c>
      <c r="Z3225" s="90">
        <v>0</v>
      </c>
      <c r="AA3225" s="90">
        <v>1</v>
      </c>
      <c r="AB3225" s="90">
        <v>3.4016091768046501</v>
      </c>
      <c r="AC3225" s="90">
        <v>0.44908091907039999</v>
      </c>
      <c r="AD3225" s="90">
        <v>1178.4977830995699</v>
      </c>
      <c r="AF3225" s="90">
        <v>-1</v>
      </c>
      <c r="AG3225" s="90">
        <v>-1</v>
      </c>
      <c r="AH3225" s="90">
        <v>-1</v>
      </c>
      <c r="AI3225" s="90">
        <v>-1</v>
      </c>
      <c r="AJ3225" s="90">
        <v>0</v>
      </c>
      <c r="AM3225" s="90" t="s">
        <v>379</v>
      </c>
      <c r="AN3225" s="90">
        <v>-1</v>
      </c>
      <c r="AQ3225" s="90">
        <v>391</v>
      </c>
      <c r="AR3225" s="90" t="s">
        <v>315</v>
      </c>
      <c r="AS3225" s="90" t="s">
        <v>430</v>
      </c>
      <c r="AT3225" s="90" t="s">
        <v>244</v>
      </c>
      <c r="AU3225" s="90">
        <v>22.5044</v>
      </c>
      <c r="AV3225" s="90">
        <v>140.414053802925</v>
      </c>
      <c r="AW3225" s="90">
        <v>1183.9668519384199</v>
      </c>
      <c r="AX3225" s="90">
        <v>0.95579706659999997</v>
      </c>
    </row>
    <row r="3226" spans="1:50" x14ac:dyDescent="0.25">
      <c r="A3226" s="102">
        <v>830000</v>
      </c>
      <c r="B3226" s="102">
        <v>2500000</v>
      </c>
      <c r="C3226" s="102">
        <v>2500000</v>
      </c>
      <c r="D3226" s="90" t="s">
        <v>374</v>
      </c>
      <c r="E3226" s="90" t="s">
        <v>68</v>
      </c>
      <c r="F3226" s="90" t="s">
        <v>375</v>
      </c>
      <c r="G3226" s="90" t="s">
        <v>376</v>
      </c>
      <c r="H3226" s="90">
        <v>0.59</v>
      </c>
      <c r="I3226" s="90">
        <v>0.64</v>
      </c>
      <c r="J3226" s="90" t="s">
        <v>244</v>
      </c>
      <c r="K3226" s="90">
        <v>5.6620620688260001E-2</v>
      </c>
      <c r="L3226" s="90">
        <v>3784.8734252570898</v>
      </c>
      <c r="M3226" s="90">
        <v>11.627895691414</v>
      </c>
      <c r="N3226" s="90">
        <v>1.5351868211381201</v>
      </c>
      <c r="O3226" s="90">
        <v>0.65837867134628003</v>
      </c>
      <c r="P3226" s="90">
        <v>8.6923230685280004E-2</v>
      </c>
      <c r="Q3226" s="90">
        <v>214.30188256458001</v>
      </c>
      <c r="R3226" s="90">
        <v>1400</v>
      </c>
      <c r="S3226" s="90" t="s">
        <v>324</v>
      </c>
      <c r="T3226" s="90">
        <v>1400</v>
      </c>
      <c r="U3226" s="90" t="s">
        <v>378</v>
      </c>
      <c r="V3226" s="90" t="s">
        <v>244</v>
      </c>
      <c r="Z3226" s="90">
        <v>0</v>
      </c>
      <c r="AA3226" s="90">
        <v>1</v>
      </c>
      <c r="AB3226" s="90">
        <v>0.65837867134628003</v>
      </c>
      <c r="AC3226" s="90">
        <v>8.6923230685280004E-2</v>
      </c>
      <c r="AD3226" s="90">
        <v>214.30188256457899</v>
      </c>
      <c r="AF3226" s="90">
        <v>-1</v>
      </c>
      <c r="AG3226" s="90">
        <v>-1</v>
      </c>
      <c r="AH3226" s="90">
        <v>-1</v>
      </c>
      <c r="AI3226" s="90">
        <v>-1</v>
      </c>
      <c r="AJ3226" s="90">
        <v>0</v>
      </c>
      <c r="AM3226" s="90" t="s">
        <v>379</v>
      </c>
      <c r="AN3226" s="90">
        <v>-1</v>
      </c>
      <c r="AQ3226" s="90">
        <v>391</v>
      </c>
      <c r="AR3226" s="90" t="s">
        <v>315</v>
      </c>
      <c r="AS3226" s="90" t="s">
        <v>430</v>
      </c>
      <c r="AT3226" s="90" t="s">
        <v>244</v>
      </c>
      <c r="AU3226" s="90">
        <v>22.5044</v>
      </c>
      <c r="AV3226" s="90">
        <v>109.186066937628</v>
      </c>
      <c r="AW3226" s="90">
        <v>229.13552247258201</v>
      </c>
      <c r="AX3226" s="90">
        <v>0.17380525760000001</v>
      </c>
    </row>
    <row r="3227" spans="1:50" x14ac:dyDescent="0.25">
      <c r="A3227" s="102">
        <v>830000</v>
      </c>
      <c r="B3227" s="102">
        <v>2500000</v>
      </c>
      <c r="C3227" s="102">
        <v>2500000</v>
      </c>
      <c r="D3227" s="90" t="s">
        <v>374</v>
      </c>
      <c r="E3227" s="90" t="s">
        <v>68</v>
      </c>
      <c r="F3227" s="90" t="s">
        <v>375</v>
      </c>
      <c r="G3227" s="90" t="s">
        <v>376</v>
      </c>
      <c r="H3227" s="90">
        <v>0.59</v>
      </c>
      <c r="I3227" s="90">
        <v>0.64</v>
      </c>
      <c r="J3227" s="90" t="s">
        <v>244</v>
      </c>
      <c r="K3227" s="90">
        <v>1.3083984652890001E-2</v>
      </c>
      <c r="L3227" s="90">
        <v>3784.8734252570898</v>
      </c>
      <c r="M3227" s="90">
        <v>11.627895691414</v>
      </c>
      <c r="N3227" s="90">
        <v>1.5351868211381201</v>
      </c>
      <c r="O3227" s="90">
        <v>0.15213920877185999</v>
      </c>
      <c r="P3227" s="90">
        <v>2.008636080709E-2</v>
      </c>
      <c r="Q3227" s="90">
        <v>49.521225809195002</v>
      </c>
      <c r="R3227" s="90">
        <v>1410</v>
      </c>
      <c r="S3227" s="90" t="s">
        <v>325</v>
      </c>
      <c r="T3227" s="90">
        <v>1410</v>
      </c>
      <c r="U3227" s="90" t="s">
        <v>378</v>
      </c>
      <c r="V3227" s="90" t="s">
        <v>244</v>
      </c>
      <c r="Z3227" s="90">
        <v>0</v>
      </c>
      <c r="AA3227" s="90">
        <v>1</v>
      </c>
      <c r="AB3227" s="90">
        <v>0.15213920877185999</v>
      </c>
      <c r="AC3227" s="90">
        <v>2.008636080709E-2</v>
      </c>
      <c r="AD3227" s="90">
        <v>49.521225809195002</v>
      </c>
      <c r="AF3227" s="90">
        <v>-1</v>
      </c>
      <c r="AG3227" s="90">
        <v>-1</v>
      </c>
      <c r="AH3227" s="90">
        <v>-1</v>
      </c>
      <c r="AI3227" s="90">
        <v>-1</v>
      </c>
      <c r="AJ3227" s="90">
        <v>0</v>
      </c>
      <c r="AM3227" s="90" t="s">
        <v>379</v>
      </c>
      <c r="AN3227" s="90">
        <v>-1</v>
      </c>
      <c r="AQ3227" s="90">
        <v>391</v>
      </c>
      <c r="AR3227" s="90" t="s">
        <v>315</v>
      </c>
      <c r="AS3227" s="90" t="s">
        <v>430</v>
      </c>
      <c r="AT3227" s="90" t="s">
        <v>244</v>
      </c>
      <c r="AU3227" s="90">
        <v>22.5044</v>
      </c>
      <c r="AV3227" s="90">
        <v>68.097974565629599</v>
      </c>
      <c r="AW3227" s="90">
        <v>52.949007323130999</v>
      </c>
      <c r="AX3227" s="90">
        <v>4.0163200199999999E-2</v>
      </c>
    </row>
    <row r="3228" spans="1:50" x14ac:dyDescent="0.25">
      <c r="A3228" s="102">
        <v>830000</v>
      </c>
      <c r="B3228" s="102">
        <v>2500000</v>
      </c>
      <c r="C3228" s="102">
        <v>2500000</v>
      </c>
      <c r="D3228" s="90" t="s">
        <v>374</v>
      </c>
      <c r="E3228" s="90" t="s">
        <v>68</v>
      </c>
      <c r="F3228" s="90" t="s">
        <v>375</v>
      </c>
      <c r="G3228" s="90" t="s">
        <v>376</v>
      </c>
      <c r="H3228" s="90">
        <v>0.59</v>
      </c>
      <c r="I3228" s="90">
        <v>0.64</v>
      </c>
      <c r="J3228" s="90" t="s">
        <v>244</v>
      </c>
      <c r="K3228" s="90">
        <v>0.28887731736224997</v>
      </c>
      <c r="L3228" s="90">
        <v>3784.8734252570898</v>
      </c>
      <c r="M3228" s="90">
        <v>11.627895691414</v>
      </c>
      <c r="N3228" s="90">
        <v>1.5351868211381201</v>
      </c>
      <c r="O3228" s="90">
        <v>3.3590353139037998</v>
      </c>
      <c r="P3228" s="90">
        <v>0.44348065054025998</v>
      </c>
      <c r="Q3228" s="90">
        <v>1093.3640816439499</v>
      </c>
      <c r="R3228" s="90">
        <v>1410</v>
      </c>
      <c r="S3228" s="90" t="s">
        <v>325</v>
      </c>
      <c r="T3228" s="90">
        <v>1410</v>
      </c>
      <c r="U3228" s="90" t="s">
        <v>378</v>
      </c>
      <c r="V3228" s="90" t="s">
        <v>244</v>
      </c>
      <c r="Z3228" s="90">
        <v>0</v>
      </c>
      <c r="AA3228" s="90">
        <v>1</v>
      </c>
      <c r="AB3228" s="90">
        <v>3.3590353139037998</v>
      </c>
      <c r="AC3228" s="90">
        <v>0.44348065054025998</v>
      </c>
      <c r="AD3228" s="90">
        <v>1093.3640816439499</v>
      </c>
      <c r="AF3228" s="90">
        <v>-1</v>
      </c>
      <c r="AG3228" s="90">
        <v>-1</v>
      </c>
      <c r="AH3228" s="90">
        <v>-1</v>
      </c>
      <c r="AI3228" s="90">
        <v>-1</v>
      </c>
      <c r="AJ3228" s="90">
        <v>0</v>
      </c>
      <c r="AM3228" s="90" t="s">
        <v>379</v>
      </c>
      <c r="AN3228" s="90">
        <v>-1</v>
      </c>
      <c r="AQ3228" s="90">
        <v>391</v>
      </c>
      <c r="AR3228" s="90" t="s">
        <v>315</v>
      </c>
      <c r="AS3228" s="90" t="s">
        <v>430</v>
      </c>
      <c r="AT3228" s="90" t="s">
        <v>244</v>
      </c>
      <c r="AU3228" s="90">
        <v>22.5044</v>
      </c>
      <c r="AV3228" s="90">
        <v>137.06190858375899</v>
      </c>
      <c r="AW3228" s="90">
        <v>1169.0450270531101</v>
      </c>
      <c r="AX3228" s="90">
        <v>0.88675108000000002</v>
      </c>
    </row>
    <row r="3229" spans="1:50" x14ac:dyDescent="0.25">
      <c r="A3229" s="102">
        <v>830000</v>
      </c>
      <c r="B3229" s="102">
        <v>2500000</v>
      </c>
      <c r="C3229" s="102">
        <v>2500000</v>
      </c>
      <c r="D3229" s="90" t="s">
        <v>374</v>
      </c>
      <c r="E3229" s="90" t="s">
        <v>68</v>
      </c>
      <c r="F3229" s="90" t="s">
        <v>375</v>
      </c>
      <c r="G3229" s="90" t="s">
        <v>376</v>
      </c>
      <c r="H3229" s="90">
        <v>0.59</v>
      </c>
      <c r="I3229" s="90">
        <v>0.64</v>
      </c>
      <c r="J3229" s="90" t="s">
        <v>244</v>
      </c>
      <c r="K3229" s="90">
        <v>9.2493144203669997E-2</v>
      </c>
      <c r="L3229" s="90">
        <v>3784.8734252570898</v>
      </c>
      <c r="M3229" s="90">
        <v>11.627895691414</v>
      </c>
      <c r="N3229" s="90">
        <v>1.5351868211381201</v>
      </c>
      <c r="O3229" s="90">
        <v>1.0755006329712999</v>
      </c>
      <c r="P3229" s="90">
        <v>0.14199425602710999</v>
      </c>
      <c r="Q3229" s="90">
        <v>350.07484351497698</v>
      </c>
      <c r="R3229" s="90">
        <v>1420</v>
      </c>
      <c r="S3229" s="90" t="s">
        <v>327</v>
      </c>
      <c r="T3229" s="90">
        <v>1420</v>
      </c>
      <c r="U3229" s="90" t="s">
        <v>378</v>
      </c>
      <c r="V3229" s="90" t="s">
        <v>244</v>
      </c>
      <c r="Z3229" s="90">
        <v>0</v>
      </c>
      <c r="AA3229" s="90">
        <v>1</v>
      </c>
      <c r="AB3229" s="90">
        <v>1.0755006329712999</v>
      </c>
      <c r="AC3229" s="90">
        <v>0.14199425602710999</v>
      </c>
      <c r="AD3229" s="90">
        <v>350.07484351497698</v>
      </c>
      <c r="AF3229" s="90">
        <v>-1</v>
      </c>
      <c r="AG3229" s="90">
        <v>-1</v>
      </c>
      <c r="AH3229" s="90">
        <v>-1</v>
      </c>
      <c r="AI3229" s="90">
        <v>-1</v>
      </c>
      <c r="AJ3229" s="90">
        <v>0</v>
      </c>
      <c r="AM3229" s="90" t="s">
        <v>379</v>
      </c>
      <c r="AN3229" s="90">
        <v>-1</v>
      </c>
      <c r="AQ3229" s="90">
        <v>391</v>
      </c>
      <c r="AR3229" s="90" t="s">
        <v>315</v>
      </c>
      <c r="AS3229" s="90" t="s">
        <v>430</v>
      </c>
      <c r="AT3229" s="90" t="s">
        <v>244</v>
      </c>
      <c r="AU3229" s="90">
        <v>22.5044</v>
      </c>
      <c r="AV3229" s="90">
        <v>86.8161308130571</v>
      </c>
      <c r="AW3229" s="90">
        <v>374.30647464862801</v>
      </c>
      <c r="AX3229" s="90">
        <v>0.28392120320000003</v>
      </c>
    </row>
    <row r="3230" spans="1:50" x14ac:dyDescent="0.25">
      <c r="A3230" s="102">
        <v>830000</v>
      </c>
      <c r="B3230" s="102">
        <v>2500000</v>
      </c>
      <c r="C3230" s="102">
        <v>2500000</v>
      </c>
      <c r="D3230" s="90" t="s">
        <v>374</v>
      </c>
      <c r="E3230" s="90" t="s">
        <v>68</v>
      </c>
      <c r="F3230" s="90" t="s">
        <v>375</v>
      </c>
      <c r="G3230" s="90" t="s">
        <v>376</v>
      </c>
      <c r="H3230" s="90">
        <v>0.59</v>
      </c>
      <c r="I3230" s="90">
        <v>0.64</v>
      </c>
      <c r="J3230" s="90" t="s">
        <v>244</v>
      </c>
      <c r="K3230" s="90">
        <v>4.1156953130430003E-2</v>
      </c>
      <c r="L3230" s="90">
        <v>3784.8734252570898</v>
      </c>
      <c r="M3230" s="90">
        <v>11.627895691414</v>
      </c>
      <c r="N3230" s="90">
        <v>1.5351868211381201</v>
      </c>
      <c r="O3230" s="90">
        <v>0.47856875797715998</v>
      </c>
      <c r="P3230" s="90">
        <v>6.318361204405E-2</v>
      </c>
      <c r="Q3230" s="90">
        <v>155.77385816795001</v>
      </c>
      <c r="R3230" s="90">
        <v>1410</v>
      </c>
      <c r="S3230" s="90" t="s">
        <v>325</v>
      </c>
      <c r="T3230" s="90">
        <v>1410</v>
      </c>
      <c r="U3230" s="90" t="s">
        <v>378</v>
      </c>
      <c r="V3230" s="90" t="s">
        <v>244</v>
      </c>
      <c r="Z3230" s="90">
        <v>0</v>
      </c>
      <c r="AA3230" s="90">
        <v>1</v>
      </c>
      <c r="AB3230" s="90">
        <v>0.47856875797715998</v>
      </c>
      <c r="AC3230" s="90">
        <v>6.318361204405E-2</v>
      </c>
      <c r="AD3230" s="90">
        <v>155.773858167951</v>
      </c>
      <c r="AF3230" s="90">
        <v>-1</v>
      </c>
      <c r="AG3230" s="90">
        <v>-1</v>
      </c>
      <c r="AH3230" s="90">
        <v>-1</v>
      </c>
      <c r="AI3230" s="90">
        <v>-1</v>
      </c>
      <c r="AJ3230" s="90">
        <v>0</v>
      </c>
      <c r="AM3230" s="90" t="s">
        <v>379</v>
      </c>
      <c r="AN3230" s="90">
        <v>-1</v>
      </c>
      <c r="AQ3230" s="90">
        <v>391</v>
      </c>
      <c r="AR3230" s="90" t="s">
        <v>315</v>
      </c>
      <c r="AS3230" s="90" t="s">
        <v>430</v>
      </c>
      <c r="AT3230" s="90" t="s">
        <v>244</v>
      </c>
      <c r="AU3230" s="90">
        <v>22.5044</v>
      </c>
      <c r="AV3230" s="90">
        <v>51.6313684505472</v>
      </c>
      <c r="AW3230" s="90">
        <v>166.55628010233301</v>
      </c>
      <c r="AX3230" s="90">
        <v>0.12633727350000001</v>
      </c>
    </row>
    <row r="3231" spans="1:50" x14ac:dyDescent="0.25">
      <c r="A3231" s="102">
        <v>830000</v>
      </c>
      <c r="B3231" s="102">
        <v>2500000</v>
      </c>
      <c r="C3231" s="102">
        <v>2500000</v>
      </c>
      <c r="D3231" s="90" t="s">
        <v>374</v>
      </c>
      <c r="E3231" s="90" t="s">
        <v>68</v>
      </c>
      <c r="F3231" s="90" t="s">
        <v>375</v>
      </c>
      <c r="G3231" s="90" t="s">
        <v>376</v>
      </c>
      <c r="H3231" s="90">
        <v>0.59</v>
      </c>
      <c r="I3231" s="90">
        <v>0.64</v>
      </c>
      <c r="J3231" s="90" t="s">
        <v>244</v>
      </c>
      <c r="K3231" s="90">
        <v>0.12553143369941999</v>
      </c>
      <c r="L3231" s="90">
        <v>3784.8734252570898</v>
      </c>
      <c r="M3231" s="90">
        <v>11.627895691414</v>
      </c>
      <c r="N3231" s="90">
        <v>1.5351868211381201</v>
      </c>
      <c r="O3231" s="90">
        <v>1.45966641705059</v>
      </c>
      <c r="P3231" s="90">
        <v>0.19271420265392999</v>
      </c>
      <c r="Q3231" s="90">
        <v>475.12058744337997</v>
      </c>
      <c r="R3231" s="90">
        <v>1410</v>
      </c>
      <c r="S3231" s="90" t="s">
        <v>325</v>
      </c>
      <c r="T3231" s="90">
        <v>1410</v>
      </c>
      <c r="U3231" s="90" t="s">
        <v>378</v>
      </c>
      <c r="V3231" s="90" t="s">
        <v>244</v>
      </c>
      <c r="Z3231" s="90">
        <v>0</v>
      </c>
      <c r="AA3231" s="90">
        <v>1</v>
      </c>
      <c r="AB3231" s="90">
        <v>1.45966641705059</v>
      </c>
      <c r="AC3231" s="90">
        <v>0.19271420265392999</v>
      </c>
      <c r="AD3231" s="90">
        <v>475.12058744337997</v>
      </c>
      <c r="AF3231" s="90">
        <v>-1</v>
      </c>
      <c r="AG3231" s="90">
        <v>-1</v>
      </c>
      <c r="AH3231" s="90">
        <v>-1</v>
      </c>
      <c r="AI3231" s="90">
        <v>-1</v>
      </c>
      <c r="AJ3231" s="90">
        <v>0</v>
      </c>
      <c r="AM3231" s="90" t="s">
        <v>379</v>
      </c>
      <c r="AN3231" s="90">
        <v>-1</v>
      </c>
      <c r="AQ3231" s="90">
        <v>391</v>
      </c>
      <c r="AR3231" s="90" t="s">
        <v>315</v>
      </c>
      <c r="AS3231" s="90" t="s">
        <v>430</v>
      </c>
      <c r="AT3231" s="90" t="s">
        <v>244</v>
      </c>
      <c r="AU3231" s="90">
        <v>22.5044</v>
      </c>
      <c r="AV3231" s="90">
        <v>101.844666901137</v>
      </c>
      <c r="AW3231" s="90">
        <v>508.00768867960397</v>
      </c>
      <c r="AX3231" s="90">
        <v>0.3853370539</v>
      </c>
    </row>
    <row r="3232" spans="1:50" x14ac:dyDescent="0.25">
      <c r="A3232" s="102">
        <v>830000</v>
      </c>
      <c r="B3232" s="102">
        <v>2500000</v>
      </c>
      <c r="C3232" s="102">
        <v>2500000</v>
      </c>
      <c r="D3232" s="90" t="s">
        <v>374</v>
      </c>
      <c r="E3232" s="90" t="s">
        <v>68</v>
      </c>
      <c r="F3232" s="90" t="s">
        <v>375</v>
      </c>
      <c r="G3232" s="90" t="s">
        <v>376</v>
      </c>
      <c r="H3232" s="90">
        <v>0.59</v>
      </c>
      <c r="I3232" s="90">
        <v>0.64</v>
      </c>
      <c r="J3232" s="90" t="s">
        <v>244</v>
      </c>
      <c r="K3232" s="90">
        <v>5.0048929545759999E-2</v>
      </c>
      <c r="L3232" s="90">
        <v>3768.12710996546</v>
      </c>
      <c r="M3232" s="90">
        <v>11.9424979344032</v>
      </c>
      <c r="N3232" s="90">
        <v>1.5730967612919899</v>
      </c>
      <c r="O3232" s="90">
        <v>0.59770923771936002</v>
      </c>
      <c r="P3232" s="90">
        <v>7.8731808974569994E-2</v>
      </c>
      <c r="Q3232" s="90">
        <v>188.590728246141</v>
      </c>
      <c r="R3232" s="90">
        <v>1400</v>
      </c>
      <c r="S3232" s="90" t="s">
        <v>324</v>
      </c>
      <c r="T3232" s="90">
        <v>1400</v>
      </c>
      <c r="U3232" s="90" t="s">
        <v>378</v>
      </c>
      <c r="V3232" s="90" t="s">
        <v>244</v>
      </c>
      <c r="Z3232" s="90">
        <v>0</v>
      </c>
      <c r="AA3232" s="90">
        <v>1</v>
      </c>
      <c r="AB3232" s="90">
        <v>0.59770923771936002</v>
      </c>
      <c r="AC3232" s="90">
        <v>7.8731808974569994E-2</v>
      </c>
      <c r="AD3232" s="90">
        <v>188.59072824614</v>
      </c>
      <c r="AF3232" s="90">
        <v>-1</v>
      </c>
      <c r="AG3232" s="90">
        <v>-1</v>
      </c>
      <c r="AH3232" s="90">
        <v>-1</v>
      </c>
      <c r="AI3232" s="90">
        <v>-1</v>
      </c>
      <c r="AJ3232" s="90">
        <v>0</v>
      </c>
      <c r="AM3232" s="90" t="s">
        <v>379</v>
      </c>
      <c r="AN3232" s="90">
        <v>-1</v>
      </c>
      <c r="AQ3232" s="90">
        <v>391</v>
      </c>
      <c r="AR3232" s="90" t="s">
        <v>315</v>
      </c>
      <c r="AS3232" s="90" t="s">
        <v>430</v>
      </c>
      <c r="AT3232" s="90" t="s">
        <v>244</v>
      </c>
      <c r="AU3232" s="90">
        <v>22.5044</v>
      </c>
      <c r="AV3232" s="90">
        <v>111.44222082636701</v>
      </c>
      <c r="AW3232" s="90">
        <v>202.54083196651499</v>
      </c>
      <c r="AX3232" s="90">
        <v>0.1529527399</v>
      </c>
    </row>
    <row r="3233" spans="1:50" x14ac:dyDescent="0.25">
      <c r="A3233" s="102">
        <v>830000</v>
      </c>
      <c r="B3233" s="102">
        <v>2500000</v>
      </c>
      <c r="C3233" s="102">
        <v>2500000</v>
      </c>
      <c r="D3233" s="90" t="s">
        <v>374</v>
      </c>
      <c r="E3233" s="90" t="s">
        <v>68</v>
      </c>
      <c r="F3233" s="90" t="s">
        <v>375</v>
      </c>
      <c r="G3233" s="90" t="s">
        <v>376</v>
      </c>
      <c r="H3233" s="90">
        <v>0.59</v>
      </c>
      <c r="I3233" s="90">
        <v>0.64</v>
      </c>
      <c r="J3233" s="90" t="s">
        <v>381</v>
      </c>
      <c r="K3233" s="90">
        <v>7.104049539467E-2</v>
      </c>
      <c r="L3233" s="90">
        <v>3768.12710996546</v>
      </c>
      <c r="M3233" s="90">
        <v>11.9424979344032</v>
      </c>
      <c r="N3233" s="90">
        <v>1.5730967612919899</v>
      </c>
      <c r="O3233" s="90">
        <v>0.84840096950988997</v>
      </c>
      <c r="P3233" s="90">
        <v>0.11175357322594</v>
      </c>
      <c r="Q3233" s="90">
        <v>267.68961660205503</v>
      </c>
      <c r="R3233" s="90">
        <v>1400</v>
      </c>
      <c r="S3233" s="90" t="s">
        <v>324</v>
      </c>
      <c r="T3233" s="90">
        <v>1400</v>
      </c>
      <c r="U3233" s="90" t="s">
        <v>382</v>
      </c>
      <c r="V3233" s="90" t="s">
        <v>381</v>
      </c>
      <c r="Z3233" s="90">
        <v>0</v>
      </c>
      <c r="AA3233" s="90">
        <v>1</v>
      </c>
      <c r="AB3233" s="90">
        <v>0.84840096950988997</v>
      </c>
      <c r="AC3233" s="90">
        <v>0.11175357322594</v>
      </c>
      <c r="AD3233" s="90">
        <v>267.68961660205298</v>
      </c>
      <c r="AF3233" s="90">
        <v>-1</v>
      </c>
      <c r="AG3233" s="90">
        <v>-1</v>
      </c>
      <c r="AH3233" s="90">
        <v>-1</v>
      </c>
      <c r="AI3233" s="90">
        <v>-1</v>
      </c>
      <c r="AJ3233" s="90">
        <v>0</v>
      </c>
      <c r="AM3233" s="90" t="s">
        <v>379</v>
      </c>
      <c r="AN3233" s="90">
        <v>-1</v>
      </c>
      <c r="AQ3233" s="90">
        <v>391</v>
      </c>
      <c r="AR3233" s="90" t="s">
        <v>315</v>
      </c>
      <c r="AS3233" s="90" t="s">
        <v>430</v>
      </c>
      <c r="AT3233" s="90" t="s">
        <v>244</v>
      </c>
      <c r="AU3233" s="90">
        <v>22.5044</v>
      </c>
      <c r="AV3233" s="90">
        <v>112.210956959006</v>
      </c>
      <c r="AW3233" s="90">
        <v>287.49068503842</v>
      </c>
      <c r="AX3233" s="90">
        <v>0.21710431190000001</v>
      </c>
    </row>
    <row r="3234" spans="1:50" x14ac:dyDescent="0.25">
      <c r="A3234" s="102">
        <v>830000</v>
      </c>
      <c r="B3234" s="102">
        <v>2500000</v>
      </c>
      <c r="C3234" s="102">
        <v>2500000</v>
      </c>
      <c r="D3234" s="90" t="s">
        <v>374</v>
      </c>
      <c r="E3234" s="90" t="s">
        <v>68</v>
      </c>
      <c r="F3234" s="90" t="s">
        <v>375</v>
      </c>
      <c r="G3234" s="90" t="s">
        <v>376</v>
      </c>
      <c r="H3234" s="90">
        <v>0.59</v>
      </c>
      <c r="I3234" s="90">
        <v>0.64</v>
      </c>
      <c r="J3234" s="90" t="s">
        <v>244</v>
      </c>
      <c r="K3234" s="90">
        <v>5.8384144447900001E-3</v>
      </c>
      <c r="L3234" s="90">
        <v>3768.12710996546</v>
      </c>
      <c r="M3234" s="90">
        <v>11.9424979344032</v>
      </c>
      <c r="N3234" s="90">
        <v>1.5730967612919899</v>
      </c>
      <c r="O3234" s="90">
        <v>6.9725252447160005E-2</v>
      </c>
      <c r="P3234" s="90">
        <v>9.1843908541799999E-3</v>
      </c>
      <c r="Q3234" s="90">
        <v>21.999887748649702</v>
      </c>
      <c r="R3234" s="90">
        <v>1410</v>
      </c>
      <c r="S3234" s="90" t="s">
        <v>325</v>
      </c>
      <c r="T3234" s="90">
        <v>1410</v>
      </c>
      <c r="U3234" s="90" t="s">
        <v>378</v>
      </c>
      <c r="V3234" s="90" t="s">
        <v>244</v>
      </c>
      <c r="Z3234" s="90">
        <v>0</v>
      </c>
      <c r="AA3234" s="90">
        <v>1</v>
      </c>
      <c r="AB3234" s="90">
        <v>6.9725252447160005E-2</v>
      </c>
      <c r="AC3234" s="90">
        <v>9.1843908541799999E-3</v>
      </c>
      <c r="AD3234" s="90">
        <v>21.9998877486479</v>
      </c>
      <c r="AF3234" s="90">
        <v>-1</v>
      </c>
      <c r="AG3234" s="90">
        <v>-1</v>
      </c>
      <c r="AH3234" s="90">
        <v>-1</v>
      </c>
      <c r="AI3234" s="90">
        <v>-1</v>
      </c>
      <c r="AJ3234" s="90">
        <v>0</v>
      </c>
      <c r="AM3234" s="90" t="s">
        <v>379</v>
      </c>
      <c r="AN3234" s="90">
        <v>-1</v>
      </c>
      <c r="AQ3234" s="90">
        <v>391</v>
      </c>
      <c r="AR3234" s="90" t="s">
        <v>315</v>
      </c>
      <c r="AS3234" s="90" t="s">
        <v>430</v>
      </c>
      <c r="AT3234" s="90" t="s">
        <v>244</v>
      </c>
      <c r="AU3234" s="90">
        <v>22.5044</v>
      </c>
      <c r="AV3234" s="90">
        <v>70.275254746569502</v>
      </c>
      <c r="AW3234" s="90">
        <v>23.6272249925536</v>
      </c>
      <c r="AX3234" s="90">
        <v>1.78425691E-2</v>
      </c>
    </row>
    <row r="3235" spans="1:50" x14ac:dyDescent="0.25">
      <c r="A3235" s="102">
        <v>830000</v>
      </c>
      <c r="B3235" s="102">
        <v>2500000</v>
      </c>
      <c r="C3235" s="102">
        <v>2500000</v>
      </c>
      <c r="D3235" s="90" t="s">
        <v>374</v>
      </c>
      <c r="E3235" s="90" t="s">
        <v>68</v>
      </c>
      <c r="F3235" s="90" t="s">
        <v>375</v>
      </c>
      <c r="G3235" s="90" t="s">
        <v>376</v>
      </c>
      <c r="H3235" s="90">
        <v>0.59</v>
      </c>
      <c r="I3235" s="90">
        <v>0.64</v>
      </c>
      <c r="J3235" s="90" t="s">
        <v>244</v>
      </c>
      <c r="K3235" s="90">
        <v>0.19282424077154001</v>
      </c>
      <c r="L3235" s="90">
        <v>3768.12710996546</v>
      </c>
      <c r="M3235" s="90">
        <v>11.9424979344032</v>
      </c>
      <c r="N3235" s="90">
        <v>1.5730967612919899</v>
      </c>
      <c r="O3235" s="90">
        <v>2.3028030971170401</v>
      </c>
      <c r="P3235" s="90">
        <v>0.30333118865629999</v>
      </c>
      <c r="Q3235" s="90">
        <v>726.58624910976698</v>
      </c>
      <c r="R3235" s="90">
        <v>1410</v>
      </c>
      <c r="S3235" s="90" t="s">
        <v>325</v>
      </c>
      <c r="T3235" s="90">
        <v>1410</v>
      </c>
      <c r="U3235" s="90" t="s">
        <v>378</v>
      </c>
      <c r="V3235" s="90" t="s">
        <v>244</v>
      </c>
      <c r="Z3235" s="90">
        <v>0</v>
      </c>
      <c r="AA3235" s="90">
        <v>1</v>
      </c>
      <c r="AB3235" s="90">
        <v>2.3028030971170401</v>
      </c>
      <c r="AC3235" s="90">
        <v>0.30333118865629999</v>
      </c>
      <c r="AD3235" s="90">
        <v>726.58624910976698</v>
      </c>
      <c r="AF3235" s="90">
        <v>-1</v>
      </c>
      <c r="AG3235" s="90">
        <v>-1</v>
      </c>
      <c r="AH3235" s="90">
        <v>-1</v>
      </c>
      <c r="AI3235" s="90">
        <v>-1</v>
      </c>
      <c r="AJ3235" s="90">
        <v>0</v>
      </c>
      <c r="AM3235" s="90" t="s">
        <v>379</v>
      </c>
      <c r="AN3235" s="90">
        <v>-1</v>
      </c>
      <c r="AQ3235" s="90">
        <v>391</v>
      </c>
      <c r="AR3235" s="90" t="s">
        <v>315</v>
      </c>
      <c r="AS3235" s="90" t="s">
        <v>430</v>
      </c>
      <c r="AT3235" s="90" t="s">
        <v>244</v>
      </c>
      <c r="AU3235" s="90">
        <v>22.5044</v>
      </c>
      <c r="AV3235" s="90">
        <v>114.047103039916</v>
      </c>
      <c r="AW3235" s="90">
        <v>780.33201716073199</v>
      </c>
      <c r="AX3235" s="90">
        <v>0.58928325150000005</v>
      </c>
    </row>
    <row r="3236" spans="1:50" x14ac:dyDescent="0.25">
      <c r="A3236" s="102">
        <v>830000</v>
      </c>
      <c r="B3236" s="102">
        <v>2500000</v>
      </c>
      <c r="C3236" s="102">
        <v>2500000</v>
      </c>
      <c r="D3236" s="90" t="s">
        <v>374</v>
      </c>
      <c r="E3236" s="90" t="s">
        <v>68</v>
      </c>
      <c r="F3236" s="90" t="s">
        <v>375</v>
      </c>
      <c r="G3236" s="90" t="s">
        <v>376</v>
      </c>
      <c r="H3236" s="90">
        <v>0.59</v>
      </c>
      <c r="I3236" s="90">
        <v>0.64</v>
      </c>
      <c r="J3236" s="90" t="s">
        <v>244</v>
      </c>
      <c r="K3236" s="90">
        <v>0.15880322728759999</v>
      </c>
      <c r="L3236" s="90">
        <v>3768.12710996546</v>
      </c>
      <c r="M3236" s="90">
        <v>11.9424979344032</v>
      </c>
      <c r="N3236" s="90">
        <v>1.5730967612919899</v>
      </c>
      <c r="O3236" s="90">
        <v>1.89650721385877</v>
      </c>
      <c r="P3236" s="90">
        <v>0.24981284252884001</v>
      </c>
      <c r="Q3236" s="90">
        <v>598.39074589242796</v>
      </c>
      <c r="R3236" s="90">
        <v>1410</v>
      </c>
      <c r="S3236" s="90" t="s">
        <v>325</v>
      </c>
      <c r="T3236" s="90">
        <v>1410</v>
      </c>
      <c r="U3236" s="90" t="s">
        <v>378</v>
      </c>
      <c r="V3236" s="90" t="s">
        <v>244</v>
      </c>
      <c r="Z3236" s="90">
        <v>0</v>
      </c>
      <c r="AA3236" s="90">
        <v>1</v>
      </c>
      <c r="AB3236" s="90">
        <v>1.89650721385877</v>
      </c>
      <c r="AC3236" s="90">
        <v>0.24981284252884001</v>
      </c>
      <c r="AD3236" s="90">
        <v>598.39074589242796</v>
      </c>
      <c r="AF3236" s="90">
        <v>-1</v>
      </c>
      <c r="AG3236" s="90">
        <v>-1</v>
      </c>
      <c r="AH3236" s="90">
        <v>-1</v>
      </c>
      <c r="AI3236" s="90">
        <v>-1</v>
      </c>
      <c r="AJ3236" s="90">
        <v>0</v>
      </c>
      <c r="AM3236" s="90" t="s">
        <v>379</v>
      </c>
      <c r="AN3236" s="90">
        <v>-1</v>
      </c>
      <c r="AQ3236" s="90">
        <v>391</v>
      </c>
      <c r="AR3236" s="90" t="s">
        <v>315</v>
      </c>
      <c r="AS3236" s="90" t="s">
        <v>430</v>
      </c>
      <c r="AT3236" s="90" t="s">
        <v>244</v>
      </c>
      <c r="AU3236" s="90">
        <v>22.5044</v>
      </c>
      <c r="AV3236" s="90">
        <v>105.945550397506</v>
      </c>
      <c r="AW3236" s="90">
        <v>642.65386024668703</v>
      </c>
      <c r="AX3236" s="90">
        <v>0.48531285149999998</v>
      </c>
    </row>
    <row r="3237" spans="1:50" x14ac:dyDescent="0.25">
      <c r="A3237" s="102">
        <v>830000</v>
      </c>
      <c r="B3237" s="102">
        <v>2500000</v>
      </c>
      <c r="C3237" s="102">
        <v>2500000</v>
      </c>
      <c r="D3237" s="90" t="s">
        <v>374</v>
      </c>
      <c r="E3237" s="90" t="s">
        <v>68</v>
      </c>
      <c r="F3237" s="90" t="s">
        <v>375</v>
      </c>
      <c r="G3237" s="90" t="s">
        <v>376</v>
      </c>
      <c r="H3237" s="90">
        <v>0.59</v>
      </c>
      <c r="I3237" s="90">
        <v>0.64</v>
      </c>
      <c r="J3237" s="90" t="s">
        <v>381</v>
      </c>
      <c r="K3237" s="90">
        <v>1.355125638897E-2</v>
      </c>
      <c r="L3237" s="90">
        <v>3768.12710996546</v>
      </c>
      <c r="M3237" s="90">
        <v>11.9424979344032</v>
      </c>
      <c r="N3237" s="90">
        <v>1.5730967612919899</v>
      </c>
      <c r="O3237" s="90">
        <v>0.16183585143394999</v>
      </c>
      <c r="P3237" s="90">
        <v>2.1317437536940001E-2</v>
      </c>
      <c r="Q3237" s="90">
        <v>51.062856573404503</v>
      </c>
      <c r="R3237" s="90">
        <v>1410</v>
      </c>
      <c r="S3237" s="90" t="s">
        <v>325</v>
      </c>
      <c r="T3237" s="90">
        <v>1410</v>
      </c>
      <c r="U3237" s="90" t="s">
        <v>382</v>
      </c>
      <c r="V3237" s="90" t="s">
        <v>381</v>
      </c>
      <c r="Z3237" s="90">
        <v>0</v>
      </c>
      <c r="AA3237" s="90">
        <v>1</v>
      </c>
      <c r="AB3237" s="90">
        <v>0.16183585143394999</v>
      </c>
      <c r="AC3237" s="90">
        <v>2.1317437536940001E-2</v>
      </c>
      <c r="AD3237" s="90">
        <v>51.062856573403302</v>
      </c>
      <c r="AF3237" s="90">
        <v>-1</v>
      </c>
      <c r="AG3237" s="90">
        <v>-1</v>
      </c>
      <c r="AH3237" s="90">
        <v>-1</v>
      </c>
      <c r="AI3237" s="90">
        <v>-1</v>
      </c>
      <c r="AJ3237" s="90">
        <v>0</v>
      </c>
      <c r="AM3237" s="90" t="s">
        <v>379</v>
      </c>
      <c r="AN3237" s="90">
        <v>-1</v>
      </c>
      <c r="AQ3237" s="90">
        <v>391</v>
      </c>
      <c r="AR3237" s="90" t="s">
        <v>315</v>
      </c>
      <c r="AS3237" s="90" t="s">
        <v>430</v>
      </c>
      <c r="AT3237" s="90" t="s">
        <v>244</v>
      </c>
      <c r="AU3237" s="90">
        <v>22.5044</v>
      </c>
      <c r="AV3237" s="90">
        <v>70.211409878418195</v>
      </c>
      <c r="AW3237" s="90">
        <v>54.839988949327399</v>
      </c>
      <c r="AX3237" s="90">
        <v>4.1413509000000001E-2</v>
      </c>
    </row>
    <row r="3238" spans="1:50" x14ac:dyDescent="0.25">
      <c r="A3238" s="102">
        <v>830000</v>
      </c>
      <c r="B3238" s="102">
        <v>2500000</v>
      </c>
      <c r="C3238" s="102">
        <v>2500000</v>
      </c>
      <c r="D3238" s="90" t="s">
        <v>374</v>
      </c>
      <c r="E3238" s="90" t="s">
        <v>68</v>
      </c>
      <c r="F3238" s="90" t="s">
        <v>375</v>
      </c>
      <c r="G3238" s="90" t="s">
        <v>376</v>
      </c>
      <c r="H3238" s="90">
        <v>0.59</v>
      </c>
      <c r="I3238" s="90">
        <v>0.64</v>
      </c>
      <c r="J3238" s="90" t="s">
        <v>244</v>
      </c>
      <c r="K3238" s="90">
        <v>1.87693498815E-3</v>
      </c>
      <c r="L3238" s="90">
        <v>3768.12710996546</v>
      </c>
      <c r="M3238" s="90">
        <v>11.9424979344032</v>
      </c>
      <c r="N3238" s="90">
        <v>1.5730967612919899</v>
      </c>
      <c r="O3238" s="90">
        <v>2.241529221899E-2</v>
      </c>
      <c r="P3238" s="90">
        <v>2.9526003510099998E-3</v>
      </c>
      <c r="Q3238" s="90">
        <v>7.0725296124907198</v>
      </c>
      <c r="R3238" s="90">
        <v>1410</v>
      </c>
      <c r="S3238" s="90" t="s">
        <v>325</v>
      </c>
      <c r="T3238" s="90">
        <v>1410</v>
      </c>
      <c r="U3238" s="90" t="s">
        <v>378</v>
      </c>
      <c r="V3238" s="90" t="s">
        <v>244</v>
      </c>
      <c r="Z3238" s="90">
        <v>0</v>
      </c>
      <c r="AA3238" s="90">
        <v>1</v>
      </c>
      <c r="AB3238" s="90">
        <v>2.241529221899E-2</v>
      </c>
      <c r="AC3238" s="90">
        <v>2.9526003510099998E-3</v>
      </c>
      <c r="AD3238" s="90">
        <v>7.0725296124910297</v>
      </c>
      <c r="AF3238" s="90">
        <v>-1</v>
      </c>
      <c r="AG3238" s="90">
        <v>-1</v>
      </c>
      <c r="AH3238" s="90">
        <v>-1</v>
      </c>
      <c r="AI3238" s="90">
        <v>-1</v>
      </c>
      <c r="AJ3238" s="90">
        <v>0</v>
      </c>
      <c r="AM3238" s="90" t="s">
        <v>379</v>
      </c>
      <c r="AN3238" s="90">
        <v>-1</v>
      </c>
      <c r="AQ3238" s="90">
        <v>391</v>
      </c>
      <c r="AR3238" s="90" t="s">
        <v>315</v>
      </c>
      <c r="AS3238" s="90" t="s">
        <v>430</v>
      </c>
      <c r="AT3238" s="90" t="s">
        <v>244</v>
      </c>
      <c r="AU3238" s="90">
        <v>22.5044</v>
      </c>
      <c r="AV3238" s="90">
        <v>23.316597590936201</v>
      </c>
      <c r="AW3238" s="90">
        <v>7.5956864112224096</v>
      </c>
      <c r="AX3238" s="90">
        <v>5.7360337000000004E-3</v>
      </c>
    </row>
    <row r="3239" spans="1:50" x14ac:dyDescent="0.25">
      <c r="A3239" s="102">
        <v>830000</v>
      </c>
      <c r="B3239" s="102">
        <v>2500000</v>
      </c>
      <c r="C3239" s="102">
        <v>2500000</v>
      </c>
      <c r="D3239" s="90" t="s">
        <v>374</v>
      </c>
      <c r="E3239" s="90" t="s">
        <v>68</v>
      </c>
      <c r="F3239" s="90" t="s">
        <v>375</v>
      </c>
      <c r="G3239" s="90" t="s">
        <v>376</v>
      </c>
      <c r="H3239" s="90">
        <v>0.59</v>
      </c>
      <c r="I3239" s="90">
        <v>0.64</v>
      </c>
      <c r="J3239" s="90" t="s">
        <v>244</v>
      </c>
      <c r="K3239" s="90">
        <v>0.12369974832215</v>
      </c>
      <c r="L3239" s="90">
        <v>3768.12710996546</v>
      </c>
      <c r="M3239" s="90">
        <v>11.9424979344032</v>
      </c>
      <c r="N3239" s="90">
        <v>1.5730967612919899</v>
      </c>
      <c r="O3239" s="90">
        <v>1.4772839888235201</v>
      </c>
      <c r="P3239" s="90">
        <v>0.19459167345820999</v>
      </c>
      <c r="Q3239" s="90">
        <v>466.11637514861297</v>
      </c>
      <c r="R3239" s="90">
        <v>1430</v>
      </c>
      <c r="S3239" s="90" t="s">
        <v>326</v>
      </c>
      <c r="T3239" s="90">
        <v>1430</v>
      </c>
      <c r="U3239" s="90" t="s">
        <v>378</v>
      </c>
      <c r="V3239" s="90" t="s">
        <v>244</v>
      </c>
      <c r="Z3239" s="90">
        <v>0</v>
      </c>
      <c r="AA3239" s="90">
        <v>1</v>
      </c>
      <c r="AB3239" s="90">
        <v>1.4772839888235201</v>
      </c>
      <c r="AC3239" s="90">
        <v>0.19459167345820999</v>
      </c>
      <c r="AD3239" s="90">
        <v>466.11637514861297</v>
      </c>
      <c r="AF3239" s="90">
        <v>-1</v>
      </c>
      <c r="AG3239" s="90">
        <v>-1</v>
      </c>
      <c r="AH3239" s="90">
        <v>-1</v>
      </c>
      <c r="AI3239" s="90">
        <v>-1</v>
      </c>
      <c r="AJ3239" s="90">
        <v>0</v>
      </c>
      <c r="AM3239" s="90" t="s">
        <v>379</v>
      </c>
      <c r="AN3239" s="90">
        <v>-1</v>
      </c>
      <c r="AQ3239" s="90">
        <v>391</v>
      </c>
      <c r="AR3239" s="90" t="s">
        <v>315</v>
      </c>
      <c r="AS3239" s="90" t="s">
        <v>430</v>
      </c>
      <c r="AT3239" s="90" t="s">
        <v>244</v>
      </c>
      <c r="AU3239" s="90">
        <v>22.5044</v>
      </c>
      <c r="AV3239" s="90">
        <v>110.45945775199699</v>
      </c>
      <c r="AW3239" s="90">
        <v>500.595120946772</v>
      </c>
      <c r="AX3239" s="90">
        <v>0.37803436750000002</v>
      </c>
    </row>
    <row r="3240" spans="1:50" x14ac:dyDescent="0.25">
      <c r="A3240" s="102">
        <v>830000</v>
      </c>
      <c r="B3240" s="102">
        <v>2500000</v>
      </c>
      <c r="C3240" s="102">
        <v>2500000</v>
      </c>
      <c r="D3240" s="90" t="s">
        <v>374</v>
      </c>
      <c r="E3240" s="90" t="s">
        <v>68</v>
      </c>
      <c r="F3240" s="90" t="s">
        <v>375</v>
      </c>
      <c r="G3240" s="90" t="s">
        <v>376</v>
      </c>
      <c r="H3240" s="90">
        <v>0.59</v>
      </c>
      <c r="I3240" s="90">
        <v>0.64</v>
      </c>
      <c r="J3240" s="90" t="s">
        <v>381</v>
      </c>
      <c r="K3240" s="90">
        <v>8.0206639309999997E-5</v>
      </c>
      <c r="L3240" s="90">
        <v>3768.12710996546</v>
      </c>
      <c r="M3240" s="90">
        <v>11.9424979344032</v>
      </c>
      <c r="N3240" s="90">
        <v>1.5730967612919899</v>
      </c>
      <c r="O3240" s="90">
        <v>9.5786762434E-4</v>
      </c>
      <c r="P3240" s="90">
        <v>1.2617280453999999E-4</v>
      </c>
      <c r="Q3240" s="90">
        <v>0.30222881200207002</v>
      </c>
      <c r="R3240" s="90">
        <v>1430</v>
      </c>
      <c r="S3240" s="90" t="s">
        <v>326</v>
      </c>
      <c r="T3240" s="90">
        <v>1430</v>
      </c>
      <c r="U3240" s="90" t="s">
        <v>382</v>
      </c>
      <c r="V3240" s="90" t="s">
        <v>381</v>
      </c>
      <c r="Z3240" s="90">
        <v>0</v>
      </c>
      <c r="AA3240" s="90">
        <v>1</v>
      </c>
      <c r="AB3240" s="90">
        <v>9.5786762434E-4</v>
      </c>
      <c r="AC3240" s="90">
        <v>1.2617280453999999E-4</v>
      </c>
      <c r="AD3240" s="90">
        <v>0.30222881200153001</v>
      </c>
      <c r="AF3240" s="90">
        <v>-1</v>
      </c>
      <c r="AG3240" s="90">
        <v>-1</v>
      </c>
      <c r="AH3240" s="90">
        <v>-1</v>
      </c>
      <c r="AI3240" s="90">
        <v>-1</v>
      </c>
      <c r="AJ3240" s="90">
        <v>0</v>
      </c>
      <c r="AM3240" s="90" t="s">
        <v>379</v>
      </c>
      <c r="AN3240" s="90">
        <v>-1</v>
      </c>
      <c r="AQ3240" s="90">
        <v>391</v>
      </c>
      <c r="AR3240" s="90" t="s">
        <v>315</v>
      </c>
      <c r="AS3240" s="90" t="s">
        <v>430</v>
      </c>
      <c r="AT3240" s="90" t="s">
        <v>244</v>
      </c>
      <c r="AU3240" s="90">
        <v>22.5044</v>
      </c>
      <c r="AV3240" s="90">
        <v>9.8330417349309691</v>
      </c>
      <c r="AW3240" s="90">
        <v>0.32458475343045001</v>
      </c>
      <c r="AX3240" s="90">
        <v>2.4511660000000002E-4</v>
      </c>
    </row>
    <row r="3241" spans="1:50" x14ac:dyDescent="0.25">
      <c r="A3241" s="102">
        <v>830000</v>
      </c>
      <c r="B3241" s="102">
        <v>2500000</v>
      </c>
      <c r="C3241" s="102">
        <v>2500000</v>
      </c>
      <c r="D3241" s="90" t="s">
        <v>374</v>
      </c>
      <c r="E3241" s="90" t="s">
        <v>68</v>
      </c>
      <c r="F3241" s="90" t="s">
        <v>375</v>
      </c>
      <c r="G3241" s="90" t="s">
        <v>376</v>
      </c>
      <c r="H3241" s="90">
        <v>0.59</v>
      </c>
      <c r="I3241" s="90">
        <v>0.64</v>
      </c>
      <c r="J3241" s="90" t="s">
        <v>244</v>
      </c>
      <c r="K3241" s="90">
        <v>0.11150198163291</v>
      </c>
      <c r="L3241" s="90">
        <v>3786.0833751069899</v>
      </c>
      <c r="M3241" s="90">
        <v>11.631441886392601</v>
      </c>
      <c r="N3241" s="90">
        <v>1.53565670570623</v>
      </c>
      <c r="O3241" s="90">
        <v>1.29692881958083</v>
      </c>
      <c r="P3241" s="90">
        <v>0.17122876579411</v>
      </c>
      <c r="Q3241" s="90">
        <v>422.15579895185402</v>
      </c>
      <c r="R3241" s="90">
        <v>1400</v>
      </c>
      <c r="S3241" s="90" t="s">
        <v>324</v>
      </c>
      <c r="T3241" s="90">
        <v>1400</v>
      </c>
      <c r="U3241" s="90" t="s">
        <v>378</v>
      </c>
      <c r="V3241" s="90" t="s">
        <v>244</v>
      </c>
      <c r="Z3241" s="90">
        <v>0</v>
      </c>
      <c r="AA3241" s="90">
        <v>1</v>
      </c>
      <c r="AB3241" s="90">
        <v>1.29692881958083</v>
      </c>
      <c r="AC3241" s="90">
        <v>0.17122876579411</v>
      </c>
      <c r="AD3241" s="90">
        <v>860.05826399513705</v>
      </c>
      <c r="AF3241" s="90">
        <v>-1</v>
      </c>
      <c r="AG3241" s="90">
        <v>-1</v>
      </c>
      <c r="AH3241" s="90">
        <v>-1</v>
      </c>
      <c r="AI3241" s="90">
        <v>-1</v>
      </c>
      <c r="AJ3241" s="90">
        <v>0</v>
      </c>
      <c r="AM3241" s="90" t="s">
        <v>379</v>
      </c>
      <c r="AN3241" s="90">
        <v>-1</v>
      </c>
      <c r="AQ3241" s="90">
        <v>391</v>
      </c>
      <c r="AR3241" s="90" t="s">
        <v>315</v>
      </c>
      <c r="AS3241" s="90" t="s">
        <v>430</v>
      </c>
      <c r="AT3241" s="90" t="s">
        <v>244</v>
      </c>
      <c r="AU3241" s="90">
        <v>22.5044</v>
      </c>
      <c r="AV3241" s="90">
        <v>129.38758935270201</v>
      </c>
      <c r="AW3241" s="90">
        <v>451.23251048147603</v>
      </c>
      <c r="AX3241" s="90">
        <v>0.69753306079999999</v>
      </c>
    </row>
    <row r="3242" spans="1:50" x14ac:dyDescent="0.25">
      <c r="A3242" s="102">
        <v>830000</v>
      </c>
      <c r="B3242" s="102">
        <v>2500000</v>
      </c>
      <c r="C3242" s="102">
        <v>2500000</v>
      </c>
      <c r="D3242" s="90" t="s">
        <v>374</v>
      </c>
      <c r="E3242" s="90" t="s">
        <v>68</v>
      </c>
      <c r="F3242" s="90" t="s">
        <v>375</v>
      </c>
      <c r="G3242" s="90" t="s">
        <v>376</v>
      </c>
      <c r="H3242" s="90">
        <v>0.59</v>
      </c>
      <c r="I3242" s="90">
        <v>0.64</v>
      </c>
      <c r="J3242" s="90" t="s">
        <v>244</v>
      </c>
      <c r="K3242" s="90">
        <v>3.1960898197819998E-2</v>
      </c>
      <c r="L3242" s="90">
        <v>3786.0833751069899</v>
      </c>
      <c r="M3242" s="90">
        <v>11.631441886392601</v>
      </c>
      <c r="N3242" s="90">
        <v>1.53565670570623</v>
      </c>
      <c r="O3242" s="90">
        <v>0.37175133002485999</v>
      </c>
      <c r="P3242" s="90">
        <v>4.9080967637870003E-2</v>
      </c>
      <c r="Q3242" s="90">
        <v>121.006625320257</v>
      </c>
      <c r="R3242" s="90">
        <v>1420</v>
      </c>
      <c r="S3242" s="90" t="s">
        <v>327</v>
      </c>
      <c r="T3242" s="90">
        <v>1420</v>
      </c>
      <c r="U3242" s="90" t="s">
        <v>378</v>
      </c>
      <c r="V3242" s="90" t="s">
        <v>244</v>
      </c>
      <c r="Z3242" s="90">
        <v>0</v>
      </c>
      <c r="AA3242" s="90">
        <v>1</v>
      </c>
      <c r="AB3242" s="90">
        <v>0.37175133002485999</v>
      </c>
      <c r="AC3242" s="90">
        <v>4.9080967637870003E-2</v>
      </c>
      <c r="AD3242" s="90">
        <v>121.006625320258</v>
      </c>
      <c r="AF3242" s="90">
        <v>-1</v>
      </c>
      <c r="AG3242" s="90">
        <v>-1</v>
      </c>
      <c r="AH3242" s="90">
        <v>-1</v>
      </c>
      <c r="AI3242" s="90">
        <v>-1</v>
      </c>
      <c r="AJ3242" s="90">
        <v>0</v>
      </c>
      <c r="AM3242" s="90" t="s">
        <v>379</v>
      </c>
      <c r="AN3242" s="90">
        <v>-1</v>
      </c>
      <c r="AQ3242" s="90">
        <v>391</v>
      </c>
      <c r="AR3242" s="90" t="s">
        <v>315</v>
      </c>
      <c r="AS3242" s="90" t="s">
        <v>430</v>
      </c>
      <c r="AT3242" s="90" t="s">
        <v>244</v>
      </c>
      <c r="AU3242" s="90">
        <v>22.5044</v>
      </c>
      <c r="AV3242" s="90">
        <v>70.998890888318101</v>
      </c>
      <c r="AW3242" s="90">
        <v>129.34116613752499</v>
      </c>
      <c r="AX3242" s="90">
        <v>9.81400043E-2</v>
      </c>
    </row>
    <row r="3243" spans="1:50" x14ac:dyDescent="0.25">
      <c r="A3243" s="102">
        <v>830000</v>
      </c>
      <c r="B3243" s="102">
        <v>2500000</v>
      </c>
      <c r="C3243" s="102">
        <v>2500000</v>
      </c>
      <c r="D3243" s="90" t="s">
        <v>374</v>
      </c>
      <c r="E3243" s="90" t="s">
        <v>68</v>
      </c>
      <c r="F3243" s="90" t="s">
        <v>375</v>
      </c>
      <c r="G3243" s="90" t="s">
        <v>376</v>
      </c>
      <c r="H3243" s="90">
        <v>0.59</v>
      </c>
      <c r="I3243" s="90">
        <v>0.64</v>
      </c>
      <c r="J3243" s="90" t="s">
        <v>244</v>
      </c>
      <c r="K3243" s="90">
        <v>1.145437553003E-2</v>
      </c>
      <c r="L3243" s="90">
        <v>3786.0833751069899</v>
      </c>
      <c r="M3243" s="90">
        <v>11.631441886392601</v>
      </c>
      <c r="N3243" s="90">
        <v>1.53565670570623</v>
      </c>
      <c r="O3243" s="90">
        <v>0.13323090332255</v>
      </c>
      <c r="P3243" s="90">
        <v>1.758998859238E-2</v>
      </c>
      <c r="Q3243" s="90">
        <v>43.367220766509199</v>
      </c>
      <c r="R3243" s="90">
        <v>1420</v>
      </c>
      <c r="S3243" s="90" t="s">
        <v>327</v>
      </c>
      <c r="T3243" s="90">
        <v>1420</v>
      </c>
      <c r="U3243" s="90" t="s">
        <v>378</v>
      </c>
      <c r="V3243" s="90" t="s">
        <v>244</v>
      </c>
      <c r="Z3243" s="90">
        <v>0</v>
      </c>
      <c r="AA3243" s="90">
        <v>1</v>
      </c>
      <c r="AB3243" s="90">
        <v>0.13323090332255</v>
      </c>
      <c r="AC3243" s="90">
        <v>1.758998859238E-2</v>
      </c>
      <c r="AD3243" s="90">
        <v>439.226663204928</v>
      </c>
      <c r="AF3243" s="90">
        <v>-1</v>
      </c>
      <c r="AG3243" s="90">
        <v>-1</v>
      </c>
      <c r="AH3243" s="90">
        <v>-1</v>
      </c>
      <c r="AI3243" s="90">
        <v>-1</v>
      </c>
      <c r="AJ3243" s="90">
        <v>0</v>
      </c>
      <c r="AM3243" s="90" t="s">
        <v>379</v>
      </c>
      <c r="AN3243" s="90">
        <v>-1</v>
      </c>
      <c r="AQ3243" s="90">
        <v>391</v>
      </c>
      <c r="AR3243" s="90" t="s">
        <v>315</v>
      </c>
      <c r="AS3243" s="90" t="s">
        <v>430</v>
      </c>
      <c r="AT3243" s="90" t="s">
        <v>244</v>
      </c>
      <c r="AU3243" s="90">
        <v>22.5044</v>
      </c>
      <c r="AV3243" s="90">
        <v>32.849834163785502</v>
      </c>
      <c r="AW3243" s="90">
        <v>46.354213178315298</v>
      </c>
      <c r="AX3243" s="90">
        <v>0.3562260042</v>
      </c>
    </row>
    <row r="3244" spans="1:50" x14ac:dyDescent="0.25">
      <c r="A3244" s="102">
        <v>830000</v>
      </c>
      <c r="B3244" s="102">
        <v>2500000</v>
      </c>
      <c r="C3244" s="102">
        <v>2500000</v>
      </c>
      <c r="D3244" s="90" t="s">
        <v>374</v>
      </c>
      <c r="E3244" s="90" t="s">
        <v>68</v>
      </c>
      <c r="F3244" s="90" t="s">
        <v>375</v>
      </c>
      <c r="G3244" s="90" t="s">
        <v>376</v>
      </c>
      <c r="H3244" s="90">
        <v>0.59</v>
      </c>
      <c r="I3244" s="90">
        <v>0.64</v>
      </c>
      <c r="J3244" s="90" t="s">
        <v>244</v>
      </c>
      <c r="K3244" s="90">
        <v>5.3326699650420001E-2</v>
      </c>
      <c r="L3244" s="90">
        <v>3786.0833751069899</v>
      </c>
      <c r="M3244" s="90">
        <v>11.631441886392601</v>
      </c>
      <c r="N3244" s="90">
        <v>1.53565670570623</v>
      </c>
      <c r="O3244" s="90">
        <v>0.62026640797696997</v>
      </c>
      <c r="P3244" s="90">
        <v>8.189150391135E-2</v>
      </c>
      <c r="Q3244" s="90">
        <v>201.899330995779</v>
      </c>
      <c r="R3244" s="90">
        <v>1410</v>
      </c>
      <c r="S3244" s="90" t="s">
        <v>325</v>
      </c>
      <c r="T3244" s="90">
        <v>1410</v>
      </c>
      <c r="U3244" s="90" t="s">
        <v>378</v>
      </c>
      <c r="V3244" s="90" t="s">
        <v>244</v>
      </c>
      <c r="Z3244" s="90">
        <v>0</v>
      </c>
      <c r="AA3244" s="90">
        <v>1</v>
      </c>
      <c r="AB3244" s="90">
        <v>0.62026640797696997</v>
      </c>
      <c r="AC3244" s="90">
        <v>8.189150391135E-2</v>
      </c>
      <c r="AD3244" s="90">
        <v>442.55441397629897</v>
      </c>
      <c r="AF3244" s="90">
        <v>-1</v>
      </c>
      <c r="AG3244" s="90">
        <v>-1</v>
      </c>
      <c r="AH3244" s="90">
        <v>-1</v>
      </c>
      <c r="AI3244" s="90">
        <v>-1</v>
      </c>
      <c r="AJ3244" s="90">
        <v>0</v>
      </c>
      <c r="AM3244" s="90" t="s">
        <v>379</v>
      </c>
      <c r="AN3244" s="90">
        <v>-1</v>
      </c>
      <c r="AQ3244" s="90">
        <v>391</v>
      </c>
      <c r="AR3244" s="90" t="s">
        <v>315</v>
      </c>
      <c r="AS3244" s="90" t="s">
        <v>430</v>
      </c>
      <c r="AT3244" s="90" t="s">
        <v>244</v>
      </c>
      <c r="AU3244" s="90">
        <v>22.5044</v>
      </c>
      <c r="AV3244" s="90">
        <v>61.831194437834299</v>
      </c>
      <c r="AW3244" s="90">
        <v>215.80549696569699</v>
      </c>
      <c r="AX3244" s="90">
        <v>0.35892490999999999</v>
      </c>
    </row>
    <row r="3245" spans="1:50" x14ac:dyDescent="0.25">
      <c r="A3245" s="102">
        <v>830000</v>
      </c>
      <c r="B3245" s="102">
        <v>2500000</v>
      </c>
      <c r="C3245" s="102">
        <v>2500000</v>
      </c>
      <c r="D3245" s="90" t="s">
        <v>374</v>
      </c>
      <c r="E3245" s="90" t="s">
        <v>68</v>
      </c>
      <c r="F3245" s="90" t="s">
        <v>375</v>
      </c>
      <c r="G3245" s="90" t="s">
        <v>376</v>
      </c>
      <c r="H3245" s="90">
        <v>0.59</v>
      </c>
      <c r="I3245" s="90">
        <v>0.64</v>
      </c>
      <c r="J3245" s="90" t="s">
        <v>244</v>
      </c>
      <c r="K3245" s="90">
        <v>1.4942797345909999E-2</v>
      </c>
      <c r="L3245" s="90">
        <v>3786.0833751069899</v>
      </c>
      <c r="M3245" s="90">
        <v>11.631441886392601</v>
      </c>
      <c r="N3245" s="90">
        <v>1.53565670570623</v>
      </c>
      <c r="O3245" s="90">
        <v>0.1738062789491</v>
      </c>
      <c r="P3245" s="90">
        <v>2.2947006946250001E-2</v>
      </c>
      <c r="Q3245" s="90">
        <v>56.574676608946604</v>
      </c>
      <c r="R3245" s="90">
        <v>1410</v>
      </c>
      <c r="S3245" s="90" t="s">
        <v>325</v>
      </c>
      <c r="T3245" s="90">
        <v>1410</v>
      </c>
      <c r="U3245" s="90" t="s">
        <v>378</v>
      </c>
      <c r="V3245" s="90" t="s">
        <v>244</v>
      </c>
      <c r="Z3245" s="90">
        <v>0</v>
      </c>
      <c r="AA3245" s="90">
        <v>1</v>
      </c>
      <c r="AB3245" s="90">
        <v>0.1738062789491</v>
      </c>
      <c r="AC3245" s="90">
        <v>2.2947006946250001E-2</v>
      </c>
      <c r="AD3245" s="90">
        <v>56.574676608945403</v>
      </c>
      <c r="AF3245" s="90">
        <v>-1</v>
      </c>
      <c r="AG3245" s="90">
        <v>-1</v>
      </c>
      <c r="AH3245" s="90">
        <v>-1</v>
      </c>
      <c r="AI3245" s="90">
        <v>-1</v>
      </c>
      <c r="AJ3245" s="90">
        <v>0</v>
      </c>
      <c r="AM3245" s="90" t="s">
        <v>379</v>
      </c>
      <c r="AN3245" s="90">
        <v>-1</v>
      </c>
      <c r="AQ3245" s="90">
        <v>391</v>
      </c>
      <c r="AR3245" s="90" t="s">
        <v>315</v>
      </c>
      <c r="AS3245" s="90" t="s">
        <v>430</v>
      </c>
      <c r="AT3245" s="90" t="s">
        <v>244</v>
      </c>
      <c r="AU3245" s="90">
        <v>22.5044</v>
      </c>
      <c r="AV3245" s="90">
        <v>36.696317659020202</v>
      </c>
      <c r="AW3245" s="90">
        <v>60.4713554079202</v>
      </c>
      <c r="AX3245" s="90">
        <v>4.5883760400000001E-2</v>
      </c>
    </row>
    <row r="3246" spans="1:50" x14ac:dyDescent="0.25">
      <c r="A3246" s="102">
        <v>830000</v>
      </c>
      <c r="B3246" s="102">
        <v>2500000</v>
      </c>
      <c r="C3246" s="102">
        <v>2500000</v>
      </c>
      <c r="D3246" s="90" t="s">
        <v>374</v>
      </c>
      <c r="E3246" s="90" t="s">
        <v>68</v>
      </c>
      <c r="F3246" s="90" t="s">
        <v>375</v>
      </c>
      <c r="G3246" s="90" t="s">
        <v>376</v>
      </c>
      <c r="H3246" s="90">
        <v>0.59</v>
      </c>
      <c r="I3246" s="90">
        <v>0.64</v>
      </c>
      <c r="J3246" s="90" t="s">
        <v>244</v>
      </c>
      <c r="K3246" s="90">
        <v>3.72736081663E-3</v>
      </c>
      <c r="L3246" s="90">
        <v>3786.0833751069899</v>
      </c>
      <c r="M3246" s="90">
        <v>11.631441886392601</v>
      </c>
      <c r="N3246" s="90">
        <v>1.53565670570623</v>
      </c>
      <c r="O3246" s="90">
        <v>4.335458072824E-2</v>
      </c>
      <c r="P3246" s="90">
        <v>5.72394663264E-3</v>
      </c>
      <c r="Q3246" s="90">
        <v>14.112098820868001</v>
      </c>
      <c r="R3246" s="90">
        <v>1410</v>
      </c>
      <c r="S3246" s="90" t="s">
        <v>325</v>
      </c>
      <c r="T3246" s="90">
        <v>1410</v>
      </c>
      <c r="U3246" s="90" t="s">
        <v>378</v>
      </c>
      <c r="V3246" s="90" t="s">
        <v>244</v>
      </c>
      <c r="Z3246" s="90">
        <v>0</v>
      </c>
      <c r="AA3246" s="90">
        <v>1</v>
      </c>
      <c r="AB3246" s="90">
        <v>4.335458072824E-2</v>
      </c>
      <c r="AC3246" s="90">
        <v>5.72394663264E-3</v>
      </c>
      <c r="AD3246" s="90">
        <v>419.48329935937898</v>
      </c>
      <c r="AF3246" s="90">
        <v>-1</v>
      </c>
      <c r="AG3246" s="90">
        <v>-1</v>
      </c>
      <c r="AH3246" s="90">
        <v>-1</v>
      </c>
      <c r="AI3246" s="90">
        <v>-1</v>
      </c>
      <c r="AJ3246" s="90">
        <v>0</v>
      </c>
      <c r="AM3246" s="90" t="s">
        <v>379</v>
      </c>
      <c r="AN3246" s="90">
        <v>-1</v>
      </c>
      <c r="AQ3246" s="90">
        <v>391</v>
      </c>
      <c r="AR3246" s="90" t="s">
        <v>315</v>
      </c>
      <c r="AS3246" s="90" t="s">
        <v>430</v>
      </c>
      <c r="AT3246" s="90" t="s">
        <v>244</v>
      </c>
      <c r="AU3246" s="90">
        <v>22.5044</v>
      </c>
      <c r="AV3246" s="90">
        <v>32.012062443393297</v>
      </c>
      <c r="AW3246" s="90">
        <v>15.084094059381</v>
      </c>
      <c r="AX3246" s="90">
        <v>0.34021354370000001</v>
      </c>
    </row>
    <row r="3247" spans="1:50" x14ac:dyDescent="0.25">
      <c r="A3247" s="102">
        <v>830000</v>
      </c>
      <c r="B3247" s="102">
        <v>2500000</v>
      </c>
      <c r="C3247" s="102">
        <v>2500000</v>
      </c>
      <c r="D3247" s="90" t="s">
        <v>374</v>
      </c>
      <c r="E3247" s="90" t="s">
        <v>68</v>
      </c>
      <c r="F3247" s="90" t="s">
        <v>375</v>
      </c>
      <c r="G3247" s="90" t="s">
        <v>376</v>
      </c>
      <c r="H3247" s="90">
        <v>0.59</v>
      </c>
      <c r="I3247" s="90">
        <v>0.64</v>
      </c>
      <c r="J3247" s="90" t="s">
        <v>244</v>
      </c>
      <c r="K3247" s="90">
        <v>0.29956667220011002</v>
      </c>
      <c r="L3247" s="90">
        <v>3786.0833759532502</v>
      </c>
      <c r="M3247" s="90">
        <v>11.6314418889924</v>
      </c>
      <c r="N3247" s="90">
        <v>1.5356567060494699</v>
      </c>
      <c r="O3247" s="90">
        <v>3.48439233957451</v>
      </c>
      <c r="P3247" s="90">
        <v>0.46003156907303</v>
      </c>
      <c r="Q3247" s="90">
        <v>1134.1843976064899</v>
      </c>
      <c r="R3247" s="90">
        <v>1410</v>
      </c>
      <c r="S3247" s="90" t="s">
        <v>325</v>
      </c>
      <c r="T3247" s="90">
        <v>1410</v>
      </c>
      <c r="U3247" s="90" t="s">
        <v>378</v>
      </c>
      <c r="V3247" s="90" t="s">
        <v>244</v>
      </c>
      <c r="Z3247" s="90">
        <v>0</v>
      </c>
      <c r="AA3247" s="90">
        <v>1</v>
      </c>
      <c r="AB3247" s="90">
        <v>3.48439233957451</v>
      </c>
      <c r="AC3247" s="90">
        <v>0.46003156907303</v>
      </c>
      <c r="AD3247" s="90">
        <v>2207.6963180856901</v>
      </c>
      <c r="AF3247" s="90">
        <v>-1</v>
      </c>
      <c r="AG3247" s="90">
        <v>-1</v>
      </c>
      <c r="AH3247" s="90">
        <v>-1</v>
      </c>
      <c r="AI3247" s="90">
        <v>-1</v>
      </c>
      <c r="AJ3247" s="90">
        <v>0</v>
      </c>
      <c r="AM3247" s="90" t="s">
        <v>379</v>
      </c>
      <c r="AN3247" s="90">
        <v>-1</v>
      </c>
      <c r="AQ3247" s="90">
        <v>391</v>
      </c>
      <c r="AR3247" s="90" t="s">
        <v>315</v>
      </c>
      <c r="AS3247" s="90" t="s">
        <v>430</v>
      </c>
      <c r="AT3247" s="90" t="s">
        <v>244</v>
      </c>
      <c r="AU3247" s="90">
        <v>22.5044</v>
      </c>
      <c r="AV3247" s="90">
        <v>148.67626446600801</v>
      </c>
      <c r="AW3247" s="90">
        <v>1212.3033113300301</v>
      </c>
      <c r="AX3247" s="90">
        <v>1.7905079628</v>
      </c>
    </row>
    <row r="3248" spans="1:50" x14ac:dyDescent="0.25">
      <c r="A3248" s="102">
        <v>830000</v>
      </c>
      <c r="B3248" s="102">
        <v>2500000</v>
      </c>
      <c r="C3248" s="102">
        <v>2500000</v>
      </c>
      <c r="D3248" s="90" t="s">
        <v>374</v>
      </c>
      <c r="E3248" s="90" t="s">
        <v>68</v>
      </c>
      <c r="F3248" s="90" t="s">
        <v>375</v>
      </c>
      <c r="G3248" s="90" t="s">
        <v>376</v>
      </c>
      <c r="H3248" s="90">
        <v>0.59</v>
      </c>
      <c r="I3248" s="90">
        <v>0.64</v>
      </c>
      <c r="J3248" s="90" t="s">
        <v>244</v>
      </c>
      <c r="K3248" s="90">
        <v>5.4621144551440001E-2</v>
      </c>
      <c r="L3248" s="90">
        <v>3293.1860558089802</v>
      </c>
      <c r="M3248" s="90">
        <v>8.9211579445030402</v>
      </c>
      <c r="N3248" s="90">
        <v>1.5106157521191399</v>
      </c>
      <c r="O3248" s="90">
        <v>0.48728385765297999</v>
      </c>
      <c r="P3248" s="90">
        <v>8.2511561358190003E-2</v>
      </c>
      <c r="Q3248" s="90">
        <v>179.87759158914801</v>
      </c>
      <c r="R3248" s="90">
        <v>1200</v>
      </c>
      <c r="S3248" s="90" t="s">
        <v>384</v>
      </c>
      <c r="T3248" s="90">
        <v>1200</v>
      </c>
      <c r="U3248" s="90" t="s">
        <v>378</v>
      </c>
      <c r="V3248" s="90" t="s">
        <v>244</v>
      </c>
      <c r="Z3248" s="90">
        <v>0</v>
      </c>
      <c r="AA3248" s="90">
        <v>1</v>
      </c>
      <c r="AB3248" s="90">
        <v>0.48728385765297999</v>
      </c>
      <c r="AC3248" s="90">
        <v>8.2511561358190003E-2</v>
      </c>
      <c r="AD3248" s="90">
        <v>734.59767518338595</v>
      </c>
      <c r="AF3248" s="90">
        <v>-1</v>
      </c>
      <c r="AG3248" s="90">
        <v>-1</v>
      </c>
      <c r="AH3248" s="90">
        <v>-1</v>
      </c>
      <c r="AI3248" s="90">
        <v>-1</v>
      </c>
      <c r="AJ3248" s="90">
        <v>0</v>
      </c>
      <c r="AM3248" s="90" t="s">
        <v>379</v>
      </c>
      <c r="AN3248" s="90">
        <v>-1</v>
      </c>
      <c r="AQ3248" s="90">
        <v>391</v>
      </c>
      <c r="AR3248" s="90" t="s">
        <v>315</v>
      </c>
      <c r="AS3248" s="90" t="s">
        <v>430</v>
      </c>
      <c r="AT3248" s="90" t="s">
        <v>244</v>
      </c>
      <c r="AU3248" s="90">
        <v>22.5044</v>
      </c>
      <c r="AV3248" s="90">
        <v>108.90842123015599</v>
      </c>
      <c r="AW3248" s="90">
        <v>221.04392962685799</v>
      </c>
      <c r="AX3248" s="90">
        <v>0.59578075850000001</v>
      </c>
    </row>
    <row r="3249" spans="1:50" x14ac:dyDescent="0.25">
      <c r="A3249" s="102">
        <v>830000</v>
      </c>
      <c r="B3249" s="102">
        <v>2500000</v>
      </c>
      <c r="C3249" s="102">
        <v>2500000</v>
      </c>
      <c r="D3249" s="90" t="s">
        <v>374</v>
      </c>
      <c r="E3249" s="90" t="s">
        <v>68</v>
      </c>
      <c r="F3249" s="90" t="s">
        <v>375</v>
      </c>
      <c r="G3249" s="90" t="s">
        <v>376</v>
      </c>
      <c r="H3249" s="90">
        <v>0.59</v>
      </c>
      <c r="I3249" s="90">
        <v>0.64</v>
      </c>
      <c r="J3249" s="90" t="s">
        <v>244</v>
      </c>
      <c r="K3249" s="90">
        <v>0.1772774987837</v>
      </c>
      <c r="L3249" s="90">
        <v>3293.1860558089802</v>
      </c>
      <c r="M3249" s="90">
        <v>8.9211579445030402</v>
      </c>
      <c r="N3249" s="90">
        <v>1.5106157521191399</v>
      </c>
      <c r="O3249" s="90">
        <v>1.58152056665589</v>
      </c>
      <c r="P3249" s="90">
        <v>0.26779818215895002</v>
      </c>
      <c r="Q3249" s="90">
        <v>583.80778700319695</v>
      </c>
      <c r="R3249" s="90">
        <v>1300</v>
      </c>
      <c r="S3249" s="90" t="s">
        <v>387</v>
      </c>
      <c r="T3249" s="90">
        <v>1300</v>
      </c>
      <c r="U3249" s="90" t="s">
        <v>378</v>
      </c>
      <c r="V3249" s="90" t="s">
        <v>244</v>
      </c>
      <c r="Z3249" s="90">
        <v>0</v>
      </c>
      <c r="AA3249" s="90">
        <v>1</v>
      </c>
      <c r="AB3249" s="90">
        <v>1.58152056665589</v>
      </c>
      <c r="AC3249" s="90">
        <v>0.26779818215895002</v>
      </c>
      <c r="AD3249" s="90">
        <v>583.80778700319695</v>
      </c>
      <c r="AF3249" s="90">
        <v>-1</v>
      </c>
      <c r="AG3249" s="90">
        <v>-1</v>
      </c>
      <c r="AH3249" s="90">
        <v>-1</v>
      </c>
      <c r="AI3249" s="90">
        <v>-1</v>
      </c>
      <c r="AJ3249" s="90">
        <v>0</v>
      </c>
      <c r="AM3249" s="90" t="s">
        <v>379</v>
      </c>
      <c r="AN3249" s="90">
        <v>-1</v>
      </c>
      <c r="AQ3249" s="90">
        <v>391</v>
      </c>
      <c r="AR3249" s="90" t="s">
        <v>315</v>
      </c>
      <c r="AS3249" s="90" t="s">
        <v>430</v>
      </c>
      <c r="AT3249" s="90" t="s">
        <v>244</v>
      </c>
      <c r="AU3249" s="90">
        <v>22.5044</v>
      </c>
      <c r="AV3249" s="90">
        <v>135.71493509446501</v>
      </c>
      <c r="AW3249" s="90">
        <v>717.41658449985198</v>
      </c>
      <c r="AX3249" s="90">
        <v>0.47348563420000001</v>
      </c>
    </row>
    <row r="3250" spans="1:50" x14ac:dyDescent="0.25">
      <c r="A3250" s="102">
        <v>830000</v>
      </c>
      <c r="B3250" s="102">
        <v>2500000</v>
      </c>
      <c r="C3250" s="102">
        <v>2500000</v>
      </c>
      <c r="D3250" s="90" t="s">
        <v>374</v>
      </c>
      <c r="E3250" s="90" t="s">
        <v>68</v>
      </c>
      <c r="F3250" s="90" t="s">
        <v>375</v>
      </c>
      <c r="G3250" s="90" t="s">
        <v>376</v>
      </c>
      <c r="H3250" s="90">
        <v>0.59</v>
      </c>
      <c r="I3250" s="90">
        <v>0.64</v>
      </c>
      <c r="J3250" s="90" t="s">
        <v>244</v>
      </c>
      <c r="K3250" s="90">
        <v>2.5084040983910001E-2</v>
      </c>
      <c r="L3250" s="90">
        <v>3293.1860558089802</v>
      </c>
      <c r="M3250" s="90">
        <v>8.9211579445030402</v>
      </c>
      <c r="N3250" s="90">
        <v>1.5106157521191399</v>
      </c>
      <c r="O3250" s="90">
        <v>0.22377869150388</v>
      </c>
      <c r="P3250" s="90">
        <v>3.7892347437100002E-2</v>
      </c>
      <c r="Q3250" s="90">
        <v>82.606413991566498</v>
      </c>
      <c r="R3250" s="90">
        <v>1400</v>
      </c>
      <c r="S3250" s="90" t="s">
        <v>324</v>
      </c>
      <c r="T3250" s="90">
        <v>1400</v>
      </c>
      <c r="U3250" s="90" t="s">
        <v>378</v>
      </c>
      <c r="V3250" s="90" t="s">
        <v>244</v>
      </c>
      <c r="Z3250" s="90">
        <v>0</v>
      </c>
      <c r="AA3250" s="90">
        <v>1</v>
      </c>
      <c r="AB3250" s="90">
        <v>0.22377869150388</v>
      </c>
      <c r="AC3250" s="90">
        <v>3.7892347437100002E-2</v>
      </c>
      <c r="AD3250" s="90">
        <v>82.606413991564906</v>
      </c>
      <c r="AF3250" s="90">
        <v>-1</v>
      </c>
      <c r="AG3250" s="90">
        <v>-1</v>
      </c>
      <c r="AH3250" s="90">
        <v>-1</v>
      </c>
      <c r="AI3250" s="90">
        <v>-1</v>
      </c>
      <c r="AJ3250" s="90">
        <v>0</v>
      </c>
      <c r="AM3250" s="90" t="s">
        <v>379</v>
      </c>
      <c r="AN3250" s="90">
        <v>-1</v>
      </c>
      <c r="AQ3250" s="90">
        <v>391</v>
      </c>
      <c r="AR3250" s="90" t="s">
        <v>315</v>
      </c>
      <c r="AS3250" s="90" t="s">
        <v>430</v>
      </c>
      <c r="AT3250" s="90" t="s">
        <v>244</v>
      </c>
      <c r="AU3250" s="90">
        <v>22.5044</v>
      </c>
      <c r="AV3250" s="90">
        <v>53.297780218947899</v>
      </c>
      <c r="AW3250" s="90">
        <v>101.511512355495</v>
      </c>
      <c r="AX3250" s="90">
        <v>6.6996280599999999E-2</v>
      </c>
    </row>
    <row r="3251" spans="1:50" x14ac:dyDescent="0.25">
      <c r="A3251" s="102">
        <v>830000</v>
      </c>
      <c r="B3251" s="102">
        <v>2500000</v>
      </c>
      <c r="C3251" s="102">
        <v>2500000</v>
      </c>
      <c r="D3251" s="90" t="s">
        <v>374</v>
      </c>
      <c r="E3251" s="90" t="s">
        <v>68</v>
      </c>
      <c r="F3251" s="90" t="s">
        <v>375</v>
      </c>
      <c r="G3251" s="90" t="s">
        <v>376</v>
      </c>
      <c r="H3251" s="90">
        <v>0.59</v>
      </c>
      <c r="I3251" s="90">
        <v>0.64</v>
      </c>
      <c r="J3251" s="90" t="s">
        <v>244</v>
      </c>
      <c r="K3251" s="90">
        <v>7.9513486168989997E-2</v>
      </c>
      <c r="L3251" s="90">
        <v>3293.1860558089802</v>
      </c>
      <c r="M3251" s="90">
        <v>8.9211579445030402</v>
      </c>
      <c r="N3251" s="90">
        <v>1.5106157521191399</v>
      </c>
      <c r="O3251" s="90">
        <v>0.70935236883165997</v>
      </c>
      <c r="P3251" s="90">
        <v>0.12011432471279</v>
      </c>
      <c r="Q3251" s="90">
        <v>261.85270390049402</v>
      </c>
      <c r="R3251" s="90">
        <v>1300</v>
      </c>
      <c r="S3251" s="90" t="s">
        <v>387</v>
      </c>
      <c r="T3251" s="90">
        <v>1300</v>
      </c>
      <c r="U3251" s="90" t="s">
        <v>378</v>
      </c>
      <c r="V3251" s="90" t="s">
        <v>244</v>
      </c>
      <c r="Z3251" s="90">
        <v>0</v>
      </c>
      <c r="AA3251" s="90">
        <v>1</v>
      </c>
      <c r="AB3251" s="90">
        <v>0.70935236883165997</v>
      </c>
      <c r="AC3251" s="90">
        <v>0.12011432471279</v>
      </c>
      <c r="AD3251" s="90">
        <v>261.852703900493</v>
      </c>
      <c r="AF3251" s="90">
        <v>-1</v>
      </c>
      <c r="AG3251" s="90">
        <v>-1</v>
      </c>
      <c r="AH3251" s="90">
        <v>-1</v>
      </c>
      <c r="AI3251" s="90">
        <v>-1</v>
      </c>
      <c r="AJ3251" s="90">
        <v>0</v>
      </c>
      <c r="AM3251" s="90" t="s">
        <v>379</v>
      </c>
      <c r="AN3251" s="90">
        <v>-1</v>
      </c>
      <c r="AQ3251" s="90">
        <v>391</v>
      </c>
      <c r="AR3251" s="90" t="s">
        <v>315</v>
      </c>
      <c r="AS3251" s="90" t="s">
        <v>430</v>
      </c>
      <c r="AT3251" s="90" t="s">
        <v>244</v>
      </c>
      <c r="AU3251" s="90">
        <v>22.5044</v>
      </c>
      <c r="AV3251" s="90">
        <v>94.184309951996994</v>
      </c>
      <c r="AW3251" s="90">
        <v>321.77966217040898</v>
      </c>
      <c r="AX3251" s="90">
        <v>0.21237040060000001</v>
      </c>
    </row>
    <row r="3252" spans="1:50" x14ac:dyDescent="0.25">
      <c r="A3252" s="102">
        <v>830000</v>
      </c>
      <c r="B3252" s="102">
        <v>2500000</v>
      </c>
      <c r="C3252" s="102">
        <v>2500000</v>
      </c>
      <c r="D3252" s="90" t="s">
        <v>374</v>
      </c>
      <c r="E3252" s="90" t="s">
        <v>68</v>
      </c>
      <c r="F3252" s="90" t="s">
        <v>375</v>
      </c>
      <c r="G3252" s="90" t="s">
        <v>376</v>
      </c>
      <c r="H3252" s="90">
        <v>0.59</v>
      </c>
      <c r="I3252" s="90">
        <v>0.64</v>
      </c>
      <c r="J3252" s="90" t="s">
        <v>244</v>
      </c>
      <c r="K3252" s="90">
        <v>0.12806578479291</v>
      </c>
      <c r="L3252" s="90">
        <v>3836.85813127659</v>
      </c>
      <c r="M3252" s="90">
        <v>10.529010581779801</v>
      </c>
      <c r="N3252" s="90">
        <v>1.4025717973634699</v>
      </c>
      <c r="O3252" s="90">
        <v>1.3484060032484899</v>
      </c>
      <c r="P3252" s="90">
        <v>0.17962145795775</v>
      </c>
      <c r="Q3252" s="90">
        <v>491.37024772099801</v>
      </c>
      <c r="R3252" s="90">
        <v>1410</v>
      </c>
      <c r="S3252" s="90" t="s">
        <v>325</v>
      </c>
      <c r="T3252" s="90">
        <v>1410</v>
      </c>
      <c r="U3252" s="90" t="s">
        <v>378</v>
      </c>
      <c r="V3252" s="90" t="s">
        <v>244</v>
      </c>
      <c r="Z3252" s="90">
        <v>0</v>
      </c>
      <c r="AA3252" s="90">
        <v>1</v>
      </c>
      <c r="AB3252" s="90">
        <v>1.3484060032484899</v>
      </c>
      <c r="AC3252" s="90">
        <v>0.17962145795775</v>
      </c>
      <c r="AD3252" s="90">
        <v>491.37024772099801</v>
      </c>
      <c r="AF3252" s="90">
        <v>-1</v>
      </c>
      <c r="AG3252" s="90">
        <v>-1</v>
      </c>
      <c r="AH3252" s="90">
        <v>-1</v>
      </c>
      <c r="AI3252" s="90">
        <v>-1</v>
      </c>
      <c r="AJ3252" s="90">
        <v>0</v>
      </c>
      <c r="AM3252" s="90" t="s">
        <v>379</v>
      </c>
      <c r="AN3252" s="90">
        <v>-1</v>
      </c>
      <c r="AQ3252" s="90">
        <v>391</v>
      </c>
      <c r="AR3252" s="90" t="s">
        <v>315</v>
      </c>
      <c r="AS3252" s="90" t="s">
        <v>430</v>
      </c>
      <c r="AT3252" s="90" t="s">
        <v>244</v>
      </c>
      <c r="AU3252" s="90">
        <v>22.5044</v>
      </c>
      <c r="AV3252" s="90">
        <v>101.174557352446</v>
      </c>
      <c r="AW3252" s="90">
        <v>518.26384367888897</v>
      </c>
      <c r="AX3252" s="90">
        <v>0.39851601599999997</v>
      </c>
    </row>
    <row r="3253" spans="1:50" x14ac:dyDescent="0.25">
      <c r="A3253" s="102">
        <v>830000</v>
      </c>
      <c r="B3253" s="102">
        <v>2500000</v>
      </c>
      <c r="C3253" s="102">
        <v>2500000</v>
      </c>
      <c r="D3253" s="90" t="s">
        <v>374</v>
      </c>
      <c r="E3253" s="90" t="s">
        <v>68</v>
      </c>
      <c r="F3253" s="90" t="s">
        <v>375</v>
      </c>
      <c r="G3253" s="90" t="s">
        <v>376</v>
      </c>
      <c r="H3253" s="90">
        <v>0.59</v>
      </c>
      <c r="I3253" s="90">
        <v>0.64</v>
      </c>
      <c r="J3253" s="90" t="s">
        <v>244</v>
      </c>
      <c r="K3253" s="90">
        <v>7.0901517784070001E-2</v>
      </c>
      <c r="L3253" s="90">
        <v>3836.85813127659</v>
      </c>
      <c r="M3253" s="90">
        <v>10.529010581779801</v>
      </c>
      <c r="N3253" s="90">
        <v>1.4025717973634699</v>
      </c>
      <c r="O3253" s="90">
        <v>0.74652283101272998</v>
      </c>
      <c r="P3253" s="90">
        <v>9.94444692342E-2</v>
      </c>
      <c r="Q3253" s="90">
        <v>272.03906502966402</v>
      </c>
      <c r="R3253" s="90">
        <v>1410</v>
      </c>
      <c r="S3253" s="90" t="s">
        <v>325</v>
      </c>
      <c r="T3253" s="90">
        <v>1410</v>
      </c>
      <c r="U3253" s="90" t="s">
        <v>378</v>
      </c>
      <c r="V3253" s="90" t="s">
        <v>244</v>
      </c>
      <c r="Z3253" s="90">
        <v>0</v>
      </c>
      <c r="AA3253" s="90">
        <v>1</v>
      </c>
      <c r="AB3253" s="90">
        <v>0.74652283101272998</v>
      </c>
      <c r="AC3253" s="90">
        <v>9.94444692342E-2</v>
      </c>
      <c r="AD3253" s="90">
        <v>272.03906502966601</v>
      </c>
      <c r="AF3253" s="90">
        <v>-1</v>
      </c>
      <c r="AG3253" s="90">
        <v>-1</v>
      </c>
      <c r="AH3253" s="90">
        <v>-1</v>
      </c>
      <c r="AI3253" s="90">
        <v>-1</v>
      </c>
      <c r="AJ3253" s="90">
        <v>0</v>
      </c>
      <c r="AM3253" s="90" t="s">
        <v>379</v>
      </c>
      <c r="AN3253" s="90">
        <v>-1</v>
      </c>
      <c r="AQ3253" s="90">
        <v>391</v>
      </c>
      <c r="AR3253" s="90" t="s">
        <v>315</v>
      </c>
      <c r="AS3253" s="90" t="s">
        <v>430</v>
      </c>
      <c r="AT3253" s="90" t="s">
        <v>244</v>
      </c>
      <c r="AU3253" s="90">
        <v>22.5044</v>
      </c>
      <c r="AV3253" s="90">
        <v>69.251054905448896</v>
      </c>
      <c r="AW3253" s="90">
        <v>286.928262602377</v>
      </c>
      <c r="AX3253" s="90">
        <v>0.2206318451</v>
      </c>
    </row>
    <row r="3254" spans="1:50" x14ac:dyDescent="0.25">
      <c r="A3254" s="102">
        <v>830000</v>
      </c>
      <c r="B3254" s="102">
        <v>2500000</v>
      </c>
      <c r="C3254" s="102">
        <v>2500000</v>
      </c>
      <c r="D3254" s="90" t="s">
        <v>374</v>
      </c>
      <c r="E3254" s="90" t="s">
        <v>68</v>
      </c>
      <c r="F3254" s="90" t="s">
        <v>375</v>
      </c>
      <c r="G3254" s="90" t="s">
        <v>376</v>
      </c>
      <c r="H3254" s="90">
        <v>0.59</v>
      </c>
      <c r="I3254" s="90">
        <v>0.64</v>
      </c>
      <c r="J3254" s="90" t="s">
        <v>244</v>
      </c>
      <c r="K3254" s="90">
        <v>0.16331512936104001</v>
      </c>
      <c r="L3254" s="90">
        <v>3836.85813127659</v>
      </c>
      <c r="M3254" s="90">
        <v>10.529010581779801</v>
      </c>
      <c r="N3254" s="90">
        <v>1.4025717973634699</v>
      </c>
      <c r="O3254" s="90">
        <v>1.7195467252071901</v>
      </c>
      <c r="P3254" s="90">
        <v>0.22906119452456999</v>
      </c>
      <c r="Q3254" s="90">
        <v>626.61698204941695</v>
      </c>
      <c r="R3254" s="90">
        <v>1430</v>
      </c>
      <c r="S3254" s="90" t="s">
        <v>326</v>
      </c>
      <c r="T3254" s="90">
        <v>1430</v>
      </c>
      <c r="U3254" s="90" t="s">
        <v>378</v>
      </c>
      <c r="V3254" s="90" t="s">
        <v>244</v>
      </c>
      <c r="Z3254" s="90">
        <v>0</v>
      </c>
      <c r="AA3254" s="90">
        <v>1</v>
      </c>
      <c r="AB3254" s="90">
        <v>1.7195467252071901</v>
      </c>
      <c r="AC3254" s="90">
        <v>0.22906119452456999</v>
      </c>
      <c r="AD3254" s="90">
        <v>626.61698204941695</v>
      </c>
      <c r="AF3254" s="90">
        <v>-1</v>
      </c>
      <c r="AG3254" s="90">
        <v>-1</v>
      </c>
      <c r="AH3254" s="90">
        <v>-1</v>
      </c>
      <c r="AI3254" s="90">
        <v>-1</v>
      </c>
      <c r="AJ3254" s="90">
        <v>0</v>
      </c>
      <c r="AM3254" s="90" t="s">
        <v>379</v>
      </c>
      <c r="AN3254" s="90">
        <v>-1</v>
      </c>
      <c r="AQ3254" s="90">
        <v>391</v>
      </c>
      <c r="AR3254" s="90" t="s">
        <v>315</v>
      </c>
      <c r="AS3254" s="90" t="s">
        <v>430</v>
      </c>
      <c r="AT3254" s="90" t="s">
        <v>244</v>
      </c>
      <c r="AU3254" s="90">
        <v>22.5044</v>
      </c>
      <c r="AV3254" s="90">
        <v>108.783763794658</v>
      </c>
      <c r="AW3254" s="90">
        <v>660.912880129835</v>
      </c>
      <c r="AX3254" s="90">
        <v>0.50820517600000004</v>
      </c>
    </row>
    <row r="3255" spans="1:50" x14ac:dyDescent="0.25">
      <c r="A3255" s="102">
        <v>830000</v>
      </c>
      <c r="B3255" s="102">
        <v>2500000</v>
      </c>
      <c r="C3255" s="102">
        <v>2500000</v>
      </c>
      <c r="D3255" s="90" t="s">
        <v>374</v>
      </c>
      <c r="E3255" s="90" t="s">
        <v>68</v>
      </c>
      <c r="F3255" s="90" t="s">
        <v>375</v>
      </c>
      <c r="G3255" s="90" t="s">
        <v>376</v>
      </c>
      <c r="H3255" s="90">
        <v>0.59</v>
      </c>
      <c r="I3255" s="90">
        <v>0.64</v>
      </c>
      <c r="J3255" s="90" t="s">
        <v>244</v>
      </c>
      <c r="K3255" s="90">
        <v>7.9681932765540003E-2</v>
      </c>
      <c r="L3255" s="90">
        <v>3836.85813127659</v>
      </c>
      <c r="M3255" s="90">
        <v>10.529010581779801</v>
      </c>
      <c r="N3255" s="90">
        <v>1.4025717973634699</v>
      </c>
      <c r="O3255" s="90">
        <v>0.83897191326506004</v>
      </c>
      <c r="P3255" s="90">
        <v>0.11175963165636001</v>
      </c>
      <c r="Q3255" s="90">
        <v>305.72827164730398</v>
      </c>
      <c r="R3255" s="90">
        <v>1410</v>
      </c>
      <c r="S3255" s="90" t="s">
        <v>325</v>
      </c>
      <c r="T3255" s="90">
        <v>1410</v>
      </c>
      <c r="U3255" s="90" t="s">
        <v>378</v>
      </c>
      <c r="V3255" s="90" t="s">
        <v>244</v>
      </c>
      <c r="Z3255" s="90">
        <v>0</v>
      </c>
      <c r="AA3255" s="90">
        <v>1</v>
      </c>
      <c r="AB3255" s="90">
        <v>0.83897191326506004</v>
      </c>
      <c r="AC3255" s="90">
        <v>0.11175963165636001</v>
      </c>
      <c r="AD3255" s="90">
        <v>305.72827164730398</v>
      </c>
      <c r="AF3255" s="90">
        <v>-1</v>
      </c>
      <c r="AG3255" s="90">
        <v>-1</v>
      </c>
      <c r="AH3255" s="90">
        <v>-1</v>
      </c>
      <c r="AI3255" s="90">
        <v>-1</v>
      </c>
      <c r="AJ3255" s="90">
        <v>0</v>
      </c>
      <c r="AM3255" s="90" t="s">
        <v>379</v>
      </c>
      <c r="AN3255" s="90">
        <v>-1</v>
      </c>
      <c r="AQ3255" s="90">
        <v>391</v>
      </c>
      <c r="AR3255" s="90" t="s">
        <v>315</v>
      </c>
      <c r="AS3255" s="90" t="s">
        <v>430</v>
      </c>
      <c r="AT3255" s="90" t="s">
        <v>244</v>
      </c>
      <c r="AU3255" s="90">
        <v>22.5044</v>
      </c>
      <c r="AV3255" s="90">
        <v>73.973478220326399</v>
      </c>
      <c r="AW3255" s="90">
        <v>322.46134136147799</v>
      </c>
      <c r="AX3255" s="90">
        <v>0.2479548026</v>
      </c>
    </row>
    <row r="3256" spans="1:50" x14ac:dyDescent="0.25">
      <c r="A3256" s="102">
        <v>830000</v>
      </c>
      <c r="B3256" s="102">
        <v>2500000</v>
      </c>
      <c r="C3256" s="102">
        <v>2500000</v>
      </c>
      <c r="D3256" s="90" t="s">
        <v>374</v>
      </c>
      <c r="E3256" s="90" t="s">
        <v>68</v>
      </c>
      <c r="F3256" s="90" t="s">
        <v>375</v>
      </c>
      <c r="G3256" s="90" t="s">
        <v>376</v>
      </c>
      <c r="H3256" s="90">
        <v>0.59</v>
      </c>
      <c r="I3256" s="90">
        <v>0.64</v>
      </c>
      <c r="J3256" s="90" t="s">
        <v>244</v>
      </c>
      <c r="K3256" s="90">
        <v>1.6630183614710001E-2</v>
      </c>
      <c r="L3256" s="90">
        <v>3836.85813127659</v>
      </c>
      <c r="M3256" s="90">
        <v>10.529010581779801</v>
      </c>
      <c r="N3256" s="90">
        <v>1.4025717973634699</v>
      </c>
      <c r="O3256" s="90">
        <v>0.17509937925623001</v>
      </c>
      <c r="P3256" s="90">
        <v>2.3325026522969999E-2</v>
      </c>
      <c r="Q3256" s="90">
        <v>63.807655226726602</v>
      </c>
      <c r="R3256" s="90">
        <v>1410</v>
      </c>
      <c r="S3256" s="90" t="s">
        <v>325</v>
      </c>
      <c r="T3256" s="90">
        <v>1410</v>
      </c>
      <c r="U3256" s="90" t="s">
        <v>378</v>
      </c>
      <c r="V3256" s="90" t="s">
        <v>244</v>
      </c>
      <c r="Z3256" s="90">
        <v>0</v>
      </c>
      <c r="AA3256" s="90">
        <v>1</v>
      </c>
      <c r="AB3256" s="90">
        <v>0.17509937925623001</v>
      </c>
      <c r="AC3256" s="90">
        <v>2.3325026522969999E-2</v>
      </c>
      <c r="AD3256" s="90">
        <v>84.128931343610503</v>
      </c>
      <c r="AF3256" s="90">
        <v>-1</v>
      </c>
      <c r="AG3256" s="90">
        <v>-1</v>
      </c>
      <c r="AH3256" s="90">
        <v>-1</v>
      </c>
      <c r="AI3256" s="90">
        <v>-1</v>
      </c>
      <c r="AJ3256" s="90">
        <v>0</v>
      </c>
      <c r="AM3256" s="90" t="s">
        <v>379</v>
      </c>
      <c r="AN3256" s="90">
        <v>-1</v>
      </c>
      <c r="AQ3256" s="90">
        <v>391</v>
      </c>
      <c r="AR3256" s="90" t="s">
        <v>315</v>
      </c>
      <c r="AS3256" s="90" t="s">
        <v>430</v>
      </c>
      <c r="AT3256" s="90" t="s">
        <v>244</v>
      </c>
      <c r="AU3256" s="90">
        <v>22.5044</v>
      </c>
      <c r="AV3256" s="90">
        <v>38.1383282212864</v>
      </c>
      <c r="AW3256" s="90">
        <v>67.2999653668859</v>
      </c>
      <c r="AX3256" s="90">
        <v>6.8231087900000001E-2</v>
      </c>
    </row>
    <row r="3257" spans="1:50" x14ac:dyDescent="0.25">
      <c r="A3257" s="102">
        <v>830000</v>
      </c>
      <c r="B3257" s="102">
        <v>2500000</v>
      </c>
      <c r="C3257" s="102">
        <v>2500000</v>
      </c>
      <c r="D3257" s="90" t="s">
        <v>374</v>
      </c>
      <c r="E3257" s="90" t="s">
        <v>68</v>
      </c>
      <c r="F3257" s="90" t="s">
        <v>375</v>
      </c>
      <c r="G3257" s="90" t="s">
        <v>376</v>
      </c>
      <c r="H3257" s="90">
        <v>0.59</v>
      </c>
      <c r="I3257" s="90">
        <v>0.64</v>
      </c>
      <c r="J3257" s="90" t="s">
        <v>244</v>
      </c>
      <c r="K3257" s="90">
        <v>0.14875689849102999</v>
      </c>
      <c r="L3257" s="90">
        <v>3836.85813127659</v>
      </c>
      <c r="M3257" s="90">
        <v>10.529010581779801</v>
      </c>
      <c r="N3257" s="90">
        <v>1.4025717973634699</v>
      </c>
      <c r="O3257" s="90">
        <v>1.5662629583248699</v>
      </c>
      <c r="P3257" s="90">
        <v>0.20864223048679001</v>
      </c>
      <c r="Q3257" s="90">
        <v>570.75911555882101</v>
      </c>
      <c r="R3257" s="90">
        <v>1410</v>
      </c>
      <c r="S3257" s="90" t="s">
        <v>325</v>
      </c>
      <c r="T3257" s="90">
        <v>1410</v>
      </c>
      <c r="U3257" s="90" t="s">
        <v>378</v>
      </c>
      <c r="V3257" s="90" t="s">
        <v>244</v>
      </c>
      <c r="Z3257" s="90">
        <v>0</v>
      </c>
      <c r="AA3257" s="90">
        <v>1</v>
      </c>
      <c r="AB3257" s="90">
        <v>1.5662629583248699</v>
      </c>
      <c r="AC3257" s="90">
        <v>0.20864223048679001</v>
      </c>
      <c r="AD3257" s="90">
        <v>590.38723244364496</v>
      </c>
      <c r="AF3257" s="90">
        <v>-1</v>
      </c>
      <c r="AG3257" s="90">
        <v>-1</v>
      </c>
      <c r="AH3257" s="90">
        <v>-1</v>
      </c>
      <c r="AI3257" s="90">
        <v>-1</v>
      </c>
      <c r="AJ3257" s="90">
        <v>0</v>
      </c>
      <c r="AM3257" s="90" t="s">
        <v>379</v>
      </c>
      <c r="AN3257" s="90">
        <v>-1</v>
      </c>
      <c r="AQ3257" s="90">
        <v>391</v>
      </c>
      <c r="AR3257" s="90" t="s">
        <v>315</v>
      </c>
      <c r="AS3257" s="90" t="s">
        <v>430</v>
      </c>
      <c r="AT3257" s="90" t="s">
        <v>244</v>
      </c>
      <c r="AU3257" s="90">
        <v>22.5044</v>
      </c>
      <c r="AV3257" s="90">
        <v>104.779449898462</v>
      </c>
      <c r="AW3257" s="90">
        <v>601.99781003475903</v>
      </c>
      <c r="AX3257" s="90">
        <v>0.47882176189999998</v>
      </c>
    </row>
    <row r="3258" spans="1:50" x14ac:dyDescent="0.25">
      <c r="A3258" s="102">
        <v>830000</v>
      </c>
      <c r="B3258" s="102">
        <v>2500000</v>
      </c>
      <c r="C3258" s="102">
        <v>2500000</v>
      </c>
      <c r="D3258" s="90" t="s">
        <v>374</v>
      </c>
      <c r="E3258" s="90" t="s">
        <v>68</v>
      </c>
      <c r="F3258" s="90" t="s">
        <v>375</v>
      </c>
      <c r="G3258" s="90" t="s">
        <v>376</v>
      </c>
      <c r="H3258" s="90">
        <v>0.59</v>
      </c>
      <c r="I3258" s="90">
        <v>0.64</v>
      </c>
      <c r="J3258" s="90" t="s">
        <v>244</v>
      </c>
      <c r="K3258" s="90">
        <v>1.69915212588E-3</v>
      </c>
      <c r="L3258" s="90">
        <v>3766.78379572207</v>
      </c>
      <c r="M3258" s="90">
        <v>11.9731727111058</v>
      </c>
      <c r="N3258" s="90">
        <v>1.57680191788457</v>
      </c>
      <c r="O3258" s="90">
        <v>2.0344241865679999E-2</v>
      </c>
      <c r="P3258" s="90">
        <v>2.6792263308700001E-3</v>
      </c>
      <c r="Q3258" s="90">
        <v>6.4003386942578704</v>
      </c>
      <c r="R3258" s="90">
        <v>1400</v>
      </c>
      <c r="S3258" s="90" t="s">
        <v>324</v>
      </c>
      <c r="T3258" s="90">
        <v>1400</v>
      </c>
      <c r="U3258" s="90" t="s">
        <v>378</v>
      </c>
      <c r="V3258" s="90" t="s">
        <v>244</v>
      </c>
      <c r="Z3258" s="90">
        <v>0</v>
      </c>
      <c r="AA3258" s="90">
        <v>1</v>
      </c>
      <c r="AB3258" s="90">
        <v>2.0344241865679999E-2</v>
      </c>
      <c r="AC3258" s="90">
        <v>2.6792263308700001E-3</v>
      </c>
      <c r="AD3258" s="90">
        <v>6.4003386942590001</v>
      </c>
      <c r="AF3258" s="90">
        <v>-1</v>
      </c>
      <c r="AG3258" s="90">
        <v>-1</v>
      </c>
      <c r="AH3258" s="90">
        <v>-1</v>
      </c>
      <c r="AI3258" s="90">
        <v>-1</v>
      </c>
      <c r="AJ3258" s="90">
        <v>0</v>
      </c>
      <c r="AM3258" s="90" t="s">
        <v>379</v>
      </c>
      <c r="AN3258" s="90">
        <v>-1</v>
      </c>
      <c r="AQ3258" s="90">
        <v>391</v>
      </c>
      <c r="AR3258" s="90" t="s">
        <v>315</v>
      </c>
      <c r="AS3258" s="90" t="s">
        <v>430</v>
      </c>
      <c r="AT3258" s="90" t="s">
        <v>244</v>
      </c>
      <c r="AU3258" s="90">
        <v>22.5044</v>
      </c>
      <c r="AV3258" s="90">
        <v>100.325845589799</v>
      </c>
      <c r="AW3258" s="90">
        <v>6.8762246932816398</v>
      </c>
      <c r="AX3258" s="90">
        <v>5.1908667000000004E-3</v>
      </c>
    </row>
    <row r="3259" spans="1:50" x14ac:dyDescent="0.25">
      <c r="A3259" s="102">
        <v>830000</v>
      </c>
      <c r="B3259" s="102">
        <v>2500000</v>
      </c>
      <c r="C3259" s="102">
        <v>2500000</v>
      </c>
      <c r="D3259" s="90" t="s">
        <v>374</v>
      </c>
      <c r="E3259" s="90" t="s">
        <v>68</v>
      </c>
      <c r="F3259" s="90" t="s">
        <v>375</v>
      </c>
      <c r="G3259" s="90" t="s">
        <v>376</v>
      </c>
      <c r="H3259" s="90">
        <v>0.59</v>
      </c>
      <c r="I3259" s="90">
        <v>0.64</v>
      </c>
      <c r="J3259" s="90" t="s">
        <v>381</v>
      </c>
      <c r="K3259" s="90">
        <v>6.1051900128339998E-2</v>
      </c>
      <c r="L3259" s="90">
        <v>3766.78379572207</v>
      </c>
      <c r="M3259" s="90">
        <v>11.9731727111058</v>
      </c>
      <c r="N3259" s="90">
        <v>1.57680191788457</v>
      </c>
      <c r="O3259" s="90">
        <v>0.73098494457780006</v>
      </c>
      <c r="P3259" s="90">
        <v>9.6266753212860004E-2</v>
      </c>
      <c r="Q3259" s="90">
        <v>229.96930810147299</v>
      </c>
      <c r="R3259" s="90">
        <v>1400</v>
      </c>
      <c r="S3259" s="90" t="s">
        <v>324</v>
      </c>
      <c r="T3259" s="90">
        <v>1400</v>
      </c>
      <c r="U3259" s="90" t="s">
        <v>382</v>
      </c>
      <c r="V3259" s="90" t="s">
        <v>381</v>
      </c>
      <c r="Z3259" s="90">
        <v>0</v>
      </c>
      <c r="AA3259" s="90">
        <v>1</v>
      </c>
      <c r="AB3259" s="90">
        <v>0.73098494457780006</v>
      </c>
      <c r="AC3259" s="90">
        <v>9.6266753212860004E-2</v>
      </c>
      <c r="AD3259" s="90">
        <v>229.96930810147501</v>
      </c>
      <c r="AF3259" s="90">
        <v>-1</v>
      </c>
      <c r="AG3259" s="90">
        <v>-1</v>
      </c>
      <c r="AH3259" s="90">
        <v>-1</v>
      </c>
      <c r="AI3259" s="90">
        <v>-1</v>
      </c>
      <c r="AJ3259" s="90">
        <v>0</v>
      </c>
      <c r="AM3259" s="90" t="s">
        <v>379</v>
      </c>
      <c r="AN3259" s="90">
        <v>-1</v>
      </c>
      <c r="AQ3259" s="90">
        <v>391</v>
      </c>
      <c r="AR3259" s="90" t="s">
        <v>315</v>
      </c>
      <c r="AS3259" s="90" t="s">
        <v>430</v>
      </c>
      <c r="AT3259" s="90" t="s">
        <v>244</v>
      </c>
      <c r="AU3259" s="90">
        <v>22.5044</v>
      </c>
      <c r="AV3259" s="90">
        <v>109.834267520894</v>
      </c>
      <c r="AW3259" s="90">
        <v>247.068274134098</v>
      </c>
      <c r="AX3259" s="90">
        <v>0.18651200979999999</v>
      </c>
    </row>
    <row r="3260" spans="1:50" x14ac:dyDescent="0.25">
      <c r="A3260" s="102">
        <v>830000</v>
      </c>
      <c r="B3260" s="102">
        <v>2500000</v>
      </c>
      <c r="C3260" s="102">
        <v>2500000</v>
      </c>
      <c r="D3260" s="90" t="s">
        <v>374</v>
      </c>
      <c r="E3260" s="90" t="s">
        <v>68</v>
      </c>
      <c r="F3260" s="90" t="s">
        <v>375</v>
      </c>
      <c r="G3260" s="90" t="s">
        <v>376</v>
      </c>
      <c r="H3260" s="90">
        <v>0.59</v>
      </c>
      <c r="I3260" s="90">
        <v>0.64</v>
      </c>
      <c r="J3260" s="90" t="s">
        <v>244</v>
      </c>
      <c r="K3260" s="90">
        <v>5.2942578232900002E-2</v>
      </c>
      <c r="L3260" s="90">
        <v>3766.78379572207</v>
      </c>
      <c r="M3260" s="90">
        <v>11.9731727111058</v>
      </c>
      <c r="N3260" s="90">
        <v>1.57680191788457</v>
      </c>
      <c r="O3260" s="90">
        <v>0.63389063295377002</v>
      </c>
      <c r="P3260" s="90">
        <v>8.3479958895390005E-2</v>
      </c>
      <c r="Q3260" s="90">
        <v>199.42324579144301</v>
      </c>
      <c r="R3260" s="90">
        <v>1410</v>
      </c>
      <c r="S3260" s="90" t="s">
        <v>325</v>
      </c>
      <c r="T3260" s="90">
        <v>1410</v>
      </c>
      <c r="U3260" s="90" t="s">
        <v>378</v>
      </c>
      <c r="V3260" s="90" t="s">
        <v>244</v>
      </c>
      <c r="Z3260" s="90">
        <v>0</v>
      </c>
      <c r="AA3260" s="90">
        <v>1</v>
      </c>
      <c r="AB3260" s="90">
        <v>0.63389063295377002</v>
      </c>
      <c r="AC3260" s="90">
        <v>8.3479958895390005E-2</v>
      </c>
      <c r="AD3260" s="90">
        <v>199.423245791444</v>
      </c>
      <c r="AF3260" s="90">
        <v>-1</v>
      </c>
      <c r="AG3260" s="90">
        <v>-1</v>
      </c>
      <c r="AH3260" s="90">
        <v>-1</v>
      </c>
      <c r="AI3260" s="90">
        <v>-1</v>
      </c>
      <c r="AJ3260" s="90">
        <v>0</v>
      </c>
      <c r="AM3260" s="90" t="s">
        <v>379</v>
      </c>
      <c r="AN3260" s="90">
        <v>-1</v>
      </c>
      <c r="AQ3260" s="90">
        <v>391</v>
      </c>
      <c r="AR3260" s="90" t="s">
        <v>315</v>
      </c>
      <c r="AS3260" s="90" t="s">
        <v>430</v>
      </c>
      <c r="AT3260" s="90" t="s">
        <v>244</v>
      </c>
      <c r="AU3260" s="90">
        <v>22.5044</v>
      </c>
      <c r="AV3260" s="90">
        <v>99.395690505671496</v>
      </c>
      <c r="AW3260" s="90">
        <v>214.25101274023501</v>
      </c>
      <c r="AX3260" s="90">
        <v>0.16173823670000001</v>
      </c>
    </row>
    <row r="3261" spans="1:50" x14ac:dyDescent="0.25">
      <c r="A3261" s="102">
        <v>830000</v>
      </c>
      <c r="B3261" s="102">
        <v>2500000</v>
      </c>
      <c r="C3261" s="102">
        <v>2500000</v>
      </c>
      <c r="D3261" s="90" t="s">
        <v>374</v>
      </c>
      <c r="E3261" s="90" t="s">
        <v>68</v>
      </c>
      <c r="F3261" s="90" t="s">
        <v>375</v>
      </c>
      <c r="G3261" s="90" t="s">
        <v>376</v>
      </c>
      <c r="H3261" s="90">
        <v>0.59</v>
      </c>
      <c r="I3261" s="90">
        <v>0.64</v>
      </c>
      <c r="J3261" s="90" t="s">
        <v>244</v>
      </c>
      <c r="K3261" s="90">
        <v>0.16953606998064999</v>
      </c>
      <c r="L3261" s="90">
        <v>3766.78379572207</v>
      </c>
      <c r="M3261" s="90">
        <v>11.9731727111058</v>
      </c>
      <c r="N3261" s="90">
        <v>1.57680191788457</v>
      </c>
      <c r="O3261" s="90">
        <v>2.0298846466405598</v>
      </c>
      <c r="P3261" s="90">
        <v>0.26732480029611</v>
      </c>
      <c r="Q3261" s="90">
        <v>638.60572119355004</v>
      </c>
      <c r="R3261" s="90">
        <v>1410</v>
      </c>
      <c r="S3261" s="90" t="s">
        <v>325</v>
      </c>
      <c r="T3261" s="90">
        <v>1410</v>
      </c>
      <c r="U3261" s="90" t="s">
        <v>378</v>
      </c>
      <c r="V3261" s="90" t="s">
        <v>244</v>
      </c>
      <c r="Z3261" s="90">
        <v>0</v>
      </c>
      <c r="AA3261" s="90">
        <v>1</v>
      </c>
      <c r="AB3261" s="90">
        <v>2.0298846466405598</v>
      </c>
      <c r="AC3261" s="90">
        <v>0.26732480029611</v>
      </c>
      <c r="AD3261" s="90">
        <v>638.60572119355004</v>
      </c>
      <c r="AF3261" s="90">
        <v>-1</v>
      </c>
      <c r="AG3261" s="90">
        <v>-1</v>
      </c>
      <c r="AH3261" s="90">
        <v>-1</v>
      </c>
      <c r="AI3261" s="90">
        <v>-1</v>
      </c>
      <c r="AJ3261" s="90">
        <v>0</v>
      </c>
      <c r="AM3261" s="90" t="s">
        <v>379</v>
      </c>
      <c r="AN3261" s="90">
        <v>-1</v>
      </c>
      <c r="AQ3261" s="90">
        <v>391</v>
      </c>
      <c r="AR3261" s="90" t="s">
        <v>315</v>
      </c>
      <c r="AS3261" s="90" t="s">
        <v>430</v>
      </c>
      <c r="AT3261" s="90" t="s">
        <v>244</v>
      </c>
      <c r="AU3261" s="90">
        <v>22.5044</v>
      </c>
      <c r="AV3261" s="90">
        <v>120.40905065638501</v>
      </c>
      <c r="AW3261" s="90">
        <v>686.08813362968601</v>
      </c>
      <c r="AX3261" s="90">
        <v>0.5179284032</v>
      </c>
    </row>
    <row r="3262" spans="1:50" x14ac:dyDescent="0.25">
      <c r="A3262" s="102">
        <v>830000</v>
      </c>
      <c r="B3262" s="102">
        <v>2500000</v>
      </c>
      <c r="C3262" s="102">
        <v>2500000</v>
      </c>
      <c r="D3262" s="90" t="s">
        <v>374</v>
      </c>
      <c r="E3262" s="90" t="s">
        <v>68</v>
      </c>
      <c r="F3262" s="90" t="s">
        <v>375</v>
      </c>
      <c r="G3262" s="90" t="s">
        <v>376</v>
      </c>
      <c r="H3262" s="90">
        <v>0.59</v>
      </c>
      <c r="I3262" s="90">
        <v>0.64</v>
      </c>
      <c r="J3262" s="90" t="s">
        <v>244</v>
      </c>
      <c r="K3262" s="90">
        <v>0.33253375308505001</v>
      </c>
      <c r="L3262" s="90">
        <v>3766.78379572207</v>
      </c>
      <c r="M3262" s="90">
        <v>11.9731727111058</v>
      </c>
      <c r="N3262" s="90">
        <v>1.57680191788457</v>
      </c>
      <c r="O3262" s="90">
        <v>3.9814840579596198</v>
      </c>
      <c r="P3262" s="90">
        <v>0.52433985962587004</v>
      </c>
      <c r="Q3262" s="90">
        <v>1252.5827526514299</v>
      </c>
      <c r="R3262" s="90">
        <v>1430</v>
      </c>
      <c r="S3262" s="90" t="s">
        <v>326</v>
      </c>
      <c r="T3262" s="90">
        <v>1430</v>
      </c>
      <c r="U3262" s="90" t="s">
        <v>378</v>
      </c>
      <c r="V3262" s="90" t="s">
        <v>244</v>
      </c>
      <c r="Z3262" s="90">
        <v>0</v>
      </c>
      <c r="AA3262" s="90">
        <v>1</v>
      </c>
      <c r="AB3262" s="90">
        <v>3.9814840579596198</v>
      </c>
      <c r="AC3262" s="90">
        <v>0.52433985962587004</v>
      </c>
      <c r="AD3262" s="90">
        <v>1252.5827526514299</v>
      </c>
      <c r="AF3262" s="90">
        <v>-1</v>
      </c>
      <c r="AG3262" s="90">
        <v>-1</v>
      </c>
      <c r="AH3262" s="90">
        <v>-1</v>
      </c>
      <c r="AI3262" s="90">
        <v>-1</v>
      </c>
      <c r="AJ3262" s="90">
        <v>0</v>
      </c>
      <c r="AM3262" s="90" t="s">
        <v>379</v>
      </c>
      <c r="AN3262" s="90">
        <v>-1</v>
      </c>
      <c r="AQ3262" s="90">
        <v>391</v>
      </c>
      <c r="AR3262" s="90" t="s">
        <v>315</v>
      </c>
      <c r="AS3262" s="90" t="s">
        <v>430</v>
      </c>
      <c r="AT3262" s="90" t="s">
        <v>244</v>
      </c>
      <c r="AU3262" s="90">
        <v>22.5044</v>
      </c>
      <c r="AV3262" s="90">
        <v>149.76511959628201</v>
      </c>
      <c r="AW3262" s="90">
        <v>1345.71635433703</v>
      </c>
      <c r="AX3262" s="90">
        <v>1.0158822000000001</v>
      </c>
    </row>
    <row r="3263" spans="1:50" x14ac:dyDescent="0.25">
      <c r="A3263" s="102">
        <v>830000</v>
      </c>
      <c r="B3263" s="102">
        <v>2500000</v>
      </c>
      <c r="C3263" s="102">
        <v>2500000</v>
      </c>
      <c r="D3263" s="90" t="s">
        <v>374</v>
      </c>
      <c r="E3263" s="90" t="s">
        <v>68</v>
      </c>
      <c r="F3263" s="90" t="s">
        <v>375</v>
      </c>
      <c r="G3263" s="90" t="s">
        <v>376</v>
      </c>
      <c r="H3263" s="90">
        <v>0.59</v>
      </c>
      <c r="I3263" s="90">
        <v>0.64</v>
      </c>
      <c r="J3263" s="90" t="s">
        <v>244</v>
      </c>
      <c r="K3263" s="90">
        <v>9.0318873872100008E-3</v>
      </c>
      <c r="L3263" s="90">
        <v>3763.4586097124202</v>
      </c>
      <c r="M3263" s="90">
        <v>10.956411114181</v>
      </c>
      <c r="N3263" s="90">
        <v>1.9838464758405701</v>
      </c>
      <c r="O3263" s="90">
        <v>9.8957071351249995E-2</v>
      </c>
      <c r="P3263" s="90">
        <v>1.7917877963300001E-2</v>
      </c>
      <c r="Q3263" s="90">
        <v>33.991134349348499</v>
      </c>
      <c r="R3263" s="90">
        <v>1400</v>
      </c>
      <c r="S3263" s="90" t="s">
        <v>324</v>
      </c>
      <c r="T3263" s="90">
        <v>1400</v>
      </c>
      <c r="U3263" s="90" t="s">
        <v>378</v>
      </c>
      <c r="V3263" s="90" t="s">
        <v>244</v>
      </c>
      <c r="Z3263" s="90">
        <v>0</v>
      </c>
      <c r="AA3263" s="90">
        <v>1</v>
      </c>
      <c r="AB3263" s="90">
        <v>9.8957071351249995E-2</v>
      </c>
      <c r="AC3263" s="90">
        <v>1.7917877963300001E-2</v>
      </c>
      <c r="AD3263" s="90">
        <v>33.991134349347398</v>
      </c>
      <c r="AF3263" s="90">
        <v>-1</v>
      </c>
      <c r="AG3263" s="90">
        <v>-1</v>
      </c>
      <c r="AH3263" s="90">
        <v>-1</v>
      </c>
      <c r="AI3263" s="90">
        <v>-1</v>
      </c>
      <c r="AJ3263" s="90">
        <v>0</v>
      </c>
      <c r="AM3263" s="90" t="s">
        <v>379</v>
      </c>
      <c r="AN3263" s="90">
        <v>-1</v>
      </c>
      <c r="AQ3263" s="90">
        <v>391</v>
      </c>
      <c r="AR3263" s="90" t="s">
        <v>315</v>
      </c>
      <c r="AS3263" s="90" t="s">
        <v>430</v>
      </c>
      <c r="AT3263" s="90" t="s">
        <v>244</v>
      </c>
      <c r="AU3263" s="90">
        <v>22.5044</v>
      </c>
      <c r="AV3263" s="90">
        <v>101.310807514071</v>
      </c>
      <c r="AW3263" s="90">
        <v>36.550751479323203</v>
      </c>
      <c r="AX3263" s="90">
        <v>2.7567830000000002E-2</v>
      </c>
    </row>
    <row r="3264" spans="1:50" x14ac:dyDescent="0.25">
      <c r="A3264" s="102">
        <v>830000</v>
      </c>
      <c r="B3264" s="102">
        <v>2500000</v>
      </c>
      <c r="C3264" s="102">
        <v>2500000</v>
      </c>
      <c r="D3264" s="90" t="s">
        <v>374</v>
      </c>
      <c r="E3264" s="90" t="s">
        <v>68</v>
      </c>
      <c r="F3264" s="90" t="s">
        <v>375</v>
      </c>
      <c r="G3264" s="90" t="s">
        <v>376</v>
      </c>
      <c r="H3264" s="90">
        <v>0.59</v>
      </c>
      <c r="I3264" s="90">
        <v>0.64</v>
      </c>
      <c r="J3264" s="90" t="s">
        <v>381</v>
      </c>
      <c r="K3264" s="90">
        <v>4.2625507167620001E-2</v>
      </c>
      <c r="L3264" s="90">
        <v>3763.4586097124202</v>
      </c>
      <c r="M3264" s="90">
        <v>10.956411114181</v>
      </c>
      <c r="N3264" s="90">
        <v>1.9838464758405701</v>
      </c>
      <c r="O3264" s="90">
        <v>0.46702258047890999</v>
      </c>
      <c r="P3264" s="90">
        <v>8.4562462175400005E-2</v>
      </c>
      <c r="Q3264" s="90">
        <v>160.41933194333799</v>
      </c>
      <c r="R3264" s="90">
        <v>1400</v>
      </c>
      <c r="S3264" s="90" t="s">
        <v>324</v>
      </c>
      <c r="T3264" s="90">
        <v>1400</v>
      </c>
      <c r="U3264" s="90" t="s">
        <v>382</v>
      </c>
      <c r="V3264" s="90" t="s">
        <v>381</v>
      </c>
      <c r="Z3264" s="90">
        <v>0</v>
      </c>
      <c r="AA3264" s="90">
        <v>1</v>
      </c>
      <c r="AB3264" s="90">
        <v>0.46702258047890999</v>
      </c>
      <c r="AC3264" s="90">
        <v>8.4562462175400005E-2</v>
      </c>
      <c r="AD3264" s="90">
        <v>160.41933194333799</v>
      </c>
      <c r="AF3264" s="90">
        <v>-1</v>
      </c>
      <c r="AG3264" s="90">
        <v>-1</v>
      </c>
      <c r="AH3264" s="90">
        <v>-1</v>
      </c>
      <c r="AI3264" s="90">
        <v>-1</v>
      </c>
      <c r="AJ3264" s="90">
        <v>0</v>
      </c>
      <c r="AM3264" s="90" t="s">
        <v>379</v>
      </c>
      <c r="AN3264" s="90">
        <v>-1</v>
      </c>
      <c r="AQ3264" s="90">
        <v>391</v>
      </c>
      <c r="AR3264" s="90" t="s">
        <v>315</v>
      </c>
      <c r="AS3264" s="90" t="s">
        <v>430</v>
      </c>
      <c r="AT3264" s="90" t="s">
        <v>244</v>
      </c>
      <c r="AU3264" s="90">
        <v>22.5044</v>
      </c>
      <c r="AV3264" s="90">
        <v>107.072249387982</v>
      </c>
      <c r="AW3264" s="90">
        <v>172.49930743934101</v>
      </c>
      <c r="AX3264" s="90">
        <v>0.13010489210000001</v>
      </c>
    </row>
    <row r="3265" spans="1:50" x14ac:dyDescent="0.25">
      <c r="A3265" s="102">
        <v>830000</v>
      </c>
      <c r="B3265" s="102">
        <v>2500000</v>
      </c>
      <c r="C3265" s="102">
        <v>2500000</v>
      </c>
      <c r="D3265" s="90" t="s">
        <v>374</v>
      </c>
      <c r="E3265" s="90" t="s">
        <v>68</v>
      </c>
      <c r="F3265" s="90" t="s">
        <v>375</v>
      </c>
      <c r="G3265" s="90" t="s">
        <v>376</v>
      </c>
      <c r="H3265" s="90">
        <v>0.59</v>
      </c>
      <c r="I3265" s="90">
        <v>0.64</v>
      </c>
      <c r="J3265" s="90" t="s">
        <v>244</v>
      </c>
      <c r="K3265" s="90">
        <v>5.3207202280699997E-3</v>
      </c>
      <c r="L3265" s="90">
        <v>3763.4586097124202</v>
      </c>
      <c r="M3265" s="90">
        <v>10.956411114181</v>
      </c>
      <c r="N3265" s="90">
        <v>1.9838464758405701</v>
      </c>
      <c r="O3265" s="90">
        <v>5.8295998242319999E-2</v>
      </c>
      <c r="P3265" s="90">
        <v>1.0555492073399999E-2</v>
      </c>
      <c r="Q3265" s="90">
        <v>20.024310352219899</v>
      </c>
      <c r="R3265" s="90">
        <v>1430</v>
      </c>
      <c r="S3265" s="90" t="s">
        <v>326</v>
      </c>
      <c r="T3265" s="90">
        <v>1430</v>
      </c>
      <c r="U3265" s="90" t="s">
        <v>378</v>
      </c>
      <c r="V3265" s="90" t="s">
        <v>244</v>
      </c>
      <c r="Z3265" s="90">
        <v>0</v>
      </c>
      <c r="AA3265" s="90">
        <v>1</v>
      </c>
      <c r="AB3265" s="90">
        <v>5.8295998242319999E-2</v>
      </c>
      <c r="AC3265" s="90">
        <v>1.0555492073399999E-2</v>
      </c>
      <c r="AD3265" s="90">
        <v>20.024310352221502</v>
      </c>
      <c r="AF3265" s="90">
        <v>-1</v>
      </c>
      <c r="AG3265" s="90">
        <v>-1</v>
      </c>
      <c r="AH3265" s="90">
        <v>-1</v>
      </c>
      <c r="AI3265" s="90">
        <v>-1</v>
      </c>
      <c r="AJ3265" s="90">
        <v>0</v>
      </c>
      <c r="AM3265" s="90" t="s">
        <v>379</v>
      </c>
      <c r="AN3265" s="90">
        <v>-1</v>
      </c>
      <c r="AQ3265" s="90">
        <v>391</v>
      </c>
      <c r="AR3265" s="90" t="s">
        <v>315</v>
      </c>
      <c r="AS3265" s="90" t="s">
        <v>430</v>
      </c>
      <c r="AT3265" s="90" t="s">
        <v>244</v>
      </c>
      <c r="AU3265" s="90">
        <v>22.5044</v>
      </c>
      <c r="AV3265" s="90">
        <v>62.744234998410803</v>
      </c>
      <c r="AW3265" s="90">
        <v>21.532190826780699</v>
      </c>
      <c r="AX3265" s="90">
        <v>1.6240316599999999E-2</v>
      </c>
    </row>
    <row r="3266" spans="1:50" x14ac:dyDescent="0.25">
      <c r="A3266" s="102">
        <v>830000</v>
      </c>
      <c r="B3266" s="102">
        <v>2500000</v>
      </c>
      <c r="C3266" s="102">
        <v>2500000</v>
      </c>
      <c r="D3266" s="90" t="s">
        <v>374</v>
      </c>
      <c r="E3266" s="90" t="s">
        <v>68</v>
      </c>
      <c r="F3266" s="90" t="s">
        <v>375</v>
      </c>
      <c r="G3266" s="90" t="s">
        <v>376</v>
      </c>
      <c r="H3266" s="90">
        <v>0.59</v>
      </c>
      <c r="I3266" s="90">
        <v>0.64</v>
      </c>
      <c r="J3266" s="90" t="s">
        <v>244</v>
      </c>
      <c r="K3266" s="90">
        <v>5.4093715633269999E-2</v>
      </c>
      <c r="L3266" s="90">
        <v>3763.4586097124202</v>
      </c>
      <c r="M3266" s="90">
        <v>10.956411114181</v>
      </c>
      <c r="N3266" s="90">
        <v>1.9838464758405701</v>
      </c>
      <c r="O3266" s="90">
        <v>0.59267298717172001</v>
      </c>
      <c r="P3266" s="90">
        <v>0.10731362712417999</v>
      </c>
      <c r="Q3266" s="90">
        <v>203.57945983137299</v>
      </c>
      <c r="R3266" s="90">
        <v>1410</v>
      </c>
      <c r="S3266" s="90" t="s">
        <v>325</v>
      </c>
      <c r="T3266" s="90">
        <v>1410</v>
      </c>
      <c r="U3266" s="90" t="s">
        <v>378</v>
      </c>
      <c r="V3266" s="90" t="s">
        <v>244</v>
      </c>
      <c r="Z3266" s="90">
        <v>0</v>
      </c>
      <c r="AA3266" s="90">
        <v>1</v>
      </c>
      <c r="AB3266" s="90">
        <v>0.59267298717172001</v>
      </c>
      <c r="AC3266" s="90">
        <v>0.10731362712417999</v>
      </c>
      <c r="AD3266" s="90">
        <v>203.57945983137401</v>
      </c>
      <c r="AF3266" s="90">
        <v>-1</v>
      </c>
      <c r="AG3266" s="90">
        <v>-1</v>
      </c>
      <c r="AH3266" s="90">
        <v>-1</v>
      </c>
      <c r="AI3266" s="90">
        <v>-1</v>
      </c>
      <c r="AJ3266" s="90">
        <v>0</v>
      </c>
      <c r="AM3266" s="90" t="s">
        <v>379</v>
      </c>
      <c r="AN3266" s="90">
        <v>-1</v>
      </c>
      <c r="AQ3266" s="90">
        <v>391</v>
      </c>
      <c r="AR3266" s="90" t="s">
        <v>315</v>
      </c>
      <c r="AS3266" s="90" t="s">
        <v>430</v>
      </c>
      <c r="AT3266" s="90" t="s">
        <v>244</v>
      </c>
      <c r="AU3266" s="90">
        <v>22.5044</v>
      </c>
      <c r="AV3266" s="90">
        <v>131.90282997348601</v>
      </c>
      <c r="AW3266" s="90">
        <v>218.90950052198701</v>
      </c>
      <c r="AX3266" s="90">
        <v>0.16510905100000001</v>
      </c>
    </row>
    <row r="3267" spans="1:50" x14ac:dyDescent="0.25">
      <c r="A3267" s="102">
        <v>830000</v>
      </c>
      <c r="B3267" s="102">
        <v>2500000</v>
      </c>
      <c r="C3267" s="102">
        <v>2500000</v>
      </c>
      <c r="D3267" s="90" t="s">
        <v>374</v>
      </c>
      <c r="E3267" s="90" t="s">
        <v>68</v>
      </c>
      <c r="F3267" s="90" t="s">
        <v>375</v>
      </c>
      <c r="G3267" s="90" t="s">
        <v>376</v>
      </c>
      <c r="H3267" s="90">
        <v>0.59</v>
      </c>
      <c r="I3267" s="90">
        <v>0.64</v>
      </c>
      <c r="J3267" s="90" t="s">
        <v>244</v>
      </c>
      <c r="K3267" s="90">
        <v>0.50669162325173001</v>
      </c>
      <c r="L3267" s="90">
        <v>3763.4586097124202</v>
      </c>
      <c r="M3267" s="90">
        <v>10.956411114181</v>
      </c>
      <c r="N3267" s="90">
        <v>1.9838464758405701</v>
      </c>
      <c r="O3267" s="90">
        <v>5.5515217324577204</v>
      </c>
      <c r="P3267" s="90">
        <v>1.0051983911258899</v>
      </c>
      <c r="Q3267" s="90">
        <v>1906.9129519958999</v>
      </c>
      <c r="R3267" s="90">
        <v>1300</v>
      </c>
      <c r="S3267" s="90" t="s">
        <v>387</v>
      </c>
      <c r="T3267" s="90">
        <v>1300</v>
      </c>
      <c r="U3267" s="90" t="s">
        <v>378</v>
      </c>
      <c r="V3267" s="90" t="s">
        <v>244</v>
      </c>
      <c r="Z3267" s="90">
        <v>0</v>
      </c>
      <c r="AA3267" s="90">
        <v>1</v>
      </c>
      <c r="AB3267" s="90">
        <v>5.5515217324577204</v>
      </c>
      <c r="AC3267" s="90">
        <v>1.0051983911258899</v>
      </c>
      <c r="AD3267" s="90">
        <v>1906.9129519958999</v>
      </c>
      <c r="AF3267" s="90">
        <v>-1</v>
      </c>
      <c r="AG3267" s="90">
        <v>-1</v>
      </c>
      <c r="AH3267" s="90">
        <v>-1</v>
      </c>
      <c r="AI3267" s="90">
        <v>-1</v>
      </c>
      <c r="AJ3267" s="90">
        <v>0</v>
      </c>
      <c r="AM3267" s="90" t="s">
        <v>379</v>
      </c>
      <c r="AN3267" s="90">
        <v>-1</v>
      </c>
      <c r="AQ3267" s="90">
        <v>391</v>
      </c>
      <c r="AR3267" s="90" t="s">
        <v>315</v>
      </c>
      <c r="AS3267" s="90" t="s">
        <v>430</v>
      </c>
      <c r="AT3267" s="90" t="s">
        <v>244</v>
      </c>
      <c r="AU3267" s="90">
        <v>22.5044</v>
      </c>
      <c r="AV3267" s="90">
        <v>181.139310837127</v>
      </c>
      <c r="AW3267" s="90">
        <v>2050.5082497325602</v>
      </c>
      <c r="AX3267" s="90">
        <v>1.5465636269</v>
      </c>
    </row>
    <row r="3268" spans="1:50" x14ac:dyDescent="0.25">
      <c r="A3268" s="102">
        <v>840000</v>
      </c>
      <c r="B3268" s="102">
        <v>2400000</v>
      </c>
      <c r="C3268" s="102">
        <v>2400000</v>
      </c>
      <c r="D3268" s="90" t="s">
        <v>374</v>
      </c>
      <c r="E3268" s="90" t="s">
        <v>68</v>
      </c>
      <c r="F3268" s="90" t="s">
        <v>375</v>
      </c>
      <c r="G3268" s="90" t="s">
        <v>376</v>
      </c>
      <c r="H3268" s="90">
        <v>0.59</v>
      </c>
      <c r="I3268" s="90">
        <v>0.64</v>
      </c>
      <c r="J3268" s="90" t="s">
        <v>244</v>
      </c>
      <c r="K3268" s="90">
        <v>1.1796165394319999E-2</v>
      </c>
      <c r="L3268" s="90">
        <v>3294.8136544918402</v>
      </c>
      <c r="M3268" s="90">
        <v>9.87096039206358</v>
      </c>
      <c r="N3268" s="90">
        <v>1.31625280227494</v>
      </c>
      <c r="O3268" s="90">
        <v>0.11643948138564</v>
      </c>
      <c r="P3268" s="90">
        <v>1.552673575638E-2</v>
      </c>
      <c r="Q3268" s="90">
        <v>38.866166811876099</v>
      </c>
      <c r="R3268" s="90">
        <v>1400</v>
      </c>
      <c r="S3268" s="90" t="s">
        <v>324</v>
      </c>
      <c r="T3268" s="90">
        <v>1400</v>
      </c>
      <c r="U3268" s="90" t="s">
        <v>378</v>
      </c>
      <c r="V3268" s="90" t="s">
        <v>244</v>
      </c>
      <c r="Z3268" s="90">
        <v>0</v>
      </c>
      <c r="AA3268" s="90">
        <v>1</v>
      </c>
      <c r="AB3268" s="90">
        <v>0.11643948138564</v>
      </c>
      <c r="AC3268" s="90">
        <v>1.552673575638E-2</v>
      </c>
      <c r="AD3268" s="90">
        <v>1348.89109439094</v>
      </c>
      <c r="AF3268" s="90">
        <v>-1</v>
      </c>
      <c r="AG3268" s="90">
        <v>-1</v>
      </c>
      <c r="AH3268" s="90">
        <v>-1</v>
      </c>
      <c r="AI3268" s="90">
        <v>-1</v>
      </c>
      <c r="AJ3268" s="90">
        <v>0</v>
      </c>
      <c r="AM3268" s="90" t="s">
        <v>379</v>
      </c>
      <c r="AN3268" s="90">
        <v>-1</v>
      </c>
      <c r="AQ3268" s="90">
        <v>391</v>
      </c>
      <c r="AR3268" s="90" t="s">
        <v>315</v>
      </c>
      <c r="AS3268" s="90" t="s">
        <v>430</v>
      </c>
      <c r="AT3268" s="90" t="s">
        <v>244</v>
      </c>
      <c r="AU3268" s="90">
        <v>22.5044</v>
      </c>
      <c r="AV3268" s="90">
        <v>30.834065574064802</v>
      </c>
      <c r="AW3268" s="90">
        <v>47.737387685727498</v>
      </c>
      <c r="AX3268" s="90">
        <v>1.0939911551999999</v>
      </c>
    </row>
    <row r="3269" spans="1:50" x14ac:dyDescent="0.25">
      <c r="A3269" s="102">
        <v>840000</v>
      </c>
      <c r="B3269" s="102">
        <v>2400000</v>
      </c>
      <c r="C3269" s="102">
        <v>2400000</v>
      </c>
      <c r="D3269" s="90" t="s">
        <v>374</v>
      </c>
      <c r="E3269" s="90" t="s">
        <v>68</v>
      </c>
      <c r="F3269" s="90" t="s">
        <v>375</v>
      </c>
      <c r="G3269" s="90" t="s">
        <v>376</v>
      </c>
      <c r="H3269" s="90">
        <v>0.59</v>
      </c>
      <c r="I3269" s="90">
        <v>0.64</v>
      </c>
      <c r="J3269" s="90" t="s">
        <v>244</v>
      </c>
      <c r="K3269" s="90">
        <v>1.9612082169200001E-3</v>
      </c>
      <c r="L3269" s="90">
        <v>3294.8136544918402</v>
      </c>
      <c r="M3269" s="90">
        <v>9.87096039206358</v>
      </c>
      <c r="N3269" s="90">
        <v>1.31625280227494</v>
      </c>
      <c r="O3269" s="90">
        <v>1.935900862981E-2</v>
      </c>
      <c r="P3269" s="90">
        <v>2.5814458113599999E-3</v>
      </c>
      <c r="Q3269" s="90">
        <v>6.46181561241292</v>
      </c>
      <c r="R3269" s="90">
        <v>1420</v>
      </c>
      <c r="S3269" s="90" t="s">
        <v>327</v>
      </c>
      <c r="T3269" s="90">
        <v>1420</v>
      </c>
      <c r="U3269" s="90" t="s">
        <v>378</v>
      </c>
      <c r="V3269" s="90" t="s">
        <v>244</v>
      </c>
      <c r="Z3269" s="90">
        <v>0</v>
      </c>
      <c r="AA3269" s="90">
        <v>1</v>
      </c>
      <c r="AB3269" s="90">
        <v>1.935900862981E-2</v>
      </c>
      <c r="AC3269" s="90">
        <v>2.5814458113599999E-3</v>
      </c>
      <c r="AD3269" s="90">
        <v>70.232721463815906</v>
      </c>
      <c r="AF3269" s="90">
        <v>-1</v>
      </c>
      <c r="AG3269" s="90">
        <v>-1</v>
      </c>
      <c r="AH3269" s="90">
        <v>-1</v>
      </c>
      <c r="AI3269" s="90">
        <v>-1</v>
      </c>
      <c r="AJ3269" s="90">
        <v>0</v>
      </c>
      <c r="AM3269" s="90" t="s">
        <v>379</v>
      </c>
      <c r="AN3269" s="90">
        <v>-1</v>
      </c>
      <c r="AQ3269" s="90">
        <v>391</v>
      </c>
      <c r="AR3269" s="90" t="s">
        <v>315</v>
      </c>
      <c r="AS3269" s="90" t="s">
        <v>430</v>
      </c>
      <c r="AT3269" s="90" t="s">
        <v>244</v>
      </c>
      <c r="AU3269" s="90">
        <v>22.5044</v>
      </c>
      <c r="AV3269" s="90">
        <v>13.728152269641299</v>
      </c>
      <c r="AW3269" s="90">
        <v>7.9367280683115</v>
      </c>
      <c r="AX3269" s="90">
        <v>5.6960844699999999E-2</v>
      </c>
    </row>
    <row r="3270" spans="1:50" x14ac:dyDescent="0.25">
      <c r="A3270" s="102">
        <v>840000</v>
      </c>
      <c r="B3270" s="102">
        <v>2400000</v>
      </c>
      <c r="C3270" s="102">
        <v>2400000</v>
      </c>
      <c r="D3270" s="90" t="s">
        <v>374</v>
      </c>
      <c r="E3270" s="90" t="s">
        <v>68</v>
      </c>
      <c r="F3270" s="90" t="s">
        <v>375</v>
      </c>
      <c r="G3270" s="90" t="s">
        <v>376</v>
      </c>
      <c r="H3270" s="90">
        <v>0.59</v>
      </c>
      <c r="I3270" s="90">
        <v>0.64</v>
      </c>
      <c r="J3270" s="90" t="s">
        <v>244</v>
      </c>
      <c r="K3270" s="90">
        <v>5.8826669216440003E-2</v>
      </c>
      <c r="L3270" s="90">
        <v>3786.0833759532502</v>
      </c>
      <c r="M3270" s="90">
        <v>11.6314418889924</v>
      </c>
      <c r="N3270" s="90">
        <v>1.5356567060494699</v>
      </c>
      <c r="O3270" s="90">
        <v>0.68423898451405996</v>
      </c>
      <c r="P3270" s="90">
        <v>9.0337569076780005E-2</v>
      </c>
      <c r="Q3270" s="90">
        <v>222.72267438308299</v>
      </c>
      <c r="R3270" s="90">
        <v>1400</v>
      </c>
      <c r="S3270" s="90" t="s">
        <v>324</v>
      </c>
      <c r="T3270" s="90">
        <v>1400</v>
      </c>
      <c r="U3270" s="90" t="s">
        <v>378</v>
      </c>
      <c r="V3270" s="90" t="s">
        <v>244</v>
      </c>
      <c r="Z3270" s="90">
        <v>0</v>
      </c>
      <c r="AA3270" s="90">
        <v>1</v>
      </c>
      <c r="AB3270" s="90">
        <v>0.68423898451405996</v>
      </c>
      <c r="AC3270" s="90">
        <v>9.0337569076780005E-2</v>
      </c>
      <c r="AD3270" s="90">
        <v>710.91344454100602</v>
      </c>
      <c r="AF3270" s="90">
        <v>-1</v>
      </c>
      <c r="AG3270" s="90">
        <v>-1</v>
      </c>
      <c r="AH3270" s="90">
        <v>-1</v>
      </c>
      <c r="AI3270" s="90">
        <v>-1</v>
      </c>
      <c r="AJ3270" s="90">
        <v>0</v>
      </c>
      <c r="AM3270" s="90" t="s">
        <v>379</v>
      </c>
      <c r="AN3270" s="90">
        <v>-1</v>
      </c>
      <c r="AQ3270" s="90">
        <v>391</v>
      </c>
      <c r="AR3270" s="90" t="s">
        <v>315</v>
      </c>
      <c r="AS3270" s="90" t="s">
        <v>430</v>
      </c>
      <c r="AT3270" s="90" t="s">
        <v>244</v>
      </c>
      <c r="AU3270" s="90">
        <v>22.5044</v>
      </c>
      <c r="AV3270" s="90">
        <v>93.953562605686898</v>
      </c>
      <c r="AW3270" s="90">
        <v>238.06308412696899</v>
      </c>
      <c r="AX3270" s="90">
        <v>0.57657213669999996</v>
      </c>
    </row>
    <row r="3271" spans="1:50" x14ac:dyDescent="0.25">
      <c r="A3271" s="102">
        <v>840000</v>
      </c>
      <c r="B3271" s="102">
        <v>2400000</v>
      </c>
      <c r="C3271" s="102">
        <v>2400000</v>
      </c>
      <c r="D3271" s="90" t="s">
        <v>374</v>
      </c>
      <c r="E3271" s="90" t="s">
        <v>68</v>
      </c>
      <c r="F3271" s="90" t="s">
        <v>375</v>
      </c>
      <c r="G3271" s="90" t="s">
        <v>376</v>
      </c>
      <c r="H3271" s="90">
        <v>0.59</v>
      </c>
      <c r="I3271" s="90">
        <v>0.64</v>
      </c>
      <c r="J3271" s="90" t="s">
        <v>244</v>
      </c>
      <c r="K3271" s="90">
        <v>0.29758293009592002</v>
      </c>
      <c r="L3271" s="90">
        <v>3786.0833759532502</v>
      </c>
      <c r="M3271" s="90">
        <v>11.6314418889924</v>
      </c>
      <c r="N3271" s="90">
        <v>1.5356567060494699</v>
      </c>
      <c r="O3271" s="90">
        <v>3.4613185585669002</v>
      </c>
      <c r="P3271" s="90">
        <v>0.45698522220766002</v>
      </c>
      <c r="Q3271" s="90">
        <v>1126.6737846036499</v>
      </c>
      <c r="R3271" s="90">
        <v>1410</v>
      </c>
      <c r="S3271" s="90" t="s">
        <v>325</v>
      </c>
      <c r="T3271" s="90">
        <v>1410</v>
      </c>
      <c r="U3271" s="90" t="s">
        <v>378</v>
      </c>
      <c r="V3271" s="90" t="s">
        <v>244</v>
      </c>
      <c r="Z3271" s="90">
        <v>0</v>
      </c>
      <c r="AA3271" s="90">
        <v>1</v>
      </c>
      <c r="AB3271" s="90">
        <v>3.4613185585669002</v>
      </c>
      <c r="AC3271" s="90">
        <v>0.45698522220766002</v>
      </c>
      <c r="AD3271" s="90">
        <v>1416.3844664245401</v>
      </c>
      <c r="AF3271" s="90">
        <v>-1</v>
      </c>
      <c r="AG3271" s="90">
        <v>-1</v>
      </c>
      <c r="AH3271" s="90">
        <v>-1</v>
      </c>
      <c r="AI3271" s="90">
        <v>-1</v>
      </c>
      <c r="AJ3271" s="90">
        <v>0</v>
      </c>
      <c r="AM3271" s="90" t="s">
        <v>379</v>
      </c>
      <c r="AN3271" s="90">
        <v>-1</v>
      </c>
      <c r="AQ3271" s="90">
        <v>391</v>
      </c>
      <c r="AR3271" s="90" t="s">
        <v>315</v>
      </c>
      <c r="AS3271" s="90" t="s">
        <v>430</v>
      </c>
      <c r="AT3271" s="90" t="s">
        <v>244</v>
      </c>
      <c r="AU3271" s="90">
        <v>22.5044</v>
      </c>
      <c r="AV3271" s="90">
        <v>140.69501002105301</v>
      </c>
      <c r="AW3271" s="90">
        <v>1204.2753918553101</v>
      </c>
      <c r="AX3271" s="90">
        <v>1.1487303053</v>
      </c>
    </row>
    <row r="3272" spans="1:50" x14ac:dyDescent="0.25">
      <c r="A3272" s="102">
        <v>840000</v>
      </c>
      <c r="B3272" s="102">
        <v>2400000</v>
      </c>
      <c r="C3272" s="102">
        <v>2400000</v>
      </c>
      <c r="D3272" s="90" t="s">
        <v>374</v>
      </c>
      <c r="E3272" s="90" t="s">
        <v>68</v>
      </c>
      <c r="F3272" s="90" t="s">
        <v>375</v>
      </c>
      <c r="G3272" s="90" t="s">
        <v>376</v>
      </c>
      <c r="H3272" s="90">
        <v>0.59</v>
      </c>
      <c r="I3272" s="90">
        <v>0.64</v>
      </c>
      <c r="J3272" s="90" t="s">
        <v>244</v>
      </c>
      <c r="K3272" s="90">
        <v>3.2386791815590003E-2</v>
      </c>
      <c r="L3272" s="90">
        <v>3743.6912227973398</v>
      </c>
      <c r="M3272" s="90">
        <v>10.2396116376063</v>
      </c>
      <c r="N3272" s="90">
        <v>1.4718028344476599</v>
      </c>
      <c r="O3272" s="90">
        <v>0.33162817037970999</v>
      </c>
      <c r="P3272" s="90">
        <v>4.7666971992859998E-2</v>
      </c>
      <c r="Q3272" s="90">
        <v>121.246148254611</v>
      </c>
      <c r="R3272" s="90">
        <v>1300</v>
      </c>
      <c r="S3272" s="90" t="s">
        <v>387</v>
      </c>
      <c r="T3272" s="90">
        <v>1300</v>
      </c>
      <c r="U3272" s="90" t="s">
        <v>378</v>
      </c>
      <c r="V3272" s="90" t="s">
        <v>244</v>
      </c>
      <c r="Z3272" s="90">
        <v>0</v>
      </c>
      <c r="AA3272" s="90">
        <v>1</v>
      </c>
      <c r="AB3272" s="90">
        <v>0.33162817037970999</v>
      </c>
      <c r="AC3272" s="90">
        <v>4.7666971992859998E-2</v>
      </c>
      <c r="AD3272" s="90">
        <v>134.65168977424401</v>
      </c>
      <c r="AF3272" s="90">
        <v>-1</v>
      </c>
      <c r="AG3272" s="90">
        <v>-1</v>
      </c>
      <c r="AH3272" s="90">
        <v>-1</v>
      </c>
      <c r="AI3272" s="90">
        <v>-1</v>
      </c>
      <c r="AJ3272" s="90">
        <v>0</v>
      </c>
      <c r="AM3272" s="90" t="s">
        <v>379</v>
      </c>
      <c r="AN3272" s="90">
        <v>-1</v>
      </c>
      <c r="AQ3272" s="90">
        <v>391</v>
      </c>
      <c r="AR3272" s="90" t="s">
        <v>315</v>
      </c>
      <c r="AS3272" s="90" t="s">
        <v>430</v>
      </c>
      <c r="AT3272" s="90" t="s">
        <v>244</v>
      </c>
      <c r="AU3272" s="90">
        <v>22.5044</v>
      </c>
      <c r="AV3272" s="90">
        <v>46.033265036855703</v>
      </c>
      <c r="AW3272" s="90">
        <v>131.06469645987499</v>
      </c>
      <c r="AX3272" s="90">
        <v>0.10920656099999999</v>
      </c>
    </row>
    <row r="3273" spans="1:50" x14ac:dyDescent="0.25">
      <c r="A3273" s="102">
        <v>840000</v>
      </c>
      <c r="B3273" s="102">
        <v>2400000</v>
      </c>
      <c r="C3273" s="102">
        <v>2400000</v>
      </c>
      <c r="D3273" s="90" t="s">
        <v>374</v>
      </c>
      <c r="E3273" s="90" t="s">
        <v>68</v>
      </c>
      <c r="F3273" s="90" t="s">
        <v>375</v>
      </c>
      <c r="G3273" s="90" t="s">
        <v>376</v>
      </c>
      <c r="H3273" s="90">
        <v>0.59</v>
      </c>
      <c r="I3273" s="90">
        <v>0.64</v>
      </c>
      <c r="J3273" s="90" t="s">
        <v>244</v>
      </c>
      <c r="K3273" s="90">
        <v>9.26181668734E-3</v>
      </c>
      <c r="L3273" s="90">
        <v>3743.6912227973398</v>
      </c>
      <c r="M3273" s="90">
        <v>10.2396116376063</v>
      </c>
      <c r="N3273" s="90">
        <v>1.4718028344476599</v>
      </c>
      <c r="O3273" s="90">
        <v>9.4837405937059999E-2</v>
      </c>
      <c r="P3273" s="90">
        <v>1.363156805256E-2</v>
      </c>
      <c r="Q3273" s="90">
        <v>34.673381839552697</v>
      </c>
      <c r="R3273" s="90">
        <v>1400</v>
      </c>
      <c r="S3273" s="90" t="s">
        <v>324</v>
      </c>
      <c r="T3273" s="90">
        <v>1400</v>
      </c>
      <c r="U3273" s="90" t="s">
        <v>378</v>
      </c>
      <c r="V3273" s="90" t="s">
        <v>244</v>
      </c>
      <c r="Z3273" s="90">
        <v>0</v>
      </c>
      <c r="AA3273" s="90">
        <v>1</v>
      </c>
      <c r="AB3273" s="90">
        <v>9.4837405937059999E-2</v>
      </c>
      <c r="AC3273" s="90">
        <v>1.363156805256E-2</v>
      </c>
      <c r="AD3273" s="90">
        <v>287.76371524380602</v>
      </c>
      <c r="AF3273" s="90">
        <v>-1</v>
      </c>
      <c r="AG3273" s="90">
        <v>-1</v>
      </c>
      <c r="AH3273" s="90">
        <v>-1</v>
      </c>
      <c r="AI3273" s="90">
        <v>-1</v>
      </c>
      <c r="AJ3273" s="90">
        <v>0</v>
      </c>
      <c r="AM3273" s="90" t="s">
        <v>379</v>
      </c>
      <c r="AN3273" s="90">
        <v>-1</v>
      </c>
      <c r="AQ3273" s="90">
        <v>391</v>
      </c>
      <c r="AR3273" s="90" t="s">
        <v>315</v>
      </c>
      <c r="AS3273" s="90" t="s">
        <v>430</v>
      </c>
      <c r="AT3273" s="90" t="s">
        <v>244</v>
      </c>
      <c r="AU3273" s="90">
        <v>22.5044</v>
      </c>
      <c r="AV3273" s="90">
        <v>27.9515124888458</v>
      </c>
      <c r="AW3273" s="90">
        <v>37.481242344252699</v>
      </c>
      <c r="AX3273" s="90">
        <v>0.2333850083</v>
      </c>
    </row>
    <row r="3274" spans="1:50" x14ac:dyDescent="0.25">
      <c r="A3274" s="102">
        <v>840000</v>
      </c>
      <c r="B3274" s="102">
        <v>2400000</v>
      </c>
      <c r="C3274" s="102">
        <v>2400000</v>
      </c>
      <c r="D3274" s="90" t="s">
        <v>374</v>
      </c>
      <c r="E3274" s="90" t="s">
        <v>68</v>
      </c>
      <c r="F3274" s="90" t="s">
        <v>375</v>
      </c>
      <c r="G3274" s="90" t="s">
        <v>376</v>
      </c>
      <c r="H3274" s="90">
        <v>0.59</v>
      </c>
      <c r="I3274" s="90">
        <v>0.64</v>
      </c>
      <c r="J3274" s="90" t="s">
        <v>381</v>
      </c>
      <c r="K3274" s="90">
        <v>6.3169585606999998E-4</v>
      </c>
      <c r="L3274" s="90">
        <v>3743.6912227973398</v>
      </c>
      <c r="M3274" s="90">
        <v>10.2396116376063</v>
      </c>
      <c r="N3274" s="90">
        <v>1.4718028344476599</v>
      </c>
      <c r="O3274" s="90">
        <v>6.4683202392700001E-3</v>
      </c>
      <c r="P3274" s="90">
        <v>9.2973175146999999E-4</v>
      </c>
      <c r="Q3274" s="90">
        <v>2.3648742318579399</v>
      </c>
      <c r="R3274" s="90">
        <v>1400</v>
      </c>
      <c r="S3274" s="90" t="s">
        <v>324</v>
      </c>
      <c r="T3274" s="90">
        <v>1400</v>
      </c>
      <c r="U3274" s="90" t="s">
        <v>382</v>
      </c>
      <c r="V3274" s="90" t="s">
        <v>381</v>
      </c>
      <c r="Z3274" s="90">
        <v>0</v>
      </c>
      <c r="AA3274" s="90">
        <v>1</v>
      </c>
      <c r="AB3274" s="90">
        <v>6.4683202392700001E-3</v>
      </c>
      <c r="AC3274" s="90">
        <v>9.2973175146999999E-4</v>
      </c>
      <c r="AD3274" s="90">
        <v>244.808448825098</v>
      </c>
      <c r="AF3274" s="90">
        <v>-1</v>
      </c>
      <c r="AG3274" s="90">
        <v>-1</v>
      </c>
      <c r="AH3274" s="90">
        <v>-1</v>
      </c>
      <c r="AI3274" s="90">
        <v>-1</v>
      </c>
      <c r="AJ3274" s="90">
        <v>0</v>
      </c>
      <c r="AM3274" s="90" t="s">
        <v>379</v>
      </c>
      <c r="AN3274" s="90">
        <v>-1</v>
      </c>
      <c r="AQ3274" s="90">
        <v>391</v>
      </c>
      <c r="AR3274" s="90" t="s">
        <v>315</v>
      </c>
      <c r="AS3274" s="90" t="s">
        <v>430</v>
      </c>
      <c r="AT3274" s="90" t="s">
        <v>244</v>
      </c>
      <c r="AU3274" s="90">
        <v>22.5044</v>
      </c>
      <c r="AV3274" s="90">
        <v>21.205382194526599</v>
      </c>
      <c r="AW3274" s="90">
        <v>2.5563824321531201</v>
      </c>
      <c r="AX3274" s="90">
        <v>0.19854699819999999</v>
      </c>
    </row>
    <row r="3275" spans="1:50" x14ac:dyDescent="0.25">
      <c r="A3275" s="102">
        <v>840000</v>
      </c>
      <c r="B3275" s="102">
        <v>2400000</v>
      </c>
      <c r="C3275" s="102">
        <v>2400000</v>
      </c>
      <c r="D3275" s="90" t="s">
        <v>374</v>
      </c>
      <c r="E3275" s="90" t="s">
        <v>68</v>
      </c>
      <c r="F3275" s="90" t="s">
        <v>375</v>
      </c>
      <c r="G3275" s="90" t="s">
        <v>376</v>
      </c>
      <c r="H3275" s="90">
        <v>0.59</v>
      </c>
      <c r="I3275" s="90">
        <v>0.64</v>
      </c>
      <c r="J3275" s="90" t="s">
        <v>244</v>
      </c>
      <c r="K3275" s="90">
        <v>2.8737445744609999E-2</v>
      </c>
      <c r="L3275" s="90">
        <v>3786.0833751069899</v>
      </c>
      <c r="M3275" s="90">
        <v>11.631441886392601</v>
      </c>
      <c r="N3275" s="90">
        <v>1.53565670570623</v>
      </c>
      <c r="O3275" s="90">
        <v>0.33425793014179001</v>
      </c>
      <c r="P3275" s="90">
        <v>4.4130851262569999E-2</v>
      </c>
      <c r="Q3275" s="90">
        <v>108.802365576707</v>
      </c>
      <c r="R3275" s="90">
        <v>1400</v>
      </c>
      <c r="S3275" s="90" t="s">
        <v>324</v>
      </c>
      <c r="T3275" s="90">
        <v>1400</v>
      </c>
      <c r="U3275" s="90" t="s">
        <v>378</v>
      </c>
      <c r="V3275" s="90" t="s">
        <v>244</v>
      </c>
      <c r="Z3275" s="90">
        <v>0</v>
      </c>
      <c r="AA3275" s="90">
        <v>1</v>
      </c>
      <c r="AB3275" s="90">
        <v>0.33425793014179001</v>
      </c>
      <c r="AC3275" s="90">
        <v>4.4130851262569999E-2</v>
      </c>
      <c r="AD3275" s="90">
        <v>342.85706782070997</v>
      </c>
      <c r="AF3275" s="90">
        <v>-1</v>
      </c>
      <c r="AG3275" s="90">
        <v>-1</v>
      </c>
      <c r="AH3275" s="90">
        <v>-1</v>
      </c>
      <c r="AI3275" s="90">
        <v>-1</v>
      </c>
      <c r="AJ3275" s="90">
        <v>0</v>
      </c>
      <c r="AM3275" s="90" t="s">
        <v>379</v>
      </c>
      <c r="AN3275" s="90">
        <v>-1</v>
      </c>
      <c r="AQ3275" s="90">
        <v>391</v>
      </c>
      <c r="AR3275" s="90" t="s">
        <v>315</v>
      </c>
      <c r="AS3275" s="90" t="s">
        <v>430</v>
      </c>
      <c r="AT3275" s="90" t="s">
        <v>244</v>
      </c>
      <c r="AU3275" s="90">
        <v>22.5044</v>
      </c>
      <c r="AV3275" s="90">
        <v>68.532795037049596</v>
      </c>
      <c r="AW3275" s="90">
        <v>116.296316874947</v>
      </c>
      <c r="AX3275" s="90">
        <v>0.27806737050000002</v>
      </c>
    </row>
    <row r="3276" spans="1:50" x14ac:dyDescent="0.25">
      <c r="A3276" s="102">
        <v>840000</v>
      </c>
      <c r="B3276" s="102">
        <v>2400000</v>
      </c>
      <c r="C3276" s="102">
        <v>2400000</v>
      </c>
      <c r="D3276" s="90" t="s">
        <v>374</v>
      </c>
      <c r="E3276" s="90" t="s">
        <v>68</v>
      </c>
      <c r="F3276" s="90" t="s">
        <v>375</v>
      </c>
      <c r="G3276" s="90" t="s">
        <v>376</v>
      </c>
      <c r="H3276" s="90">
        <v>0.59</v>
      </c>
      <c r="I3276" s="90">
        <v>0.64</v>
      </c>
      <c r="J3276" s="90" t="s">
        <v>244</v>
      </c>
      <c r="K3276" s="90">
        <v>1.6931172420270001E-2</v>
      </c>
      <c r="L3276" s="90">
        <v>3786.0833751069899</v>
      </c>
      <c r="M3276" s="90">
        <v>11.631441886392601</v>
      </c>
      <c r="N3276" s="90">
        <v>1.53565670570623</v>
      </c>
      <c r="O3276" s="90">
        <v>0.19693394807494999</v>
      </c>
      <c r="P3276" s="90">
        <v>2.6000468462659999E-2</v>
      </c>
      <c r="Q3276" s="90">
        <v>64.102830421484597</v>
      </c>
      <c r="R3276" s="90">
        <v>1410</v>
      </c>
      <c r="S3276" s="90" t="s">
        <v>325</v>
      </c>
      <c r="T3276" s="90">
        <v>1410</v>
      </c>
      <c r="U3276" s="90" t="s">
        <v>378</v>
      </c>
      <c r="V3276" s="90" t="s">
        <v>244</v>
      </c>
      <c r="Z3276" s="90">
        <v>0</v>
      </c>
      <c r="AA3276" s="90">
        <v>1</v>
      </c>
      <c r="AB3276" s="90">
        <v>0.19693394807494999</v>
      </c>
      <c r="AC3276" s="90">
        <v>2.6000468462659999E-2</v>
      </c>
      <c r="AD3276" s="90">
        <v>208.06492623643001</v>
      </c>
      <c r="AF3276" s="90">
        <v>-1</v>
      </c>
      <c r="AG3276" s="90">
        <v>-1</v>
      </c>
      <c r="AH3276" s="90">
        <v>-1</v>
      </c>
      <c r="AI3276" s="90">
        <v>-1</v>
      </c>
      <c r="AJ3276" s="90">
        <v>0</v>
      </c>
      <c r="AM3276" s="90" t="s">
        <v>379</v>
      </c>
      <c r="AN3276" s="90">
        <v>-1</v>
      </c>
      <c r="AQ3276" s="90">
        <v>391</v>
      </c>
      <c r="AR3276" s="90" t="s">
        <v>315</v>
      </c>
      <c r="AS3276" s="90" t="s">
        <v>430</v>
      </c>
      <c r="AT3276" s="90" t="s">
        <v>244</v>
      </c>
      <c r="AU3276" s="90">
        <v>22.5044</v>
      </c>
      <c r="AV3276" s="90">
        <v>34.389492603883603</v>
      </c>
      <c r="AW3276" s="90">
        <v>68.518023847763402</v>
      </c>
      <c r="AX3276" s="90">
        <v>0.16874689879999999</v>
      </c>
    </row>
    <row r="3277" spans="1:50" x14ac:dyDescent="0.25">
      <c r="A3277" s="102">
        <v>840000</v>
      </c>
      <c r="B3277" s="102">
        <v>2400000</v>
      </c>
      <c r="C3277" s="102">
        <v>2400000</v>
      </c>
      <c r="D3277" s="90" t="s">
        <v>374</v>
      </c>
      <c r="E3277" s="90" t="s">
        <v>68</v>
      </c>
      <c r="F3277" s="90" t="s">
        <v>375</v>
      </c>
      <c r="G3277" s="90" t="s">
        <v>376</v>
      </c>
      <c r="H3277" s="90">
        <v>0.59</v>
      </c>
      <c r="I3277" s="90">
        <v>0.64</v>
      </c>
      <c r="J3277" s="90" t="s">
        <v>244</v>
      </c>
      <c r="K3277" s="90">
        <v>1.288065790249E-2</v>
      </c>
      <c r="L3277" s="90">
        <v>3786.0833751069899</v>
      </c>
      <c r="M3277" s="90">
        <v>11.631441886392601</v>
      </c>
      <c r="N3277" s="90">
        <v>1.53565670570623</v>
      </c>
      <c r="O3277" s="90">
        <v>0.14982062385136999</v>
      </c>
      <c r="P3277" s="90">
        <v>1.9780268681870002E-2</v>
      </c>
      <c r="Q3277" s="90">
        <v>48.767244745076901</v>
      </c>
      <c r="R3277" s="90">
        <v>1430</v>
      </c>
      <c r="S3277" s="90" t="s">
        <v>326</v>
      </c>
      <c r="T3277" s="90">
        <v>1430</v>
      </c>
      <c r="U3277" s="90" t="s">
        <v>378</v>
      </c>
      <c r="V3277" s="90" t="s">
        <v>244</v>
      </c>
      <c r="Z3277" s="90">
        <v>0</v>
      </c>
      <c r="AA3277" s="90">
        <v>1</v>
      </c>
      <c r="AB3277" s="90">
        <v>0.14982062385136999</v>
      </c>
      <c r="AC3277" s="90">
        <v>1.9780268681870002E-2</v>
      </c>
      <c r="AD3277" s="90">
        <v>1106.20922902957</v>
      </c>
      <c r="AF3277" s="90">
        <v>-1</v>
      </c>
      <c r="AG3277" s="90">
        <v>-1</v>
      </c>
      <c r="AH3277" s="90">
        <v>-1</v>
      </c>
      <c r="AI3277" s="90">
        <v>-1</v>
      </c>
      <c r="AJ3277" s="90">
        <v>0</v>
      </c>
      <c r="AM3277" s="90" t="s">
        <v>379</v>
      </c>
      <c r="AN3277" s="90">
        <v>-1</v>
      </c>
      <c r="AQ3277" s="90">
        <v>391</v>
      </c>
      <c r="AR3277" s="90" t="s">
        <v>315</v>
      </c>
      <c r="AS3277" s="90" t="s">
        <v>430</v>
      </c>
      <c r="AT3277" s="90" t="s">
        <v>244</v>
      </c>
      <c r="AU3277" s="90">
        <v>22.5044</v>
      </c>
      <c r="AV3277" s="90">
        <v>40.302986238653602</v>
      </c>
      <c r="AW3277" s="90">
        <v>52.126173157448001</v>
      </c>
      <c r="AX3277" s="90">
        <v>0.89716887999999995</v>
      </c>
    </row>
    <row r="3278" spans="1:50" x14ac:dyDescent="0.25">
      <c r="A3278" s="102">
        <v>840000</v>
      </c>
      <c r="B3278" s="102">
        <v>2400000</v>
      </c>
      <c r="C3278" s="102">
        <v>2400000</v>
      </c>
      <c r="D3278" s="90" t="s">
        <v>374</v>
      </c>
      <c r="E3278" s="90" t="s">
        <v>68</v>
      </c>
      <c r="F3278" s="90" t="s">
        <v>375</v>
      </c>
      <c r="G3278" s="90" t="s">
        <v>376</v>
      </c>
      <c r="H3278" s="90">
        <v>0.59</v>
      </c>
      <c r="I3278" s="90">
        <v>0.64</v>
      </c>
      <c r="J3278" s="90" t="s">
        <v>244</v>
      </c>
      <c r="K3278" s="90">
        <v>1.2411923761999999E-4</v>
      </c>
      <c r="L3278" s="90">
        <v>3786.0833751069899</v>
      </c>
      <c r="M3278" s="90">
        <v>11.631441886392601</v>
      </c>
      <c r="N3278" s="90">
        <v>1.53565670570623</v>
      </c>
      <c r="O3278" s="90">
        <v>1.4436856994100001E-3</v>
      </c>
      <c r="P3278" s="90">
        <v>1.9060453956000001E-4</v>
      </c>
      <c r="Q3278" s="90">
        <v>0.46992578210295999</v>
      </c>
      <c r="R3278" s="90">
        <v>1410</v>
      </c>
      <c r="S3278" s="90" t="s">
        <v>325</v>
      </c>
      <c r="T3278" s="90">
        <v>1410</v>
      </c>
      <c r="U3278" s="90" t="s">
        <v>378</v>
      </c>
      <c r="V3278" s="90" t="s">
        <v>244</v>
      </c>
      <c r="Z3278" s="90">
        <v>0</v>
      </c>
      <c r="AA3278" s="90">
        <v>1</v>
      </c>
      <c r="AB3278" s="90">
        <v>1.4436856994100001E-3</v>
      </c>
      <c r="AC3278" s="90">
        <v>1.9060453956000001E-4</v>
      </c>
      <c r="AD3278" s="90">
        <v>681.77271885544303</v>
      </c>
      <c r="AF3278" s="90">
        <v>-1</v>
      </c>
      <c r="AG3278" s="90">
        <v>-1</v>
      </c>
      <c r="AH3278" s="90">
        <v>-1</v>
      </c>
      <c r="AI3278" s="90">
        <v>-1</v>
      </c>
      <c r="AJ3278" s="90">
        <v>0</v>
      </c>
      <c r="AM3278" s="90" t="s">
        <v>379</v>
      </c>
      <c r="AN3278" s="90">
        <v>-1</v>
      </c>
      <c r="AQ3278" s="90">
        <v>391</v>
      </c>
      <c r="AR3278" s="90" t="s">
        <v>315</v>
      </c>
      <c r="AS3278" s="90" t="s">
        <v>430</v>
      </c>
      <c r="AT3278" s="90" t="s">
        <v>244</v>
      </c>
      <c r="AU3278" s="90">
        <v>22.5044</v>
      </c>
      <c r="AV3278" s="90">
        <v>12.1063671659868</v>
      </c>
      <c r="AW3278" s="90">
        <v>0.50229273392747997</v>
      </c>
      <c r="AX3278" s="90">
        <v>0.5529381337</v>
      </c>
    </row>
    <row r="3279" spans="1:50" x14ac:dyDescent="0.25">
      <c r="A3279" s="102">
        <v>840000</v>
      </c>
      <c r="B3279" s="102">
        <v>2400000</v>
      </c>
      <c r="C3279" s="102">
        <v>2400000</v>
      </c>
      <c r="D3279" s="90" t="s">
        <v>374</v>
      </c>
      <c r="E3279" s="90" t="s">
        <v>68</v>
      </c>
      <c r="F3279" s="90" t="s">
        <v>375</v>
      </c>
      <c r="G3279" s="90" t="s">
        <v>376</v>
      </c>
      <c r="H3279" s="90">
        <v>0.59</v>
      </c>
      <c r="I3279" s="90">
        <v>0.64</v>
      </c>
      <c r="J3279" s="90" t="s">
        <v>244</v>
      </c>
      <c r="K3279" s="90">
        <v>5.9223215346400002E-3</v>
      </c>
      <c r="L3279" s="90">
        <v>2176.7336699941502</v>
      </c>
      <c r="M3279" s="90">
        <v>6.2861362830793501</v>
      </c>
      <c r="N3279" s="90">
        <v>0.85875812512570004</v>
      </c>
      <c r="O3279" s="90">
        <v>3.7228520278960002E-2</v>
      </c>
      <c r="P3279" s="90">
        <v>5.0858417374699998E-3</v>
      </c>
      <c r="Q3279" s="90">
        <v>12.8913166889823</v>
      </c>
      <c r="R3279" s="90">
        <v>1400</v>
      </c>
      <c r="S3279" s="90" t="s">
        <v>324</v>
      </c>
      <c r="T3279" s="90">
        <v>1400</v>
      </c>
      <c r="U3279" s="90" t="s">
        <v>378</v>
      </c>
      <c r="V3279" s="90" t="s">
        <v>244</v>
      </c>
      <c r="Z3279" s="90">
        <v>0</v>
      </c>
      <c r="AA3279" s="90">
        <v>1</v>
      </c>
      <c r="AB3279" s="90">
        <v>3.7228520278960002E-2</v>
      </c>
      <c r="AC3279" s="90">
        <v>5.0858417374699998E-3</v>
      </c>
      <c r="AD3279" s="90">
        <v>446.92091655367801</v>
      </c>
      <c r="AF3279" s="90">
        <v>-1</v>
      </c>
      <c r="AG3279" s="90">
        <v>-1</v>
      </c>
      <c r="AH3279" s="90">
        <v>-1</v>
      </c>
      <c r="AI3279" s="90">
        <v>-1</v>
      </c>
      <c r="AJ3279" s="90">
        <v>0</v>
      </c>
      <c r="AM3279" s="90" t="s">
        <v>379</v>
      </c>
      <c r="AN3279" s="90">
        <v>-1</v>
      </c>
      <c r="AQ3279" s="90">
        <v>391</v>
      </c>
      <c r="AR3279" s="90" t="s">
        <v>315</v>
      </c>
      <c r="AS3279" s="90" t="s">
        <v>430</v>
      </c>
      <c r="AT3279" s="90" t="s">
        <v>244</v>
      </c>
      <c r="AU3279" s="90">
        <v>22.5044</v>
      </c>
      <c r="AV3279" s="90">
        <v>24.020954592643399</v>
      </c>
      <c r="AW3279" s="90">
        <v>23.966784937977501</v>
      </c>
      <c r="AX3279" s="90">
        <v>0.36246627460000003</v>
      </c>
    </row>
    <row r="3280" spans="1:50" x14ac:dyDescent="0.25">
      <c r="A3280" s="102">
        <v>840000</v>
      </c>
      <c r="B3280" s="102">
        <v>2400000</v>
      </c>
      <c r="C3280" s="102">
        <v>2400000</v>
      </c>
      <c r="D3280" s="90" t="s">
        <v>374</v>
      </c>
      <c r="E3280" s="90" t="s">
        <v>68</v>
      </c>
      <c r="F3280" s="90" t="s">
        <v>375</v>
      </c>
      <c r="G3280" s="90" t="s">
        <v>376</v>
      </c>
      <c r="H3280" s="90">
        <v>0.59</v>
      </c>
      <c r="I3280" s="90">
        <v>0.64</v>
      </c>
      <c r="J3280" s="90" t="s">
        <v>244</v>
      </c>
      <c r="K3280" s="90">
        <v>0.13627153488883001</v>
      </c>
      <c r="L3280" s="90">
        <v>3770.6719591851202</v>
      </c>
      <c r="M3280" s="90">
        <v>11.2297498236424</v>
      </c>
      <c r="N3280" s="90">
        <v>1.79496199580031</v>
      </c>
      <c r="O3280" s="90">
        <v>1.53029524488532</v>
      </c>
      <c r="P3280" s="90">
        <v>0.24460222623482</v>
      </c>
      <c r="Q3280" s="90">
        <v>513.83525544042902</v>
      </c>
      <c r="R3280" s="90">
        <v>1300</v>
      </c>
      <c r="S3280" s="90" t="s">
        <v>387</v>
      </c>
      <c r="T3280" s="90">
        <v>1300</v>
      </c>
      <c r="U3280" s="90" t="s">
        <v>378</v>
      </c>
      <c r="V3280" s="90" t="s">
        <v>244</v>
      </c>
      <c r="Z3280" s="90">
        <v>0</v>
      </c>
      <c r="AA3280" s="90">
        <v>1</v>
      </c>
      <c r="AB3280" s="90">
        <v>1.53029524488532</v>
      </c>
      <c r="AC3280" s="90">
        <v>0.24460222623482</v>
      </c>
      <c r="AD3280" s="90">
        <v>579.70453268285496</v>
      </c>
      <c r="AF3280" s="90">
        <v>-1</v>
      </c>
      <c r="AG3280" s="90">
        <v>-1</v>
      </c>
      <c r="AH3280" s="90">
        <v>-1</v>
      </c>
      <c r="AI3280" s="90">
        <v>-1</v>
      </c>
      <c r="AJ3280" s="90">
        <v>0</v>
      </c>
      <c r="AM3280" s="90" t="s">
        <v>379</v>
      </c>
      <c r="AN3280" s="90">
        <v>-1</v>
      </c>
      <c r="AQ3280" s="90">
        <v>391</v>
      </c>
      <c r="AR3280" s="90" t="s">
        <v>315</v>
      </c>
      <c r="AS3280" s="90" t="s">
        <v>430</v>
      </c>
      <c r="AT3280" s="90" t="s">
        <v>244</v>
      </c>
      <c r="AU3280" s="90">
        <v>22.5044</v>
      </c>
      <c r="AV3280" s="90">
        <v>113.41121900455801</v>
      </c>
      <c r="AW3280" s="90">
        <v>551.47133615516805</v>
      </c>
      <c r="AX3280" s="90">
        <v>0.47015777180000001</v>
      </c>
    </row>
    <row r="3281" spans="1:50" x14ac:dyDescent="0.25">
      <c r="A3281" s="102">
        <v>840000</v>
      </c>
      <c r="B3281" s="102">
        <v>2400000</v>
      </c>
      <c r="C3281" s="102">
        <v>2400000</v>
      </c>
      <c r="D3281" s="90" t="s">
        <v>374</v>
      </c>
      <c r="E3281" s="90" t="s">
        <v>68</v>
      </c>
      <c r="F3281" s="90" t="s">
        <v>375</v>
      </c>
      <c r="G3281" s="90" t="s">
        <v>376</v>
      </c>
      <c r="H3281" s="90">
        <v>0.59</v>
      </c>
      <c r="I3281" s="90">
        <v>0.64</v>
      </c>
      <c r="J3281" s="90" t="s">
        <v>244</v>
      </c>
      <c r="K3281" s="90">
        <v>3.5620328449220001E-2</v>
      </c>
      <c r="L3281" s="90">
        <v>3770.6719591851202</v>
      </c>
      <c r="M3281" s="90">
        <v>11.2297498236424</v>
      </c>
      <c r="N3281" s="90">
        <v>1.79496199580031</v>
      </c>
      <c r="O3281" s="90">
        <v>0.40000737712079998</v>
      </c>
      <c r="P3281" s="90">
        <v>6.3937135844279999E-2</v>
      </c>
      <c r="Q3281" s="90">
        <v>134.31257366046799</v>
      </c>
      <c r="R3281" s="90">
        <v>1400</v>
      </c>
      <c r="S3281" s="90" t="s">
        <v>324</v>
      </c>
      <c r="T3281" s="90">
        <v>1400</v>
      </c>
      <c r="U3281" s="90" t="s">
        <v>378</v>
      </c>
      <c r="V3281" s="90" t="s">
        <v>244</v>
      </c>
      <c r="Z3281" s="90">
        <v>0</v>
      </c>
      <c r="AA3281" s="90">
        <v>1</v>
      </c>
      <c r="AB3281" s="90">
        <v>0.40000737712079998</v>
      </c>
      <c r="AC3281" s="90">
        <v>6.3937135844279999E-2</v>
      </c>
      <c r="AD3281" s="90">
        <v>253.93073254391001</v>
      </c>
      <c r="AF3281" s="90">
        <v>-1</v>
      </c>
      <c r="AG3281" s="90">
        <v>-1</v>
      </c>
      <c r="AH3281" s="90">
        <v>-1</v>
      </c>
      <c r="AI3281" s="90">
        <v>-1</v>
      </c>
      <c r="AJ3281" s="90">
        <v>0</v>
      </c>
      <c r="AM3281" s="90" t="s">
        <v>379</v>
      </c>
      <c r="AN3281" s="90">
        <v>-1</v>
      </c>
      <c r="AQ3281" s="90">
        <v>391</v>
      </c>
      <c r="AR3281" s="90" t="s">
        <v>315</v>
      </c>
      <c r="AS3281" s="90" t="s">
        <v>430</v>
      </c>
      <c r="AT3281" s="90" t="s">
        <v>244</v>
      </c>
      <c r="AU3281" s="90">
        <v>22.5044</v>
      </c>
      <c r="AV3281" s="90">
        <v>94.647342135286095</v>
      </c>
      <c r="AW3281" s="90">
        <v>144.150354952756</v>
      </c>
      <c r="AX3281" s="90">
        <v>0.20594544410000001</v>
      </c>
    </row>
    <row r="3282" spans="1:50" x14ac:dyDescent="0.25">
      <c r="A3282" s="102">
        <v>840000</v>
      </c>
      <c r="B3282" s="102">
        <v>2400000</v>
      </c>
      <c r="C3282" s="102">
        <v>2400000</v>
      </c>
      <c r="D3282" s="90" t="s">
        <v>374</v>
      </c>
      <c r="E3282" s="90" t="s">
        <v>68</v>
      </c>
      <c r="F3282" s="90" t="s">
        <v>375</v>
      </c>
      <c r="G3282" s="90" t="s">
        <v>376</v>
      </c>
      <c r="H3282" s="90">
        <v>0.59</v>
      </c>
      <c r="I3282" s="90">
        <v>0.64</v>
      </c>
      <c r="J3282" s="90" t="s">
        <v>381</v>
      </c>
      <c r="K3282" s="90">
        <v>9.3914628676699998E-3</v>
      </c>
      <c r="L3282" s="90">
        <v>3770.6719591851202</v>
      </c>
      <c r="M3282" s="90">
        <v>11.2297498236424</v>
      </c>
      <c r="N3282" s="90">
        <v>1.79496199580031</v>
      </c>
      <c r="O3282" s="90">
        <v>0.10546377848195999</v>
      </c>
      <c r="P3282" s="90">
        <v>1.6857318932430001E-2</v>
      </c>
      <c r="Q3282" s="90">
        <v>35.412125690851603</v>
      </c>
      <c r="R3282" s="90">
        <v>1400</v>
      </c>
      <c r="S3282" s="90" t="s">
        <v>324</v>
      </c>
      <c r="T3282" s="90">
        <v>1400</v>
      </c>
      <c r="U3282" s="90" t="s">
        <v>382</v>
      </c>
      <c r="V3282" s="90" t="s">
        <v>381</v>
      </c>
      <c r="Z3282" s="90">
        <v>0</v>
      </c>
      <c r="AA3282" s="90">
        <v>1</v>
      </c>
      <c r="AB3282" s="90">
        <v>0.10546377848195999</v>
      </c>
      <c r="AC3282" s="90">
        <v>1.6857318932430001E-2</v>
      </c>
      <c r="AD3282" s="90">
        <v>325.494420203419</v>
      </c>
      <c r="AF3282" s="90">
        <v>-1</v>
      </c>
      <c r="AG3282" s="90">
        <v>-1</v>
      </c>
      <c r="AH3282" s="90">
        <v>-1</v>
      </c>
      <c r="AI3282" s="90">
        <v>-1</v>
      </c>
      <c r="AJ3282" s="90">
        <v>0</v>
      </c>
      <c r="AM3282" s="90" t="s">
        <v>379</v>
      </c>
      <c r="AN3282" s="90">
        <v>-1</v>
      </c>
      <c r="AQ3282" s="90">
        <v>391</v>
      </c>
      <c r="AR3282" s="90" t="s">
        <v>315</v>
      </c>
      <c r="AS3282" s="90" t="s">
        <v>430</v>
      </c>
      <c r="AT3282" s="90" t="s">
        <v>244</v>
      </c>
      <c r="AU3282" s="90">
        <v>22.5044</v>
      </c>
      <c r="AV3282" s="90">
        <v>89.739139240879396</v>
      </c>
      <c r="AW3282" s="90">
        <v>38.005901821759799</v>
      </c>
      <c r="AX3282" s="90">
        <v>0.26398574229999999</v>
      </c>
    </row>
    <row r="3283" spans="1:50" x14ac:dyDescent="0.25">
      <c r="A3283" s="102">
        <v>840000</v>
      </c>
      <c r="B3283" s="102">
        <v>2500000</v>
      </c>
      <c r="C3283" s="102">
        <v>2500000</v>
      </c>
      <c r="D3283" s="90" t="s">
        <v>374</v>
      </c>
      <c r="E3283" s="90" t="s">
        <v>68</v>
      </c>
      <c r="F3283" s="90" t="s">
        <v>375</v>
      </c>
      <c r="G3283" s="90" t="s">
        <v>376</v>
      </c>
      <c r="H3283" s="90">
        <v>0.59</v>
      </c>
      <c r="I3283" s="90">
        <v>0.64</v>
      </c>
      <c r="J3283" s="90" t="s">
        <v>244</v>
      </c>
      <c r="K3283" s="90">
        <v>0.11566107284172999</v>
      </c>
      <c r="L3283" s="90">
        <v>3786.0833751069899</v>
      </c>
      <c r="M3283" s="90">
        <v>11.631441886392601</v>
      </c>
      <c r="N3283" s="90">
        <v>1.53565670570623</v>
      </c>
      <c r="O3283" s="90">
        <v>1.3453050472764201</v>
      </c>
      <c r="P3283" s="90">
        <v>0.17761570209857999</v>
      </c>
      <c r="Q3283" s="90">
        <v>437.90246503311698</v>
      </c>
      <c r="R3283" s="90">
        <v>1400</v>
      </c>
      <c r="S3283" s="90" t="s">
        <v>324</v>
      </c>
      <c r="T3283" s="90">
        <v>1400</v>
      </c>
      <c r="U3283" s="90" t="s">
        <v>378</v>
      </c>
      <c r="V3283" s="90" t="s">
        <v>244</v>
      </c>
      <c r="Z3283" s="90">
        <v>0</v>
      </c>
      <c r="AA3283" s="90">
        <v>1</v>
      </c>
      <c r="AB3283" s="90">
        <v>1.3453050472764201</v>
      </c>
      <c r="AC3283" s="90">
        <v>0.17761570209857999</v>
      </c>
      <c r="AD3283" s="90">
        <v>860.05826399513705</v>
      </c>
      <c r="AF3283" s="90">
        <v>-1</v>
      </c>
      <c r="AG3283" s="90">
        <v>-1</v>
      </c>
      <c r="AH3283" s="90">
        <v>-1</v>
      </c>
      <c r="AI3283" s="90">
        <v>-1</v>
      </c>
      <c r="AJ3283" s="90">
        <v>0</v>
      </c>
      <c r="AM3283" s="90" t="s">
        <v>379</v>
      </c>
      <c r="AN3283" s="90">
        <v>-1</v>
      </c>
      <c r="AQ3283" s="90">
        <v>391</v>
      </c>
      <c r="AR3283" s="90" t="s">
        <v>315</v>
      </c>
      <c r="AS3283" s="90" t="s">
        <v>430</v>
      </c>
      <c r="AT3283" s="90" t="s">
        <v>244</v>
      </c>
      <c r="AU3283" s="90">
        <v>22.5044</v>
      </c>
      <c r="AV3283" s="90">
        <v>174.340372419186</v>
      </c>
      <c r="AW3283" s="90">
        <v>468.06375545123399</v>
      </c>
      <c r="AX3283" s="90">
        <v>0.69753306079999999</v>
      </c>
    </row>
    <row r="3284" spans="1:50" x14ac:dyDescent="0.25">
      <c r="A3284" s="102">
        <v>840000</v>
      </c>
      <c r="B3284" s="102">
        <v>2500000</v>
      </c>
      <c r="C3284" s="102">
        <v>2500000</v>
      </c>
      <c r="D3284" s="90" t="s">
        <v>374</v>
      </c>
      <c r="E3284" s="90" t="s">
        <v>68</v>
      </c>
      <c r="F3284" s="90" t="s">
        <v>375</v>
      </c>
      <c r="G3284" s="90" t="s">
        <v>376</v>
      </c>
      <c r="H3284" s="90">
        <v>0.59</v>
      </c>
      <c r="I3284" s="90">
        <v>0.64</v>
      </c>
      <c r="J3284" s="90" t="s">
        <v>244</v>
      </c>
      <c r="K3284" s="90">
        <v>0.10455645140892</v>
      </c>
      <c r="L3284" s="90">
        <v>3786.0833751069899</v>
      </c>
      <c r="M3284" s="90">
        <v>11.631441886392601</v>
      </c>
      <c r="N3284" s="90">
        <v>1.53565670570623</v>
      </c>
      <c r="O3284" s="90">
        <v>1.2161422884103801</v>
      </c>
      <c r="P3284" s="90">
        <v>0.16056281573096001</v>
      </c>
      <c r="Q3284" s="90">
        <v>395.85944243952503</v>
      </c>
      <c r="R3284" s="90">
        <v>1420</v>
      </c>
      <c r="S3284" s="90" t="s">
        <v>327</v>
      </c>
      <c r="T3284" s="90">
        <v>1420</v>
      </c>
      <c r="U3284" s="90" t="s">
        <v>378</v>
      </c>
      <c r="V3284" s="90" t="s">
        <v>244</v>
      </c>
      <c r="Z3284" s="90">
        <v>0</v>
      </c>
      <c r="AA3284" s="90">
        <v>1</v>
      </c>
      <c r="AB3284" s="90">
        <v>1.2161422884103801</v>
      </c>
      <c r="AC3284" s="90">
        <v>0.16056281573096001</v>
      </c>
      <c r="AD3284" s="90">
        <v>439.226663204928</v>
      </c>
      <c r="AF3284" s="90">
        <v>-1</v>
      </c>
      <c r="AG3284" s="90">
        <v>-1</v>
      </c>
      <c r="AH3284" s="90">
        <v>-1</v>
      </c>
      <c r="AI3284" s="90">
        <v>-1</v>
      </c>
      <c r="AJ3284" s="90">
        <v>0</v>
      </c>
      <c r="AM3284" s="90" t="s">
        <v>379</v>
      </c>
      <c r="AN3284" s="90">
        <v>-1</v>
      </c>
      <c r="AQ3284" s="90">
        <v>391</v>
      </c>
      <c r="AR3284" s="90" t="s">
        <v>315</v>
      </c>
      <c r="AS3284" s="90" t="s">
        <v>430</v>
      </c>
      <c r="AT3284" s="90" t="s">
        <v>244</v>
      </c>
      <c r="AU3284" s="90">
        <v>22.5044</v>
      </c>
      <c r="AV3284" s="90">
        <v>86.708908850194405</v>
      </c>
      <c r="AW3284" s="90">
        <v>423.12494688757198</v>
      </c>
      <c r="AX3284" s="90">
        <v>0.3562260042</v>
      </c>
    </row>
    <row r="3285" spans="1:50" x14ac:dyDescent="0.25">
      <c r="A3285" s="102">
        <v>840000</v>
      </c>
      <c r="B3285" s="102">
        <v>2500000</v>
      </c>
      <c r="C3285" s="102">
        <v>2500000</v>
      </c>
      <c r="D3285" s="90" t="s">
        <v>374</v>
      </c>
      <c r="E3285" s="90" t="s">
        <v>68</v>
      </c>
      <c r="F3285" s="90" t="s">
        <v>375</v>
      </c>
      <c r="G3285" s="90" t="s">
        <v>376</v>
      </c>
      <c r="H3285" s="90">
        <v>0.59</v>
      </c>
      <c r="I3285" s="90">
        <v>0.64</v>
      </c>
      <c r="J3285" s="90" t="s">
        <v>244</v>
      </c>
      <c r="K3285" s="90">
        <v>6.3563070100800007E-2</v>
      </c>
      <c r="L3285" s="90">
        <v>3786.0833751069899</v>
      </c>
      <c r="M3285" s="90">
        <v>11.631441886392601</v>
      </c>
      <c r="N3285" s="90">
        <v>1.53565670570623</v>
      </c>
      <c r="O3285" s="90">
        <v>0.73933015599820995</v>
      </c>
      <c r="P3285" s="90">
        <v>9.7611054835570005E-2</v>
      </c>
      <c r="Q3285" s="90">
        <v>240.65508297941801</v>
      </c>
      <c r="R3285" s="90">
        <v>1410</v>
      </c>
      <c r="S3285" s="90" t="s">
        <v>325</v>
      </c>
      <c r="T3285" s="90">
        <v>1410</v>
      </c>
      <c r="U3285" s="90" t="s">
        <v>378</v>
      </c>
      <c r="V3285" s="90" t="s">
        <v>244</v>
      </c>
      <c r="Z3285" s="90">
        <v>0</v>
      </c>
      <c r="AA3285" s="90">
        <v>1</v>
      </c>
      <c r="AB3285" s="90">
        <v>0.73933015599820995</v>
      </c>
      <c r="AC3285" s="90">
        <v>9.7611054835570005E-2</v>
      </c>
      <c r="AD3285" s="90">
        <v>442.55441397629897</v>
      </c>
      <c r="AF3285" s="90">
        <v>-1</v>
      </c>
      <c r="AG3285" s="90">
        <v>-1</v>
      </c>
      <c r="AH3285" s="90">
        <v>-1</v>
      </c>
      <c r="AI3285" s="90">
        <v>-1</v>
      </c>
      <c r="AJ3285" s="90">
        <v>0</v>
      </c>
      <c r="AM3285" s="90" t="s">
        <v>379</v>
      </c>
      <c r="AN3285" s="90">
        <v>-1</v>
      </c>
      <c r="AQ3285" s="90">
        <v>391</v>
      </c>
      <c r="AR3285" s="90" t="s">
        <v>315</v>
      </c>
      <c r="AS3285" s="90" t="s">
        <v>430</v>
      </c>
      <c r="AT3285" s="90" t="s">
        <v>244</v>
      </c>
      <c r="AU3285" s="90">
        <v>22.5044</v>
      </c>
      <c r="AV3285" s="90">
        <v>67.950967398134296</v>
      </c>
      <c r="AW3285" s="90">
        <v>257.23061846490202</v>
      </c>
      <c r="AX3285" s="90">
        <v>0.35892490999999999</v>
      </c>
    </row>
    <row r="3286" spans="1:50" x14ac:dyDescent="0.25">
      <c r="A3286" s="102">
        <v>840000</v>
      </c>
      <c r="B3286" s="102">
        <v>2500000</v>
      </c>
      <c r="C3286" s="102">
        <v>2500000</v>
      </c>
      <c r="D3286" s="90" t="s">
        <v>374</v>
      </c>
      <c r="E3286" s="90" t="s">
        <v>68</v>
      </c>
      <c r="F3286" s="90" t="s">
        <v>375</v>
      </c>
      <c r="G3286" s="90" t="s">
        <v>376</v>
      </c>
      <c r="H3286" s="90">
        <v>0.59</v>
      </c>
      <c r="I3286" s="90">
        <v>0.64</v>
      </c>
      <c r="J3286" s="90" t="s">
        <v>244</v>
      </c>
      <c r="K3286" s="90">
        <v>0.10706874634984</v>
      </c>
      <c r="L3286" s="90">
        <v>3786.0833751069899</v>
      </c>
      <c r="M3286" s="90">
        <v>11.631441886392601</v>
      </c>
      <c r="N3286" s="90">
        <v>1.53565670570623</v>
      </c>
      <c r="O3286" s="90">
        <v>1.2453639010170801</v>
      </c>
      <c r="P3286" s="90">
        <v>0.16442083830369</v>
      </c>
      <c r="Q3286" s="90">
        <v>405.371200548677</v>
      </c>
      <c r="R3286" s="90">
        <v>1410</v>
      </c>
      <c r="S3286" s="90" t="s">
        <v>325</v>
      </c>
      <c r="T3286" s="90">
        <v>1410</v>
      </c>
      <c r="U3286" s="90" t="s">
        <v>378</v>
      </c>
      <c r="V3286" s="90" t="s">
        <v>244</v>
      </c>
      <c r="Z3286" s="90">
        <v>0</v>
      </c>
      <c r="AA3286" s="90">
        <v>1</v>
      </c>
      <c r="AB3286" s="90">
        <v>1.2453639010170801</v>
      </c>
      <c r="AC3286" s="90">
        <v>0.16442083830369</v>
      </c>
      <c r="AD3286" s="90">
        <v>419.48329935937898</v>
      </c>
      <c r="AF3286" s="90">
        <v>-1</v>
      </c>
      <c r="AG3286" s="90">
        <v>-1</v>
      </c>
      <c r="AH3286" s="90">
        <v>-1</v>
      </c>
      <c r="AI3286" s="90">
        <v>-1</v>
      </c>
      <c r="AJ3286" s="90">
        <v>0</v>
      </c>
      <c r="AM3286" s="90" t="s">
        <v>379</v>
      </c>
      <c r="AN3286" s="90">
        <v>-1</v>
      </c>
      <c r="AQ3286" s="90">
        <v>391</v>
      </c>
      <c r="AR3286" s="90" t="s">
        <v>315</v>
      </c>
      <c r="AS3286" s="90" t="s">
        <v>430</v>
      </c>
      <c r="AT3286" s="90" t="s">
        <v>244</v>
      </c>
      <c r="AU3286" s="90">
        <v>22.5044</v>
      </c>
      <c r="AV3286" s="90">
        <v>88.372914993084194</v>
      </c>
      <c r="AW3286" s="90">
        <v>433.29184380416501</v>
      </c>
      <c r="AX3286" s="90">
        <v>0.34021354370000001</v>
      </c>
    </row>
    <row r="3287" spans="1:50" x14ac:dyDescent="0.25">
      <c r="A3287" s="102">
        <v>830000</v>
      </c>
      <c r="B3287" s="102">
        <v>2400000</v>
      </c>
      <c r="C3287" s="102">
        <v>2400000</v>
      </c>
      <c r="D3287" s="90" t="s">
        <v>374</v>
      </c>
      <c r="E3287" s="90" t="s">
        <v>68</v>
      </c>
      <c r="F3287" s="90" t="s">
        <v>375</v>
      </c>
      <c r="G3287" s="90" t="s">
        <v>376</v>
      </c>
      <c r="H3287" s="90">
        <v>0.59</v>
      </c>
      <c r="I3287" s="90">
        <v>0.64</v>
      </c>
      <c r="J3287" s="90" t="s">
        <v>244</v>
      </c>
      <c r="K3287" s="90">
        <v>2.3299770514E-4</v>
      </c>
      <c r="L3287" s="90">
        <v>3781.5528219098201</v>
      </c>
      <c r="M3287" s="90">
        <v>11.613667344485901</v>
      </c>
      <c r="N3287" s="90">
        <v>1.5335964676087399</v>
      </c>
      <c r="O3287" s="90">
        <v>2.70595783955E-3</v>
      </c>
      <c r="P3287" s="90">
        <v>3.5732445755999999E-4</v>
      </c>
      <c r="Q3287" s="90">
        <v>0.88109312938202</v>
      </c>
      <c r="R3287" s="90">
        <v>1400</v>
      </c>
      <c r="S3287" s="90" t="s">
        <v>324</v>
      </c>
      <c r="T3287" s="90">
        <v>1400</v>
      </c>
      <c r="U3287" s="90" t="s">
        <v>378</v>
      </c>
      <c r="V3287" s="90" t="s">
        <v>244</v>
      </c>
      <c r="Z3287" s="90">
        <v>0</v>
      </c>
      <c r="AA3287" s="90">
        <v>1</v>
      </c>
      <c r="AB3287" s="90">
        <v>2.70595783955E-3</v>
      </c>
      <c r="AC3287" s="90">
        <v>3.5732445755999999E-4</v>
      </c>
      <c r="AD3287" s="90">
        <v>67.536384305442994</v>
      </c>
      <c r="AF3287" s="90">
        <v>-1</v>
      </c>
      <c r="AG3287" s="90">
        <v>-1</v>
      </c>
      <c r="AH3287" s="90">
        <v>-1</v>
      </c>
      <c r="AI3287" s="90">
        <v>-1</v>
      </c>
      <c r="AJ3287" s="90">
        <v>0</v>
      </c>
      <c r="AM3287" s="90" t="s">
        <v>379</v>
      </c>
      <c r="AN3287" s="90">
        <v>-1</v>
      </c>
      <c r="AQ3287" s="90">
        <v>359</v>
      </c>
      <c r="AR3287" s="90" t="s">
        <v>431</v>
      </c>
      <c r="AS3287" s="90" t="s">
        <v>432</v>
      </c>
      <c r="AT3287" s="90" t="s">
        <v>244</v>
      </c>
      <c r="AU3287" s="90">
        <v>2.7003339999999998</v>
      </c>
      <c r="AV3287" s="90">
        <v>5.6586201814141202</v>
      </c>
      <c r="AW3287" s="90">
        <v>0.94290825946402002</v>
      </c>
      <c r="AX3287" s="90">
        <v>5.4774034300000003E-2</v>
      </c>
    </row>
    <row r="3288" spans="1:50" x14ac:dyDescent="0.25">
      <c r="A3288" s="102">
        <v>830000</v>
      </c>
      <c r="B3288" s="102">
        <v>2400000</v>
      </c>
      <c r="C3288" s="102">
        <v>2400000</v>
      </c>
      <c r="D3288" s="90" t="s">
        <v>374</v>
      </c>
      <c r="E3288" s="90" t="s">
        <v>68</v>
      </c>
      <c r="F3288" s="90" t="s">
        <v>375</v>
      </c>
      <c r="G3288" s="90" t="s">
        <v>376</v>
      </c>
      <c r="H3288" s="90">
        <v>0.59</v>
      </c>
      <c r="I3288" s="90">
        <v>0.64</v>
      </c>
      <c r="J3288" s="90" t="s">
        <v>244</v>
      </c>
      <c r="K3288" s="90">
        <v>2.8268601441760001E-2</v>
      </c>
      <c r="L3288" s="90">
        <v>3790.3923528691598</v>
      </c>
      <c r="M3288" s="90">
        <v>11.449605444225</v>
      </c>
      <c r="N3288" s="90">
        <v>1.5135817815647601</v>
      </c>
      <c r="O3288" s="90">
        <v>0.32366433296822</v>
      </c>
      <c r="P3288" s="90">
        <v>4.2786840132559997E-2</v>
      </c>
      <c r="Q3288" s="90">
        <v>107.14909073116</v>
      </c>
      <c r="R3288" s="90">
        <v>1400</v>
      </c>
      <c r="S3288" s="90" t="s">
        <v>324</v>
      </c>
      <c r="T3288" s="90">
        <v>1400</v>
      </c>
      <c r="U3288" s="90" t="s">
        <v>378</v>
      </c>
      <c r="V3288" s="90" t="s">
        <v>244</v>
      </c>
      <c r="Z3288" s="90">
        <v>0</v>
      </c>
      <c r="AA3288" s="90">
        <v>1</v>
      </c>
      <c r="AB3288" s="90">
        <v>0.32366433296822</v>
      </c>
      <c r="AC3288" s="90">
        <v>4.2786840132559997E-2</v>
      </c>
      <c r="AD3288" s="90">
        <v>128.609524965296</v>
      </c>
      <c r="AF3288" s="90">
        <v>-1</v>
      </c>
      <c r="AG3288" s="90">
        <v>-1</v>
      </c>
      <c r="AH3288" s="90">
        <v>-1</v>
      </c>
      <c r="AI3288" s="90">
        <v>-1</v>
      </c>
      <c r="AJ3288" s="90">
        <v>0</v>
      </c>
      <c r="AM3288" s="90" t="s">
        <v>379</v>
      </c>
      <c r="AN3288" s="90">
        <v>-1</v>
      </c>
      <c r="AQ3288" s="90">
        <v>359</v>
      </c>
      <c r="AR3288" s="90" t="s">
        <v>431</v>
      </c>
      <c r="AS3288" s="90" t="s">
        <v>432</v>
      </c>
      <c r="AT3288" s="90" t="s">
        <v>244</v>
      </c>
      <c r="AU3288" s="90">
        <v>2.7003339999999998</v>
      </c>
      <c r="AV3288" s="90">
        <v>104.576505043694</v>
      </c>
      <c r="AW3288" s="90">
        <v>114.39897129686101</v>
      </c>
      <c r="AX3288" s="90">
        <v>0.1043061841</v>
      </c>
    </row>
    <row r="3289" spans="1:50" x14ac:dyDescent="0.25">
      <c r="A3289" s="102">
        <v>830000</v>
      </c>
      <c r="B3289" s="102">
        <v>2400000</v>
      </c>
      <c r="C3289" s="102">
        <v>2400000</v>
      </c>
      <c r="D3289" s="90" t="s">
        <v>374</v>
      </c>
      <c r="E3289" s="90" t="s">
        <v>68</v>
      </c>
      <c r="F3289" s="90" t="s">
        <v>375</v>
      </c>
      <c r="G3289" s="90" t="s">
        <v>376</v>
      </c>
      <c r="H3289" s="90">
        <v>0.59</v>
      </c>
      <c r="I3289" s="90">
        <v>0.64</v>
      </c>
      <c r="J3289" s="90" t="s">
        <v>244</v>
      </c>
      <c r="K3289" s="90">
        <v>3.6007294609700001E-2</v>
      </c>
      <c r="L3289" s="90">
        <v>3790.3923528691598</v>
      </c>
      <c r="M3289" s="90">
        <v>11.449605444225</v>
      </c>
      <c r="N3289" s="90">
        <v>1.5135817815647601</v>
      </c>
      <c r="O3289" s="90">
        <v>0.41226931639505998</v>
      </c>
      <c r="P3289" s="90">
        <v>5.4499985124680003E-2</v>
      </c>
      <c r="Q3289" s="90">
        <v>136.481774136121</v>
      </c>
      <c r="R3289" s="90">
        <v>1410</v>
      </c>
      <c r="S3289" s="90" t="s">
        <v>325</v>
      </c>
      <c r="T3289" s="90">
        <v>1410</v>
      </c>
      <c r="U3289" s="90" t="s">
        <v>378</v>
      </c>
      <c r="V3289" s="90" t="s">
        <v>244</v>
      </c>
      <c r="Z3289" s="90">
        <v>0</v>
      </c>
      <c r="AA3289" s="90">
        <v>1</v>
      </c>
      <c r="AB3289" s="90">
        <v>0.41226931639505998</v>
      </c>
      <c r="AC3289" s="90">
        <v>5.4499985124680003E-2</v>
      </c>
      <c r="AD3289" s="90">
        <v>137.20643175301399</v>
      </c>
      <c r="AF3289" s="90">
        <v>-1</v>
      </c>
      <c r="AG3289" s="90">
        <v>-1</v>
      </c>
      <c r="AH3289" s="90">
        <v>-1</v>
      </c>
      <c r="AI3289" s="90">
        <v>-1</v>
      </c>
      <c r="AJ3289" s="90">
        <v>0</v>
      </c>
      <c r="AM3289" s="90" t="s">
        <v>379</v>
      </c>
      <c r="AN3289" s="90">
        <v>-1</v>
      </c>
      <c r="AQ3289" s="90">
        <v>359</v>
      </c>
      <c r="AR3289" s="90" t="s">
        <v>431</v>
      </c>
      <c r="AS3289" s="90" t="s">
        <v>432</v>
      </c>
      <c r="AT3289" s="90" t="s">
        <v>244</v>
      </c>
      <c r="AU3289" s="90">
        <v>2.7003339999999998</v>
      </c>
      <c r="AV3289" s="90">
        <v>91.595477811263194</v>
      </c>
      <c r="AW3289" s="90">
        <v>145.716351444521</v>
      </c>
      <c r="AX3289" s="90">
        <v>0.1112785335</v>
      </c>
    </row>
    <row r="3290" spans="1:50" x14ac:dyDescent="0.25">
      <c r="A3290" s="102">
        <v>830000</v>
      </c>
      <c r="B3290" s="102">
        <v>2400000</v>
      </c>
      <c r="C3290" s="102">
        <v>2400000</v>
      </c>
      <c r="D3290" s="90" t="s">
        <v>374</v>
      </c>
      <c r="E3290" s="90" t="s">
        <v>68</v>
      </c>
      <c r="F3290" s="90" t="s">
        <v>375</v>
      </c>
      <c r="G3290" s="90" t="s">
        <v>376</v>
      </c>
      <c r="H3290" s="90">
        <v>0.59</v>
      </c>
      <c r="I3290" s="90">
        <v>0.64</v>
      </c>
      <c r="J3290" s="90" t="s">
        <v>244</v>
      </c>
      <c r="K3290" s="90">
        <v>0.19170337936918</v>
      </c>
      <c r="L3290" s="90">
        <v>3790.3923528691598</v>
      </c>
      <c r="M3290" s="90">
        <v>11.449605444225</v>
      </c>
      <c r="N3290" s="90">
        <v>1.5135817815647601</v>
      </c>
      <c r="O3290" s="90">
        <v>2.1949280561017601</v>
      </c>
      <c r="P3290" s="90">
        <v>0.29015874247758999</v>
      </c>
      <c r="Q3290" s="90">
        <v>726.63102318013398</v>
      </c>
      <c r="R3290" s="90">
        <v>1410</v>
      </c>
      <c r="S3290" s="90" t="s">
        <v>325</v>
      </c>
      <c r="T3290" s="90">
        <v>1410</v>
      </c>
      <c r="U3290" s="90" t="s">
        <v>378</v>
      </c>
      <c r="V3290" s="90" t="s">
        <v>244</v>
      </c>
      <c r="Z3290" s="90">
        <v>0</v>
      </c>
      <c r="AA3290" s="90">
        <v>1</v>
      </c>
      <c r="AB3290" s="90">
        <v>2.1949280561017601</v>
      </c>
      <c r="AC3290" s="90">
        <v>0.29015874247758999</v>
      </c>
      <c r="AD3290" s="90">
        <v>730.21433062866402</v>
      </c>
      <c r="AF3290" s="90">
        <v>-1</v>
      </c>
      <c r="AG3290" s="90">
        <v>-1</v>
      </c>
      <c r="AH3290" s="90">
        <v>-1</v>
      </c>
      <c r="AI3290" s="90">
        <v>-1</v>
      </c>
      <c r="AJ3290" s="90">
        <v>0</v>
      </c>
      <c r="AM3290" s="90" t="s">
        <v>379</v>
      </c>
      <c r="AN3290" s="90">
        <v>-1</v>
      </c>
      <c r="AQ3290" s="90">
        <v>359</v>
      </c>
      <c r="AR3290" s="90" t="s">
        <v>431</v>
      </c>
      <c r="AS3290" s="90" t="s">
        <v>432</v>
      </c>
      <c r="AT3290" s="90" t="s">
        <v>244</v>
      </c>
      <c r="AU3290" s="90">
        <v>2.7003339999999998</v>
      </c>
      <c r="AV3290" s="90">
        <v>121.32832653140299</v>
      </c>
      <c r="AW3290" s="90">
        <v>775.79605199596801</v>
      </c>
      <c r="AX3290" s="90">
        <v>0.59222573450000005</v>
      </c>
    </row>
    <row r="3291" spans="1:50" x14ac:dyDescent="0.25">
      <c r="A3291" s="102">
        <v>830000</v>
      </c>
      <c r="B3291" s="102">
        <v>2400000</v>
      </c>
      <c r="C3291" s="102">
        <v>2400000</v>
      </c>
      <c r="D3291" s="90" t="s">
        <v>374</v>
      </c>
      <c r="E3291" s="90" t="s">
        <v>68</v>
      </c>
      <c r="F3291" s="90" t="s">
        <v>375</v>
      </c>
      <c r="G3291" s="90" t="s">
        <v>376</v>
      </c>
      <c r="H3291" s="90">
        <v>0.59</v>
      </c>
      <c r="I3291" s="90">
        <v>0.64</v>
      </c>
      <c r="J3291" s="90" t="s">
        <v>244</v>
      </c>
      <c r="K3291" s="90">
        <v>0.19153142436990001</v>
      </c>
      <c r="L3291" s="90">
        <v>3790.3923528691598</v>
      </c>
      <c r="M3291" s="90">
        <v>11.449605444225</v>
      </c>
      <c r="N3291" s="90">
        <v>1.5135817815647601</v>
      </c>
      <c r="O3291" s="90">
        <v>2.1929592392058801</v>
      </c>
      <c r="P3291" s="90">
        <v>0.28989847452343998</v>
      </c>
      <c r="Q3291" s="90">
        <v>725.97924626583699</v>
      </c>
      <c r="R3291" s="90">
        <v>1430</v>
      </c>
      <c r="S3291" s="90" t="s">
        <v>326</v>
      </c>
      <c r="T3291" s="90">
        <v>1430</v>
      </c>
      <c r="U3291" s="90" t="s">
        <v>378</v>
      </c>
      <c r="V3291" s="90" t="s">
        <v>244</v>
      </c>
      <c r="Z3291" s="90">
        <v>0</v>
      </c>
      <c r="AA3291" s="90">
        <v>1</v>
      </c>
      <c r="AB3291" s="90">
        <v>2.1929592392058801</v>
      </c>
      <c r="AC3291" s="90">
        <v>0.28989847452343998</v>
      </c>
      <c r="AD3291" s="90">
        <v>730.644666031621</v>
      </c>
      <c r="AF3291" s="90">
        <v>-1</v>
      </c>
      <c r="AG3291" s="90">
        <v>-1</v>
      </c>
      <c r="AH3291" s="90">
        <v>-1</v>
      </c>
      <c r="AI3291" s="90">
        <v>-1</v>
      </c>
      <c r="AJ3291" s="90">
        <v>0</v>
      </c>
      <c r="AM3291" s="90" t="s">
        <v>379</v>
      </c>
      <c r="AN3291" s="90">
        <v>-1</v>
      </c>
      <c r="AQ3291" s="90">
        <v>359</v>
      </c>
      <c r="AR3291" s="90" t="s">
        <v>431</v>
      </c>
      <c r="AS3291" s="90" t="s">
        <v>432</v>
      </c>
      <c r="AT3291" s="90" t="s">
        <v>244</v>
      </c>
      <c r="AU3291" s="90">
        <v>2.7003339999999998</v>
      </c>
      <c r="AV3291" s="90">
        <v>121.25238537455201</v>
      </c>
      <c r="AW3291" s="90">
        <v>775.10017480278304</v>
      </c>
      <c r="AX3291" s="90">
        <v>0.59257474939999999</v>
      </c>
    </row>
    <row r="3292" spans="1:50" x14ac:dyDescent="0.25">
      <c r="A3292" s="102">
        <v>830000</v>
      </c>
      <c r="B3292" s="102">
        <v>2400000</v>
      </c>
      <c r="C3292" s="102">
        <v>2400000</v>
      </c>
      <c r="D3292" s="90" t="s">
        <v>374</v>
      </c>
      <c r="E3292" s="90" t="s">
        <v>68</v>
      </c>
      <c r="F3292" s="90" t="s">
        <v>375</v>
      </c>
      <c r="G3292" s="90" t="s">
        <v>376</v>
      </c>
      <c r="H3292" s="90">
        <v>0.59</v>
      </c>
      <c r="I3292" s="90">
        <v>0.64</v>
      </c>
      <c r="J3292" s="90" t="s">
        <v>244</v>
      </c>
      <c r="K3292" s="90">
        <v>0.10346501192462</v>
      </c>
      <c r="L3292" s="90">
        <v>3790.3923528691598</v>
      </c>
      <c r="M3292" s="90">
        <v>11.449605444225</v>
      </c>
      <c r="N3292" s="90">
        <v>1.5135817815647601</v>
      </c>
      <c r="O3292" s="90">
        <v>1.184633563819</v>
      </c>
      <c r="P3292" s="90">
        <v>0.15660275707849</v>
      </c>
      <c r="Q3292" s="90">
        <v>392.17298998861497</v>
      </c>
      <c r="R3292" s="90">
        <v>1410</v>
      </c>
      <c r="S3292" s="90" t="s">
        <v>325</v>
      </c>
      <c r="T3292" s="90">
        <v>1410</v>
      </c>
      <c r="U3292" s="90" t="s">
        <v>378</v>
      </c>
      <c r="V3292" s="90" t="s">
        <v>244</v>
      </c>
      <c r="Z3292" s="90">
        <v>0</v>
      </c>
      <c r="AA3292" s="90">
        <v>1</v>
      </c>
      <c r="AB3292" s="90">
        <v>1.184633563819</v>
      </c>
      <c r="AC3292" s="90">
        <v>0.15660275707849</v>
      </c>
      <c r="AD3292" s="90">
        <v>394.92819150384202</v>
      </c>
      <c r="AF3292" s="90">
        <v>-1</v>
      </c>
      <c r="AG3292" s="90">
        <v>-1</v>
      </c>
      <c r="AH3292" s="90">
        <v>-1</v>
      </c>
      <c r="AI3292" s="90">
        <v>-1</v>
      </c>
      <c r="AJ3292" s="90">
        <v>0</v>
      </c>
      <c r="AM3292" s="90" t="s">
        <v>379</v>
      </c>
      <c r="AN3292" s="90">
        <v>-1</v>
      </c>
      <c r="AQ3292" s="90">
        <v>359</v>
      </c>
      <c r="AR3292" s="90" t="s">
        <v>431</v>
      </c>
      <c r="AS3292" s="90" t="s">
        <v>432</v>
      </c>
      <c r="AT3292" s="90" t="s">
        <v>244</v>
      </c>
      <c r="AU3292" s="90">
        <v>2.7003339999999998</v>
      </c>
      <c r="AV3292" s="90">
        <v>104.34890864663301</v>
      </c>
      <c r="AW3292" s="90">
        <v>418.70804800086103</v>
      </c>
      <c r="AX3292" s="90">
        <v>0.32029861440000001</v>
      </c>
    </row>
    <row r="3293" spans="1:50" x14ac:dyDescent="0.25">
      <c r="A3293" s="102">
        <v>830000</v>
      </c>
      <c r="B3293" s="102">
        <v>2400000</v>
      </c>
      <c r="C3293" s="102">
        <v>2400000</v>
      </c>
      <c r="D3293" s="90" t="s">
        <v>374</v>
      </c>
      <c r="E3293" s="90" t="s">
        <v>68</v>
      </c>
      <c r="F3293" s="90" t="s">
        <v>375</v>
      </c>
      <c r="G3293" s="90" t="s">
        <v>376</v>
      </c>
      <c r="H3293" s="90">
        <v>0.59</v>
      </c>
      <c r="I3293" s="90">
        <v>0.64</v>
      </c>
      <c r="J3293" s="90" t="s">
        <v>381</v>
      </c>
      <c r="K3293" s="90">
        <v>7.0069581460199997E-3</v>
      </c>
      <c r="L3293" s="90">
        <v>3781.6809473344902</v>
      </c>
      <c r="M3293" s="90">
        <v>11.6186390453675</v>
      </c>
      <c r="N3293" s="90">
        <v>1.5339592407437901</v>
      </c>
      <c r="O3293" s="90">
        <v>8.1411317504599998E-2</v>
      </c>
      <c r="P3293" s="90">
        <v>1.0748388197589999E-2</v>
      </c>
      <c r="Q3293" s="90">
        <v>26.498080119573999</v>
      </c>
      <c r="R3293" s="90">
        <v>1400</v>
      </c>
      <c r="S3293" s="90" t="s">
        <v>324</v>
      </c>
      <c r="T3293" s="90">
        <v>1400</v>
      </c>
      <c r="U3293" s="90" t="s">
        <v>382</v>
      </c>
      <c r="V3293" s="90" t="s">
        <v>381</v>
      </c>
      <c r="Z3293" s="90">
        <v>0</v>
      </c>
      <c r="AA3293" s="90">
        <v>1</v>
      </c>
      <c r="AB3293" s="90">
        <v>8.1411317504599998E-2</v>
      </c>
      <c r="AC3293" s="90">
        <v>1.0748388197589999E-2</v>
      </c>
      <c r="AD3293" s="90">
        <v>875.83325341438797</v>
      </c>
      <c r="AF3293" s="90">
        <v>-1</v>
      </c>
      <c r="AG3293" s="90">
        <v>-1</v>
      </c>
      <c r="AH3293" s="90">
        <v>-1</v>
      </c>
      <c r="AI3293" s="90">
        <v>-1</v>
      </c>
      <c r="AJ3293" s="90">
        <v>0</v>
      </c>
      <c r="AM3293" s="90" t="s">
        <v>379</v>
      </c>
      <c r="AN3293" s="90">
        <v>-1</v>
      </c>
      <c r="AQ3293" s="90">
        <v>359</v>
      </c>
      <c r="AR3293" s="90" t="s">
        <v>431</v>
      </c>
      <c r="AS3293" s="90" t="s">
        <v>432</v>
      </c>
      <c r="AT3293" s="90" t="s">
        <v>244</v>
      </c>
      <c r="AU3293" s="90">
        <v>2.7003339999999998</v>
      </c>
      <c r="AV3293" s="90">
        <v>35.943204759103402</v>
      </c>
      <c r="AW3293" s="90">
        <v>28.356153574710898</v>
      </c>
      <c r="AX3293" s="90">
        <v>0.71032705060000001</v>
      </c>
    </row>
    <row r="3294" spans="1:50" x14ac:dyDescent="0.25">
      <c r="A3294" s="102">
        <v>830000</v>
      </c>
      <c r="B3294" s="102">
        <v>2400000</v>
      </c>
      <c r="C3294" s="102">
        <v>2400000</v>
      </c>
      <c r="D3294" s="90" t="s">
        <v>374</v>
      </c>
      <c r="E3294" s="90" t="s">
        <v>68</v>
      </c>
      <c r="F3294" s="90" t="s">
        <v>375</v>
      </c>
      <c r="G3294" s="90" t="s">
        <v>376</v>
      </c>
      <c r="H3294" s="90">
        <v>0.59</v>
      </c>
      <c r="I3294" s="90">
        <v>0.64</v>
      </c>
      <c r="J3294" s="90" t="s">
        <v>244</v>
      </c>
      <c r="K3294" s="90">
        <v>1.0481043428400001E-3</v>
      </c>
      <c r="L3294" s="90">
        <v>3760.7648778764101</v>
      </c>
      <c r="M3294" s="90">
        <v>10.835456854547701</v>
      </c>
      <c r="N3294" s="90">
        <v>1.47671474622511</v>
      </c>
      <c r="O3294" s="90">
        <v>1.1356689385950001E-2</v>
      </c>
      <c r="P3294" s="90">
        <v>1.5477511386599999E-3</v>
      </c>
      <c r="Q3294" s="90">
        <v>3.94167400091745</v>
      </c>
      <c r="R3294" s="90">
        <v>1400</v>
      </c>
      <c r="S3294" s="90" t="s">
        <v>324</v>
      </c>
      <c r="T3294" s="90">
        <v>1400</v>
      </c>
      <c r="U3294" s="90" t="s">
        <v>378</v>
      </c>
      <c r="V3294" s="90" t="s">
        <v>244</v>
      </c>
      <c r="Z3294" s="90">
        <v>0</v>
      </c>
      <c r="AA3294" s="90">
        <v>1</v>
      </c>
      <c r="AB3294" s="90">
        <v>1.1356689385950001E-2</v>
      </c>
      <c r="AC3294" s="90">
        <v>1.5477511386599999E-3</v>
      </c>
      <c r="AD3294" s="90">
        <v>84.767848985817295</v>
      </c>
      <c r="AF3294" s="90">
        <v>-1</v>
      </c>
      <c r="AG3294" s="90">
        <v>-1</v>
      </c>
      <c r="AH3294" s="90">
        <v>-1</v>
      </c>
      <c r="AI3294" s="90">
        <v>-1</v>
      </c>
      <c r="AJ3294" s="90">
        <v>0</v>
      </c>
      <c r="AM3294" s="90" t="s">
        <v>379</v>
      </c>
      <c r="AN3294" s="90">
        <v>-1</v>
      </c>
      <c r="AQ3294" s="90">
        <v>359</v>
      </c>
      <c r="AR3294" s="90" t="s">
        <v>431</v>
      </c>
      <c r="AS3294" s="90" t="s">
        <v>432</v>
      </c>
      <c r="AT3294" s="90" t="s">
        <v>244</v>
      </c>
      <c r="AU3294" s="90">
        <v>2.7003339999999998</v>
      </c>
      <c r="AV3294" s="90">
        <v>8.8215843152392104</v>
      </c>
      <c r="AW3294" s="90">
        <v>4.2415277911837599</v>
      </c>
      <c r="AX3294" s="90">
        <v>6.8749269299999999E-2</v>
      </c>
    </row>
    <row r="3295" spans="1:50" x14ac:dyDescent="0.25">
      <c r="A3295" s="102">
        <v>830000</v>
      </c>
      <c r="B3295" s="102">
        <v>2400000</v>
      </c>
      <c r="C3295" s="102">
        <v>2400000</v>
      </c>
      <c r="D3295" s="90" t="s">
        <v>374</v>
      </c>
      <c r="E3295" s="90" t="s">
        <v>68</v>
      </c>
      <c r="F3295" s="90" t="s">
        <v>375</v>
      </c>
      <c r="G3295" s="90" t="s">
        <v>376</v>
      </c>
      <c r="H3295" s="90">
        <v>0.59</v>
      </c>
      <c r="I3295" s="90">
        <v>0.64</v>
      </c>
      <c r="J3295" s="90" t="s">
        <v>244</v>
      </c>
      <c r="K3295" s="90">
        <v>3.4170686940520001E-2</v>
      </c>
      <c r="L3295" s="90">
        <v>3760.7648778764101</v>
      </c>
      <c r="M3295" s="90">
        <v>10.835456854547701</v>
      </c>
      <c r="N3295" s="90">
        <v>1.47671474622511</v>
      </c>
      <c r="O3295" s="90">
        <v>0.37025500403428002</v>
      </c>
      <c r="P3295" s="90">
        <v>5.0460357293709998E-2</v>
      </c>
      <c r="Q3295" s="90">
        <v>128.50791929882499</v>
      </c>
      <c r="R3295" s="90">
        <v>1410</v>
      </c>
      <c r="S3295" s="90" t="s">
        <v>325</v>
      </c>
      <c r="T3295" s="90">
        <v>1410</v>
      </c>
      <c r="U3295" s="90" t="s">
        <v>378</v>
      </c>
      <c r="V3295" s="90" t="s">
        <v>244</v>
      </c>
      <c r="Z3295" s="90">
        <v>0</v>
      </c>
      <c r="AA3295" s="90">
        <v>1</v>
      </c>
      <c r="AB3295" s="90">
        <v>0.37025500403428002</v>
      </c>
      <c r="AC3295" s="90">
        <v>5.0460357293709998E-2</v>
      </c>
      <c r="AD3295" s="90">
        <v>724.08783190205395</v>
      </c>
      <c r="AF3295" s="90">
        <v>-1</v>
      </c>
      <c r="AG3295" s="90">
        <v>-1</v>
      </c>
      <c r="AH3295" s="90">
        <v>-1</v>
      </c>
      <c r="AI3295" s="90">
        <v>-1</v>
      </c>
      <c r="AJ3295" s="90">
        <v>0</v>
      </c>
      <c r="AM3295" s="90" t="s">
        <v>379</v>
      </c>
      <c r="AN3295" s="90">
        <v>-1</v>
      </c>
      <c r="AQ3295" s="90">
        <v>359</v>
      </c>
      <c r="AR3295" s="90" t="s">
        <v>431</v>
      </c>
      <c r="AS3295" s="90" t="s">
        <v>432</v>
      </c>
      <c r="AT3295" s="90" t="s">
        <v>244</v>
      </c>
      <c r="AU3295" s="90">
        <v>2.7003339999999998</v>
      </c>
      <c r="AV3295" s="90">
        <v>89.378020607771106</v>
      </c>
      <c r="AW3295" s="90">
        <v>138.28386390307</v>
      </c>
      <c r="AX3295" s="90">
        <v>0.58725696019999996</v>
      </c>
    </row>
    <row r="3296" spans="1:50" x14ac:dyDescent="0.25">
      <c r="A3296" s="102">
        <v>830000</v>
      </c>
      <c r="B3296" s="102">
        <v>2400000</v>
      </c>
      <c r="C3296" s="102">
        <v>2400000</v>
      </c>
      <c r="D3296" s="90" t="s">
        <v>374</v>
      </c>
      <c r="E3296" s="90" t="s">
        <v>68</v>
      </c>
      <c r="F3296" s="90" t="s">
        <v>375</v>
      </c>
      <c r="G3296" s="90" t="s">
        <v>376</v>
      </c>
      <c r="H3296" s="90">
        <v>0.59</v>
      </c>
      <c r="I3296" s="90">
        <v>0.64</v>
      </c>
      <c r="J3296" s="90" t="s">
        <v>244</v>
      </c>
      <c r="K3296" s="90">
        <v>1.6147322900939998E-2</v>
      </c>
      <c r="L3296" s="90">
        <v>3760.7648778764101</v>
      </c>
      <c r="M3296" s="90">
        <v>10.835456854547701</v>
      </c>
      <c r="N3296" s="90">
        <v>1.47671474622511</v>
      </c>
      <c r="O3296" s="90">
        <v>0.17496362060959</v>
      </c>
      <c r="P3296" s="90">
        <v>2.384498983987E-2</v>
      </c>
      <c r="Q3296" s="90">
        <v>60.726284837588302</v>
      </c>
      <c r="R3296" s="90">
        <v>1410</v>
      </c>
      <c r="S3296" s="90" t="s">
        <v>325</v>
      </c>
      <c r="T3296" s="90">
        <v>1410</v>
      </c>
      <c r="U3296" s="90" t="s">
        <v>378</v>
      </c>
      <c r="V3296" s="90" t="s">
        <v>244</v>
      </c>
      <c r="Z3296" s="90">
        <v>0</v>
      </c>
      <c r="AA3296" s="90">
        <v>1</v>
      </c>
      <c r="AB3296" s="90">
        <v>0.17496362060959</v>
      </c>
      <c r="AC3296" s="90">
        <v>2.384498983987E-2</v>
      </c>
      <c r="AD3296" s="90">
        <v>60.764194503192599</v>
      </c>
      <c r="AF3296" s="90">
        <v>-1</v>
      </c>
      <c r="AG3296" s="90">
        <v>-1</v>
      </c>
      <c r="AH3296" s="90">
        <v>-1</v>
      </c>
      <c r="AI3296" s="90">
        <v>-1</v>
      </c>
      <c r="AJ3296" s="90">
        <v>0</v>
      </c>
      <c r="AM3296" s="90" t="s">
        <v>379</v>
      </c>
      <c r="AN3296" s="90">
        <v>-1</v>
      </c>
      <c r="AQ3296" s="90">
        <v>359</v>
      </c>
      <c r="AR3296" s="90" t="s">
        <v>431</v>
      </c>
      <c r="AS3296" s="90" t="s">
        <v>432</v>
      </c>
      <c r="AT3296" s="90" t="s">
        <v>244</v>
      </c>
      <c r="AU3296" s="90">
        <v>2.7003339999999998</v>
      </c>
      <c r="AV3296" s="90">
        <v>88.009953548691897</v>
      </c>
      <c r="AW3296" s="90">
        <v>65.345897386241205</v>
      </c>
      <c r="AX3296" s="90">
        <v>4.9281585199999998E-2</v>
      </c>
    </row>
    <row r="3297" spans="1:50" x14ac:dyDescent="0.25">
      <c r="A3297" s="102">
        <v>830000</v>
      </c>
      <c r="B3297" s="102">
        <v>2400000</v>
      </c>
      <c r="C3297" s="102">
        <v>2400000</v>
      </c>
      <c r="D3297" s="90" t="s">
        <v>374</v>
      </c>
      <c r="E3297" s="90" t="s">
        <v>68</v>
      </c>
      <c r="F3297" s="90" t="s">
        <v>375</v>
      </c>
      <c r="G3297" s="90" t="s">
        <v>376</v>
      </c>
      <c r="H3297" s="90">
        <v>0.59</v>
      </c>
      <c r="I3297" s="90">
        <v>0.64</v>
      </c>
      <c r="J3297" s="90" t="s">
        <v>381</v>
      </c>
      <c r="K3297" s="90">
        <v>2.299492552554E-2</v>
      </c>
      <c r="L3297" s="90">
        <v>3779.1791647033701</v>
      </c>
      <c r="M3297" s="90">
        <v>11.498271058994099</v>
      </c>
      <c r="N3297" s="90">
        <v>1.61690997092292</v>
      </c>
      <c r="O3297" s="90">
        <v>0.26440188667407999</v>
      </c>
      <c r="P3297" s="90">
        <v>3.7180724362880002E-2</v>
      </c>
      <c r="Q3297" s="90">
        <v>86.901943440041606</v>
      </c>
      <c r="R3297" s="90">
        <v>1400</v>
      </c>
      <c r="S3297" s="90" t="s">
        <v>324</v>
      </c>
      <c r="T3297" s="90">
        <v>1400</v>
      </c>
      <c r="U3297" s="90" t="s">
        <v>382</v>
      </c>
      <c r="V3297" s="90" t="s">
        <v>381</v>
      </c>
      <c r="Z3297" s="90">
        <v>0</v>
      </c>
      <c r="AA3297" s="90">
        <v>1</v>
      </c>
      <c r="AB3297" s="90">
        <v>0.26440188667407999</v>
      </c>
      <c r="AC3297" s="90">
        <v>3.7180724362880002E-2</v>
      </c>
      <c r="AD3297" s="90">
        <v>875.17467111546705</v>
      </c>
      <c r="AF3297" s="90">
        <v>-1</v>
      </c>
      <c r="AG3297" s="90">
        <v>-1</v>
      </c>
      <c r="AH3297" s="90">
        <v>-1</v>
      </c>
      <c r="AI3297" s="90">
        <v>-1</v>
      </c>
      <c r="AJ3297" s="90">
        <v>0</v>
      </c>
      <c r="AM3297" s="90" t="s">
        <v>379</v>
      </c>
      <c r="AN3297" s="90">
        <v>-1</v>
      </c>
      <c r="AQ3297" s="90">
        <v>359</v>
      </c>
      <c r="AR3297" s="90" t="s">
        <v>431</v>
      </c>
      <c r="AS3297" s="90" t="s">
        <v>432</v>
      </c>
      <c r="AT3297" s="90" t="s">
        <v>244</v>
      </c>
      <c r="AU3297" s="90">
        <v>2.7003339999999998</v>
      </c>
      <c r="AV3297" s="90">
        <v>103.727331146693</v>
      </c>
      <c r="AW3297" s="90">
        <v>93.057162045656497</v>
      </c>
      <c r="AX3297" s="90">
        <v>0.70979292059999999</v>
      </c>
    </row>
    <row r="3298" spans="1:50" x14ac:dyDescent="0.25">
      <c r="A3298" s="102">
        <v>830000</v>
      </c>
      <c r="B3298" s="102">
        <v>2400000</v>
      </c>
      <c r="C3298" s="102">
        <v>2400000</v>
      </c>
      <c r="D3298" s="90" t="s">
        <v>374</v>
      </c>
      <c r="E3298" s="90" t="s">
        <v>68</v>
      </c>
      <c r="F3298" s="90" t="s">
        <v>375</v>
      </c>
      <c r="G3298" s="90" t="s">
        <v>376</v>
      </c>
      <c r="H3298" s="90">
        <v>0.59</v>
      </c>
      <c r="I3298" s="90">
        <v>0.64</v>
      </c>
      <c r="J3298" s="90" t="s">
        <v>244</v>
      </c>
      <c r="K3298" s="90">
        <v>0.22306435352734</v>
      </c>
      <c r="L3298" s="90">
        <v>3817.9346363518898</v>
      </c>
      <c r="M3298" s="90">
        <v>10.885167909686601</v>
      </c>
      <c r="N3298" s="90">
        <v>1.44549023317269</v>
      </c>
      <c r="O3298" s="90">
        <v>2.4280929428108</v>
      </c>
      <c r="P3298" s="90">
        <v>0.32243734439275001</v>
      </c>
      <c r="Q3298" s="90">
        <v>851.64512146747495</v>
      </c>
      <c r="R3298" s="90">
        <v>1400</v>
      </c>
      <c r="S3298" s="90" t="s">
        <v>324</v>
      </c>
      <c r="T3298" s="90">
        <v>1400</v>
      </c>
      <c r="U3298" s="90" t="s">
        <v>378</v>
      </c>
      <c r="V3298" s="90" t="s">
        <v>244</v>
      </c>
      <c r="Z3298" s="90">
        <v>0</v>
      </c>
      <c r="AA3298" s="90">
        <v>1</v>
      </c>
      <c r="AB3298" s="90">
        <v>2.4280929428108</v>
      </c>
      <c r="AC3298" s="90">
        <v>0.32243734439275001</v>
      </c>
      <c r="AD3298" s="90">
        <v>853.60643822976499</v>
      </c>
      <c r="AF3298" s="90">
        <v>-1</v>
      </c>
      <c r="AG3298" s="90">
        <v>-1</v>
      </c>
      <c r="AH3298" s="90">
        <v>-1</v>
      </c>
      <c r="AI3298" s="90">
        <v>-1</v>
      </c>
      <c r="AJ3298" s="90">
        <v>0</v>
      </c>
      <c r="AM3298" s="90" t="s">
        <v>379</v>
      </c>
      <c r="AN3298" s="90">
        <v>-1</v>
      </c>
      <c r="AQ3298" s="90">
        <v>359</v>
      </c>
      <c r="AR3298" s="90" t="s">
        <v>431</v>
      </c>
      <c r="AS3298" s="90" t="s">
        <v>432</v>
      </c>
      <c r="AT3298" s="90" t="s">
        <v>244</v>
      </c>
      <c r="AU3298" s="90">
        <v>2.7003339999999998</v>
      </c>
      <c r="AV3298" s="90">
        <v>189.84719680433199</v>
      </c>
      <c r="AW3298" s="90">
        <v>902.70941168061802</v>
      </c>
      <c r="AX3298" s="90">
        <v>0.69230043649999995</v>
      </c>
    </row>
    <row r="3299" spans="1:50" x14ac:dyDescent="0.25">
      <c r="A3299" s="102">
        <v>830000</v>
      </c>
      <c r="B3299" s="102">
        <v>2400000</v>
      </c>
      <c r="C3299" s="102">
        <v>2400000</v>
      </c>
      <c r="D3299" s="90" t="s">
        <v>374</v>
      </c>
      <c r="E3299" s="90" t="s">
        <v>68</v>
      </c>
      <c r="F3299" s="90" t="s">
        <v>375</v>
      </c>
      <c r="G3299" s="90" t="s">
        <v>376</v>
      </c>
      <c r="H3299" s="90">
        <v>0.59</v>
      </c>
      <c r="I3299" s="90">
        <v>0.64</v>
      </c>
      <c r="J3299" s="90" t="s">
        <v>244</v>
      </c>
      <c r="K3299" s="90">
        <v>0.17607219805443</v>
      </c>
      <c r="L3299" s="90">
        <v>3817.9346363518898</v>
      </c>
      <c r="M3299" s="90">
        <v>10.885167909686601</v>
      </c>
      <c r="N3299" s="90">
        <v>1.44549023317269</v>
      </c>
      <c r="O3299" s="90">
        <v>1.91657544005013</v>
      </c>
      <c r="P3299" s="90">
        <v>0.25451064262092998</v>
      </c>
      <c r="Q3299" s="90">
        <v>672.23214345063798</v>
      </c>
      <c r="R3299" s="90">
        <v>1410</v>
      </c>
      <c r="S3299" s="90" t="s">
        <v>325</v>
      </c>
      <c r="T3299" s="90">
        <v>1410</v>
      </c>
      <c r="U3299" s="90" t="s">
        <v>378</v>
      </c>
      <c r="V3299" s="90" t="s">
        <v>244</v>
      </c>
      <c r="Z3299" s="90">
        <v>0</v>
      </c>
      <c r="AA3299" s="90">
        <v>1</v>
      </c>
      <c r="AB3299" s="90">
        <v>1.91657544005013</v>
      </c>
      <c r="AC3299" s="90">
        <v>0.25451064262092998</v>
      </c>
      <c r="AD3299" s="90">
        <v>672.77064356957499</v>
      </c>
      <c r="AF3299" s="90">
        <v>-1</v>
      </c>
      <c r="AG3299" s="90">
        <v>-1</v>
      </c>
      <c r="AH3299" s="90">
        <v>-1</v>
      </c>
      <c r="AI3299" s="90">
        <v>-1</v>
      </c>
      <c r="AJ3299" s="90">
        <v>0</v>
      </c>
      <c r="AM3299" s="90" t="s">
        <v>379</v>
      </c>
      <c r="AN3299" s="90">
        <v>-1</v>
      </c>
      <c r="AQ3299" s="90">
        <v>359</v>
      </c>
      <c r="AR3299" s="90" t="s">
        <v>431</v>
      </c>
      <c r="AS3299" s="90" t="s">
        <v>432</v>
      </c>
      <c r="AT3299" s="90" t="s">
        <v>244</v>
      </c>
      <c r="AU3299" s="90">
        <v>2.7003339999999998</v>
      </c>
      <c r="AV3299" s="90">
        <v>118.469835019434</v>
      </c>
      <c r="AW3299" s="90">
        <v>712.53890550267397</v>
      </c>
      <c r="AX3299" s="90">
        <v>0.54563718049999999</v>
      </c>
    </row>
    <row r="3300" spans="1:50" x14ac:dyDescent="0.25">
      <c r="A3300" s="102">
        <v>830000</v>
      </c>
      <c r="B3300" s="102">
        <v>2400000</v>
      </c>
      <c r="C3300" s="102">
        <v>2400000</v>
      </c>
      <c r="D3300" s="90" t="s">
        <v>374</v>
      </c>
      <c r="E3300" s="90" t="s">
        <v>68</v>
      </c>
      <c r="F3300" s="90" t="s">
        <v>375</v>
      </c>
      <c r="G3300" s="90" t="s">
        <v>376</v>
      </c>
      <c r="H3300" s="90">
        <v>0.59</v>
      </c>
      <c r="I3300" s="90">
        <v>0.64</v>
      </c>
      <c r="J3300" s="90" t="s">
        <v>244</v>
      </c>
      <c r="K3300" s="90">
        <v>0.15586763793448999</v>
      </c>
      <c r="L3300" s="90">
        <v>3817.9346363518898</v>
      </c>
      <c r="M3300" s="90">
        <v>10.885167909686601</v>
      </c>
      <c r="N3300" s="90">
        <v>1.44549023317269</v>
      </c>
      <c r="O3300" s="90">
        <v>1.69664541060325</v>
      </c>
      <c r="P3300" s="90">
        <v>0.22530514830201001</v>
      </c>
      <c r="Q3300" s="90">
        <v>595.09245355647602</v>
      </c>
      <c r="R3300" s="90">
        <v>1410</v>
      </c>
      <c r="S3300" s="90" t="s">
        <v>325</v>
      </c>
      <c r="T3300" s="90">
        <v>1410</v>
      </c>
      <c r="U3300" s="90" t="s">
        <v>378</v>
      </c>
      <c r="V3300" s="90" t="s">
        <v>244</v>
      </c>
      <c r="Z3300" s="90">
        <v>0</v>
      </c>
      <c r="AA3300" s="90">
        <v>1</v>
      </c>
      <c r="AB3300" s="90">
        <v>1.69664541060325</v>
      </c>
      <c r="AC3300" s="90">
        <v>0.22530514830201001</v>
      </c>
      <c r="AD3300" s="90">
        <v>597.10453176932594</v>
      </c>
      <c r="AF3300" s="90">
        <v>-1</v>
      </c>
      <c r="AG3300" s="90">
        <v>-1</v>
      </c>
      <c r="AH3300" s="90">
        <v>-1</v>
      </c>
      <c r="AI3300" s="90">
        <v>-1</v>
      </c>
      <c r="AJ3300" s="90">
        <v>0</v>
      </c>
      <c r="AM3300" s="90" t="s">
        <v>379</v>
      </c>
      <c r="AN3300" s="90">
        <v>-1</v>
      </c>
      <c r="AQ3300" s="90">
        <v>359</v>
      </c>
      <c r="AR3300" s="90" t="s">
        <v>431</v>
      </c>
      <c r="AS3300" s="90" t="s">
        <v>432</v>
      </c>
      <c r="AT3300" s="90" t="s">
        <v>244</v>
      </c>
      <c r="AU3300" s="90">
        <v>2.7003339999999998</v>
      </c>
      <c r="AV3300" s="90">
        <v>114.525089361347</v>
      </c>
      <c r="AW3300" s="90">
        <v>630.77395161953996</v>
      </c>
      <c r="AX3300" s="90">
        <v>0.48426969320000002</v>
      </c>
    </row>
    <row r="3301" spans="1:50" x14ac:dyDescent="0.25">
      <c r="A3301" s="102">
        <v>830000</v>
      </c>
      <c r="B3301" s="102">
        <v>2400000</v>
      </c>
      <c r="C3301" s="102">
        <v>2400000</v>
      </c>
      <c r="D3301" s="90" t="s">
        <v>374</v>
      </c>
      <c r="E3301" s="90" t="s">
        <v>68</v>
      </c>
      <c r="F3301" s="90" t="s">
        <v>375</v>
      </c>
      <c r="G3301" s="90" t="s">
        <v>376</v>
      </c>
      <c r="H3301" s="90">
        <v>0.59</v>
      </c>
      <c r="I3301" s="90">
        <v>0.64</v>
      </c>
      <c r="J3301" s="90" t="s">
        <v>244</v>
      </c>
      <c r="K3301" s="90">
        <v>0.23667108455391</v>
      </c>
      <c r="L3301" s="90">
        <v>3825.5424925667699</v>
      </c>
      <c r="M3301" s="90">
        <v>10.713989350785001</v>
      </c>
      <c r="N3301" s="90">
        <v>1.42481724777292</v>
      </c>
      <c r="O3301" s="90">
        <v>2.5356914795493801</v>
      </c>
      <c r="P3301" s="90">
        <v>0.33721304332154001</v>
      </c>
      <c r="Q3301" s="90">
        <v>905.39529072286302</v>
      </c>
      <c r="R3301" s="90">
        <v>1400</v>
      </c>
      <c r="S3301" s="90" t="s">
        <v>324</v>
      </c>
      <c r="T3301" s="90">
        <v>1400</v>
      </c>
      <c r="U3301" s="90" t="s">
        <v>378</v>
      </c>
      <c r="V3301" s="90" t="s">
        <v>244</v>
      </c>
      <c r="Z3301" s="90">
        <v>0</v>
      </c>
      <c r="AA3301" s="90">
        <v>1</v>
      </c>
      <c r="AB3301" s="90">
        <v>2.5356914795493801</v>
      </c>
      <c r="AC3301" s="90">
        <v>0.33721304332154001</v>
      </c>
      <c r="AD3301" s="90">
        <v>905.39529072286302</v>
      </c>
      <c r="AF3301" s="90">
        <v>-1</v>
      </c>
      <c r="AG3301" s="90">
        <v>-1</v>
      </c>
      <c r="AH3301" s="90">
        <v>-1</v>
      </c>
      <c r="AI3301" s="90">
        <v>-1</v>
      </c>
      <c r="AJ3301" s="90">
        <v>0</v>
      </c>
      <c r="AM3301" s="90" t="s">
        <v>379</v>
      </c>
      <c r="AN3301" s="90">
        <v>-1</v>
      </c>
      <c r="AQ3301" s="90">
        <v>359</v>
      </c>
      <c r="AR3301" s="90" t="s">
        <v>431</v>
      </c>
      <c r="AS3301" s="90" t="s">
        <v>432</v>
      </c>
      <c r="AT3301" s="90" t="s">
        <v>244</v>
      </c>
      <c r="AU3301" s="90">
        <v>2.7003339999999998</v>
      </c>
      <c r="AV3301" s="90">
        <v>191.41614701723501</v>
      </c>
      <c r="AW3301" s="90">
        <v>957.77389852338001</v>
      </c>
      <c r="AX3301" s="90">
        <v>0.73430275</v>
      </c>
    </row>
    <row r="3302" spans="1:50" x14ac:dyDescent="0.25">
      <c r="A3302" s="102">
        <v>830000</v>
      </c>
      <c r="B3302" s="102">
        <v>2400000</v>
      </c>
      <c r="C3302" s="102">
        <v>2400000</v>
      </c>
      <c r="D3302" s="90" t="s">
        <v>374</v>
      </c>
      <c r="E3302" s="90" t="s">
        <v>68</v>
      </c>
      <c r="F3302" s="90" t="s">
        <v>375</v>
      </c>
      <c r="G3302" s="90" t="s">
        <v>376</v>
      </c>
      <c r="H3302" s="90">
        <v>0.59</v>
      </c>
      <c r="I3302" s="90">
        <v>0.64</v>
      </c>
      <c r="J3302" s="90" t="s">
        <v>381</v>
      </c>
      <c r="K3302" s="90">
        <v>9.6829398746000001E-4</v>
      </c>
      <c r="L3302" s="90">
        <v>3825.5424925667699</v>
      </c>
      <c r="M3302" s="90">
        <v>10.713989350785001</v>
      </c>
      <c r="N3302" s="90">
        <v>1.42481724777292</v>
      </c>
      <c r="O3302" s="90">
        <v>1.037429147008E-2</v>
      </c>
      <c r="P3302" s="90">
        <v>1.3796419742399999E-3</v>
      </c>
      <c r="Q3302" s="90">
        <v>3.7042497943289701</v>
      </c>
      <c r="R3302" s="90">
        <v>1400</v>
      </c>
      <c r="S3302" s="90" t="s">
        <v>324</v>
      </c>
      <c r="T3302" s="90">
        <v>1400</v>
      </c>
      <c r="U3302" s="90" t="s">
        <v>382</v>
      </c>
      <c r="V3302" s="90" t="s">
        <v>381</v>
      </c>
      <c r="Z3302" s="90">
        <v>0</v>
      </c>
      <c r="AA3302" s="90">
        <v>1</v>
      </c>
      <c r="AB3302" s="90">
        <v>1.037429147008E-2</v>
      </c>
      <c r="AC3302" s="90">
        <v>1.3796419742399999E-3</v>
      </c>
      <c r="AD3302" s="90">
        <v>183.109701025145</v>
      </c>
      <c r="AF3302" s="90">
        <v>-1</v>
      </c>
      <c r="AG3302" s="90">
        <v>-1</v>
      </c>
      <c r="AH3302" s="90">
        <v>-1</v>
      </c>
      <c r="AI3302" s="90">
        <v>-1</v>
      </c>
      <c r="AJ3302" s="90">
        <v>0</v>
      </c>
      <c r="AM3302" s="90" t="s">
        <v>379</v>
      </c>
      <c r="AN3302" s="90">
        <v>-1</v>
      </c>
      <c r="AQ3302" s="90">
        <v>359</v>
      </c>
      <c r="AR3302" s="90" t="s">
        <v>431</v>
      </c>
      <c r="AS3302" s="90" t="s">
        <v>432</v>
      </c>
      <c r="AT3302" s="90" t="s">
        <v>244</v>
      </c>
      <c r="AU3302" s="90">
        <v>2.7003339999999998</v>
      </c>
      <c r="AV3302" s="90">
        <v>37.081704706656502</v>
      </c>
      <c r="AW3302" s="90">
        <v>3.9185467419287101</v>
      </c>
      <c r="AX3302" s="90">
        <v>0.1485074623</v>
      </c>
    </row>
    <row r="3303" spans="1:50" x14ac:dyDescent="0.25">
      <c r="A3303" s="102">
        <v>830000</v>
      </c>
      <c r="B3303" s="102">
        <v>2400000</v>
      </c>
      <c r="C3303" s="102">
        <v>2400000</v>
      </c>
      <c r="D3303" s="90" t="s">
        <v>374</v>
      </c>
      <c r="E3303" s="90" t="s">
        <v>68</v>
      </c>
      <c r="F3303" s="90" t="s">
        <v>375</v>
      </c>
      <c r="G3303" s="90" t="s">
        <v>376</v>
      </c>
      <c r="H3303" s="90">
        <v>0.59</v>
      </c>
      <c r="I3303" s="90">
        <v>0.64</v>
      </c>
      <c r="J3303" s="90" t="s">
        <v>244</v>
      </c>
      <c r="K3303" s="90">
        <v>2.447808696648E-2</v>
      </c>
      <c r="L3303" s="90">
        <v>3825.5424925667699</v>
      </c>
      <c r="M3303" s="90">
        <v>10.713989350785001</v>
      </c>
      <c r="N3303" s="90">
        <v>1.42481724777292</v>
      </c>
      <c r="O3303" s="90">
        <v>0.26225796308655003</v>
      </c>
      <c r="P3303" s="90">
        <v>3.4876800502330003E-2</v>
      </c>
      <c r="Q3303" s="90">
        <v>93.641961827048704</v>
      </c>
      <c r="R3303" s="90">
        <v>1410</v>
      </c>
      <c r="S3303" s="90" t="s">
        <v>325</v>
      </c>
      <c r="T3303" s="90">
        <v>1410</v>
      </c>
      <c r="U3303" s="90" t="s">
        <v>378</v>
      </c>
      <c r="V3303" s="90" t="s">
        <v>244</v>
      </c>
      <c r="Z3303" s="90">
        <v>0</v>
      </c>
      <c r="AA3303" s="90">
        <v>1</v>
      </c>
      <c r="AB3303" s="90">
        <v>0.26225796308655003</v>
      </c>
      <c r="AC3303" s="90">
        <v>3.4876800502330003E-2</v>
      </c>
      <c r="AD3303" s="90">
        <v>93.641961827047098</v>
      </c>
      <c r="AF3303" s="90">
        <v>-1</v>
      </c>
      <c r="AG3303" s="90">
        <v>-1</v>
      </c>
      <c r="AH3303" s="90">
        <v>-1</v>
      </c>
      <c r="AI3303" s="90">
        <v>-1</v>
      </c>
      <c r="AJ3303" s="90">
        <v>0</v>
      </c>
      <c r="AM3303" s="90" t="s">
        <v>379</v>
      </c>
      <c r="AN3303" s="90">
        <v>-1</v>
      </c>
      <c r="AQ3303" s="90">
        <v>359</v>
      </c>
      <c r="AR3303" s="90" t="s">
        <v>431</v>
      </c>
      <c r="AS3303" s="90" t="s">
        <v>432</v>
      </c>
      <c r="AT3303" s="90" t="s">
        <v>244</v>
      </c>
      <c r="AU3303" s="90">
        <v>2.7003339999999998</v>
      </c>
      <c r="AV3303" s="90">
        <v>88.500849965125596</v>
      </c>
      <c r="AW3303" s="90">
        <v>99.0593034484002</v>
      </c>
      <c r="AX3303" s="90">
        <v>7.5946441099999998E-2</v>
      </c>
    </row>
    <row r="3304" spans="1:50" x14ac:dyDescent="0.25">
      <c r="A3304" s="102">
        <v>830000</v>
      </c>
      <c r="B3304" s="102">
        <v>2400000</v>
      </c>
      <c r="C3304" s="102">
        <v>2400000</v>
      </c>
      <c r="D3304" s="90" t="s">
        <v>374</v>
      </c>
      <c r="E3304" s="90" t="s">
        <v>68</v>
      </c>
      <c r="F3304" s="90" t="s">
        <v>375</v>
      </c>
      <c r="G3304" s="90" t="s">
        <v>376</v>
      </c>
      <c r="H3304" s="90">
        <v>0.59</v>
      </c>
      <c r="I3304" s="90">
        <v>0.64</v>
      </c>
      <c r="J3304" s="90" t="s">
        <v>381</v>
      </c>
      <c r="K3304" s="90">
        <v>1.0475616987E-4</v>
      </c>
      <c r="L3304" s="90">
        <v>3825.5424925667699</v>
      </c>
      <c r="M3304" s="90">
        <v>10.713989350785001</v>
      </c>
      <c r="N3304" s="90">
        <v>1.42481724777292</v>
      </c>
      <c r="O3304" s="90">
        <v>1.1223564884199999E-3</v>
      </c>
      <c r="P3304" s="90">
        <v>1.4925839763999999E-4</v>
      </c>
      <c r="Q3304" s="90">
        <v>0.40074917920004999</v>
      </c>
      <c r="R3304" s="90">
        <v>1410</v>
      </c>
      <c r="S3304" s="90" t="s">
        <v>325</v>
      </c>
      <c r="T3304" s="90">
        <v>1410</v>
      </c>
      <c r="U3304" s="90" t="s">
        <v>382</v>
      </c>
      <c r="V3304" s="90" t="s">
        <v>381</v>
      </c>
      <c r="Z3304" s="90">
        <v>0</v>
      </c>
      <c r="AA3304" s="90">
        <v>1</v>
      </c>
      <c r="AB3304" s="90">
        <v>1.1223564884199999E-3</v>
      </c>
      <c r="AC3304" s="90">
        <v>1.4925839763999999E-4</v>
      </c>
      <c r="AD3304" s="90">
        <v>1.24064020316511</v>
      </c>
      <c r="AF3304" s="90">
        <v>-1</v>
      </c>
      <c r="AG3304" s="90">
        <v>-1</v>
      </c>
      <c r="AH3304" s="90">
        <v>-1</v>
      </c>
      <c r="AI3304" s="90">
        <v>-1</v>
      </c>
      <c r="AJ3304" s="90">
        <v>0</v>
      </c>
      <c r="AM3304" s="90" t="s">
        <v>379</v>
      </c>
      <c r="AN3304" s="90">
        <v>-1</v>
      </c>
      <c r="AQ3304" s="90">
        <v>359</v>
      </c>
      <c r="AR3304" s="90" t="s">
        <v>431</v>
      </c>
      <c r="AS3304" s="90" t="s">
        <v>432</v>
      </c>
      <c r="AT3304" s="90" t="s">
        <v>244</v>
      </c>
      <c r="AU3304" s="90">
        <v>2.7003339999999998</v>
      </c>
      <c r="AV3304" s="90">
        <v>4.2384020754079197</v>
      </c>
      <c r="AW3304" s="90">
        <v>0.42393317882766002</v>
      </c>
      <c r="AX3304" s="90">
        <v>1.0061963999999999E-3</v>
      </c>
    </row>
    <row r="3305" spans="1:50" x14ac:dyDescent="0.25">
      <c r="A3305" s="102">
        <v>830000</v>
      </c>
      <c r="B3305" s="102">
        <v>2400000</v>
      </c>
      <c r="C3305" s="102">
        <v>2400000</v>
      </c>
      <c r="D3305" s="90" t="s">
        <v>374</v>
      </c>
      <c r="E3305" s="90" t="s">
        <v>68</v>
      </c>
      <c r="F3305" s="90" t="s">
        <v>375</v>
      </c>
      <c r="G3305" s="90" t="s">
        <v>376</v>
      </c>
      <c r="H3305" s="90">
        <v>0.59</v>
      </c>
      <c r="I3305" s="90">
        <v>0.64</v>
      </c>
      <c r="J3305" s="90" t="s">
        <v>244</v>
      </c>
      <c r="K3305" s="90">
        <v>0.19002903017052</v>
      </c>
      <c r="L3305" s="90">
        <v>3825.5424925667699</v>
      </c>
      <c r="M3305" s="90">
        <v>10.713989350785001</v>
      </c>
      <c r="N3305" s="90">
        <v>1.42481724777292</v>
      </c>
      <c r="O3305" s="90">
        <v>2.0359690055870501</v>
      </c>
      <c r="P3305" s="90">
        <v>0.27075663976452002</v>
      </c>
      <c r="Q3305" s="90">
        <v>726.96412973860902</v>
      </c>
      <c r="R3305" s="90">
        <v>1410</v>
      </c>
      <c r="S3305" s="90" t="s">
        <v>325</v>
      </c>
      <c r="T3305" s="90">
        <v>1410</v>
      </c>
      <c r="U3305" s="90" t="s">
        <v>378</v>
      </c>
      <c r="V3305" s="90" t="s">
        <v>244</v>
      </c>
      <c r="Z3305" s="90">
        <v>0</v>
      </c>
      <c r="AA3305" s="90">
        <v>1</v>
      </c>
      <c r="AB3305" s="90">
        <v>2.0359690055870501</v>
      </c>
      <c r="AC3305" s="90">
        <v>0.27075663976452002</v>
      </c>
      <c r="AD3305" s="90">
        <v>726.96412973860902</v>
      </c>
      <c r="AF3305" s="90">
        <v>-1</v>
      </c>
      <c r="AG3305" s="90">
        <v>-1</v>
      </c>
      <c r="AH3305" s="90">
        <v>-1</v>
      </c>
      <c r="AI3305" s="90">
        <v>-1</v>
      </c>
      <c r="AJ3305" s="90">
        <v>0</v>
      </c>
      <c r="AM3305" s="90" t="s">
        <v>379</v>
      </c>
      <c r="AN3305" s="90">
        <v>-1</v>
      </c>
      <c r="AQ3305" s="90">
        <v>359</v>
      </c>
      <c r="AR3305" s="90" t="s">
        <v>431</v>
      </c>
      <c r="AS3305" s="90" t="s">
        <v>432</v>
      </c>
      <c r="AT3305" s="90" t="s">
        <v>244</v>
      </c>
      <c r="AU3305" s="90">
        <v>2.7003339999999998</v>
      </c>
      <c r="AV3305" s="90">
        <v>120.588738676055</v>
      </c>
      <c r="AW3305" s="90">
        <v>769.02020118804296</v>
      </c>
      <c r="AX3305" s="90">
        <v>0.58958972399999998</v>
      </c>
    </row>
    <row r="3306" spans="1:50" x14ac:dyDescent="0.25">
      <c r="A3306" s="102">
        <v>830000</v>
      </c>
      <c r="B3306" s="102">
        <v>2400000</v>
      </c>
      <c r="C3306" s="102">
        <v>2400000</v>
      </c>
      <c r="D3306" s="90" t="s">
        <v>374</v>
      </c>
      <c r="E3306" s="90" t="s">
        <v>68</v>
      </c>
      <c r="F3306" s="90" t="s">
        <v>375</v>
      </c>
      <c r="G3306" s="90" t="s">
        <v>376</v>
      </c>
      <c r="H3306" s="90">
        <v>0.59</v>
      </c>
      <c r="I3306" s="90">
        <v>0.64</v>
      </c>
      <c r="J3306" s="90" t="s">
        <v>381</v>
      </c>
      <c r="K3306" s="90">
        <v>8.5810081390000001E-4</v>
      </c>
      <c r="L3306" s="90">
        <v>3825.5424925667699</v>
      </c>
      <c r="M3306" s="90">
        <v>10.713989350785001</v>
      </c>
      <c r="N3306" s="90">
        <v>1.42481724777292</v>
      </c>
      <c r="O3306" s="90">
        <v>9.1936829821000002E-3</v>
      </c>
      <c r="P3306" s="90">
        <v>1.2226368399800001E-3</v>
      </c>
      <c r="Q3306" s="90">
        <v>3.28270112650736</v>
      </c>
      <c r="R3306" s="90">
        <v>1410</v>
      </c>
      <c r="S3306" s="90" t="s">
        <v>325</v>
      </c>
      <c r="T3306" s="90">
        <v>1410</v>
      </c>
      <c r="U3306" s="90" t="s">
        <v>382</v>
      </c>
      <c r="V3306" s="90" t="s">
        <v>381</v>
      </c>
      <c r="Z3306" s="90">
        <v>0</v>
      </c>
      <c r="AA3306" s="90">
        <v>1</v>
      </c>
      <c r="AB3306" s="90">
        <v>9.1936829821000002E-3</v>
      </c>
      <c r="AC3306" s="90">
        <v>1.2226368399800001E-3</v>
      </c>
      <c r="AD3306" s="90">
        <v>10.655395122301501</v>
      </c>
      <c r="AF3306" s="90">
        <v>-1</v>
      </c>
      <c r="AG3306" s="90">
        <v>-1</v>
      </c>
      <c r="AH3306" s="90">
        <v>-1</v>
      </c>
      <c r="AI3306" s="90">
        <v>-1</v>
      </c>
      <c r="AJ3306" s="90">
        <v>0</v>
      </c>
      <c r="AM3306" s="90" t="s">
        <v>379</v>
      </c>
      <c r="AN3306" s="90">
        <v>-1</v>
      </c>
      <c r="AQ3306" s="90">
        <v>359</v>
      </c>
      <c r="AR3306" s="90" t="s">
        <v>431</v>
      </c>
      <c r="AS3306" s="90" t="s">
        <v>432</v>
      </c>
      <c r="AT3306" s="90" t="s">
        <v>244</v>
      </c>
      <c r="AU3306" s="90">
        <v>2.7003339999999998</v>
      </c>
      <c r="AV3306" s="90">
        <v>37.031168908256099</v>
      </c>
      <c r="AW3306" s="90">
        <v>3.4726107898243899</v>
      </c>
      <c r="AX3306" s="90">
        <v>8.6418451999999996E-3</v>
      </c>
    </row>
    <row r="3307" spans="1:50" x14ac:dyDescent="0.25">
      <c r="A3307" s="102">
        <v>830000</v>
      </c>
      <c r="B3307" s="102">
        <v>2400000</v>
      </c>
      <c r="C3307" s="102">
        <v>2400000</v>
      </c>
      <c r="D3307" s="90" t="s">
        <v>374</v>
      </c>
      <c r="E3307" s="90" t="s">
        <v>68</v>
      </c>
      <c r="F3307" s="90" t="s">
        <v>375</v>
      </c>
      <c r="G3307" s="90" t="s">
        <v>376</v>
      </c>
      <c r="H3307" s="90">
        <v>0.59</v>
      </c>
      <c r="I3307" s="90">
        <v>0.64</v>
      </c>
      <c r="J3307" s="90" t="s">
        <v>244</v>
      </c>
      <c r="K3307" s="90">
        <v>0.11400939521113</v>
      </c>
      <c r="L3307" s="90">
        <v>3825.5424925667699</v>
      </c>
      <c r="M3307" s="90">
        <v>10.713989350785001</v>
      </c>
      <c r="N3307" s="90">
        <v>1.42481724777292</v>
      </c>
      <c r="O3307" s="90">
        <v>1.2214954461815</v>
      </c>
      <c r="P3307" s="90">
        <v>0.16244255270496999</v>
      </c>
      <c r="Q3307" s="90">
        <v>436.14778593202101</v>
      </c>
      <c r="R3307" s="90">
        <v>1410</v>
      </c>
      <c r="S3307" s="90" t="s">
        <v>325</v>
      </c>
      <c r="T3307" s="90">
        <v>1410</v>
      </c>
      <c r="U3307" s="90" t="s">
        <v>378</v>
      </c>
      <c r="V3307" s="90" t="s">
        <v>244</v>
      </c>
      <c r="Z3307" s="90">
        <v>0</v>
      </c>
      <c r="AA3307" s="90">
        <v>1</v>
      </c>
      <c r="AB3307" s="90">
        <v>1.2214954461815</v>
      </c>
      <c r="AC3307" s="90">
        <v>0.16244255270496999</v>
      </c>
      <c r="AD3307" s="90">
        <v>436.14778593202101</v>
      </c>
      <c r="AF3307" s="90">
        <v>-1</v>
      </c>
      <c r="AG3307" s="90">
        <v>-1</v>
      </c>
      <c r="AH3307" s="90">
        <v>-1</v>
      </c>
      <c r="AI3307" s="90">
        <v>-1</v>
      </c>
      <c r="AJ3307" s="90">
        <v>0</v>
      </c>
      <c r="AM3307" s="90" t="s">
        <v>379</v>
      </c>
      <c r="AN3307" s="90">
        <v>-1</v>
      </c>
      <c r="AQ3307" s="90">
        <v>359</v>
      </c>
      <c r="AR3307" s="90" t="s">
        <v>431</v>
      </c>
      <c r="AS3307" s="90" t="s">
        <v>432</v>
      </c>
      <c r="AT3307" s="90" t="s">
        <v>244</v>
      </c>
      <c r="AU3307" s="90">
        <v>2.7003339999999998</v>
      </c>
      <c r="AV3307" s="90">
        <v>105.992138599211</v>
      </c>
      <c r="AW3307" s="90">
        <v>461.37965322410599</v>
      </c>
      <c r="AX3307" s="90">
        <v>0.35372894240000002</v>
      </c>
    </row>
    <row r="3308" spans="1:50" x14ac:dyDescent="0.25">
      <c r="A3308" s="102">
        <v>830000</v>
      </c>
      <c r="B3308" s="102">
        <v>2400000</v>
      </c>
      <c r="C3308" s="102">
        <v>2400000</v>
      </c>
      <c r="D3308" s="90" t="s">
        <v>374</v>
      </c>
      <c r="E3308" s="90" t="s">
        <v>68</v>
      </c>
      <c r="F3308" s="90" t="s">
        <v>375</v>
      </c>
      <c r="G3308" s="90" t="s">
        <v>376</v>
      </c>
      <c r="H3308" s="90">
        <v>0.59</v>
      </c>
      <c r="I3308" s="90">
        <v>0.64</v>
      </c>
      <c r="J3308" s="90" t="s">
        <v>381</v>
      </c>
      <c r="K3308" s="90">
        <v>4.7466755970000001E-4</v>
      </c>
      <c r="L3308" s="90">
        <v>3825.5424925667699</v>
      </c>
      <c r="M3308" s="90">
        <v>10.713989350785001</v>
      </c>
      <c r="N3308" s="90">
        <v>1.42481724777292</v>
      </c>
      <c r="O3308" s="90">
        <v>5.0855831798700003E-3</v>
      </c>
      <c r="P3308" s="90">
        <v>6.7631452602999996E-4</v>
      </c>
      <c r="Q3308" s="90">
        <v>1.8158609195059301</v>
      </c>
      <c r="R3308" s="90">
        <v>1410</v>
      </c>
      <c r="S3308" s="90" t="s">
        <v>325</v>
      </c>
      <c r="T3308" s="90">
        <v>1410</v>
      </c>
      <c r="U3308" s="90" t="s">
        <v>382</v>
      </c>
      <c r="V3308" s="90" t="s">
        <v>381</v>
      </c>
      <c r="Z3308" s="90">
        <v>0</v>
      </c>
      <c r="AA3308" s="90">
        <v>1</v>
      </c>
      <c r="AB3308" s="90">
        <v>5.0855831798700003E-3</v>
      </c>
      <c r="AC3308" s="90">
        <v>6.7631452602999996E-4</v>
      </c>
      <c r="AD3308" s="90">
        <v>6.1254382304549297</v>
      </c>
      <c r="AF3308" s="90">
        <v>-1</v>
      </c>
      <c r="AG3308" s="90">
        <v>-1</v>
      </c>
      <c r="AH3308" s="90">
        <v>-1</v>
      </c>
      <c r="AI3308" s="90">
        <v>-1</v>
      </c>
      <c r="AJ3308" s="90">
        <v>0</v>
      </c>
      <c r="AM3308" s="90" t="s">
        <v>379</v>
      </c>
      <c r="AN3308" s="90">
        <v>-1</v>
      </c>
      <c r="AQ3308" s="90">
        <v>359</v>
      </c>
      <c r="AR3308" s="90" t="s">
        <v>431</v>
      </c>
      <c r="AS3308" s="90" t="s">
        <v>432</v>
      </c>
      <c r="AT3308" s="90" t="s">
        <v>244</v>
      </c>
      <c r="AU3308" s="90">
        <v>2.7003339999999998</v>
      </c>
      <c r="AV3308" s="90">
        <v>23.244739471443499</v>
      </c>
      <c r="AW3308" s="90">
        <v>1.9209114625106001</v>
      </c>
      <c r="AX3308" s="90">
        <v>4.9679142000000004E-3</v>
      </c>
    </row>
    <row r="3309" spans="1:50" x14ac:dyDescent="0.25">
      <c r="A3309" s="102">
        <v>830000</v>
      </c>
      <c r="B3309" s="102">
        <v>2400000</v>
      </c>
      <c r="C3309" s="102">
        <v>2400000</v>
      </c>
      <c r="D3309" s="90" t="s">
        <v>374</v>
      </c>
      <c r="E3309" s="90" t="s">
        <v>68</v>
      </c>
      <c r="F3309" s="90" t="s">
        <v>375</v>
      </c>
      <c r="G3309" s="90" t="s">
        <v>376</v>
      </c>
      <c r="H3309" s="90">
        <v>0.59</v>
      </c>
      <c r="I3309" s="90">
        <v>0.64</v>
      </c>
      <c r="J3309" s="90" t="s">
        <v>244</v>
      </c>
      <c r="K3309" s="90">
        <v>5.0477890256999999E-3</v>
      </c>
      <c r="L3309" s="90">
        <v>3800.2725995236801</v>
      </c>
      <c r="M3309" s="90">
        <v>11.254442154750601</v>
      </c>
      <c r="N3309" s="90">
        <v>1.4900489072182801</v>
      </c>
      <c r="O3309" s="90">
        <v>5.6810049599140003E-2</v>
      </c>
      <c r="P3309" s="90">
        <v>7.5214525216099996E-3</v>
      </c>
      <c r="Q3309" s="90">
        <v>19.182974322551601</v>
      </c>
      <c r="R3309" s="90">
        <v>1400</v>
      </c>
      <c r="S3309" s="90" t="s">
        <v>324</v>
      </c>
      <c r="T3309" s="90">
        <v>1400</v>
      </c>
      <c r="U3309" s="90" t="s">
        <v>378</v>
      </c>
      <c r="V3309" s="90" t="s">
        <v>244</v>
      </c>
      <c r="Z3309" s="90">
        <v>0</v>
      </c>
      <c r="AA3309" s="90">
        <v>1</v>
      </c>
      <c r="AB3309" s="90">
        <v>5.6810049599140003E-2</v>
      </c>
      <c r="AC3309" s="90">
        <v>7.5214525216099996E-3</v>
      </c>
      <c r="AD3309" s="90">
        <v>715.90112775203102</v>
      </c>
      <c r="AF3309" s="90">
        <v>-1</v>
      </c>
      <c r="AG3309" s="90">
        <v>-1</v>
      </c>
      <c r="AH3309" s="90">
        <v>-1</v>
      </c>
      <c r="AI3309" s="90">
        <v>-1</v>
      </c>
      <c r="AJ3309" s="90">
        <v>0</v>
      </c>
      <c r="AM3309" s="90" t="s">
        <v>379</v>
      </c>
      <c r="AN3309" s="90">
        <v>-1</v>
      </c>
      <c r="AQ3309" s="90">
        <v>359</v>
      </c>
      <c r="AR3309" s="90" t="s">
        <v>431</v>
      </c>
      <c r="AS3309" s="90" t="s">
        <v>432</v>
      </c>
      <c r="AT3309" s="90" t="s">
        <v>244</v>
      </c>
      <c r="AU3309" s="90">
        <v>2.7003339999999998</v>
      </c>
      <c r="AV3309" s="90">
        <v>23.2997663551056</v>
      </c>
      <c r="AW3309" s="90">
        <v>20.427677437580499</v>
      </c>
      <c r="AX3309" s="90">
        <v>0.58061729740000001</v>
      </c>
    </row>
    <row r="3310" spans="1:50" x14ac:dyDescent="0.25">
      <c r="A3310" s="102">
        <v>830000</v>
      </c>
      <c r="B3310" s="102">
        <v>2400000</v>
      </c>
      <c r="C3310" s="102">
        <v>2400000</v>
      </c>
      <c r="D3310" s="90" t="s">
        <v>374</v>
      </c>
      <c r="E3310" s="90" t="s">
        <v>68</v>
      </c>
      <c r="F3310" s="90" t="s">
        <v>375</v>
      </c>
      <c r="G3310" s="90" t="s">
        <v>376</v>
      </c>
      <c r="H3310" s="90">
        <v>0.59</v>
      </c>
      <c r="I3310" s="90">
        <v>0.64</v>
      </c>
      <c r="J3310" s="90" t="s">
        <v>244</v>
      </c>
      <c r="K3310" s="90">
        <v>2.882650708781E-2</v>
      </c>
      <c r="L3310" s="90">
        <v>3800.2725995236801</v>
      </c>
      <c r="M3310" s="90">
        <v>11.254442154750601</v>
      </c>
      <c r="N3310" s="90">
        <v>1.4900489072182801</v>
      </c>
      <c r="O3310" s="90">
        <v>0.32442625654333002</v>
      </c>
      <c r="P3310" s="90">
        <v>4.2952905385119998E-2</v>
      </c>
      <c r="Q3310" s="90">
        <v>109.548585025802</v>
      </c>
      <c r="R3310" s="90">
        <v>1430</v>
      </c>
      <c r="S3310" s="90" t="s">
        <v>326</v>
      </c>
      <c r="T3310" s="90">
        <v>1430</v>
      </c>
      <c r="U3310" s="90" t="s">
        <v>378</v>
      </c>
      <c r="V3310" s="90" t="s">
        <v>244</v>
      </c>
      <c r="Z3310" s="90">
        <v>0</v>
      </c>
      <c r="AA3310" s="90">
        <v>1</v>
      </c>
      <c r="AB3310" s="90">
        <v>0.32442625654333002</v>
      </c>
      <c r="AC3310" s="90">
        <v>4.2952905385119998E-2</v>
      </c>
      <c r="AD3310" s="90">
        <v>769.192032338442</v>
      </c>
      <c r="AF3310" s="90">
        <v>-1</v>
      </c>
      <c r="AG3310" s="90">
        <v>-1</v>
      </c>
      <c r="AH3310" s="90">
        <v>-1</v>
      </c>
      <c r="AI3310" s="90">
        <v>-1</v>
      </c>
      <c r="AJ3310" s="90">
        <v>0</v>
      </c>
      <c r="AM3310" s="90" t="s">
        <v>379</v>
      </c>
      <c r="AN3310" s="90">
        <v>-1</v>
      </c>
      <c r="AQ3310" s="90">
        <v>359</v>
      </c>
      <c r="AR3310" s="90" t="s">
        <v>431</v>
      </c>
      <c r="AS3310" s="90" t="s">
        <v>432</v>
      </c>
      <c r="AT3310" s="90" t="s">
        <v>244</v>
      </c>
      <c r="AU3310" s="90">
        <v>2.7003339999999998</v>
      </c>
      <c r="AV3310" s="90">
        <v>88.948305158971607</v>
      </c>
      <c r="AW3310" s="90">
        <v>116.65673534368599</v>
      </c>
      <c r="AX3310" s="90">
        <v>0.6238378202</v>
      </c>
    </row>
    <row r="3311" spans="1:50" x14ac:dyDescent="0.25">
      <c r="A3311" s="102">
        <v>830000</v>
      </c>
      <c r="B3311" s="102">
        <v>2400000</v>
      </c>
      <c r="C3311" s="102">
        <v>2400000</v>
      </c>
      <c r="D3311" s="90" t="s">
        <v>374</v>
      </c>
      <c r="E3311" s="90" t="s">
        <v>68</v>
      </c>
      <c r="F3311" s="90" t="s">
        <v>375</v>
      </c>
      <c r="G3311" s="90" t="s">
        <v>376</v>
      </c>
      <c r="H3311" s="90">
        <v>0.59</v>
      </c>
      <c r="I3311" s="90">
        <v>0.64</v>
      </c>
      <c r="J3311" s="90" t="s">
        <v>244</v>
      </c>
      <c r="K3311" s="90">
        <v>8.7893848090689994E-2</v>
      </c>
      <c r="L3311" s="90">
        <v>3800.2725995236801</v>
      </c>
      <c r="M3311" s="90">
        <v>11.254442154750601</v>
      </c>
      <c r="N3311" s="90">
        <v>1.4900489072182801</v>
      </c>
      <c r="O3311" s="90">
        <v>0.98919622909516003</v>
      </c>
      <c r="P3311" s="90">
        <v>0.13096613229875001</v>
      </c>
      <c r="Q3311" s="90">
        <v>334.02058256576498</v>
      </c>
      <c r="R3311" s="90">
        <v>1410</v>
      </c>
      <c r="S3311" s="90" t="s">
        <v>325</v>
      </c>
      <c r="T3311" s="90">
        <v>1410</v>
      </c>
      <c r="U3311" s="90" t="s">
        <v>378</v>
      </c>
      <c r="V3311" s="90" t="s">
        <v>244</v>
      </c>
      <c r="Z3311" s="90">
        <v>0</v>
      </c>
      <c r="AA3311" s="90">
        <v>1</v>
      </c>
      <c r="AB3311" s="90">
        <v>0.98919622909516003</v>
      </c>
      <c r="AC3311" s="90">
        <v>0.13096613229875001</v>
      </c>
      <c r="AD3311" s="90">
        <v>336.783040143797</v>
      </c>
      <c r="AF3311" s="90">
        <v>-1</v>
      </c>
      <c r="AG3311" s="90">
        <v>-1</v>
      </c>
      <c r="AH3311" s="90">
        <v>-1</v>
      </c>
      <c r="AI3311" s="90">
        <v>-1</v>
      </c>
      <c r="AJ3311" s="90">
        <v>0</v>
      </c>
      <c r="AM3311" s="90" t="s">
        <v>379</v>
      </c>
      <c r="AN3311" s="90">
        <v>-1</v>
      </c>
      <c r="AQ3311" s="90">
        <v>359</v>
      </c>
      <c r="AR3311" s="90" t="s">
        <v>431</v>
      </c>
      <c r="AS3311" s="90" t="s">
        <v>432</v>
      </c>
      <c r="AT3311" s="90" t="s">
        <v>244</v>
      </c>
      <c r="AU3311" s="90">
        <v>2.7003339999999998</v>
      </c>
      <c r="AV3311" s="90">
        <v>101.336533929067</v>
      </c>
      <c r="AW3311" s="90">
        <v>355.69378363527699</v>
      </c>
      <c r="AX3311" s="90">
        <v>0.27314115179999998</v>
      </c>
    </row>
    <row r="3312" spans="1:50" x14ac:dyDescent="0.25">
      <c r="A3312" s="102">
        <v>830000</v>
      </c>
      <c r="B3312" s="102">
        <v>2400000</v>
      </c>
      <c r="C3312" s="102">
        <v>2400000</v>
      </c>
      <c r="D3312" s="90" t="s">
        <v>374</v>
      </c>
      <c r="E3312" s="90" t="s">
        <v>68</v>
      </c>
      <c r="F3312" s="90" t="s">
        <v>375</v>
      </c>
      <c r="G3312" s="90" t="s">
        <v>376</v>
      </c>
      <c r="H3312" s="90">
        <v>0.59</v>
      </c>
      <c r="I3312" s="90">
        <v>0.64</v>
      </c>
      <c r="J3312" s="90" t="s">
        <v>381</v>
      </c>
      <c r="K3312" s="90">
        <v>1.0014858695290001E-2</v>
      </c>
      <c r="L3312" s="90">
        <v>3780.46235480018</v>
      </c>
      <c r="M3312" s="90">
        <v>11.560054770417899</v>
      </c>
      <c r="N3312" s="90">
        <v>1.5743305714578999</v>
      </c>
      <c r="O3312" s="90">
        <v>0.11577231503564001</v>
      </c>
      <c r="P3312" s="90">
        <v>1.5766698212829999E-2</v>
      </c>
      <c r="Q3312" s="90">
        <v>37.860796286217301</v>
      </c>
      <c r="R3312" s="90">
        <v>1400</v>
      </c>
      <c r="S3312" s="90" t="s">
        <v>324</v>
      </c>
      <c r="T3312" s="90">
        <v>1400</v>
      </c>
      <c r="U3312" s="90" t="s">
        <v>382</v>
      </c>
      <c r="V3312" s="90" t="s">
        <v>381</v>
      </c>
      <c r="Z3312" s="90">
        <v>0</v>
      </c>
      <c r="AA3312" s="90">
        <v>1</v>
      </c>
      <c r="AB3312" s="90">
        <v>0.11577231503564001</v>
      </c>
      <c r="AC3312" s="90">
        <v>1.5766698212829999E-2</v>
      </c>
      <c r="AD3312" s="90">
        <v>877.37134365264103</v>
      </c>
      <c r="AF3312" s="90">
        <v>-1</v>
      </c>
      <c r="AG3312" s="90">
        <v>-1</v>
      </c>
      <c r="AH3312" s="90">
        <v>-1</v>
      </c>
      <c r="AI3312" s="90">
        <v>-1</v>
      </c>
      <c r="AJ3312" s="90">
        <v>0</v>
      </c>
      <c r="AM3312" s="90" t="s">
        <v>379</v>
      </c>
      <c r="AN3312" s="90">
        <v>-1</v>
      </c>
      <c r="AQ3312" s="90">
        <v>359</v>
      </c>
      <c r="AR3312" s="90" t="s">
        <v>431</v>
      </c>
      <c r="AS3312" s="90" t="s">
        <v>432</v>
      </c>
      <c r="AT3312" s="90" t="s">
        <v>244</v>
      </c>
      <c r="AU3312" s="90">
        <v>2.7003339999999998</v>
      </c>
      <c r="AV3312" s="90">
        <v>45.374950605487001</v>
      </c>
      <c r="AW3312" s="90">
        <v>40.528695230496297</v>
      </c>
      <c r="AX3312" s="90">
        <v>0.711574488</v>
      </c>
    </row>
    <row r="3313" spans="1:50" x14ac:dyDescent="0.25">
      <c r="A3313" s="102">
        <v>830000</v>
      </c>
      <c r="B3313" s="102">
        <v>2400000</v>
      </c>
      <c r="C3313" s="102">
        <v>2500000</v>
      </c>
      <c r="D3313" s="90" t="s">
        <v>374</v>
      </c>
      <c r="E3313" s="90" t="s">
        <v>68</v>
      </c>
      <c r="F3313" s="90" t="s">
        <v>375</v>
      </c>
      <c r="G3313" s="90" t="s">
        <v>376</v>
      </c>
      <c r="H3313" s="90">
        <v>0.59</v>
      </c>
      <c r="I3313" s="90">
        <v>0.64</v>
      </c>
      <c r="J3313" s="90" t="s">
        <v>244</v>
      </c>
      <c r="K3313" s="90">
        <v>4.4058880251749998E-2</v>
      </c>
      <c r="L3313" s="90">
        <v>3781.6809470527401</v>
      </c>
      <c r="M3313" s="90">
        <v>11.6186390445018</v>
      </c>
      <c r="N3313" s="90">
        <v>1.5339592406295099</v>
      </c>
      <c r="O3313" s="90">
        <v>0.51190422635006005</v>
      </c>
      <c r="P3313" s="90">
        <v>6.7584526493960004E-2</v>
      </c>
      <c r="Q3313" s="90">
        <v>166.61662799653601</v>
      </c>
      <c r="R3313" s="90">
        <v>1400</v>
      </c>
      <c r="S3313" s="90" t="s">
        <v>324</v>
      </c>
      <c r="T3313" s="90">
        <v>1400</v>
      </c>
      <c r="U3313" s="90" t="s">
        <v>378</v>
      </c>
      <c r="V3313" s="90" t="s">
        <v>244</v>
      </c>
      <c r="Z3313" s="90">
        <v>0</v>
      </c>
      <c r="AA3313" s="90">
        <v>1</v>
      </c>
      <c r="AB3313" s="90">
        <v>0.51190422635006005</v>
      </c>
      <c r="AC3313" s="90">
        <v>6.7584526493960004E-2</v>
      </c>
      <c r="AD3313" s="90">
        <v>166.84069871031599</v>
      </c>
      <c r="AF3313" s="90">
        <v>-1</v>
      </c>
      <c r="AG3313" s="90">
        <v>-1</v>
      </c>
      <c r="AH3313" s="90">
        <v>-1</v>
      </c>
      <c r="AI3313" s="90">
        <v>-1</v>
      </c>
      <c r="AJ3313" s="90">
        <v>0</v>
      </c>
      <c r="AM3313" s="90" t="s">
        <v>379</v>
      </c>
      <c r="AN3313" s="90">
        <v>-1</v>
      </c>
      <c r="AQ3313" s="90">
        <v>359</v>
      </c>
      <c r="AR3313" s="90" t="s">
        <v>431</v>
      </c>
      <c r="AS3313" s="90" t="s">
        <v>432</v>
      </c>
      <c r="AT3313" s="90" t="s">
        <v>244</v>
      </c>
      <c r="AU3313" s="90">
        <v>2.7003339999999998</v>
      </c>
      <c r="AV3313" s="90">
        <v>106.808356413723</v>
      </c>
      <c r="AW3313" s="90">
        <v>178.29996251056201</v>
      </c>
      <c r="AX3313" s="90">
        <v>0.13531281319999999</v>
      </c>
    </row>
    <row r="3314" spans="1:50" x14ac:dyDescent="0.25">
      <c r="A3314" s="102">
        <v>830000</v>
      </c>
      <c r="B3314" s="102">
        <v>2400000</v>
      </c>
      <c r="C3314" s="102">
        <v>2500000</v>
      </c>
      <c r="D3314" s="90" t="s">
        <v>374</v>
      </c>
      <c r="E3314" s="90" t="s">
        <v>68</v>
      </c>
      <c r="F3314" s="90" t="s">
        <v>375</v>
      </c>
      <c r="G3314" s="90" t="s">
        <v>376</v>
      </c>
      <c r="H3314" s="90">
        <v>0.59</v>
      </c>
      <c r="I3314" s="90">
        <v>0.64</v>
      </c>
      <c r="J3314" s="90" t="s">
        <v>244</v>
      </c>
      <c r="K3314" s="90">
        <v>2.6520651417009999E-2</v>
      </c>
      <c r="L3314" s="90">
        <v>3781.6809470527401</v>
      </c>
      <c r="M3314" s="90">
        <v>11.6186390445018</v>
      </c>
      <c r="N3314" s="90">
        <v>1.5339592406295099</v>
      </c>
      <c r="O3314" s="90">
        <v>0.30813387603940001</v>
      </c>
      <c r="P3314" s="90">
        <v>4.0681598308650001E-2</v>
      </c>
      <c r="Q3314" s="90">
        <v>100.292642167168</v>
      </c>
      <c r="R3314" s="90">
        <v>1410</v>
      </c>
      <c r="S3314" s="90" t="s">
        <v>325</v>
      </c>
      <c r="T3314" s="90">
        <v>1410</v>
      </c>
      <c r="U3314" s="90" t="s">
        <v>378</v>
      </c>
      <c r="V3314" s="90" t="s">
        <v>244</v>
      </c>
      <c r="Z3314" s="90">
        <v>0</v>
      </c>
      <c r="AA3314" s="90">
        <v>1</v>
      </c>
      <c r="AB3314" s="90">
        <v>0.30813387603940001</v>
      </c>
      <c r="AC3314" s="90">
        <v>4.0681598308650001E-2</v>
      </c>
      <c r="AD3314" s="90">
        <v>612.73352987073895</v>
      </c>
      <c r="AF3314" s="90">
        <v>-1</v>
      </c>
      <c r="AG3314" s="90">
        <v>-1</v>
      </c>
      <c r="AH3314" s="90">
        <v>-1</v>
      </c>
      <c r="AI3314" s="90">
        <v>-1</v>
      </c>
      <c r="AJ3314" s="90">
        <v>0</v>
      </c>
      <c r="AM3314" s="90" t="s">
        <v>379</v>
      </c>
      <c r="AN3314" s="90">
        <v>-1</v>
      </c>
      <c r="AQ3314" s="90">
        <v>359</v>
      </c>
      <c r="AR3314" s="90" t="s">
        <v>431</v>
      </c>
      <c r="AS3314" s="90" t="s">
        <v>432</v>
      </c>
      <c r="AT3314" s="90" t="s">
        <v>244</v>
      </c>
      <c r="AU3314" s="90">
        <v>2.7003339999999998</v>
      </c>
      <c r="AV3314" s="90">
        <v>46.528888407117101</v>
      </c>
      <c r="AW3314" s="90">
        <v>107.325268513194</v>
      </c>
      <c r="AX3314" s="90">
        <v>0.49694527970000002</v>
      </c>
    </row>
    <row r="3315" spans="1:50" x14ac:dyDescent="0.25">
      <c r="A3315" s="102">
        <v>830000</v>
      </c>
      <c r="B3315" s="102">
        <v>2400000</v>
      </c>
      <c r="C3315" s="102">
        <v>2500000</v>
      </c>
      <c r="D3315" s="90" t="s">
        <v>374</v>
      </c>
      <c r="E3315" s="90" t="s">
        <v>68</v>
      </c>
      <c r="F3315" s="90" t="s">
        <v>375</v>
      </c>
      <c r="G3315" s="90" t="s">
        <v>376</v>
      </c>
      <c r="H3315" s="90">
        <v>0.59</v>
      </c>
      <c r="I3315" s="90">
        <v>0.64</v>
      </c>
      <c r="J3315" s="90" t="s">
        <v>244</v>
      </c>
      <c r="K3315" s="90">
        <v>0.10767898705074</v>
      </c>
      <c r="L3315" s="90">
        <v>3781.6809470527401</v>
      </c>
      <c r="M3315" s="90">
        <v>11.6186390445018</v>
      </c>
      <c r="N3315" s="90">
        <v>1.5339592406295099</v>
      </c>
      <c r="O3315" s="90">
        <v>1.2510832832202401</v>
      </c>
      <c r="P3315" s="90">
        <v>0.16517517720812</v>
      </c>
      <c r="Q3315" s="90">
        <v>407.20757372775603</v>
      </c>
      <c r="R3315" s="90">
        <v>1410</v>
      </c>
      <c r="S3315" s="90" t="s">
        <v>325</v>
      </c>
      <c r="T3315" s="90">
        <v>1410</v>
      </c>
      <c r="U3315" s="90" t="s">
        <v>378</v>
      </c>
      <c r="V3315" s="90" t="s">
        <v>244</v>
      </c>
      <c r="Z3315" s="90">
        <v>0</v>
      </c>
      <c r="AA3315" s="90">
        <v>1</v>
      </c>
      <c r="AB3315" s="90">
        <v>1.2510832832202401</v>
      </c>
      <c r="AC3315" s="90">
        <v>0.16517517720812</v>
      </c>
      <c r="AD3315" s="90">
        <v>715.73617244217803</v>
      </c>
      <c r="AF3315" s="90">
        <v>-1</v>
      </c>
      <c r="AG3315" s="90">
        <v>-1</v>
      </c>
      <c r="AH3315" s="90">
        <v>-1</v>
      </c>
      <c r="AI3315" s="90">
        <v>-1</v>
      </c>
      <c r="AJ3315" s="90">
        <v>0</v>
      </c>
      <c r="AM3315" s="90" t="s">
        <v>379</v>
      </c>
      <c r="AN3315" s="90">
        <v>-1</v>
      </c>
      <c r="AQ3315" s="90">
        <v>359</v>
      </c>
      <c r="AR3315" s="90" t="s">
        <v>431</v>
      </c>
      <c r="AS3315" s="90" t="s">
        <v>432</v>
      </c>
      <c r="AT3315" s="90" t="s">
        <v>244</v>
      </c>
      <c r="AU3315" s="90">
        <v>2.7003339999999998</v>
      </c>
      <c r="AV3315" s="90">
        <v>101.080532616011</v>
      </c>
      <c r="AW3315" s="90">
        <v>435.76140030385102</v>
      </c>
      <c r="AX3315" s="90">
        <v>0.58048351369999995</v>
      </c>
    </row>
    <row r="3316" spans="1:50" x14ac:dyDescent="0.25">
      <c r="A3316" s="102">
        <v>830000</v>
      </c>
      <c r="B3316" s="102">
        <v>2400000</v>
      </c>
      <c r="C3316" s="102">
        <v>2500000</v>
      </c>
      <c r="D3316" s="90" t="s">
        <v>374</v>
      </c>
      <c r="E3316" s="90" t="s">
        <v>68</v>
      </c>
      <c r="F3316" s="90" t="s">
        <v>375</v>
      </c>
      <c r="G3316" s="90" t="s">
        <v>376</v>
      </c>
      <c r="H3316" s="90">
        <v>0.59</v>
      </c>
      <c r="I3316" s="90">
        <v>0.64</v>
      </c>
      <c r="J3316" s="90" t="s">
        <v>244</v>
      </c>
      <c r="K3316" s="90">
        <v>0.16417750438253001</v>
      </c>
      <c r="L3316" s="90">
        <v>3781.6809470527401</v>
      </c>
      <c r="M3316" s="90">
        <v>11.6186390445018</v>
      </c>
      <c r="N3316" s="90">
        <v>1.5339592406295099</v>
      </c>
      <c r="O3316" s="90">
        <v>1.9075191626477499</v>
      </c>
      <c r="P3316" s="90">
        <v>0.25184159995107003</v>
      </c>
      <c r="Q3316" s="90">
        <v>620.86694025808504</v>
      </c>
      <c r="R3316" s="90">
        <v>1410</v>
      </c>
      <c r="S3316" s="90" t="s">
        <v>325</v>
      </c>
      <c r="T3316" s="90">
        <v>1410</v>
      </c>
      <c r="U3316" s="90" t="s">
        <v>378</v>
      </c>
      <c r="V3316" s="90" t="s">
        <v>244</v>
      </c>
      <c r="Z3316" s="90">
        <v>0</v>
      </c>
      <c r="AA3316" s="90">
        <v>1</v>
      </c>
      <c r="AB3316" s="90">
        <v>1.9075191626477499</v>
      </c>
      <c r="AC3316" s="90">
        <v>0.25184159995107003</v>
      </c>
      <c r="AD3316" s="90">
        <v>624.26434326620699</v>
      </c>
      <c r="AF3316" s="90">
        <v>-1</v>
      </c>
      <c r="AG3316" s="90">
        <v>-1</v>
      </c>
      <c r="AH3316" s="90">
        <v>-1</v>
      </c>
      <c r="AI3316" s="90">
        <v>-1</v>
      </c>
      <c r="AJ3316" s="90">
        <v>0</v>
      </c>
      <c r="AM3316" s="90" t="s">
        <v>379</v>
      </c>
      <c r="AN3316" s="90">
        <v>-1</v>
      </c>
      <c r="AQ3316" s="90">
        <v>359</v>
      </c>
      <c r="AR3316" s="90" t="s">
        <v>431</v>
      </c>
      <c r="AS3316" s="90" t="s">
        <v>432</v>
      </c>
      <c r="AT3316" s="90" t="s">
        <v>244</v>
      </c>
      <c r="AU3316" s="90">
        <v>2.7003339999999998</v>
      </c>
      <c r="AV3316" s="90">
        <v>114.55061818017001</v>
      </c>
      <c r="AW3316" s="90">
        <v>664.40278802404703</v>
      </c>
      <c r="AX3316" s="90">
        <v>0.5062971154</v>
      </c>
    </row>
    <row r="3317" spans="1:50" x14ac:dyDescent="0.25">
      <c r="A3317" s="102">
        <v>830000</v>
      </c>
      <c r="B3317" s="102">
        <v>2400000</v>
      </c>
      <c r="C3317" s="102">
        <v>2500000</v>
      </c>
      <c r="D3317" s="90" t="s">
        <v>374</v>
      </c>
      <c r="E3317" s="90" t="s">
        <v>68</v>
      </c>
      <c r="F3317" s="90" t="s">
        <v>375</v>
      </c>
      <c r="G3317" s="90" t="s">
        <v>376</v>
      </c>
      <c r="H3317" s="90">
        <v>0.59</v>
      </c>
      <c r="I3317" s="90">
        <v>0.64</v>
      </c>
      <c r="J3317" s="90" t="s">
        <v>381</v>
      </c>
      <c r="K3317" s="90">
        <v>8.7478480069999999E-4</v>
      </c>
      <c r="L3317" s="90">
        <v>3781.6809470527401</v>
      </c>
      <c r="M3317" s="90">
        <v>11.6186390445018</v>
      </c>
      <c r="N3317" s="90">
        <v>1.5339592406295099</v>
      </c>
      <c r="O3317" s="90">
        <v>1.016380884104E-2</v>
      </c>
      <c r="P3317" s="90">
        <v>1.3418842286E-3</v>
      </c>
      <c r="Q3317" s="90">
        <v>3.3081570136087701</v>
      </c>
      <c r="R3317" s="90">
        <v>1410</v>
      </c>
      <c r="S3317" s="90" t="s">
        <v>325</v>
      </c>
      <c r="T3317" s="90">
        <v>1410</v>
      </c>
      <c r="U3317" s="90" t="s">
        <v>382</v>
      </c>
      <c r="V3317" s="90" t="s">
        <v>381</v>
      </c>
      <c r="Z3317" s="90">
        <v>0</v>
      </c>
      <c r="AA3317" s="90">
        <v>1</v>
      </c>
      <c r="AB3317" s="90">
        <v>1.016380884104E-2</v>
      </c>
      <c r="AC3317" s="90">
        <v>1.3418842286E-3</v>
      </c>
      <c r="AD3317" s="90">
        <v>11.120346516572701</v>
      </c>
      <c r="AF3317" s="90">
        <v>-1</v>
      </c>
      <c r="AG3317" s="90">
        <v>-1</v>
      </c>
      <c r="AH3317" s="90">
        <v>-1</v>
      </c>
      <c r="AI3317" s="90">
        <v>-1</v>
      </c>
      <c r="AJ3317" s="90">
        <v>0</v>
      </c>
      <c r="AM3317" s="90" t="s">
        <v>379</v>
      </c>
      <c r="AN3317" s="90">
        <v>-1</v>
      </c>
      <c r="AQ3317" s="90">
        <v>359</v>
      </c>
      <c r="AR3317" s="90" t="s">
        <v>431</v>
      </c>
      <c r="AS3317" s="90" t="s">
        <v>432</v>
      </c>
      <c r="AT3317" s="90" t="s">
        <v>244</v>
      </c>
      <c r="AU3317" s="90">
        <v>2.7003339999999998</v>
      </c>
      <c r="AV3317" s="90">
        <v>30.286108021283901</v>
      </c>
      <c r="AW3317" s="90">
        <v>3.5401284889617499</v>
      </c>
      <c r="AX3317" s="90">
        <v>9.0189347E-3</v>
      </c>
    </row>
    <row r="3318" spans="1:50" x14ac:dyDescent="0.25">
      <c r="A3318" s="102">
        <v>830000</v>
      </c>
      <c r="B3318" s="102">
        <v>2500000</v>
      </c>
      <c r="C3318" s="102">
        <v>2500000</v>
      </c>
      <c r="D3318" s="90" t="s">
        <v>374</v>
      </c>
      <c r="E3318" s="90" t="s">
        <v>68</v>
      </c>
      <c r="F3318" s="90" t="s">
        <v>375</v>
      </c>
      <c r="G3318" s="90" t="s">
        <v>376</v>
      </c>
      <c r="H3318" s="90">
        <v>0.59</v>
      </c>
      <c r="I3318" s="90">
        <v>0.64</v>
      </c>
      <c r="J3318" s="90" t="s">
        <v>244</v>
      </c>
      <c r="K3318" s="90">
        <v>9.7372127387299993E-3</v>
      </c>
      <c r="L3318" s="90">
        <v>3781.8149967054901</v>
      </c>
      <c r="M3318" s="90">
        <v>11.616043472758999</v>
      </c>
      <c r="N3318" s="90">
        <v>1.5336463460230101</v>
      </c>
      <c r="O3318" s="90">
        <v>0.11310788647661001</v>
      </c>
      <c r="P3318" s="90">
        <v>1.49334407372E-2</v>
      </c>
      <c r="Q3318" s="90">
        <v>36.824337161448398</v>
      </c>
      <c r="R3318" s="90">
        <v>1400</v>
      </c>
      <c r="S3318" s="90" t="s">
        <v>324</v>
      </c>
      <c r="T3318" s="90">
        <v>1400</v>
      </c>
      <c r="U3318" s="90" t="s">
        <v>378</v>
      </c>
      <c r="V3318" s="90" t="s">
        <v>244</v>
      </c>
      <c r="Z3318" s="90">
        <v>0</v>
      </c>
      <c r="AA3318" s="90">
        <v>1</v>
      </c>
      <c r="AB3318" s="90">
        <v>0.11310788647661001</v>
      </c>
      <c r="AC3318" s="90">
        <v>1.49334407372E-2</v>
      </c>
      <c r="AD3318" s="90">
        <v>750.69144864530801</v>
      </c>
      <c r="AF3318" s="90">
        <v>-1</v>
      </c>
      <c r="AG3318" s="90">
        <v>-1</v>
      </c>
      <c r="AH3318" s="90">
        <v>-1</v>
      </c>
      <c r="AI3318" s="90">
        <v>-1</v>
      </c>
      <c r="AJ3318" s="90">
        <v>0</v>
      </c>
      <c r="AM3318" s="90" t="s">
        <v>379</v>
      </c>
      <c r="AN3318" s="90">
        <v>-1</v>
      </c>
      <c r="AQ3318" s="90">
        <v>359</v>
      </c>
      <c r="AR3318" s="90" t="s">
        <v>431</v>
      </c>
      <c r="AS3318" s="90" t="s">
        <v>432</v>
      </c>
      <c r="AT3318" s="90" t="s">
        <v>244</v>
      </c>
      <c r="AU3318" s="90">
        <v>2.7003339999999998</v>
      </c>
      <c r="AV3318" s="90">
        <v>27.986762234287902</v>
      </c>
      <c r="AW3318" s="90">
        <v>39.405101908012</v>
      </c>
      <c r="AX3318" s="90">
        <v>0.6088332917</v>
      </c>
    </row>
    <row r="3319" spans="1:50" x14ac:dyDescent="0.25">
      <c r="A3319" s="102">
        <v>830000</v>
      </c>
      <c r="B3319" s="102">
        <v>2500000</v>
      </c>
      <c r="C3319" s="102">
        <v>2500000</v>
      </c>
      <c r="D3319" s="90" t="s">
        <v>374</v>
      </c>
      <c r="E3319" s="90" t="s">
        <v>68</v>
      </c>
      <c r="F3319" s="90" t="s">
        <v>375</v>
      </c>
      <c r="G3319" s="90" t="s">
        <v>376</v>
      </c>
      <c r="H3319" s="90">
        <v>0.59</v>
      </c>
      <c r="I3319" s="90">
        <v>0.64</v>
      </c>
      <c r="J3319" s="90" t="s">
        <v>244</v>
      </c>
      <c r="K3319" s="90">
        <v>0.11505557737946</v>
      </c>
      <c r="L3319" s="90">
        <v>3781.8149967054901</v>
      </c>
      <c r="M3319" s="90">
        <v>11.616043472758999</v>
      </c>
      <c r="N3319" s="90">
        <v>1.5336463460230101</v>
      </c>
      <c r="O3319" s="90">
        <v>1.3364905886231899</v>
      </c>
      <c r="P3319" s="90">
        <v>0.17645456583756999</v>
      </c>
      <c r="Q3319" s="90">
        <v>435.11890798825101</v>
      </c>
      <c r="R3319" s="90">
        <v>1430</v>
      </c>
      <c r="S3319" s="90" t="s">
        <v>326</v>
      </c>
      <c r="T3319" s="90">
        <v>1430</v>
      </c>
      <c r="U3319" s="90" t="s">
        <v>378</v>
      </c>
      <c r="V3319" s="90" t="s">
        <v>244</v>
      </c>
      <c r="Z3319" s="90">
        <v>0</v>
      </c>
      <c r="AA3319" s="90">
        <v>1</v>
      </c>
      <c r="AB3319" s="90">
        <v>1.3364905886231899</v>
      </c>
      <c r="AC3319" s="90">
        <v>0.17645456583756999</v>
      </c>
      <c r="AD3319" s="90">
        <v>752.946971214771</v>
      </c>
      <c r="AF3319" s="90">
        <v>-1</v>
      </c>
      <c r="AG3319" s="90">
        <v>-1</v>
      </c>
      <c r="AH3319" s="90">
        <v>-1</v>
      </c>
      <c r="AI3319" s="90">
        <v>-1</v>
      </c>
      <c r="AJ3319" s="90">
        <v>0</v>
      </c>
      <c r="AM3319" s="90" t="s">
        <v>379</v>
      </c>
      <c r="AN3319" s="90">
        <v>-1</v>
      </c>
      <c r="AQ3319" s="90">
        <v>359</v>
      </c>
      <c r="AR3319" s="90" t="s">
        <v>431</v>
      </c>
      <c r="AS3319" s="90" t="s">
        <v>432</v>
      </c>
      <c r="AT3319" s="90" t="s">
        <v>244</v>
      </c>
      <c r="AU3319" s="90">
        <v>2.7003339999999998</v>
      </c>
      <c r="AV3319" s="90">
        <v>102.592858022827</v>
      </c>
      <c r="AW3319" s="90">
        <v>465.61340225100702</v>
      </c>
      <c r="AX3319" s="90">
        <v>0.61066258819999997</v>
      </c>
    </row>
    <row r="3320" spans="1:50" x14ac:dyDescent="0.25">
      <c r="A3320" s="102">
        <v>830000</v>
      </c>
      <c r="B3320" s="102">
        <v>2500000</v>
      </c>
      <c r="C3320" s="102">
        <v>2500000</v>
      </c>
      <c r="D3320" s="90" t="s">
        <v>374</v>
      </c>
      <c r="E3320" s="90" t="s">
        <v>68</v>
      </c>
      <c r="F3320" s="90" t="s">
        <v>375</v>
      </c>
      <c r="G3320" s="90" t="s">
        <v>376</v>
      </c>
      <c r="H3320" s="90">
        <v>0.59</v>
      </c>
      <c r="I3320" s="90">
        <v>0.64</v>
      </c>
      <c r="J3320" s="90" t="s">
        <v>381</v>
      </c>
      <c r="K3320" s="90">
        <v>5.1394189864000005E-4</v>
      </c>
      <c r="L3320" s="90">
        <v>3781.8149967054901</v>
      </c>
      <c r="M3320" s="90">
        <v>11.616043472758999</v>
      </c>
      <c r="N3320" s="90">
        <v>1.5336463460230101</v>
      </c>
      <c r="O3320" s="90">
        <v>5.9699714371000004E-3</v>
      </c>
      <c r="P3320" s="90">
        <v>7.8820511492E-4</v>
      </c>
      <c r="Q3320" s="90">
        <v>1.9436331797233899</v>
      </c>
      <c r="R3320" s="90">
        <v>1430</v>
      </c>
      <c r="S3320" s="90" t="s">
        <v>326</v>
      </c>
      <c r="T3320" s="90">
        <v>1430</v>
      </c>
      <c r="U3320" s="90" t="s">
        <v>382</v>
      </c>
      <c r="V3320" s="90" t="s">
        <v>381</v>
      </c>
      <c r="Z3320" s="90">
        <v>0</v>
      </c>
      <c r="AA3320" s="90">
        <v>1</v>
      </c>
      <c r="AB3320" s="90">
        <v>5.9699714371000004E-3</v>
      </c>
      <c r="AC3320" s="90">
        <v>7.8820511492E-4</v>
      </c>
      <c r="AD3320" s="90">
        <v>8.7510572446379005</v>
      </c>
      <c r="AF3320" s="90">
        <v>-1</v>
      </c>
      <c r="AG3320" s="90">
        <v>-1</v>
      </c>
      <c r="AH3320" s="90">
        <v>-1</v>
      </c>
      <c r="AI3320" s="90">
        <v>-1</v>
      </c>
      <c r="AJ3320" s="90">
        <v>0</v>
      </c>
      <c r="AM3320" s="90" t="s">
        <v>379</v>
      </c>
      <c r="AN3320" s="90">
        <v>-1</v>
      </c>
      <c r="AQ3320" s="90">
        <v>359</v>
      </c>
      <c r="AR3320" s="90" t="s">
        <v>431</v>
      </c>
      <c r="AS3320" s="90" t="s">
        <v>432</v>
      </c>
      <c r="AT3320" s="90" t="s">
        <v>244</v>
      </c>
      <c r="AU3320" s="90">
        <v>2.7003339999999998</v>
      </c>
      <c r="AV3320" s="90">
        <v>25.2463827991755</v>
      </c>
      <c r="AW3320" s="90">
        <v>2.0798490732632899</v>
      </c>
      <c r="AX3320" s="90">
        <v>7.0973700000000004E-3</v>
      </c>
    </row>
    <row r="3321" spans="1:50" x14ac:dyDescent="0.25">
      <c r="A3321" s="102">
        <v>830000</v>
      </c>
      <c r="B3321" s="102">
        <v>2500000</v>
      </c>
      <c r="C3321" s="102">
        <v>2500000</v>
      </c>
      <c r="D3321" s="90" t="s">
        <v>374</v>
      </c>
      <c r="E3321" s="90" t="s">
        <v>68</v>
      </c>
      <c r="F3321" s="90" t="s">
        <v>375</v>
      </c>
      <c r="G3321" s="90" t="s">
        <v>376</v>
      </c>
      <c r="H3321" s="90">
        <v>0.59</v>
      </c>
      <c r="I3321" s="90">
        <v>0.64</v>
      </c>
      <c r="J3321" s="90" t="s">
        <v>244</v>
      </c>
      <c r="K3321" s="90">
        <v>7.6288741142179997E-2</v>
      </c>
      <c r="L3321" s="90">
        <v>3781.8149967054901</v>
      </c>
      <c r="M3321" s="90">
        <v>11.616043472758999</v>
      </c>
      <c r="N3321" s="90">
        <v>1.5336463460230101</v>
      </c>
      <c r="O3321" s="90">
        <v>0.88617333358964001</v>
      </c>
      <c r="P3321" s="90">
        <v>0.1169999490954</v>
      </c>
      <c r="Q3321" s="90">
        <v>288.50990533128697</v>
      </c>
      <c r="R3321" s="90">
        <v>1410</v>
      </c>
      <c r="S3321" s="90" t="s">
        <v>325</v>
      </c>
      <c r="T3321" s="90">
        <v>1410</v>
      </c>
      <c r="U3321" s="90" t="s">
        <v>378</v>
      </c>
      <c r="V3321" s="90" t="s">
        <v>244</v>
      </c>
      <c r="Z3321" s="90">
        <v>0</v>
      </c>
      <c r="AA3321" s="90">
        <v>1</v>
      </c>
      <c r="AB3321" s="90">
        <v>0.88617333358964001</v>
      </c>
      <c r="AC3321" s="90">
        <v>0.1169999490954</v>
      </c>
      <c r="AD3321" s="90">
        <v>288.50990533128601</v>
      </c>
      <c r="AF3321" s="90">
        <v>-1</v>
      </c>
      <c r="AG3321" s="90">
        <v>-1</v>
      </c>
      <c r="AH3321" s="90">
        <v>-1</v>
      </c>
      <c r="AI3321" s="90">
        <v>-1</v>
      </c>
      <c r="AJ3321" s="90">
        <v>0</v>
      </c>
      <c r="AM3321" s="90" t="s">
        <v>379</v>
      </c>
      <c r="AN3321" s="90">
        <v>-1</v>
      </c>
      <c r="AQ3321" s="90">
        <v>359</v>
      </c>
      <c r="AR3321" s="90" t="s">
        <v>431</v>
      </c>
      <c r="AS3321" s="90" t="s">
        <v>432</v>
      </c>
      <c r="AT3321" s="90" t="s">
        <v>244</v>
      </c>
      <c r="AU3321" s="90">
        <v>2.7003339999999998</v>
      </c>
      <c r="AV3321" s="90">
        <v>98.770026954974597</v>
      </c>
      <c r="AW3321" s="90">
        <v>308.729582048049</v>
      </c>
      <c r="AX3321" s="90">
        <v>0.23399019090000001</v>
      </c>
    </row>
    <row r="3322" spans="1:50" x14ac:dyDescent="0.25">
      <c r="A3322" s="102">
        <v>830000</v>
      </c>
      <c r="B3322" s="102">
        <v>2500000</v>
      </c>
      <c r="C3322" s="102">
        <v>2500000</v>
      </c>
      <c r="D3322" s="90" t="s">
        <v>374</v>
      </c>
      <c r="E3322" s="90" t="s">
        <v>68</v>
      </c>
      <c r="F3322" s="90" t="s">
        <v>375</v>
      </c>
      <c r="G3322" s="90" t="s">
        <v>376</v>
      </c>
      <c r="H3322" s="90">
        <v>0.59</v>
      </c>
      <c r="I3322" s="90">
        <v>0.64</v>
      </c>
      <c r="J3322" s="90" t="s">
        <v>381</v>
      </c>
      <c r="K3322" s="90">
        <v>2.8391205143999998E-4</v>
      </c>
      <c r="L3322" s="90">
        <v>3781.8149967054901</v>
      </c>
      <c r="M3322" s="90">
        <v>11.616043472758999</v>
      </c>
      <c r="N3322" s="90">
        <v>1.5336463460230101</v>
      </c>
      <c r="O3322" s="90">
        <v>3.2979347320699999E-3</v>
      </c>
      <c r="P3322" s="90">
        <v>4.3542068029000001E-4</v>
      </c>
      <c r="Q3322" s="90">
        <v>1.07370285391524</v>
      </c>
      <c r="R3322" s="90">
        <v>1410</v>
      </c>
      <c r="S3322" s="90" t="s">
        <v>325</v>
      </c>
      <c r="T3322" s="90">
        <v>1410</v>
      </c>
      <c r="U3322" s="90" t="s">
        <v>382</v>
      </c>
      <c r="V3322" s="90" t="s">
        <v>381</v>
      </c>
      <c r="Z3322" s="90">
        <v>0</v>
      </c>
      <c r="AA3322" s="90">
        <v>1</v>
      </c>
      <c r="AB3322" s="90">
        <v>3.2979347320699999E-3</v>
      </c>
      <c r="AC3322" s="90">
        <v>4.3542068029000001E-4</v>
      </c>
      <c r="AD3322" s="90">
        <v>3.4566730597515298</v>
      </c>
      <c r="AF3322" s="90">
        <v>-1</v>
      </c>
      <c r="AG3322" s="90">
        <v>-1</v>
      </c>
      <c r="AH3322" s="90">
        <v>-1</v>
      </c>
      <c r="AI3322" s="90">
        <v>-1</v>
      </c>
      <c r="AJ3322" s="90">
        <v>0</v>
      </c>
      <c r="AM3322" s="90" t="s">
        <v>379</v>
      </c>
      <c r="AN3322" s="90">
        <v>-1</v>
      </c>
      <c r="AQ3322" s="90">
        <v>359</v>
      </c>
      <c r="AR3322" s="90" t="s">
        <v>431</v>
      </c>
      <c r="AS3322" s="90" t="s">
        <v>432</v>
      </c>
      <c r="AT3322" s="90" t="s">
        <v>244</v>
      </c>
      <c r="AU3322" s="90">
        <v>2.7003339999999998</v>
      </c>
      <c r="AV3322" s="90">
        <v>14.0810582300021</v>
      </c>
      <c r="AW3322" s="90">
        <v>1.14895130880423</v>
      </c>
      <c r="AX3322" s="90">
        <v>2.8034656E-3</v>
      </c>
    </row>
    <row r="3323" spans="1:50" x14ac:dyDescent="0.25">
      <c r="A3323" s="102">
        <v>840000</v>
      </c>
      <c r="B3323" s="102">
        <v>2400000</v>
      </c>
      <c r="C3323" s="102">
        <v>2400000</v>
      </c>
      <c r="D3323" s="90" t="s">
        <v>374</v>
      </c>
      <c r="E3323" s="90" t="s">
        <v>68</v>
      </c>
      <c r="F3323" s="90" t="s">
        <v>375</v>
      </c>
      <c r="G3323" s="90" t="s">
        <v>376</v>
      </c>
      <c r="H3323" s="90">
        <v>0.59</v>
      </c>
      <c r="I3323" s="90">
        <v>0.64</v>
      </c>
      <c r="J3323" s="90" t="s">
        <v>244</v>
      </c>
      <c r="K3323" s="90">
        <v>2.0582501014799999E-3</v>
      </c>
      <c r="L3323" s="90">
        <v>3790.3923528691598</v>
      </c>
      <c r="M3323" s="90">
        <v>11.449605444225</v>
      </c>
      <c r="N3323" s="90">
        <v>1.5135817815647601</v>
      </c>
      <c r="O3323" s="90">
        <v>2.3566151567480001E-2</v>
      </c>
      <c r="P3323" s="90">
        <v>3.1153298554999998E-3</v>
      </c>
      <c r="Q3323" s="90">
        <v>7.8015754449419603</v>
      </c>
      <c r="R3323" s="90">
        <v>1400</v>
      </c>
      <c r="S3323" s="90" t="s">
        <v>324</v>
      </c>
      <c r="T3323" s="90">
        <v>1400</v>
      </c>
      <c r="U3323" s="90" t="s">
        <v>378</v>
      </c>
      <c r="V3323" s="90" t="s">
        <v>244</v>
      </c>
      <c r="Z3323" s="90">
        <v>0</v>
      </c>
      <c r="AA3323" s="90">
        <v>1</v>
      </c>
      <c r="AB3323" s="90">
        <v>2.3566151567480001E-2</v>
      </c>
      <c r="AC3323" s="90">
        <v>3.1153298554999998E-3</v>
      </c>
      <c r="AD3323" s="90">
        <v>128.609524965296</v>
      </c>
      <c r="AF3323" s="90">
        <v>-1</v>
      </c>
      <c r="AG3323" s="90">
        <v>-1</v>
      </c>
      <c r="AH3323" s="90">
        <v>-1</v>
      </c>
      <c r="AI3323" s="90">
        <v>-1</v>
      </c>
      <c r="AJ3323" s="90">
        <v>0</v>
      </c>
      <c r="AM3323" s="90" t="s">
        <v>379</v>
      </c>
      <c r="AN3323" s="90">
        <v>-1</v>
      </c>
      <c r="AQ3323" s="90">
        <v>359</v>
      </c>
      <c r="AR3323" s="90" t="s">
        <v>431</v>
      </c>
      <c r="AS3323" s="90" t="s">
        <v>432</v>
      </c>
      <c r="AT3323" s="90" t="s">
        <v>244</v>
      </c>
      <c r="AU3323" s="90">
        <v>2.7003339999999998</v>
      </c>
      <c r="AV3323" s="90">
        <v>100.330164156724</v>
      </c>
      <c r="AW3323" s="90">
        <v>8.3294426420789307</v>
      </c>
      <c r="AX3323" s="90">
        <v>0.1043061841</v>
      </c>
    </row>
    <row r="3324" spans="1:50" x14ac:dyDescent="0.25">
      <c r="A3324" s="102">
        <v>840000</v>
      </c>
      <c r="B3324" s="102">
        <v>2400000</v>
      </c>
      <c r="C3324" s="102">
        <v>2400000</v>
      </c>
      <c r="D3324" s="90" t="s">
        <v>374</v>
      </c>
      <c r="E3324" s="90" t="s">
        <v>68</v>
      </c>
      <c r="F3324" s="90" t="s">
        <v>375</v>
      </c>
      <c r="G3324" s="90" t="s">
        <v>376</v>
      </c>
      <c r="H3324" s="90">
        <v>0.59</v>
      </c>
      <c r="I3324" s="90">
        <v>0.64</v>
      </c>
      <c r="J3324" s="90" t="s">
        <v>381</v>
      </c>
      <c r="K3324" s="90">
        <v>2.814280397317E-2</v>
      </c>
      <c r="L3324" s="90">
        <v>3790.3923528691598</v>
      </c>
      <c r="M3324" s="90">
        <v>11.449605444225</v>
      </c>
      <c r="N3324" s="90">
        <v>1.5135817815647601</v>
      </c>
      <c r="O3324" s="90">
        <v>0.32222400158700998</v>
      </c>
      <c r="P3324" s="90">
        <v>4.2596435375940003E-2</v>
      </c>
      <c r="Q3324" s="90">
        <v>106.672268968214</v>
      </c>
      <c r="R3324" s="90">
        <v>1400</v>
      </c>
      <c r="S3324" s="90" t="s">
        <v>324</v>
      </c>
      <c r="T3324" s="90">
        <v>1400</v>
      </c>
      <c r="U3324" s="90" t="s">
        <v>382</v>
      </c>
      <c r="V3324" s="90" t="s">
        <v>381</v>
      </c>
      <c r="Z3324" s="90">
        <v>0</v>
      </c>
      <c r="AA3324" s="90">
        <v>1</v>
      </c>
      <c r="AB3324" s="90">
        <v>0.32222400158700998</v>
      </c>
      <c r="AC3324" s="90">
        <v>4.2596435375940003E-2</v>
      </c>
      <c r="AD3324" s="90">
        <v>219.96272604415</v>
      </c>
      <c r="AF3324" s="90">
        <v>-1</v>
      </c>
      <c r="AG3324" s="90">
        <v>-1</v>
      </c>
      <c r="AH3324" s="90">
        <v>-1</v>
      </c>
      <c r="AI3324" s="90">
        <v>-1</v>
      </c>
      <c r="AJ3324" s="90">
        <v>0</v>
      </c>
      <c r="AM3324" s="90" t="s">
        <v>379</v>
      </c>
      <c r="AN3324" s="90">
        <v>-1</v>
      </c>
      <c r="AQ3324" s="90">
        <v>359</v>
      </c>
      <c r="AR3324" s="90" t="s">
        <v>431</v>
      </c>
      <c r="AS3324" s="90" t="s">
        <v>432</v>
      </c>
      <c r="AT3324" s="90" t="s">
        <v>244</v>
      </c>
      <c r="AU3324" s="90">
        <v>2.7003339999999998</v>
      </c>
      <c r="AV3324" s="90">
        <v>104.554149068399</v>
      </c>
      <c r="AW3324" s="90">
        <v>113.88988700318301</v>
      </c>
      <c r="AX3324" s="90">
        <v>0.17839637150000001</v>
      </c>
    </row>
    <row r="3325" spans="1:50" x14ac:dyDescent="0.25">
      <c r="A3325" s="102">
        <v>840000</v>
      </c>
      <c r="B3325" s="102">
        <v>2400000</v>
      </c>
      <c r="C3325" s="102">
        <v>2400000</v>
      </c>
      <c r="D3325" s="90" t="s">
        <v>374</v>
      </c>
      <c r="E3325" s="90" t="s">
        <v>68</v>
      </c>
      <c r="F3325" s="90" t="s">
        <v>375</v>
      </c>
      <c r="G3325" s="90" t="s">
        <v>376</v>
      </c>
      <c r="H3325" s="90">
        <v>0.59</v>
      </c>
      <c r="I3325" s="90">
        <v>0.64</v>
      </c>
      <c r="J3325" s="90" t="s">
        <v>244</v>
      </c>
      <c r="K3325" s="90">
        <v>1.9118274182999999E-4</v>
      </c>
      <c r="L3325" s="90">
        <v>3790.3923528691598</v>
      </c>
      <c r="M3325" s="90">
        <v>11.449605444225</v>
      </c>
      <c r="N3325" s="90">
        <v>1.5135817815647601</v>
      </c>
      <c r="O3325" s="90">
        <v>2.1889669616899999E-3</v>
      </c>
      <c r="P3325" s="90">
        <v>2.8937071498000001E-4</v>
      </c>
      <c r="Q3325" s="90">
        <v>0.72465760263298995</v>
      </c>
      <c r="R3325" s="90">
        <v>1410</v>
      </c>
      <c r="S3325" s="90" t="s">
        <v>325</v>
      </c>
      <c r="T3325" s="90">
        <v>1410</v>
      </c>
      <c r="U3325" s="90" t="s">
        <v>378</v>
      </c>
      <c r="V3325" s="90" t="s">
        <v>244</v>
      </c>
      <c r="Z3325" s="90">
        <v>0</v>
      </c>
      <c r="AA3325" s="90">
        <v>1</v>
      </c>
      <c r="AB3325" s="90">
        <v>2.1889669616899999E-3</v>
      </c>
      <c r="AC3325" s="90">
        <v>2.8937071498000001E-4</v>
      </c>
      <c r="AD3325" s="90">
        <v>137.20643175301399</v>
      </c>
      <c r="AF3325" s="90">
        <v>-1</v>
      </c>
      <c r="AG3325" s="90">
        <v>-1</v>
      </c>
      <c r="AH3325" s="90">
        <v>-1</v>
      </c>
      <c r="AI3325" s="90">
        <v>-1</v>
      </c>
      <c r="AJ3325" s="90">
        <v>0</v>
      </c>
      <c r="AM3325" s="90" t="s">
        <v>379</v>
      </c>
      <c r="AN3325" s="90">
        <v>-1</v>
      </c>
      <c r="AQ3325" s="90">
        <v>359</v>
      </c>
      <c r="AR3325" s="90" t="s">
        <v>431</v>
      </c>
      <c r="AS3325" s="90" t="s">
        <v>432</v>
      </c>
      <c r="AT3325" s="90" t="s">
        <v>244</v>
      </c>
      <c r="AU3325" s="90">
        <v>2.7003339999999998</v>
      </c>
      <c r="AV3325" s="90">
        <v>8.2254815547291695</v>
      </c>
      <c r="AW3325" s="90">
        <v>0.77368910662714996</v>
      </c>
      <c r="AX3325" s="90">
        <v>0.1112785335</v>
      </c>
    </row>
    <row r="3326" spans="1:50" x14ac:dyDescent="0.25">
      <c r="A3326" s="102">
        <v>840000</v>
      </c>
      <c r="B3326" s="102">
        <v>2400000</v>
      </c>
      <c r="C3326" s="102">
        <v>2400000</v>
      </c>
      <c r="D3326" s="90" t="s">
        <v>374</v>
      </c>
      <c r="E3326" s="90" t="s">
        <v>68</v>
      </c>
      <c r="F3326" s="90" t="s">
        <v>375</v>
      </c>
      <c r="G3326" s="90" t="s">
        <v>376</v>
      </c>
      <c r="H3326" s="90">
        <v>0.59</v>
      </c>
      <c r="I3326" s="90">
        <v>0.64</v>
      </c>
      <c r="J3326" s="90" t="s">
        <v>244</v>
      </c>
      <c r="K3326" s="90">
        <v>9.4536584084999997E-4</v>
      </c>
      <c r="L3326" s="90">
        <v>3790.3923528691598</v>
      </c>
      <c r="M3326" s="90">
        <v>11.449605444225</v>
      </c>
      <c r="N3326" s="90">
        <v>1.5135817815647601</v>
      </c>
      <c r="O3326" s="90">
        <v>1.0824065878190001E-2</v>
      </c>
      <c r="P3326" s="90">
        <v>1.43088851362E-3</v>
      </c>
      <c r="Q3326" s="90">
        <v>3.5833074538253502</v>
      </c>
      <c r="R3326" s="90">
        <v>1410</v>
      </c>
      <c r="S3326" s="90" t="s">
        <v>325</v>
      </c>
      <c r="T3326" s="90">
        <v>1410</v>
      </c>
      <c r="U3326" s="90" t="s">
        <v>378</v>
      </c>
      <c r="V3326" s="90" t="s">
        <v>244</v>
      </c>
      <c r="Z3326" s="90">
        <v>0</v>
      </c>
      <c r="AA3326" s="90">
        <v>1</v>
      </c>
      <c r="AB3326" s="90">
        <v>1.0824065878190001E-2</v>
      </c>
      <c r="AC3326" s="90">
        <v>1.43088851362E-3</v>
      </c>
      <c r="AD3326" s="90">
        <v>730.21433062866402</v>
      </c>
      <c r="AF3326" s="90">
        <v>-1</v>
      </c>
      <c r="AG3326" s="90">
        <v>-1</v>
      </c>
      <c r="AH3326" s="90">
        <v>-1</v>
      </c>
      <c r="AI3326" s="90">
        <v>-1</v>
      </c>
      <c r="AJ3326" s="90">
        <v>0</v>
      </c>
      <c r="AM3326" s="90" t="s">
        <v>379</v>
      </c>
      <c r="AN3326" s="90">
        <v>-1</v>
      </c>
      <c r="AQ3326" s="90">
        <v>359</v>
      </c>
      <c r="AR3326" s="90" t="s">
        <v>431</v>
      </c>
      <c r="AS3326" s="90" t="s">
        <v>432</v>
      </c>
      <c r="AT3326" s="90" t="s">
        <v>244</v>
      </c>
      <c r="AU3326" s="90">
        <v>2.7003339999999998</v>
      </c>
      <c r="AV3326" s="90">
        <v>37.070575332021598</v>
      </c>
      <c r="AW3326" s="90">
        <v>3.82575982456716</v>
      </c>
      <c r="AX3326" s="90">
        <v>0.59222573450000005</v>
      </c>
    </row>
    <row r="3327" spans="1:50" x14ac:dyDescent="0.25">
      <c r="A3327" s="102">
        <v>840000</v>
      </c>
      <c r="B3327" s="102">
        <v>2400000</v>
      </c>
      <c r="C3327" s="102">
        <v>2400000</v>
      </c>
      <c r="D3327" s="90" t="s">
        <v>374</v>
      </c>
      <c r="E3327" s="90" t="s">
        <v>68</v>
      </c>
      <c r="F3327" s="90" t="s">
        <v>375</v>
      </c>
      <c r="G3327" s="90" t="s">
        <v>376</v>
      </c>
      <c r="H3327" s="90">
        <v>0.59</v>
      </c>
      <c r="I3327" s="90">
        <v>0.64</v>
      </c>
      <c r="J3327" s="90" t="s">
        <v>244</v>
      </c>
      <c r="K3327" s="90">
        <v>1.2308540544700001E-3</v>
      </c>
      <c r="L3327" s="90">
        <v>3790.3923528691598</v>
      </c>
      <c r="M3327" s="90">
        <v>11.449605444225</v>
      </c>
      <c r="N3327" s="90">
        <v>1.5135817815647601</v>
      </c>
      <c r="O3327" s="90">
        <v>1.409279328311E-2</v>
      </c>
      <c r="P3327" s="90">
        <v>1.8629982726099999E-3</v>
      </c>
      <c r="Q3327" s="90">
        <v>4.66541979556487</v>
      </c>
      <c r="R3327" s="90">
        <v>1430</v>
      </c>
      <c r="S3327" s="90" t="s">
        <v>326</v>
      </c>
      <c r="T3327" s="90">
        <v>1430</v>
      </c>
      <c r="U3327" s="90" t="s">
        <v>378</v>
      </c>
      <c r="V3327" s="90" t="s">
        <v>244</v>
      </c>
      <c r="Z3327" s="90">
        <v>0</v>
      </c>
      <c r="AA3327" s="90">
        <v>1</v>
      </c>
      <c r="AB3327" s="90">
        <v>1.409279328311E-2</v>
      </c>
      <c r="AC3327" s="90">
        <v>1.8629982726099999E-3</v>
      </c>
      <c r="AD3327" s="90">
        <v>730.644666031621</v>
      </c>
      <c r="AF3327" s="90">
        <v>-1</v>
      </c>
      <c r="AG3327" s="90">
        <v>-1</v>
      </c>
      <c r="AH3327" s="90">
        <v>-1</v>
      </c>
      <c r="AI3327" s="90">
        <v>-1</v>
      </c>
      <c r="AJ3327" s="90">
        <v>0</v>
      </c>
      <c r="AM3327" s="90" t="s">
        <v>379</v>
      </c>
      <c r="AN3327" s="90">
        <v>-1</v>
      </c>
      <c r="AQ3327" s="90">
        <v>359</v>
      </c>
      <c r="AR3327" s="90" t="s">
        <v>431</v>
      </c>
      <c r="AS3327" s="90" t="s">
        <v>432</v>
      </c>
      <c r="AT3327" s="90" t="s">
        <v>244</v>
      </c>
      <c r="AU3327" s="90">
        <v>2.7003339999999998</v>
      </c>
      <c r="AV3327" s="90">
        <v>37.175325324434297</v>
      </c>
      <c r="AW3327" s="90">
        <v>4.98108963537205</v>
      </c>
      <c r="AX3327" s="90">
        <v>0.59257474939999999</v>
      </c>
    </row>
    <row r="3328" spans="1:50" x14ac:dyDescent="0.25">
      <c r="A3328" s="102">
        <v>840000</v>
      </c>
      <c r="B3328" s="102">
        <v>2400000</v>
      </c>
      <c r="C3328" s="102">
        <v>2400000</v>
      </c>
      <c r="D3328" s="90" t="s">
        <v>374</v>
      </c>
      <c r="E3328" s="90" t="s">
        <v>68</v>
      </c>
      <c r="F3328" s="90" t="s">
        <v>375</v>
      </c>
      <c r="G3328" s="90" t="s">
        <v>376</v>
      </c>
      <c r="H3328" s="90">
        <v>0.59</v>
      </c>
      <c r="I3328" s="90">
        <v>0.64</v>
      </c>
      <c r="J3328" s="90" t="s">
        <v>244</v>
      </c>
      <c r="K3328" s="90">
        <v>7.2689084344999995E-4</v>
      </c>
      <c r="L3328" s="90">
        <v>3790.3923528691598</v>
      </c>
      <c r="M3328" s="90">
        <v>11.449605444225</v>
      </c>
      <c r="N3328" s="90">
        <v>1.5135817815647601</v>
      </c>
      <c r="O3328" s="90">
        <v>8.3226133586100006E-3</v>
      </c>
      <c r="P3328" s="90">
        <v>1.1002087378399999E-3</v>
      </c>
      <c r="Q3328" s="90">
        <v>2.7552014944138099</v>
      </c>
      <c r="R3328" s="90">
        <v>1410</v>
      </c>
      <c r="S3328" s="90" t="s">
        <v>325</v>
      </c>
      <c r="T3328" s="90">
        <v>1410</v>
      </c>
      <c r="U3328" s="90" t="s">
        <v>378</v>
      </c>
      <c r="V3328" s="90" t="s">
        <v>244</v>
      </c>
      <c r="Z3328" s="90">
        <v>0</v>
      </c>
      <c r="AA3328" s="90">
        <v>1</v>
      </c>
      <c r="AB3328" s="90">
        <v>8.3226133586100006E-3</v>
      </c>
      <c r="AC3328" s="90">
        <v>1.1002087378399999E-3</v>
      </c>
      <c r="AD3328" s="90">
        <v>394.92819150384202</v>
      </c>
      <c r="AF3328" s="90">
        <v>-1</v>
      </c>
      <c r="AG3328" s="90">
        <v>-1</v>
      </c>
      <c r="AH3328" s="90">
        <v>-1</v>
      </c>
      <c r="AI3328" s="90">
        <v>-1</v>
      </c>
      <c r="AJ3328" s="90">
        <v>0</v>
      </c>
      <c r="AM3328" s="90" t="s">
        <v>379</v>
      </c>
      <c r="AN3328" s="90">
        <v>-1</v>
      </c>
      <c r="AQ3328" s="90">
        <v>359</v>
      </c>
      <c r="AR3328" s="90" t="s">
        <v>431</v>
      </c>
      <c r="AS3328" s="90" t="s">
        <v>432</v>
      </c>
      <c r="AT3328" s="90" t="s">
        <v>244</v>
      </c>
      <c r="AU3328" s="90">
        <v>2.7003339999999998</v>
      </c>
      <c r="AV3328" s="90">
        <v>19.487933589633499</v>
      </c>
      <c r="AW3328" s="90">
        <v>2.94162287823114</v>
      </c>
      <c r="AX3328" s="90">
        <v>0.32029861440000001</v>
      </c>
    </row>
    <row r="3329" spans="1:50" x14ac:dyDescent="0.25">
      <c r="A3329" s="102">
        <v>840000</v>
      </c>
      <c r="B3329" s="102">
        <v>2400000</v>
      </c>
      <c r="C3329" s="102">
        <v>2400000</v>
      </c>
      <c r="D3329" s="90" t="s">
        <v>374</v>
      </c>
      <c r="E3329" s="90" t="s">
        <v>68</v>
      </c>
      <c r="F3329" s="90" t="s">
        <v>375</v>
      </c>
      <c r="G3329" s="90" t="s">
        <v>376</v>
      </c>
      <c r="H3329" s="90">
        <v>0.59</v>
      </c>
      <c r="I3329" s="90">
        <v>0.64</v>
      </c>
      <c r="J3329" s="90" t="s">
        <v>381</v>
      </c>
      <c r="K3329" s="90">
        <v>2.498750137094E-2</v>
      </c>
      <c r="L3329" s="90">
        <v>3781.6809473344902</v>
      </c>
      <c r="M3329" s="90">
        <v>11.6186390453675</v>
      </c>
      <c r="N3329" s="90">
        <v>1.5339592407437901</v>
      </c>
      <c r="O3329" s="90">
        <v>0.29032075907468002</v>
      </c>
      <c r="P3329" s="90">
        <v>3.8329808631060003E-2</v>
      </c>
      <c r="Q3329" s="90">
        <v>94.494757856012399</v>
      </c>
      <c r="R3329" s="90">
        <v>1400</v>
      </c>
      <c r="S3329" s="90" t="s">
        <v>324</v>
      </c>
      <c r="T3329" s="90">
        <v>1400</v>
      </c>
      <c r="U3329" s="90" t="s">
        <v>382</v>
      </c>
      <c r="V3329" s="90" t="s">
        <v>381</v>
      </c>
      <c r="Z3329" s="90">
        <v>0</v>
      </c>
      <c r="AA3329" s="90">
        <v>1</v>
      </c>
      <c r="AB3329" s="90">
        <v>0.29032075907468002</v>
      </c>
      <c r="AC3329" s="90">
        <v>3.8329808631060003E-2</v>
      </c>
      <c r="AD3329" s="90">
        <v>875.83325341438797</v>
      </c>
      <c r="AF3329" s="90">
        <v>-1</v>
      </c>
      <c r="AG3329" s="90">
        <v>-1</v>
      </c>
      <c r="AH3329" s="90">
        <v>-1</v>
      </c>
      <c r="AI3329" s="90">
        <v>-1</v>
      </c>
      <c r="AJ3329" s="90">
        <v>0</v>
      </c>
      <c r="AM3329" s="90" t="s">
        <v>379</v>
      </c>
      <c r="AN3329" s="90">
        <v>-1</v>
      </c>
      <c r="AQ3329" s="90">
        <v>359</v>
      </c>
      <c r="AR3329" s="90" t="s">
        <v>431</v>
      </c>
      <c r="AS3329" s="90" t="s">
        <v>432</v>
      </c>
      <c r="AT3329" s="90" t="s">
        <v>244</v>
      </c>
      <c r="AU3329" s="90">
        <v>2.7003339999999998</v>
      </c>
      <c r="AV3329" s="90">
        <v>44.542258684807898</v>
      </c>
      <c r="AW3329" s="90">
        <v>101.120830402753</v>
      </c>
      <c r="AX3329" s="90">
        <v>0.71032705060000001</v>
      </c>
    </row>
    <row r="3330" spans="1:50" x14ac:dyDescent="0.25">
      <c r="A3330" s="102">
        <v>840000</v>
      </c>
      <c r="B3330" s="102">
        <v>2400000</v>
      </c>
      <c r="C3330" s="102">
        <v>2400000</v>
      </c>
      <c r="D3330" s="90" t="s">
        <v>374</v>
      </c>
      <c r="E3330" s="90" t="s">
        <v>68</v>
      </c>
      <c r="F3330" s="90" t="s">
        <v>375</v>
      </c>
      <c r="G3330" s="90" t="s">
        <v>376</v>
      </c>
      <c r="H3330" s="90">
        <v>0.59</v>
      </c>
      <c r="I3330" s="90">
        <v>0.64</v>
      </c>
      <c r="J3330" s="90" t="s">
        <v>244</v>
      </c>
      <c r="K3330" s="90">
        <v>6.3532137719999997E-5</v>
      </c>
      <c r="L3330" s="90">
        <v>3760.7648778764101</v>
      </c>
      <c r="M3330" s="90">
        <v>10.835456854547701</v>
      </c>
      <c r="N3330" s="90">
        <v>1.47671474622511</v>
      </c>
      <c r="O3330" s="90">
        <v>6.8839973719999996E-4</v>
      </c>
      <c r="P3330" s="90">
        <v>9.3818844630000003E-5</v>
      </c>
      <c r="Q3330" s="90">
        <v>0.23892943217634</v>
      </c>
      <c r="R3330" s="90">
        <v>1400</v>
      </c>
      <c r="S3330" s="90" t="s">
        <v>324</v>
      </c>
      <c r="T3330" s="90">
        <v>1400</v>
      </c>
      <c r="U3330" s="90" t="s">
        <v>378</v>
      </c>
      <c r="V3330" s="90" t="s">
        <v>244</v>
      </c>
      <c r="Z3330" s="90">
        <v>0</v>
      </c>
      <c r="AA3330" s="90">
        <v>1</v>
      </c>
      <c r="AB3330" s="90">
        <v>6.8839973719999996E-4</v>
      </c>
      <c r="AC3330" s="90">
        <v>9.3818844630000003E-5</v>
      </c>
      <c r="AD3330" s="90">
        <v>84.767848985817295</v>
      </c>
      <c r="AF3330" s="90">
        <v>-1</v>
      </c>
      <c r="AG3330" s="90">
        <v>-1</v>
      </c>
      <c r="AH3330" s="90">
        <v>-1</v>
      </c>
      <c r="AI3330" s="90">
        <v>-1</v>
      </c>
      <c r="AJ3330" s="90">
        <v>0</v>
      </c>
      <c r="AM3330" s="90" t="s">
        <v>379</v>
      </c>
      <c r="AN3330" s="90">
        <v>-1</v>
      </c>
      <c r="AQ3330" s="90">
        <v>359</v>
      </c>
      <c r="AR3330" s="90" t="s">
        <v>431</v>
      </c>
      <c r="AS3330" s="90" t="s">
        <v>432</v>
      </c>
      <c r="AT3330" s="90" t="s">
        <v>244</v>
      </c>
      <c r="AU3330" s="90">
        <v>2.7003339999999998</v>
      </c>
      <c r="AV3330" s="90">
        <v>9.5453544128722996</v>
      </c>
      <c r="AW3330" s="90">
        <v>0.25710543958705001</v>
      </c>
      <c r="AX3330" s="90">
        <v>6.8749269299999999E-2</v>
      </c>
    </row>
    <row r="3331" spans="1:50" x14ac:dyDescent="0.25">
      <c r="A3331" s="102">
        <v>840000</v>
      </c>
      <c r="B3331" s="102">
        <v>2400000</v>
      </c>
      <c r="C3331" s="102">
        <v>2400000</v>
      </c>
      <c r="D3331" s="90" t="s">
        <v>374</v>
      </c>
      <c r="E3331" s="90" t="s">
        <v>68</v>
      </c>
      <c r="F3331" s="90" t="s">
        <v>375</v>
      </c>
      <c r="G3331" s="90" t="s">
        <v>376</v>
      </c>
      <c r="H3331" s="90">
        <v>0.59</v>
      </c>
      <c r="I3331" s="90">
        <v>0.64</v>
      </c>
      <c r="J3331" s="90" t="s">
        <v>381</v>
      </c>
      <c r="K3331" s="90">
        <v>7.2122872769999995E-4</v>
      </c>
      <c r="L3331" s="90">
        <v>3760.7648778764101</v>
      </c>
      <c r="M3331" s="90">
        <v>10.835456854547701</v>
      </c>
      <c r="N3331" s="90">
        <v>1.47671474622511</v>
      </c>
      <c r="O3331" s="90">
        <v>7.8148427612499995E-3</v>
      </c>
      <c r="P3331" s="90">
        <v>1.0650490975900001E-3</v>
      </c>
      <c r="Q3331" s="90">
        <v>2.7123716680496401</v>
      </c>
      <c r="R3331" s="90">
        <v>1400</v>
      </c>
      <c r="S3331" s="90" t="s">
        <v>324</v>
      </c>
      <c r="T3331" s="90">
        <v>1400</v>
      </c>
      <c r="U3331" s="90" t="s">
        <v>382</v>
      </c>
      <c r="V3331" s="90" t="s">
        <v>381</v>
      </c>
      <c r="Z3331" s="90">
        <v>0</v>
      </c>
      <c r="AA3331" s="90">
        <v>1</v>
      </c>
      <c r="AB3331" s="90">
        <v>7.8148427612499995E-3</v>
      </c>
      <c r="AC3331" s="90">
        <v>1.0650490975900001E-3</v>
      </c>
      <c r="AD3331" s="90">
        <v>215.18801753184499</v>
      </c>
      <c r="AF3331" s="90">
        <v>-1</v>
      </c>
      <c r="AG3331" s="90">
        <v>-1</v>
      </c>
      <c r="AH3331" s="90">
        <v>-1</v>
      </c>
      <c r="AI3331" s="90">
        <v>-1</v>
      </c>
      <c r="AJ3331" s="90">
        <v>0</v>
      </c>
      <c r="AM3331" s="90" t="s">
        <v>379</v>
      </c>
      <c r="AN3331" s="90">
        <v>-1</v>
      </c>
      <c r="AQ3331" s="90">
        <v>359</v>
      </c>
      <c r="AR3331" s="90" t="s">
        <v>431</v>
      </c>
      <c r="AS3331" s="90" t="s">
        <v>432</v>
      </c>
      <c r="AT3331" s="90" t="s">
        <v>244</v>
      </c>
      <c r="AU3331" s="90">
        <v>2.7003339999999998</v>
      </c>
      <c r="AV3331" s="90">
        <v>10.660426575918001</v>
      </c>
      <c r="AW3331" s="90">
        <v>2.9187091087119001</v>
      </c>
      <c r="AX3331" s="90">
        <v>0.17452393960000001</v>
      </c>
    </row>
    <row r="3332" spans="1:50" x14ac:dyDescent="0.25">
      <c r="A3332" s="102">
        <v>840000</v>
      </c>
      <c r="B3332" s="102">
        <v>2400000</v>
      </c>
      <c r="C3332" s="102">
        <v>2400000</v>
      </c>
      <c r="D3332" s="90" t="s">
        <v>374</v>
      </c>
      <c r="E3332" s="90" t="s">
        <v>68</v>
      </c>
      <c r="F3332" s="90" t="s">
        <v>375</v>
      </c>
      <c r="G3332" s="90" t="s">
        <v>376</v>
      </c>
      <c r="H3332" s="90">
        <v>0.59</v>
      </c>
      <c r="I3332" s="90">
        <v>0.64</v>
      </c>
      <c r="J3332" s="90" t="s">
        <v>244</v>
      </c>
      <c r="K3332" s="90">
        <v>3.3771104480000002E-5</v>
      </c>
      <c r="L3332" s="90">
        <v>3760.7648778764101</v>
      </c>
      <c r="M3332" s="90">
        <v>10.835456854547701</v>
      </c>
      <c r="N3332" s="90">
        <v>1.47671474622511</v>
      </c>
      <c r="O3332" s="90">
        <v>3.6592534558000002E-4</v>
      </c>
      <c r="P3332" s="90">
        <v>4.987028799E-5</v>
      </c>
      <c r="Q3332" s="90">
        <v>0.12700518363804</v>
      </c>
      <c r="R3332" s="90">
        <v>1410</v>
      </c>
      <c r="S3332" s="90" t="s">
        <v>325</v>
      </c>
      <c r="T3332" s="90">
        <v>1410</v>
      </c>
      <c r="U3332" s="90" t="s">
        <v>378</v>
      </c>
      <c r="V3332" s="90" t="s">
        <v>244</v>
      </c>
      <c r="Z3332" s="90">
        <v>0</v>
      </c>
      <c r="AA3332" s="90">
        <v>1</v>
      </c>
      <c r="AB3332" s="90">
        <v>3.6592534558000002E-4</v>
      </c>
      <c r="AC3332" s="90">
        <v>4.987028799E-5</v>
      </c>
      <c r="AD3332" s="90">
        <v>724.08783190205395</v>
      </c>
      <c r="AF3332" s="90">
        <v>-1</v>
      </c>
      <c r="AG3332" s="90">
        <v>-1</v>
      </c>
      <c r="AH3332" s="90">
        <v>-1</v>
      </c>
      <c r="AI3332" s="90">
        <v>-1</v>
      </c>
      <c r="AJ3332" s="90">
        <v>0</v>
      </c>
      <c r="AM3332" s="90" t="s">
        <v>379</v>
      </c>
      <c r="AN3332" s="90">
        <v>-1</v>
      </c>
      <c r="AQ3332" s="90">
        <v>359</v>
      </c>
      <c r="AR3332" s="90" t="s">
        <v>431</v>
      </c>
      <c r="AS3332" s="90" t="s">
        <v>432</v>
      </c>
      <c r="AT3332" s="90" t="s">
        <v>244</v>
      </c>
      <c r="AU3332" s="90">
        <v>2.7003339999999998</v>
      </c>
      <c r="AV3332" s="90">
        <v>7.3828188798570702</v>
      </c>
      <c r="AW3332" s="90">
        <v>0.13666681108050999</v>
      </c>
      <c r="AX3332" s="90">
        <v>0.58725696019999996</v>
      </c>
    </row>
    <row r="3333" spans="1:50" x14ac:dyDescent="0.25">
      <c r="A3333" s="102">
        <v>840000</v>
      </c>
      <c r="B3333" s="102">
        <v>2400000</v>
      </c>
      <c r="C3333" s="102">
        <v>2400000</v>
      </c>
      <c r="D3333" s="90" t="s">
        <v>374</v>
      </c>
      <c r="E3333" s="90" t="s">
        <v>68</v>
      </c>
      <c r="F3333" s="90" t="s">
        <v>375</v>
      </c>
      <c r="G3333" s="90" t="s">
        <v>376</v>
      </c>
      <c r="H3333" s="90">
        <v>0.59</v>
      </c>
      <c r="I3333" s="90">
        <v>0.64</v>
      </c>
      <c r="J3333" s="90" t="s">
        <v>244</v>
      </c>
      <c r="K3333" s="90">
        <v>1.008030629E-5</v>
      </c>
      <c r="L3333" s="90">
        <v>3760.7648778764101</v>
      </c>
      <c r="M3333" s="90">
        <v>10.835456854547701</v>
      </c>
      <c r="N3333" s="90">
        <v>1.47671474622511</v>
      </c>
      <c r="O3333" s="90">
        <v>1.0922472394E-4</v>
      </c>
      <c r="P3333" s="90">
        <v>1.4885736949999999E-5</v>
      </c>
      <c r="Q3333" s="90">
        <v>3.7909661872470003E-2</v>
      </c>
      <c r="R3333" s="90">
        <v>1410</v>
      </c>
      <c r="S3333" s="90" t="s">
        <v>325</v>
      </c>
      <c r="T3333" s="90">
        <v>1410</v>
      </c>
      <c r="U3333" s="90" t="s">
        <v>378</v>
      </c>
      <c r="V3333" s="90" t="s">
        <v>244</v>
      </c>
      <c r="Z3333" s="90">
        <v>0</v>
      </c>
      <c r="AA3333" s="90">
        <v>1</v>
      </c>
      <c r="AB3333" s="90">
        <v>1.0922472394E-4</v>
      </c>
      <c r="AC3333" s="90">
        <v>1.4885736949999999E-5</v>
      </c>
      <c r="AD3333" s="90">
        <v>60.764194503192599</v>
      </c>
      <c r="AF3333" s="90">
        <v>-1</v>
      </c>
      <c r="AG3333" s="90">
        <v>-1</v>
      </c>
      <c r="AH3333" s="90">
        <v>-1</v>
      </c>
      <c r="AI3333" s="90">
        <v>-1</v>
      </c>
      <c r="AJ3333" s="90">
        <v>0</v>
      </c>
      <c r="AM3333" s="90" t="s">
        <v>379</v>
      </c>
      <c r="AN3333" s="90">
        <v>-1</v>
      </c>
      <c r="AQ3333" s="90">
        <v>359</v>
      </c>
      <c r="AR3333" s="90" t="s">
        <v>431</v>
      </c>
      <c r="AS3333" s="90" t="s">
        <v>432</v>
      </c>
      <c r="AT3333" s="90" t="s">
        <v>244</v>
      </c>
      <c r="AU3333" s="90">
        <v>2.7003339999999998</v>
      </c>
      <c r="AV3333" s="90">
        <v>2.20604718189451</v>
      </c>
      <c r="AW3333" s="90">
        <v>4.0793552270389999E-2</v>
      </c>
      <c r="AX3333" s="90">
        <v>4.9281585199999998E-2</v>
      </c>
    </row>
    <row r="3334" spans="1:50" x14ac:dyDescent="0.25">
      <c r="A3334" s="102">
        <v>840000</v>
      </c>
      <c r="B3334" s="102">
        <v>2400000</v>
      </c>
      <c r="C3334" s="102">
        <v>2400000</v>
      </c>
      <c r="D3334" s="90" t="s">
        <v>374</v>
      </c>
      <c r="E3334" s="90" t="s">
        <v>68</v>
      </c>
      <c r="F3334" s="90" t="s">
        <v>375</v>
      </c>
      <c r="G3334" s="90" t="s">
        <v>376</v>
      </c>
      <c r="H3334" s="90">
        <v>0.59</v>
      </c>
      <c r="I3334" s="90">
        <v>0.64</v>
      </c>
      <c r="J3334" s="90" t="s">
        <v>381</v>
      </c>
      <c r="K3334" s="90">
        <v>7.2179472984590001E-2</v>
      </c>
      <c r="L3334" s="90">
        <v>3779.1791647033701</v>
      </c>
      <c r="M3334" s="90">
        <v>11.498271058994099</v>
      </c>
      <c r="N3334" s="90">
        <v>1.61690997092292</v>
      </c>
      <c r="O3334" s="90">
        <v>0.82993914527215995</v>
      </c>
      <c r="P3334" s="90">
        <v>0.11670770956474</v>
      </c>
      <c r="Q3334" s="90">
        <v>272.779160422632</v>
      </c>
      <c r="R3334" s="90">
        <v>1400</v>
      </c>
      <c r="S3334" s="90" t="s">
        <v>324</v>
      </c>
      <c r="T3334" s="90">
        <v>1400</v>
      </c>
      <c r="U3334" s="90" t="s">
        <v>382</v>
      </c>
      <c r="V3334" s="90" t="s">
        <v>381</v>
      </c>
      <c r="Z3334" s="90">
        <v>0</v>
      </c>
      <c r="AA3334" s="90">
        <v>1</v>
      </c>
      <c r="AB3334" s="90">
        <v>0.82993914527215995</v>
      </c>
      <c r="AC3334" s="90">
        <v>0.11670770956474</v>
      </c>
      <c r="AD3334" s="90">
        <v>875.17467111546705</v>
      </c>
      <c r="AF3334" s="90">
        <v>-1</v>
      </c>
      <c r="AG3334" s="90">
        <v>-1</v>
      </c>
      <c r="AH3334" s="90">
        <v>-1</v>
      </c>
      <c r="AI3334" s="90">
        <v>-1</v>
      </c>
      <c r="AJ3334" s="90">
        <v>0</v>
      </c>
      <c r="AM3334" s="90" t="s">
        <v>379</v>
      </c>
      <c r="AN3334" s="90">
        <v>-1</v>
      </c>
      <c r="AQ3334" s="90">
        <v>359</v>
      </c>
      <c r="AR3334" s="90" t="s">
        <v>431</v>
      </c>
      <c r="AS3334" s="90" t="s">
        <v>432</v>
      </c>
      <c r="AT3334" s="90" t="s">
        <v>244</v>
      </c>
      <c r="AU3334" s="90">
        <v>2.7003339999999998</v>
      </c>
      <c r="AV3334" s="90">
        <v>111.687319382014</v>
      </c>
      <c r="AW3334" s="90">
        <v>292.09996381313698</v>
      </c>
      <c r="AX3334" s="90">
        <v>0.70979292059999999</v>
      </c>
    </row>
    <row r="3335" spans="1:50" x14ac:dyDescent="0.25">
      <c r="A3335" s="102">
        <v>840000</v>
      </c>
      <c r="B3335" s="102">
        <v>2400000</v>
      </c>
      <c r="C3335" s="102">
        <v>2400000</v>
      </c>
      <c r="D3335" s="90" t="s">
        <v>374</v>
      </c>
      <c r="E3335" s="90" t="s">
        <v>68</v>
      </c>
      <c r="F3335" s="90" t="s">
        <v>375</v>
      </c>
      <c r="G3335" s="90" t="s">
        <v>376</v>
      </c>
      <c r="H3335" s="90">
        <v>0.59</v>
      </c>
      <c r="I3335" s="90">
        <v>0.64</v>
      </c>
      <c r="J3335" s="90" t="s">
        <v>244</v>
      </c>
      <c r="K3335" s="90">
        <v>5.1371146255999999E-4</v>
      </c>
      <c r="L3335" s="90">
        <v>3817.9346363518898</v>
      </c>
      <c r="M3335" s="90">
        <v>10.885167909686601</v>
      </c>
      <c r="N3335" s="90">
        <v>1.44549023317269</v>
      </c>
      <c r="O3335" s="90">
        <v>5.5918355271399999E-3</v>
      </c>
      <c r="P3335" s="90">
        <v>7.4256490180000005E-4</v>
      </c>
      <c r="Q3335" s="90">
        <v>1.9613167860140801</v>
      </c>
      <c r="R3335" s="90">
        <v>1400</v>
      </c>
      <c r="S3335" s="90" t="s">
        <v>324</v>
      </c>
      <c r="T3335" s="90">
        <v>1400</v>
      </c>
      <c r="U3335" s="90" t="s">
        <v>378</v>
      </c>
      <c r="V3335" s="90" t="s">
        <v>244</v>
      </c>
      <c r="Z3335" s="90">
        <v>0</v>
      </c>
      <c r="AA3335" s="90">
        <v>1</v>
      </c>
      <c r="AB3335" s="90">
        <v>5.5918355271399999E-3</v>
      </c>
      <c r="AC3335" s="90">
        <v>7.4256490180000005E-4</v>
      </c>
      <c r="AD3335" s="90">
        <v>853.60643822976499</v>
      </c>
      <c r="AF3335" s="90">
        <v>-1</v>
      </c>
      <c r="AG3335" s="90">
        <v>-1</v>
      </c>
      <c r="AH3335" s="90">
        <v>-1</v>
      </c>
      <c r="AI3335" s="90">
        <v>-1</v>
      </c>
      <c r="AJ3335" s="90">
        <v>0</v>
      </c>
      <c r="AM3335" s="90" t="s">
        <v>379</v>
      </c>
      <c r="AN3335" s="90">
        <v>-1</v>
      </c>
      <c r="AQ3335" s="90">
        <v>359</v>
      </c>
      <c r="AR3335" s="90" t="s">
        <v>431</v>
      </c>
      <c r="AS3335" s="90" t="s">
        <v>432</v>
      </c>
      <c r="AT3335" s="90" t="s">
        <v>244</v>
      </c>
      <c r="AU3335" s="90">
        <v>2.7003339999999998</v>
      </c>
      <c r="AV3335" s="90">
        <v>81.241197843180203</v>
      </c>
      <c r="AW3335" s="90">
        <v>2.0789165315360401</v>
      </c>
      <c r="AX3335" s="90">
        <v>0.69230043649999995</v>
      </c>
    </row>
    <row r="3336" spans="1:50" x14ac:dyDescent="0.25">
      <c r="A3336" s="102">
        <v>840000</v>
      </c>
      <c r="B3336" s="102">
        <v>2400000</v>
      </c>
      <c r="C3336" s="102">
        <v>2400000</v>
      </c>
      <c r="D3336" s="90" t="s">
        <v>374</v>
      </c>
      <c r="E3336" s="90" t="s">
        <v>68</v>
      </c>
      <c r="F3336" s="90" t="s">
        <v>375</v>
      </c>
      <c r="G3336" s="90" t="s">
        <v>376</v>
      </c>
      <c r="H3336" s="90">
        <v>0.59</v>
      </c>
      <c r="I3336" s="90">
        <v>0.64</v>
      </c>
      <c r="J3336" s="90" t="s">
        <v>381</v>
      </c>
      <c r="K3336" s="90">
        <v>1.61174060936E-2</v>
      </c>
      <c r="L3336" s="90">
        <v>3817.9346363518898</v>
      </c>
      <c r="M3336" s="90">
        <v>10.885167909686601</v>
      </c>
      <c r="N3336" s="90">
        <v>1.44549023317269</v>
      </c>
      <c r="O3336" s="90">
        <v>0.17544067159745</v>
      </c>
      <c r="P3336" s="90">
        <v>2.3297553092369999E-2</v>
      </c>
      <c r="Q3336" s="90">
        <v>61.535202972908301</v>
      </c>
      <c r="R3336" s="90">
        <v>1400</v>
      </c>
      <c r="S3336" s="90" t="s">
        <v>324</v>
      </c>
      <c r="T3336" s="90">
        <v>1400</v>
      </c>
      <c r="U3336" s="90" t="s">
        <v>382</v>
      </c>
      <c r="V3336" s="90" t="s">
        <v>381</v>
      </c>
      <c r="Z3336" s="90">
        <v>0</v>
      </c>
      <c r="AA3336" s="90">
        <v>1</v>
      </c>
      <c r="AB3336" s="90">
        <v>0.17544067159745</v>
      </c>
      <c r="AC3336" s="90">
        <v>2.3297553092369999E-2</v>
      </c>
      <c r="AD3336" s="90">
        <v>234.490119872534</v>
      </c>
      <c r="AF3336" s="90">
        <v>-1</v>
      </c>
      <c r="AG3336" s="90">
        <v>-1</v>
      </c>
      <c r="AH3336" s="90">
        <v>-1</v>
      </c>
      <c r="AI3336" s="90">
        <v>-1</v>
      </c>
      <c r="AJ3336" s="90">
        <v>0</v>
      </c>
      <c r="AM3336" s="90" t="s">
        <v>379</v>
      </c>
      <c r="AN3336" s="90">
        <v>-1</v>
      </c>
      <c r="AQ3336" s="90">
        <v>359</v>
      </c>
      <c r="AR3336" s="90" t="s">
        <v>431</v>
      </c>
      <c r="AS3336" s="90" t="s">
        <v>432</v>
      </c>
      <c r="AT3336" s="90" t="s">
        <v>244</v>
      </c>
      <c r="AU3336" s="90">
        <v>2.7003339999999998</v>
      </c>
      <c r="AV3336" s="90">
        <v>102.613408981738</v>
      </c>
      <c r="AW3336" s="90">
        <v>65.224828362319599</v>
      </c>
      <c r="AX3336" s="90">
        <v>0.1901785238</v>
      </c>
    </row>
    <row r="3337" spans="1:50" x14ac:dyDescent="0.25">
      <c r="A3337" s="102">
        <v>840000</v>
      </c>
      <c r="B3337" s="102">
        <v>2400000</v>
      </c>
      <c r="C3337" s="102">
        <v>2400000</v>
      </c>
      <c r="D3337" s="90" t="s">
        <v>374</v>
      </c>
      <c r="E3337" s="90" t="s">
        <v>68</v>
      </c>
      <c r="F3337" s="90" t="s">
        <v>375</v>
      </c>
      <c r="G3337" s="90" t="s">
        <v>376</v>
      </c>
      <c r="H3337" s="90">
        <v>0.59</v>
      </c>
      <c r="I3337" s="90">
        <v>0.64</v>
      </c>
      <c r="J3337" s="90" t="s">
        <v>244</v>
      </c>
      <c r="K3337" s="90">
        <v>1.4104487021000001E-4</v>
      </c>
      <c r="L3337" s="90">
        <v>3817.9346363518898</v>
      </c>
      <c r="M3337" s="90">
        <v>10.885167909686601</v>
      </c>
      <c r="N3337" s="90">
        <v>1.44549023317269</v>
      </c>
      <c r="O3337" s="90">
        <v>1.5352970951299999E-3</v>
      </c>
      <c r="P3337" s="90">
        <v>2.0387898234000001E-4</v>
      </c>
      <c r="Q3337" s="90">
        <v>0.53850009528887</v>
      </c>
      <c r="R3337" s="90">
        <v>1410</v>
      </c>
      <c r="S3337" s="90" t="s">
        <v>325</v>
      </c>
      <c r="T3337" s="90">
        <v>1410</v>
      </c>
      <c r="U3337" s="90" t="s">
        <v>378</v>
      </c>
      <c r="V3337" s="90" t="s">
        <v>244</v>
      </c>
      <c r="Z3337" s="90">
        <v>0</v>
      </c>
      <c r="AA3337" s="90">
        <v>1</v>
      </c>
      <c r="AB3337" s="90">
        <v>1.5352970951299999E-3</v>
      </c>
      <c r="AC3337" s="90">
        <v>2.0387898234000001E-4</v>
      </c>
      <c r="AD3337" s="90">
        <v>672.77064356957499</v>
      </c>
      <c r="AF3337" s="90">
        <v>-1</v>
      </c>
      <c r="AG3337" s="90">
        <v>-1</v>
      </c>
      <c r="AH3337" s="90">
        <v>-1</v>
      </c>
      <c r="AI3337" s="90">
        <v>-1</v>
      </c>
      <c r="AJ3337" s="90">
        <v>0</v>
      </c>
      <c r="AM3337" s="90" t="s">
        <v>379</v>
      </c>
      <c r="AN3337" s="90">
        <v>-1</v>
      </c>
      <c r="AQ3337" s="90">
        <v>359</v>
      </c>
      <c r="AR3337" s="90" t="s">
        <v>431</v>
      </c>
      <c r="AS3337" s="90" t="s">
        <v>432</v>
      </c>
      <c r="AT3337" s="90" t="s">
        <v>244</v>
      </c>
      <c r="AU3337" s="90">
        <v>2.7003339999999998</v>
      </c>
      <c r="AV3337" s="90">
        <v>34.589609526971302</v>
      </c>
      <c r="AW3337" s="90">
        <v>0.57078833889323999</v>
      </c>
      <c r="AX3337" s="90">
        <v>0.54563718049999999</v>
      </c>
    </row>
    <row r="3338" spans="1:50" x14ac:dyDescent="0.25">
      <c r="A3338" s="102">
        <v>840000</v>
      </c>
      <c r="B3338" s="102">
        <v>2400000</v>
      </c>
      <c r="C3338" s="102">
        <v>2400000</v>
      </c>
      <c r="D3338" s="90" t="s">
        <v>374</v>
      </c>
      <c r="E3338" s="90" t="s">
        <v>68</v>
      </c>
      <c r="F3338" s="90" t="s">
        <v>375</v>
      </c>
      <c r="G3338" s="90" t="s">
        <v>376</v>
      </c>
      <c r="H3338" s="90">
        <v>0.59</v>
      </c>
      <c r="I3338" s="90">
        <v>0.64</v>
      </c>
      <c r="J3338" s="90" t="s">
        <v>244</v>
      </c>
      <c r="K3338" s="90">
        <v>5.2700698267999998E-4</v>
      </c>
      <c r="L3338" s="90">
        <v>3817.9346363518898</v>
      </c>
      <c r="M3338" s="90">
        <v>10.885167909686601</v>
      </c>
      <c r="N3338" s="90">
        <v>1.44549023317269</v>
      </c>
      <c r="O3338" s="90">
        <v>5.73655949606E-3</v>
      </c>
      <c r="P3338" s="90">
        <v>7.6178344627000005E-4</v>
      </c>
      <c r="Q3338" s="90">
        <v>2.01207821277709</v>
      </c>
      <c r="R3338" s="90">
        <v>1410</v>
      </c>
      <c r="S3338" s="90" t="s">
        <v>325</v>
      </c>
      <c r="T3338" s="90">
        <v>1410</v>
      </c>
      <c r="U3338" s="90" t="s">
        <v>378</v>
      </c>
      <c r="V3338" s="90" t="s">
        <v>244</v>
      </c>
      <c r="Z3338" s="90">
        <v>0</v>
      </c>
      <c r="AA3338" s="90">
        <v>1</v>
      </c>
      <c r="AB3338" s="90">
        <v>5.73655949606E-3</v>
      </c>
      <c r="AC3338" s="90">
        <v>7.6178344627000005E-4</v>
      </c>
      <c r="AD3338" s="90">
        <v>597.10453176932594</v>
      </c>
      <c r="AF3338" s="90">
        <v>-1</v>
      </c>
      <c r="AG3338" s="90">
        <v>-1</v>
      </c>
      <c r="AH3338" s="90">
        <v>-1</v>
      </c>
      <c r="AI3338" s="90">
        <v>-1</v>
      </c>
      <c r="AJ3338" s="90">
        <v>0</v>
      </c>
      <c r="AM3338" s="90" t="s">
        <v>379</v>
      </c>
      <c r="AN3338" s="90">
        <v>-1</v>
      </c>
      <c r="AQ3338" s="90">
        <v>359</v>
      </c>
      <c r="AR3338" s="90" t="s">
        <v>431</v>
      </c>
      <c r="AS3338" s="90" t="s">
        <v>432</v>
      </c>
      <c r="AT3338" s="90" t="s">
        <v>244</v>
      </c>
      <c r="AU3338" s="90">
        <v>2.7003339999999998</v>
      </c>
      <c r="AV3338" s="90">
        <v>29.075270661800701</v>
      </c>
      <c r="AW3338" s="90">
        <v>2.1327215925127101</v>
      </c>
      <c r="AX3338" s="90">
        <v>0.48426969320000002</v>
      </c>
    </row>
    <row r="3339" spans="1:50" x14ac:dyDescent="0.25">
      <c r="A3339" s="102">
        <v>840000</v>
      </c>
      <c r="B3339" s="102">
        <v>2400000</v>
      </c>
      <c r="C3339" s="102">
        <v>2400000</v>
      </c>
      <c r="D3339" s="90" t="s">
        <v>374</v>
      </c>
      <c r="E3339" s="90" t="s">
        <v>68</v>
      </c>
      <c r="F3339" s="90" t="s">
        <v>375</v>
      </c>
      <c r="G3339" s="90" t="s">
        <v>376</v>
      </c>
      <c r="H3339" s="90">
        <v>0.59</v>
      </c>
      <c r="I3339" s="90">
        <v>0.64</v>
      </c>
      <c r="J3339" s="90" t="s">
        <v>381</v>
      </c>
      <c r="K3339" s="90">
        <v>1.5944561878000001E-4</v>
      </c>
      <c r="L3339" s="90">
        <v>3817.9346363518898</v>
      </c>
      <c r="M3339" s="90">
        <v>10.885167909686601</v>
      </c>
      <c r="N3339" s="90">
        <v>1.44549023317269</v>
      </c>
      <c r="O3339" s="90">
        <v>1.73559233293E-3</v>
      </c>
      <c r="P3339" s="90">
        <v>2.3047708467E-4</v>
      </c>
      <c r="Q3339" s="90">
        <v>0.60875295057380996</v>
      </c>
      <c r="R3339" s="90">
        <v>1410</v>
      </c>
      <c r="S3339" s="90" t="s">
        <v>325</v>
      </c>
      <c r="T3339" s="90">
        <v>1410</v>
      </c>
      <c r="U3339" s="90" t="s">
        <v>382</v>
      </c>
      <c r="V3339" s="90" t="s">
        <v>381</v>
      </c>
      <c r="Z3339" s="90">
        <v>0</v>
      </c>
      <c r="AA3339" s="90">
        <v>1</v>
      </c>
      <c r="AB3339" s="90">
        <v>1.73559233293E-3</v>
      </c>
      <c r="AC3339" s="90">
        <v>2.3047708467E-4</v>
      </c>
      <c r="AD3339" s="90">
        <v>0.60875295057453005</v>
      </c>
      <c r="AF3339" s="90">
        <v>-1</v>
      </c>
      <c r="AG3339" s="90">
        <v>-1</v>
      </c>
      <c r="AH3339" s="90">
        <v>-1</v>
      </c>
      <c r="AI3339" s="90">
        <v>-1</v>
      </c>
      <c r="AJ3339" s="90">
        <v>0</v>
      </c>
      <c r="AM3339" s="90" t="s">
        <v>379</v>
      </c>
      <c r="AN3339" s="90">
        <v>-1</v>
      </c>
      <c r="AQ3339" s="90">
        <v>359</v>
      </c>
      <c r="AR3339" s="90" t="s">
        <v>431</v>
      </c>
      <c r="AS3339" s="90" t="s">
        <v>432</v>
      </c>
      <c r="AT3339" s="90" t="s">
        <v>244</v>
      </c>
      <c r="AU3339" s="90">
        <v>2.7003339999999998</v>
      </c>
      <c r="AV3339" s="90">
        <v>19.0966254870998</v>
      </c>
      <c r="AW3339" s="90">
        <v>0.64525352640438005</v>
      </c>
      <c r="AX3339" s="90">
        <v>4.9371690000000004E-4</v>
      </c>
    </row>
    <row r="3340" spans="1:50" x14ac:dyDescent="0.25">
      <c r="A3340" s="102">
        <v>840000</v>
      </c>
      <c r="B3340" s="102">
        <v>2400000</v>
      </c>
      <c r="C3340" s="102">
        <v>2400000</v>
      </c>
      <c r="D3340" s="90" t="s">
        <v>374</v>
      </c>
      <c r="E3340" s="90" t="s">
        <v>68</v>
      </c>
      <c r="F3340" s="90" t="s">
        <v>375</v>
      </c>
      <c r="G3340" s="90" t="s">
        <v>376</v>
      </c>
      <c r="H3340" s="90">
        <v>0.59</v>
      </c>
      <c r="I3340" s="90">
        <v>0.64</v>
      </c>
      <c r="J3340" s="90" t="s">
        <v>381</v>
      </c>
      <c r="K3340" s="90">
        <v>4.6896734667110002E-2</v>
      </c>
      <c r="L3340" s="90">
        <v>3825.5424925667699</v>
      </c>
      <c r="M3340" s="90">
        <v>10.713989350785001</v>
      </c>
      <c r="N3340" s="90">
        <v>1.42481724777292</v>
      </c>
      <c r="O3340" s="90">
        <v>0.50245111581002999</v>
      </c>
      <c r="P3340" s="90">
        <v>6.6819276417930007E-2</v>
      </c>
      <c r="Q3340" s="90">
        <v>179.40545123166601</v>
      </c>
      <c r="R3340" s="90">
        <v>1400</v>
      </c>
      <c r="S3340" s="90" t="s">
        <v>324</v>
      </c>
      <c r="T3340" s="90">
        <v>1400</v>
      </c>
      <c r="U3340" s="90" t="s">
        <v>382</v>
      </c>
      <c r="V3340" s="90" t="s">
        <v>381</v>
      </c>
      <c r="Z3340" s="90">
        <v>0</v>
      </c>
      <c r="AA3340" s="90">
        <v>1</v>
      </c>
      <c r="AB3340" s="90">
        <v>0.50245111581002999</v>
      </c>
      <c r="AC3340" s="90">
        <v>6.6819276417930007E-2</v>
      </c>
      <c r="AD3340" s="90">
        <v>183.109701025145</v>
      </c>
      <c r="AF3340" s="90">
        <v>-1</v>
      </c>
      <c r="AG3340" s="90">
        <v>-1</v>
      </c>
      <c r="AH3340" s="90">
        <v>-1</v>
      </c>
      <c r="AI3340" s="90">
        <v>-1</v>
      </c>
      <c r="AJ3340" s="90">
        <v>0</v>
      </c>
      <c r="AM3340" s="90" t="s">
        <v>379</v>
      </c>
      <c r="AN3340" s="90">
        <v>-1</v>
      </c>
      <c r="AQ3340" s="90">
        <v>359</v>
      </c>
      <c r="AR3340" s="90" t="s">
        <v>431</v>
      </c>
      <c r="AS3340" s="90" t="s">
        <v>432</v>
      </c>
      <c r="AT3340" s="90" t="s">
        <v>244</v>
      </c>
      <c r="AU3340" s="90">
        <v>2.7003339999999998</v>
      </c>
      <c r="AV3340" s="90">
        <v>108.167456616371</v>
      </c>
      <c r="AW3340" s="90">
        <v>189.78435187718901</v>
      </c>
      <c r="AX3340" s="90">
        <v>0.1485074623</v>
      </c>
    </row>
    <row r="3341" spans="1:50" x14ac:dyDescent="0.25">
      <c r="A3341" s="102">
        <v>840000</v>
      </c>
      <c r="B3341" s="102">
        <v>2400000</v>
      </c>
      <c r="C3341" s="102">
        <v>2400000</v>
      </c>
      <c r="D3341" s="90" t="s">
        <v>374</v>
      </c>
      <c r="E3341" s="90" t="s">
        <v>68</v>
      </c>
      <c r="F3341" s="90" t="s">
        <v>375</v>
      </c>
      <c r="G3341" s="90" t="s">
        <v>376</v>
      </c>
      <c r="H3341" s="90">
        <v>0.59</v>
      </c>
      <c r="I3341" s="90">
        <v>0.64</v>
      </c>
      <c r="J3341" s="90" t="s">
        <v>381</v>
      </c>
      <c r="K3341" s="90">
        <v>2.195482144E-4</v>
      </c>
      <c r="L3341" s="90">
        <v>3825.5424925667699</v>
      </c>
      <c r="M3341" s="90">
        <v>10.713989350785001</v>
      </c>
      <c r="N3341" s="90">
        <v>1.42481724777292</v>
      </c>
      <c r="O3341" s="90">
        <v>2.3522372310900001E-3</v>
      </c>
      <c r="P3341" s="90">
        <v>3.1281608258999999E-4</v>
      </c>
      <c r="Q3341" s="90">
        <v>0.83989102336582999</v>
      </c>
      <c r="R3341" s="90">
        <v>1410</v>
      </c>
      <c r="S3341" s="90" t="s">
        <v>325</v>
      </c>
      <c r="T3341" s="90">
        <v>1410</v>
      </c>
      <c r="U3341" s="90" t="s">
        <v>382</v>
      </c>
      <c r="V3341" s="90" t="s">
        <v>381</v>
      </c>
      <c r="Z3341" s="90">
        <v>0</v>
      </c>
      <c r="AA3341" s="90">
        <v>1</v>
      </c>
      <c r="AB3341" s="90">
        <v>2.3522372310900001E-3</v>
      </c>
      <c r="AC3341" s="90">
        <v>3.1281608258999999E-4</v>
      </c>
      <c r="AD3341" s="90">
        <v>1.24064020316511</v>
      </c>
      <c r="AF3341" s="90">
        <v>-1</v>
      </c>
      <c r="AG3341" s="90">
        <v>-1</v>
      </c>
      <c r="AH3341" s="90">
        <v>-1</v>
      </c>
      <c r="AI3341" s="90">
        <v>-1</v>
      </c>
      <c r="AJ3341" s="90">
        <v>0</v>
      </c>
      <c r="AM3341" s="90" t="s">
        <v>379</v>
      </c>
      <c r="AN3341" s="90">
        <v>-1</v>
      </c>
      <c r="AQ3341" s="90">
        <v>359</v>
      </c>
      <c r="AR3341" s="90" t="s">
        <v>431</v>
      </c>
      <c r="AS3341" s="90" t="s">
        <v>432</v>
      </c>
      <c r="AT3341" s="90" t="s">
        <v>244</v>
      </c>
      <c r="AU3341" s="90">
        <v>2.7003339999999998</v>
      </c>
      <c r="AV3341" s="90">
        <v>4.7169740041025001</v>
      </c>
      <c r="AW3341" s="90">
        <v>0.88848010148487</v>
      </c>
      <c r="AX3341" s="90">
        <v>1.0061963999999999E-3</v>
      </c>
    </row>
    <row r="3342" spans="1:50" x14ac:dyDescent="0.25">
      <c r="A3342" s="102">
        <v>840000</v>
      </c>
      <c r="B3342" s="102">
        <v>2400000</v>
      </c>
      <c r="C3342" s="102">
        <v>2400000</v>
      </c>
      <c r="D3342" s="90" t="s">
        <v>374</v>
      </c>
      <c r="E3342" s="90" t="s">
        <v>68</v>
      </c>
      <c r="F3342" s="90" t="s">
        <v>375</v>
      </c>
      <c r="G3342" s="90" t="s">
        <v>376</v>
      </c>
      <c r="H3342" s="90">
        <v>0.59</v>
      </c>
      <c r="I3342" s="90">
        <v>0.64</v>
      </c>
      <c r="J3342" s="90" t="s">
        <v>381</v>
      </c>
      <c r="K3342" s="90">
        <v>1.9272283629300001E-3</v>
      </c>
      <c r="L3342" s="90">
        <v>3825.5424925667699</v>
      </c>
      <c r="M3342" s="90">
        <v>10.713989350785001</v>
      </c>
      <c r="N3342" s="90">
        <v>1.42481724777292</v>
      </c>
      <c r="O3342" s="90">
        <v>2.0648304157039998E-2</v>
      </c>
      <c r="P3342" s="90">
        <v>2.7459482119100002E-3</v>
      </c>
      <c r="Q3342" s="90">
        <v>7.3726939952992199</v>
      </c>
      <c r="R3342" s="90">
        <v>1410</v>
      </c>
      <c r="S3342" s="90" t="s">
        <v>325</v>
      </c>
      <c r="T3342" s="90">
        <v>1410</v>
      </c>
      <c r="U3342" s="90" t="s">
        <v>382</v>
      </c>
      <c r="V3342" s="90" t="s">
        <v>381</v>
      </c>
      <c r="Z3342" s="90">
        <v>0</v>
      </c>
      <c r="AA3342" s="90">
        <v>1</v>
      </c>
      <c r="AB3342" s="90">
        <v>2.0648304157039998E-2</v>
      </c>
      <c r="AC3342" s="90">
        <v>2.7459482119100002E-3</v>
      </c>
      <c r="AD3342" s="90">
        <v>10.655395122301501</v>
      </c>
      <c r="AF3342" s="90">
        <v>-1</v>
      </c>
      <c r="AG3342" s="90">
        <v>-1</v>
      </c>
      <c r="AH3342" s="90">
        <v>-1</v>
      </c>
      <c r="AI3342" s="90">
        <v>-1</v>
      </c>
      <c r="AJ3342" s="90">
        <v>0</v>
      </c>
      <c r="AM3342" s="90" t="s">
        <v>379</v>
      </c>
      <c r="AN3342" s="90">
        <v>-1</v>
      </c>
      <c r="AQ3342" s="90">
        <v>359</v>
      </c>
      <c r="AR3342" s="90" t="s">
        <v>431</v>
      </c>
      <c r="AS3342" s="90" t="s">
        <v>432</v>
      </c>
      <c r="AT3342" s="90" t="s">
        <v>244</v>
      </c>
      <c r="AU3342" s="90">
        <v>2.7003339999999998</v>
      </c>
      <c r="AV3342" s="90">
        <v>37.504915291704002</v>
      </c>
      <c r="AW3342" s="90">
        <v>7.7992164779876401</v>
      </c>
      <c r="AX3342" s="90">
        <v>8.6418451999999996E-3</v>
      </c>
    </row>
    <row r="3343" spans="1:50" x14ac:dyDescent="0.25">
      <c r="A3343" s="102">
        <v>840000</v>
      </c>
      <c r="B3343" s="102">
        <v>2400000</v>
      </c>
      <c r="C3343" s="102">
        <v>2400000</v>
      </c>
      <c r="D3343" s="90" t="s">
        <v>374</v>
      </c>
      <c r="E3343" s="90" t="s">
        <v>68</v>
      </c>
      <c r="F3343" s="90" t="s">
        <v>375</v>
      </c>
      <c r="G3343" s="90" t="s">
        <v>376</v>
      </c>
      <c r="H3343" s="90">
        <v>0.59</v>
      </c>
      <c r="I3343" s="90">
        <v>0.64</v>
      </c>
      <c r="J3343" s="90" t="s">
        <v>381</v>
      </c>
      <c r="K3343" s="90">
        <v>1.12652710551E-3</v>
      </c>
      <c r="L3343" s="90">
        <v>3825.5424925667699</v>
      </c>
      <c r="M3343" s="90">
        <v>10.713989350785001</v>
      </c>
      <c r="N3343" s="90">
        <v>1.42481724777292</v>
      </c>
      <c r="O3343" s="90">
        <v>1.2069599411900001E-2</v>
      </c>
      <c r="P3343" s="90">
        <v>1.6050952500200001E-3</v>
      </c>
      <c r="Q3343" s="90">
        <v>4.3095773111911901</v>
      </c>
      <c r="R3343" s="90">
        <v>1410</v>
      </c>
      <c r="S3343" s="90" t="s">
        <v>325</v>
      </c>
      <c r="T3343" s="90">
        <v>1410</v>
      </c>
      <c r="U3343" s="90" t="s">
        <v>382</v>
      </c>
      <c r="V3343" s="90" t="s">
        <v>381</v>
      </c>
      <c r="Z3343" s="90">
        <v>0</v>
      </c>
      <c r="AA3343" s="90">
        <v>1</v>
      </c>
      <c r="AB3343" s="90">
        <v>1.2069599411900001E-2</v>
      </c>
      <c r="AC3343" s="90">
        <v>1.6050952500200001E-3</v>
      </c>
      <c r="AD3343" s="90">
        <v>6.1254382304549297</v>
      </c>
      <c r="AF3343" s="90">
        <v>-1</v>
      </c>
      <c r="AG3343" s="90">
        <v>-1</v>
      </c>
      <c r="AH3343" s="90">
        <v>-1</v>
      </c>
      <c r="AI3343" s="90">
        <v>-1</v>
      </c>
      <c r="AJ3343" s="90">
        <v>0</v>
      </c>
      <c r="AM3343" s="90" t="s">
        <v>379</v>
      </c>
      <c r="AN3343" s="90">
        <v>-1</v>
      </c>
      <c r="AQ3343" s="90">
        <v>359</v>
      </c>
      <c r="AR3343" s="90" t="s">
        <v>431</v>
      </c>
      <c r="AS3343" s="90" t="s">
        <v>432</v>
      </c>
      <c r="AT3343" s="90" t="s">
        <v>244</v>
      </c>
      <c r="AU3343" s="90">
        <v>2.7003339999999998</v>
      </c>
      <c r="AV3343" s="90">
        <v>23.711113207182201</v>
      </c>
      <c r="AW3343" s="90">
        <v>4.5588934519784603</v>
      </c>
      <c r="AX3343" s="90">
        <v>4.9679142000000004E-3</v>
      </c>
    </row>
    <row r="3344" spans="1:50" x14ac:dyDescent="0.25">
      <c r="A3344" s="102">
        <v>840000</v>
      </c>
      <c r="B3344" s="102">
        <v>2400000</v>
      </c>
      <c r="C3344" s="102">
        <v>2400000</v>
      </c>
      <c r="D3344" s="90" t="s">
        <v>374</v>
      </c>
      <c r="E3344" s="90" t="s">
        <v>68</v>
      </c>
      <c r="F3344" s="90" t="s">
        <v>375</v>
      </c>
      <c r="G3344" s="90" t="s">
        <v>376</v>
      </c>
      <c r="H3344" s="90">
        <v>0.59</v>
      </c>
      <c r="I3344" s="90">
        <v>0.64</v>
      </c>
      <c r="J3344" s="90" t="s">
        <v>244</v>
      </c>
      <c r="K3344" s="90">
        <v>6.4643109859999996E-4</v>
      </c>
      <c r="L3344" s="90">
        <v>3800.2725995236801</v>
      </c>
      <c r="M3344" s="90">
        <v>11.254442154750601</v>
      </c>
      <c r="N3344" s="90">
        <v>1.4900489072182801</v>
      </c>
      <c r="O3344" s="90">
        <v>7.2752214062999998E-3</v>
      </c>
      <c r="P3344" s="90">
        <v>9.6321395206999997E-4</v>
      </c>
      <c r="Q3344" s="90">
        <v>2.4566143915161698</v>
      </c>
      <c r="R3344" s="90">
        <v>1400</v>
      </c>
      <c r="S3344" s="90" t="s">
        <v>324</v>
      </c>
      <c r="T3344" s="90">
        <v>1400</v>
      </c>
      <c r="U3344" s="90" t="s">
        <v>378</v>
      </c>
      <c r="V3344" s="90" t="s">
        <v>244</v>
      </c>
      <c r="Z3344" s="90">
        <v>0</v>
      </c>
      <c r="AA3344" s="90">
        <v>1</v>
      </c>
      <c r="AB3344" s="90">
        <v>7.2752214062999998E-3</v>
      </c>
      <c r="AC3344" s="90">
        <v>9.6321395206999997E-4</v>
      </c>
      <c r="AD3344" s="90">
        <v>715.90112775203102</v>
      </c>
      <c r="AF3344" s="90">
        <v>-1</v>
      </c>
      <c r="AG3344" s="90">
        <v>-1</v>
      </c>
      <c r="AH3344" s="90">
        <v>-1</v>
      </c>
      <c r="AI3344" s="90">
        <v>-1</v>
      </c>
      <c r="AJ3344" s="90">
        <v>0</v>
      </c>
      <c r="AM3344" s="90" t="s">
        <v>379</v>
      </c>
      <c r="AN3344" s="90">
        <v>-1</v>
      </c>
      <c r="AQ3344" s="90">
        <v>359</v>
      </c>
      <c r="AR3344" s="90" t="s">
        <v>431</v>
      </c>
      <c r="AS3344" s="90" t="s">
        <v>432</v>
      </c>
      <c r="AT3344" s="90" t="s">
        <v>244</v>
      </c>
      <c r="AU3344" s="90">
        <v>2.7003339999999998</v>
      </c>
      <c r="AV3344" s="90">
        <v>22.447929845540202</v>
      </c>
      <c r="AW3344" s="90">
        <v>2.6160138430348301</v>
      </c>
      <c r="AX3344" s="90">
        <v>0.58061729740000001</v>
      </c>
    </row>
    <row r="3345" spans="1:50" x14ac:dyDescent="0.25">
      <c r="A3345" s="102">
        <v>840000</v>
      </c>
      <c r="B3345" s="102">
        <v>2400000</v>
      </c>
      <c r="C3345" s="102">
        <v>2400000</v>
      </c>
      <c r="D3345" s="90" t="s">
        <v>374</v>
      </c>
      <c r="E3345" s="90" t="s">
        <v>68</v>
      </c>
      <c r="F3345" s="90" t="s">
        <v>375</v>
      </c>
      <c r="G3345" s="90" t="s">
        <v>376</v>
      </c>
      <c r="H3345" s="90">
        <v>0.59</v>
      </c>
      <c r="I3345" s="90">
        <v>0.64</v>
      </c>
      <c r="J3345" s="90" t="s">
        <v>381</v>
      </c>
      <c r="K3345" s="90">
        <v>8.0027120860500008E-3</v>
      </c>
      <c r="L3345" s="90">
        <v>3800.2725995236801</v>
      </c>
      <c r="M3345" s="90">
        <v>11.254442154750601</v>
      </c>
      <c r="N3345" s="90">
        <v>1.4900489072182801</v>
      </c>
      <c r="O3345" s="90">
        <v>9.006606025359E-2</v>
      </c>
      <c r="P3345" s="90">
        <v>1.1924432398600001E-2</v>
      </c>
      <c r="Q3345" s="90">
        <v>30.412487462500401</v>
      </c>
      <c r="R3345" s="90">
        <v>1400</v>
      </c>
      <c r="S3345" s="90" t="s">
        <v>324</v>
      </c>
      <c r="T3345" s="90">
        <v>1400</v>
      </c>
      <c r="U3345" s="90" t="s">
        <v>382</v>
      </c>
      <c r="V3345" s="90" t="s">
        <v>381</v>
      </c>
      <c r="Z3345" s="90">
        <v>0</v>
      </c>
      <c r="AA3345" s="90">
        <v>1</v>
      </c>
      <c r="AB3345" s="90">
        <v>9.006606025359E-2</v>
      </c>
      <c r="AC3345" s="90">
        <v>1.1924432398600001E-2</v>
      </c>
      <c r="AD3345" s="90">
        <v>229.45032150631101</v>
      </c>
      <c r="AF3345" s="90">
        <v>-1</v>
      </c>
      <c r="AG3345" s="90">
        <v>-1</v>
      </c>
      <c r="AH3345" s="90">
        <v>-1</v>
      </c>
      <c r="AI3345" s="90">
        <v>-1</v>
      </c>
      <c r="AJ3345" s="90">
        <v>0</v>
      </c>
      <c r="AM3345" s="90" t="s">
        <v>379</v>
      </c>
      <c r="AN3345" s="90">
        <v>-1</v>
      </c>
      <c r="AQ3345" s="90">
        <v>359</v>
      </c>
      <c r="AR3345" s="90" t="s">
        <v>431</v>
      </c>
      <c r="AS3345" s="90" t="s">
        <v>432</v>
      </c>
      <c r="AT3345" s="90" t="s">
        <v>244</v>
      </c>
      <c r="AU3345" s="90">
        <v>2.7003339999999998</v>
      </c>
      <c r="AV3345" s="90">
        <v>28.1093300558877</v>
      </c>
      <c r="AW3345" s="90">
        <v>32.385826802058702</v>
      </c>
      <c r="AX3345" s="90">
        <v>0.18609109609999999</v>
      </c>
    </row>
    <row r="3346" spans="1:50" x14ac:dyDescent="0.25">
      <c r="A3346" s="102">
        <v>840000</v>
      </c>
      <c r="B3346" s="102">
        <v>2400000</v>
      </c>
      <c r="C3346" s="102">
        <v>2400000</v>
      </c>
      <c r="D3346" s="90" t="s">
        <v>374</v>
      </c>
      <c r="E3346" s="90" t="s">
        <v>68</v>
      </c>
      <c r="F3346" s="90" t="s">
        <v>375</v>
      </c>
      <c r="G3346" s="90" t="s">
        <v>376</v>
      </c>
      <c r="H3346" s="90">
        <v>0.59</v>
      </c>
      <c r="I3346" s="90">
        <v>0.64</v>
      </c>
      <c r="J3346" s="90" t="s">
        <v>244</v>
      </c>
      <c r="K3346" s="90">
        <v>1.7445573063000001E-4</v>
      </c>
      <c r="L3346" s="90">
        <v>3800.2725995236801</v>
      </c>
      <c r="M3346" s="90">
        <v>11.254442154750601</v>
      </c>
      <c r="N3346" s="90">
        <v>1.4900489072182801</v>
      </c>
      <c r="O3346" s="90">
        <v>1.9634019290300001E-3</v>
      </c>
      <c r="P3346" s="90">
        <v>2.5994757079000002E-4</v>
      </c>
      <c r="Q3346" s="90">
        <v>0.66297933297347</v>
      </c>
      <c r="R3346" s="90">
        <v>1430</v>
      </c>
      <c r="S3346" s="90" t="s">
        <v>326</v>
      </c>
      <c r="T3346" s="90">
        <v>1430</v>
      </c>
      <c r="U3346" s="90" t="s">
        <v>378</v>
      </c>
      <c r="V3346" s="90" t="s">
        <v>244</v>
      </c>
      <c r="Z3346" s="90">
        <v>0</v>
      </c>
      <c r="AA3346" s="90">
        <v>1</v>
      </c>
      <c r="AB3346" s="90">
        <v>1.9634019290300001E-3</v>
      </c>
      <c r="AC3346" s="90">
        <v>2.5994757079000002E-4</v>
      </c>
      <c r="AD3346" s="90">
        <v>769.192032338442</v>
      </c>
      <c r="AF3346" s="90">
        <v>-1</v>
      </c>
      <c r="AG3346" s="90">
        <v>-1</v>
      </c>
      <c r="AH3346" s="90">
        <v>-1</v>
      </c>
      <c r="AI3346" s="90">
        <v>-1</v>
      </c>
      <c r="AJ3346" s="90">
        <v>0</v>
      </c>
      <c r="AM3346" s="90" t="s">
        <v>379</v>
      </c>
      <c r="AN3346" s="90">
        <v>-1</v>
      </c>
      <c r="AQ3346" s="90">
        <v>359</v>
      </c>
      <c r="AR3346" s="90" t="s">
        <v>431</v>
      </c>
      <c r="AS3346" s="90" t="s">
        <v>432</v>
      </c>
      <c r="AT3346" s="90" t="s">
        <v>244</v>
      </c>
      <c r="AU3346" s="90">
        <v>2.7003339999999998</v>
      </c>
      <c r="AV3346" s="90">
        <v>4.8138514909123602</v>
      </c>
      <c r="AW3346" s="90">
        <v>0.70599729395722</v>
      </c>
      <c r="AX3346" s="90">
        <v>0.6238378202</v>
      </c>
    </row>
    <row r="3347" spans="1:50" x14ac:dyDescent="0.25">
      <c r="A3347" s="102">
        <v>840000</v>
      </c>
      <c r="B3347" s="102">
        <v>2400000</v>
      </c>
      <c r="C3347" s="102">
        <v>2400000</v>
      </c>
      <c r="D3347" s="90" t="s">
        <v>374</v>
      </c>
      <c r="E3347" s="90" t="s">
        <v>68</v>
      </c>
      <c r="F3347" s="90" t="s">
        <v>375</v>
      </c>
      <c r="G3347" s="90" t="s">
        <v>376</v>
      </c>
      <c r="H3347" s="90">
        <v>0.59</v>
      </c>
      <c r="I3347" s="90">
        <v>0.64</v>
      </c>
      <c r="J3347" s="90" t="s">
        <v>244</v>
      </c>
      <c r="K3347" s="90">
        <v>7.2691037015999997E-4</v>
      </c>
      <c r="L3347" s="90">
        <v>3800.2725995236801</v>
      </c>
      <c r="M3347" s="90">
        <v>11.254442154750601</v>
      </c>
      <c r="N3347" s="90">
        <v>1.4900489072182801</v>
      </c>
      <c r="O3347" s="90">
        <v>8.1809707126500007E-3</v>
      </c>
      <c r="P3347" s="90">
        <v>1.0831320027000001E-3</v>
      </c>
      <c r="Q3347" s="90">
        <v>2.76245756202866</v>
      </c>
      <c r="R3347" s="90">
        <v>1410</v>
      </c>
      <c r="S3347" s="90" t="s">
        <v>325</v>
      </c>
      <c r="T3347" s="90">
        <v>1410</v>
      </c>
      <c r="U3347" s="90" t="s">
        <v>378</v>
      </c>
      <c r="V3347" s="90" t="s">
        <v>244</v>
      </c>
      <c r="Z3347" s="90">
        <v>0</v>
      </c>
      <c r="AA3347" s="90">
        <v>1</v>
      </c>
      <c r="AB3347" s="90">
        <v>8.1809707126500007E-3</v>
      </c>
      <c r="AC3347" s="90">
        <v>1.0831320027000001E-3</v>
      </c>
      <c r="AD3347" s="90">
        <v>336.783040143797</v>
      </c>
      <c r="AF3347" s="90">
        <v>-1</v>
      </c>
      <c r="AG3347" s="90">
        <v>-1</v>
      </c>
      <c r="AH3347" s="90">
        <v>-1</v>
      </c>
      <c r="AI3347" s="90">
        <v>-1</v>
      </c>
      <c r="AJ3347" s="90">
        <v>0</v>
      </c>
      <c r="AM3347" s="90" t="s">
        <v>379</v>
      </c>
      <c r="AN3347" s="90">
        <v>-1</v>
      </c>
      <c r="AQ3347" s="90">
        <v>359</v>
      </c>
      <c r="AR3347" s="90" t="s">
        <v>431</v>
      </c>
      <c r="AS3347" s="90" t="s">
        <v>432</v>
      </c>
      <c r="AT3347" s="90" t="s">
        <v>244</v>
      </c>
      <c r="AU3347" s="90">
        <v>2.7003339999999998</v>
      </c>
      <c r="AV3347" s="90">
        <v>18.450705990877299</v>
      </c>
      <c r="AW3347" s="90">
        <v>2.9417018999915898</v>
      </c>
      <c r="AX3347" s="90">
        <v>0.27314115179999998</v>
      </c>
    </row>
    <row r="3348" spans="1:50" x14ac:dyDescent="0.25">
      <c r="A3348" s="102">
        <v>840000</v>
      </c>
      <c r="B3348" s="102">
        <v>2400000</v>
      </c>
      <c r="C3348" s="102">
        <v>2400000</v>
      </c>
      <c r="D3348" s="90" t="s">
        <v>374</v>
      </c>
      <c r="E3348" s="90" t="s">
        <v>68</v>
      </c>
      <c r="F3348" s="90" t="s">
        <v>375</v>
      </c>
      <c r="G3348" s="90" t="s">
        <v>376</v>
      </c>
      <c r="H3348" s="90">
        <v>0.59</v>
      </c>
      <c r="I3348" s="90">
        <v>0.64</v>
      </c>
      <c r="J3348" s="90" t="s">
        <v>381</v>
      </c>
      <c r="K3348" s="90">
        <v>2.5952144225609999E-2</v>
      </c>
      <c r="L3348" s="90">
        <v>3780.46235480018</v>
      </c>
      <c r="M3348" s="90">
        <v>11.560054770417899</v>
      </c>
      <c r="N3348" s="90">
        <v>1.5743305714578999</v>
      </c>
      <c r="O3348" s="90">
        <v>0.30000820865783001</v>
      </c>
      <c r="P3348" s="90">
        <v>4.0857254049260001E-2</v>
      </c>
      <c r="Q3348" s="90">
        <v>98.1111042712634</v>
      </c>
      <c r="R3348" s="90">
        <v>1400</v>
      </c>
      <c r="S3348" s="90" t="s">
        <v>324</v>
      </c>
      <c r="T3348" s="90">
        <v>1400</v>
      </c>
      <c r="U3348" s="90" t="s">
        <v>382</v>
      </c>
      <c r="V3348" s="90" t="s">
        <v>381</v>
      </c>
      <c r="Z3348" s="90">
        <v>0</v>
      </c>
      <c r="AA3348" s="90">
        <v>1</v>
      </c>
      <c r="AB3348" s="90">
        <v>0.30000820865783001</v>
      </c>
      <c r="AC3348" s="90">
        <v>4.0857254049260001E-2</v>
      </c>
      <c r="AD3348" s="90">
        <v>877.37134365264103</v>
      </c>
      <c r="AF3348" s="90">
        <v>-1</v>
      </c>
      <c r="AG3348" s="90">
        <v>-1</v>
      </c>
      <c r="AH3348" s="90">
        <v>-1</v>
      </c>
      <c r="AI3348" s="90">
        <v>-1</v>
      </c>
      <c r="AJ3348" s="90">
        <v>0</v>
      </c>
      <c r="AM3348" s="90" t="s">
        <v>379</v>
      </c>
      <c r="AN3348" s="90">
        <v>-1</v>
      </c>
      <c r="AQ3348" s="90">
        <v>359</v>
      </c>
      <c r="AR3348" s="90" t="s">
        <v>431</v>
      </c>
      <c r="AS3348" s="90" t="s">
        <v>432</v>
      </c>
      <c r="AT3348" s="90" t="s">
        <v>244</v>
      </c>
      <c r="AU3348" s="90">
        <v>2.7003339999999998</v>
      </c>
      <c r="AV3348" s="90">
        <v>50.105639578802702</v>
      </c>
      <c r="AW3348" s="90">
        <v>105.02460153446</v>
      </c>
      <c r="AX3348" s="90">
        <v>0.711574488</v>
      </c>
    </row>
    <row r="3349" spans="1:50" x14ac:dyDescent="0.25">
      <c r="A3349" s="102">
        <v>840000</v>
      </c>
      <c r="B3349" s="102">
        <v>2400000</v>
      </c>
      <c r="C3349" s="102">
        <v>2500000</v>
      </c>
      <c r="D3349" s="90" t="s">
        <v>374</v>
      </c>
      <c r="E3349" s="90" t="s">
        <v>68</v>
      </c>
      <c r="F3349" s="90" t="s">
        <v>375</v>
      </c>
      <c r="G3349" s="90" t="s">
        <v>376</v>
      </c>
      <c r="H3349" s="90">
        <v>0.59</v>
      </c>
      <c r="I3349" s="90">
        <v>0.64</v>
      </c>
      <c r="J3349" s="90" t="s">
        <v>381</v>
      </c>
      <c r="K3349" s="90">
        <v>1.396285713065E-2</v>
      </c>
      <c r="L3349" s="90">
        <v>3781.6809470527401</v>
      </c>
      <c r="M3349" s="90">
        <v>11.6186390445018</v>
      </c>
      <c r="N3349" s="90">
        <v>1.5339592406295099</v>
      </c>
      <c r="O3349" s="90">
        <v>0.16222939703100001</v>
      </c>
      <c r="P3349" s="90">
        <v>2.1418453721150001E-2</v>
      </c>
      <c r="Q3349" s="90">
        <v>52.8030707774099</v>
      </c>
      <c r="R3349" s="90">
        <v>1400</v>
      </c>
      <c r="S3349" s="90" t="s">
        <v>324</v>
      </c>
      <c r="T3349" s="90">
        <v>1400</v>
      </c>
      <c r="U3349" s="90" t="s">
        <v>382</v>
      </c>
      <c r="V3349" s="90" t="s">
        <v>381</v>
      </c>
      <c r="Z3349" s="90">
        <v>0</v>
      </c>
      <c r="AA3349" s="90">
        <v>1</v>
      </c>
      <c r="AB3349" s="90">
        <v>0.16222939703100001</v>
      </c>
      <c r="AC3349" s="90">
        <v>2.1418453721150001E-2</v>
      </c>
      <c r="AD3349" s="90">
        <v>179.93451871324999</v>
      </c>
      <c r="AF3349" s="90">
        <v>-1</v>
      </c>
      <c r="AG3349" s="90">
        <v>-1</v>
      </c>
      <c r="AH3349" s="90">
        <v>-1</v>
      </c>
      <c r="AI3349" s="90">
        <v>-1</v>
      </c>
      <c r="AJ3349" s="90">
        <v>0</v>
      </c>
      <c r="AM3349" s="90" t="s">
        <v>379</v>
      </c>
      <c r="AN3349" s="90">
        <v>-1</v>
      </c>
      <c r="AQ3349" s="90">
        <v>359</v>
      </c>
      <c r="AR3349" s="90" t="s">
        <v>431</v>
      </c>
      <c r="AS3349" s="90" t="s">
        <v>432</v>
      </c>
      <c r="AT3349" s="90" t="s">
        <v>244</v>
      </c>
      <c r="AU3349" s="90">
        <v>2.7003339999999998</v>
      </c>
      <c r="AV3349" s="90">
        <v>37.664794092340699</v>
      </c>
      <c r="AW3349" s="90">
        <v>56.505678054235403</v>
      </c>
      <c r="AX3349" s="90">
        <v>0.14593229420000001</v>
      </c>
    </row>
    <row r="3350" spans="1:50" x14ac:dyDescent="0.25">
      <c r="A3350" s="102">
        <v>840000</v>
      </c>
      <c r="B3350" s="102">
        <v>2400000</v>
      </c>
      <c r="C3350" s="102">
        <v>2500000</v>
      </c>
      <c r="D3350" s="90" t="s">
        <v>374</v>
      </c>
      <c r="E3350" s="90" t="s">
        <v>68</v>
      </c>
      <c r="F3350" s="90" t="s">
        <v>375</v>
      </c>
      <c r="G3350" s="90" t="s">
        <v>376</v>
      </c>
      <c r="H3350" s="90">
        <v>0.59</v>
      </c>
      <c r="I3350" s="90">
        <v>0.64</v>
      </c>
      <c r="J3350" s="90" t="s">
        <v>381</v>
      </c>
      <c r="K3350" s="90">
        <v>1.7837667590900001E-3</v>
      </c>
      <c r="L3350" s="90">
        <v>3781.6809470527401</v>
      </c>
      <c r="M3350" s="90">
        <v>11.6186390445018</v>
      </c>
      <c r="N3350" s="90">
        <v>1.5339592406295099</v>
      </c>
      <c r="O3350" s="90">
        <v>2.0724942113519999E-2</v>
      </c>
      <c r="P3350" s="90">
        <v>2.7362255032400001E-3</v>
      </c>
      <c r="Q3350" s="90">
        <v>6.7456367668631403</v>
      </c>
      <c r="R3350" s="90">
        <v>1410</v>
      </c>
      <c r="S3350" s="90" t="s">
        <v>325</v>
      </c>
      <c r="T3350" s="90">
        <v>1410</v>
      </c>
      <c r="U3350" s="90" t="s">
        <v>382</v>
      </c>
      <c r="V3350" s="90" t="s">
        <v>381</v>
      </c>
      <c r="Z3350" s="90">
        <v>0</v>
      </c>
      <c r="AA3350" s="90">
        <v>1</v>
      </c>
      <c r="AB3350" s="90">
        <v>2.0724942113519999E-2</v>
      </c>
      <c r="AC3350" s="90">
        <v>2.7362255032400001E-3</v>
      </c>
      <c r="AD3350" s="90">
        <v>11.120346516572701</v>
      </c>
      <c r="AF3350" s="90">
        <v>-1</v>
      </c>
      <c r="AG3350" s="90">
        <v>-1</v>
      </c>
      <c r="AH3350" s="90">
        <v>-1</v>
      </c>
      <c r="AI3350" s="90">
        <v>-1</v>
      </c>
      <c r="AJ3350" s="90">
        <v>0</v>
      </c>
      <c r="AM3350" s="90" t="s">
        <v>379</v>
      </c>
      <c r="AN3350" s="90">
        <v>-1</v>
      </c>
      <c r="AQ3350" s="90">
        <v>359</v>
      </c>
      <c r="AR3350" s="90" t="s">
        <v>431</v>
      </c>
      <c r="AS3350" s="90" t="s">
        <v>432</v>
      </c>
      <c r="AT3350" s="90" t="s">
        <v>244</v>
      </c>
      <c r="AU3350" s="90">
        <v>2.7003339999999998</v>
      </c>
      <c r="AV3350" s="90">
        <v>30.796962388953801</v>
      </c>
      <c r="AW3350" s="90">
        <v>7.21864796511443</v>
      </c>
      <c r="AX3350" s="90">
        <v>9.0189347E-3</v>
      </c>
    </row>
    <row r="3351" spans="1:50" x14ac:dyDescent="0.25">
      <c r="A3351" s="102">
        <v>840000</v>
      </c>
      <c r="B3351" s="102">
        <v>2500000</v>
      </c>
      <c r="C3351" s="102">
        <v>2500000</v>
      </c>
      <c r="D3351" s="90" t="s">
        <v>374</v>
      </c>
      <c r="E3351" s="90" t="s">
        <v>68</v>
      </c>
      <c r="F3351" s="90" t="s">
        <v>375</v>
      </c>
      <c r="G3351" s="90" t="s">
        <v>376</v>
      </c>
      <c r="H3351" s="90">
        <v>0.59</v>
      </c>
      <c r="I3351" s="90">
        <v>0.64</v>
      </c>
      <c r="J3351" s="90" t="s">
        <v>381</v>
      </c>
      <c r="K3351" s="90">
        <v>1.6353643811650002E-2</v>
      </c>
      <c r="L3351" s="90">
        <v>3781.8149967054901</v>
      </c>
      <c r="M3351" s="90">
        <v>11.616043472758999</v>
      </c>
      <c r="N3351" s="90">
        <v>1.5336463460230101</v>
      </c>
      <c r="O3351" s="90">
        <v>0.1899646374542</v>
      </c>
      <c r="P3351" s="90">
        <v>2.5080706075899999E-2</v>
      </c>
      <c r="Q3351" s="90">
        <v>61.846455417696802</v>
      </c>
      <c r="R3351" s="90">
        <v>1400</v>
      </c>
      <c r="S3351" s="90" t="s">
        <v>324</v>
      </c>
      <c r="T3351" s="90">
        <v>1400</v>
      </c>
      <c r="U3351" s="90" t="s">
        <v>382</v>
      </c>
      <c r="V3351" s="90" t="s">
        <v>381</v>
      </c>
      <c r="Z3351" s="90">
        <v>0</v>
      </c>
      <c r="AA3351" s="90">
        <v>1</v>
      </c>
      <c r="AB3351" s="90">
        <v>0.1899646374542</v>
      </c>
      <c r="AC3351" s="90">
        <v>2.5080706075899999E-2</v>
      </c>
      <c r="AD3351" s="90">
        <v>172.78206152322599</v>
      </c>
      <c r="AF3351" s="90">
        <v>-1</v>
      </c>
      <c r="AG3351" s="90">
        <v>-1</v>
      </c>
      <c r="AH3351" s="90">
        <v>-1</v>
      </c>
      <c r="AI3351" s="90">
        <v>-1</v>
      </c>
      <c r="AJ3351" s="90">
        <v>0</v>
      </c>
      <c r="AM3351" s="90" t="s">
        <v>379</v>
      </c>
      <c r="AN3351" s="90">
        <v>-1</v>
      </c>
      <c r="AQ3351" s="90">
        <v>359</v>
      </c>
      <c r="AR3351" s="90" t="s">
        <v>431</v>
      </c>
      <c r="AS3351" s="90" t="s">
        <v>432</v>
      </c>
      <c r="AT3351" s="90" t="s">
        <v>244</v>
      </c>
      <c r="AU3351" s="90">
        <v>2.7003339999999998</v>
      </c>
      <c r="AV3351" s="90">
        <v>45.063694375654102</v>
      </c>
      <c r="AW3351" s="90">
        <v>66.180848488837896</v>
      </c>
      <c r="AX3351" s="90">
        <v>0.14013143680000001</v>
      </c>
    </row>
    <row r="3352" spans="1:50" x14ac:dyDescent="0.25">
      <c r="A3352" s="102">
        <v>840000</v>
      </c>
      <c r="B3352" s="102">
        <v>2500000</v>
      </c>
      <c r="C3352" s="102">
        <v>2500000</v>
      </c>
      <c r="D3352" s="90" t="s">
        <v>374</v>
      </c>
      <c r="E3352" s="90" t="s">
        <v>68</v>
      </c>
      <c r="F3352" s="90" t="s">
        <v>375</v>
      </c>
      <c r="G3352" s="90" t="s">
        <v>376</v>
      </c>
      <c r="H3352" s="90">
        <v>0.59</v>
      </c>
      <c r="I3352" s="90">
        <v>0.64</v>
      </c>
      <c r="J3352" s="90" t="s">
        <v>381</v>
      </c>
      <c r="K3352" s="90">
        <v>1.0341018220699999E-3</v>
      </c>
      <c r="L3352" s="90">
        <v>3781.8149967054901</v>
      </c>
      <c r="M3352" s="90">
        <v>11.616043472758999</v>
      </c>
      <c r="N3352" s="90">
        <v>1.5336463460230101</v>
      </c>
      <c r="O3352" s="90">
        <v>1.201217172049E-2</v>
      </c>
      <c r="P3352" s="90">
        <v>1.5859464808399999E-3</v>
      </c>
      <c r="Q3352" s="90">
        <v>3.9107817788474901</v>
      </c>
      <c r="R3352" s="90">
        <v>1430</v>
      </c>
      <c r="S3352" s="90" t="s">
        <v>326</v>
      </c>
      <c r="T3352" s="90">
        <v>1430</v>
      </c>
      <c r="U3352" s="90" t="s">
        <v>382</v>
      </c>
      <c r="V3352" s="90" t="s">
        <v>381</v>
      </c>
      <c r="Z3352" s="90">
        <v>0</v>
      </c>
      <c r="AA3352" s="90">
        <v>1</v>
      </c>
      <c r="AB3352" s="90">
        <v>1.201217172049E-2</v>
      </c>
      <c r="AC3352" s="90">
        <v>1.5859464808399999E-3</v>
      </c>
      <c r="AD3352" s="90">
        <v>8.7510572446379005</v>
      </c>
      <c r="AF3352" s="90">
        <v>-1</v>
      </c>
      <c r="AG3352" s="90">
        <v>-1</v>
      </c>
      <c r="AH3352" s="90">
        <v>-1</v>
      </c>
      <c r="AI3352" s="90">
        <v>-1</v>
      </c>
      <c r="AJ3352" s="90">
        <v>0</v>
      </c>
      <c r="AM3352" s="90" t="s">
        <v>379</v>
      </c>
      <c r="AN3352" s="90">
        <v>-1</v>
      </c>
      <c r="AQ3352" s="90">
        <v>359</v>
      </c>
      <c r="AR3352" s="90" t="s">
        <v>431</v>
      </c>
      <c r="AS3352" s="90" t="s">
        <v>432</v>
      </c>
      <c r="AT3352" s="90" t="s">
        <v>244</v>
      </c>
      <c r="AU3352" s="90">
        <v>2.7003339999999998</v>
      </c>
      <c r="AV3352" s="90">
        <v>25.532686576229299</v>
      </c>
      <c r="AW3352" s="90">
        <v>4.1848616000819296</v>
      </c>
      <c r="AX3352" s="90">
        <v>7.0973700000000004E-3</v>
      </c>
    </row>
    <row r="3353" spans="1:50" x14ac:dyDescent="0.25">
      <c r="A3353" s="102">
        <v>840000</v>
      </c>
      <c r="B3353" s="102">
        <v>2500000</v>
      </c>
      <c r="C3353" s="102">
        <v>2500000</v>
      </c>
      <c r="D3353" s="90" t="s">
        <v>374</v>
      </c>
      <c r="E3353" s="90" t="s">
        <v>68</v>
      </c>
      <c r="F3353" s="90" t="s">
        <v>375</v>
      </c>
      <c r="G3353" s="90" t="s">
        <v>376</v>
      </c>
      <c r="H3353" s="90">
        <v>0.59</v>
      </c>
      <c r="I3353" s="90">
        <v>0.64</v>
      </c>
      <c r="J3353" s="90" t="s">
        <v>381</v>
      </c>
      <c r="K3353" s="90">
        <v>6.3011284454999998E-4</v>
      </c>
      <c r="L3353" s="90">
        <v>3781.8149967054901</v>
      </c>
      <c r="M3353" s="90">
        <v>11.616043472758999</v>
      </c>
      <c r="N3353" s="90">
        <v>1.5336463460230101</v>
      </c>
      <c r="O3353" s="90">
        <v>7.3194181951099996E-3</v>
      </c>
      <c r="P3353" s="90">
        <v>9.6637026163000003E-4</v>
      </c>
      <c r="Q3353" s="90">
        <v>2.3829702051624202</v>
      </c>
      <c r="R3353" s="90">
        <v>1410</v>
      </c>
      <c r="S3353" s="90" t="s">
        <v>325</v>
      </c>
      <c r="T3353" s="90">
        <v>1410</v>
      </c>
      <c r="U3353" s="90" t="s">
        <v>382</v>
      </c>
      <c r="V3353" s="90" t="s">
        <v>381</v>
      </c>
      <c r="Z3353" s="90">
        <v>0</v>
      </c>
      <c r="AA3353" s="90">
        <v>1</v>
      </c>
      <c r="AB3353" s="90">
        <v>7.3194181951099996E-3</v>
      </c>
      <c r="AC3353" s="90">
        <v>9.6637026163000003E-4</v>
      </c>
      <c r="AD3353" s="90">
        <v>3.4566730597515298</v>
      </c>
      <c r="AF3353" s="90">
        <v>-1</v>
      </c>
      <c r="AG3353" s="90">
        <v>-1</v>
      </c>
      <c r="AH3353" s="90">
        <v>-1</v>
      </c>
      <c r="AI3353" s="90">
        <v>-1</v>
      </c>
      <c r="AJ3353" s="90">
        <v>0</v>
      </c>
      <c r="AM3353" s="90" t="s">
        <v>379</v>
      </c>
      <c r="AN3353" s="90">
        <v>-1</v>
      </c>
      <c r="AQ3353" s="90">
        <v>359</v>
      </c>
      <c r="AR3353" s="90" t="s">
        <v>431</v>
      </c>
      <c r="AS3353" s="90" t="s">
        <v>432</v>
      </c>
      <c r="AT3353" s="90" t="s">
        <v>244</v>
      </c>
      <c r="AU3353" s="90">
        <v>2.7003339999999998</v>
      </c>
      <c r="AV3353" s="90">
        <v>14.477497487699999</v>
      </c>
      <c r="AW3353" s="90">
        <v>2.5499762118342</v>
      </c>
      <c r="AX3353" s="90">
        <v>2.8034656E-3</v>
      </c>
    </row>
    <row r="3354" spans="1:50" x14ac:dyDescent="0.25">
      <c r="A3354" s="102">
        <v>840000</v>
      </c>
      <c r="B3354" s="102">
        <v>2400000</v>
      </c>
      <c r="C3354" s="102">
        <v>2400000</v>
      </c>
      <c r="D3354" s="90" t="s">
        <v>374</v>
      </c>
      <c r="E3354" s="90" t="s">
        <v>68</v>
      </c>
      <c r="F3354" s="90" t="s">
        <v>375</v>
      </c>
      <c r="G3354" s="90" t="s">
        <v>376</v>
      </c>
      <c r="H3354" s="90">
        <v>0.59</v>
      </c>
      <c r="I3354" s="90">
        <v>0.64</v>
      </c>
      <c r="J3354" s="90" t="s">
        <v>244</v>
      </c>
      <c r="K3354" s="90">
        <v>9.5947657563649993E-2</v>
      </c>
      <c r="L3354" s="90">
        <v>3688.82269287901</v>
      </c>
      <c r="M3354" s="90">
        <v>10.525515615222901</v>
      </c>
      <c r="N3354" s="90">
        <v>1.9529015761409201</v>
      </c>
      <c r="O3354" s="90">
        <v>1.0098985679302901</v>
      </c>
      <c r="P3354" s="90">
        <v>0.18737633168307999</v>
      </c>
      <c r="Q3354" s="90">
        <v>353.93389654938801</v>
      </c>
      <c r="R3354" s="90">
        <v>1300</v>
      </c>
      <c r="S3354" s="90" t="s">
        <v>387</v>
      </c>
      <c r="T3354" s="90">
        <v>1300</v>
      </c>
      <c r="U3354" s="90" t="s">
        <v>378</v>
      </c>
      <c r="V3354" s="90" t="s">
        <v>244</v>
      </c>
      <c r="Z3354" s="90">
        <v>0</v>
      </c>
      <c r="AA3354" s="90">
        <v>1</v>
      </c>
      <c r="AB3354" s="90">
        <v>1.0098985679302901</v>
      </c>
      <c r="AC3354" s="90">
        <v>0.18737633168307999</v>
      </c>
      <c r="AD3354" s="90">
        <v>782.205770644626</v>
      </c>
      <c r="AF3354" s="90">
        <v>-1</v>
      </c>
      <c r="AG3354" s="90">
        <v>-1</v>
      </c>
      <c r="AH3354" s="90">
        <v>-1</v>
      </c>
      <c r="AI3354" s="90">
        <v>-1</v>
      </c>
      <c r="AJ3354" s="90">
        <v>0</v>
      </c>
      <c r="AM3354" s="90" t="s">
        <v>379</v>
      </c>
      <c r="AN3354" s="90">
        <v>-1</v>
      </c>
      <c r="AQ3354" s="90">
        <v>360</v>
      </c>
      <c r="AR3354" s="90" t="s">
        <v>433</v>
      </c>
      <c r="AS3354" s="90" t="s">
        <v>434</v>
      </c>
      <c r="AT3354" s="90" t="s">
        <v>244</v>
      </c>
      <c r="AU3354" s="90">
        <v>13.60708</v>
      </c>
      <c r="AV3354" s="90">
        <v>88.495204632274195</v>
      </c>
      <c r="AW3354" s="90">
        <v>388.28639422570501</v>
      </c>
      <c r="AX3354" s="90">
        <v>0.63439235250000003</v>
      </c>
    </row>
    <row r="3355" spans="1:50" x14ac:dyDescent="0.25">
      <c r="A3355" s="102">
        <v>840000</v>
      </c>
      <c r="B3355" s="102">
        <v>2400000</v>
      </c>
      <c r="C3355" s="102">
        <v>2400000</v>
      </c>
      <c r="D3355" s="90" t="s">
        <v>374</v>
      </c>
      <c r="E3355" s="90" t="s">
        <v>68</v>
      </c>
      <c r="F3355" s="90" t="s">
        <v>375</v>
      </c>
      <c r="G3355" s="90" t="s">
        <v>376</v>
      </c>
      <c r="H3355" s="90">
        <v>0.59</v>
      </c>
      <c r="I3355" s="90">
        <v>0.64</v>
      </c>
      <c r="J3355" s="90" t="s">
        <v>244</v>
      </c>
      <c r="K3355" s="90">
        <v>4.2216600718450001E-2</v>
      </c>
      <c r="L3355" s="90">
        <v>3688.82269287901</v>
      </c>
      <c r="M3355" s="90">
        <v>10.525515615222901</v>
      </c>
      <c r="N3355" s="90">
        <v>1.9529015761409201</v>
      </c>
      <c r="O3355" s="90">
        <v>0.44435149008376001</v>
      </c>
      <c r="P3355" s="90">
        <v>8.2444866082379997E-2</v>
      </c>
      <c r="Q3355" s="90">
        <v>155.72955474646</v>
      </c>
      <c r="R3355" s="90">
        <v>1890</v>
      </c>
      <c r="S3355" s="90" t="s">
        <v>408</v>
      </c>
      <c r="T3355" s="90">
        <v>1890</v>
      </c>
      <c r="U3355" s="90" t="s">
        <v>378</v>
      </c>
      <c r="V3355" s="90" t="s">
        <v>244</v>
      </c>
      <c r="Z3355" s="90">
        <v>0</v>
      </c>
      <c r="AA3355" s="90">
        <v>1</v>
      </c>
      <c r="AB3355" s="90">
        <v>0.44435149008376001</v>
      </c>
      <c r="AC3355" s="90">
        <v>8.2444866082379997E-2</v>
      </c>
      <c r="AD3355" s="90">
        <v>504.22716827446601</v>
      </c>
      <c r="AF3355" s="90">
        <v>-1</v>
      </c>
      <c r="AG3355" s="90">
        <v>-1</v>
      </c>
      <c r="AH3355" s="90">
        <v>-1</v>
      </c>
      <c r="AI3355" s="90">
        <v>-1</v>
      </c>
      <c r="AJ3355" s="90">
        <v>0</v>
      </c>
      <c r="AM3355" s="90" t="s">
        <v>379</v>
      </c>
      <c r="AN3355" s="90">
        <v>-1</v>
      </c>
      <c r="AQ3355" s="90">
        <v>360</v>
      </c>
      <c r="AR3355" s="90" t="s">
        <v>433</v>
      </c>
      <c r="AS3355" s="90" t="s">
        <v>434</v>
      </c>
      <c r="AT3355" s="90" t="s">
        <v>244</v>
      </c>
      <c r="AU3355" s="90">
        <v>13.60708</v>
      </c>
      <c r="AV3355" s="90">
        <v>55.024526060299003</v>
      </c>
      <c r="AW3355" s="90">
        <v>170.844521749389</v>
      </c>
      <c r="AX3355" s="90">
        <v>0.40894336440000001</v>
      </c>
    </row>
    <row r="3356" spans="1:50" x14ac:dyDescent="0.25">
      <c r="A3356" s="102">
        <v>840000</v>
      </c>
      <c r="B3356" s="102">
        <v>2400000</v>
      </c>
      <c r="C3356" s="102">
        <v>2400000</v>
      </c>
      <c r="D3356" s="90" t="s">
        <v>374</v>
      </c>
      <c r="E3356" s="90" t="s">
        <v>68</v>
      </c>
      <c r="F3356" s="90" t="s">
        <v>375</v>
      </c>
      <c r="G3356" s="90" t="s">
        <v>376</v>
      </c>
      <c r="H3356" s="90">
        <v>0.59</v>
      </c>
      <c r="I3356" s="90">
        <v>0.64</v>
      </c>
      <c r="J3356" s="90" t="s">
        <v>244</v>
      </c>
      <c r="K3356" s="90">
        <v>0.20135543570573999</v>
      </c>
      <c r="L3356" s="90">
        <v>3710.45435828987</v>
      </c>
      <c r="M3356" s="90">
        <v>11.727572462558999</v>
      </c>
      <c r="N3356" s="90">
        <v>2.3820605535641599</v>
      </c>
      <c r="O3356" s="90">
        <v>2.3614104629693098</v>
      </c>
      <c r="P3356" s="90">
        <v>0.47964084064037998</v>
      </c>
      <c r="Q3356" s="90">
        <v>747.12015397974903</v>
      </c>
      <c r="R3356" s="90">
        <v>1300</v>
      </c>
      <c r="S3356" s="90" t="s">
        <v>387</v>
      </c>
      <c r="T3356" s="90">
        <v>1300</v>
      </c>
      <c r="U3356" s="90" t="s">
        <v>378</v>
      </c>
      <c r="V3356" s="90" t="s">
        <v>244</v>
      </c>
      <c r="Z3356" s="90">
        <v>0</v>
      </c>
      <c r="AA3356" s="90">
        <v>1</v>
      </c>
      <c r="AB3356" s="90">
        <v>2.3614104629693098</v>
      </c>
      <c r="AC3356" s="90">
        <v>0.47964084064037998</v>
      </c>
      <c r="AD3356" s="90">
        <v>1112.4874751571001</v>
      </c>
      <c r="AF3356" s="90">
        <v>-1</v>
      </c>
      <c r="AG3356" s="90">
        <v>-1</v>
      </c>
      <c r="AH3356" s="90">
        <v>-1</v>
      </c>
      <c r="AI3356" s="90">
        <v>-1</v>
      </c>
      <c r="AJ3356" s="90">
        <v>0</v>
      </c>
      <c r="AM3356" s="90" t="s">
        <v>379</v>
      </c>
      <c r="AN3356" s="90">
        <v>-1</v>
      </c>
      <c r="AQ3356" s="90">
        <v>360</v>
      </c>
      <c r="AR3356" s="90" t="s">
        <v>433</v>
      </c>
      <c r="AS3356" s="90" t="s">
        <v>434</v>
      </c>
      <c r="AT3356" s="90" t="s">
        <v>244</v>
      </c>
      <c r="AU3356" s="90">
        <v>13.60708</v>
      </c>
      <c r="AV3356" s="90">
        <v>132.24415311384101</v>
      </c>
      <c r="AW3356" s="90">
        <v>814.85653817095795</v>
      </c>
      <c r="AX3356" s="90">
        <v>0.90226072599999996</v>
      </c>
    </row>
    <row r="3357" spans="1:50" x14ac:dyDescent="0.25">
      <c r="A3357" s="102">
        <v>840000</v>
      </c>
      <c r="B3357" s="102">
        <v>2400000</v>
      </c>
      <c r="C3357" s="102">
        <v>2400000</v>
      </c>
      <c r="D3357" s="90" t="s">
        <v>374</v>
      </c>
      <c r="E3357" s="90" t="s">
        <v>68</v>
      </c>
      <c r="F3357" s="90" t="s">
        <v>375</v>
      </c>
      <c r="G3357" s="90" t="s">
        <v>376</v>
      </c>
      <c r="H3357" s="90">
        <v>0.59</v>
      </c>
      <c r="I3357" s="90">
        <v>0.64</v>
      </c>
      <c r="J3357" s="90" t="s">
        <v>244</v>
      </c>
      <c r="K3357" s="90">
        <v>1.638757258154E-2</v>
      </c>
      <c r="L3357" s="90">
        <v>3710.45435828987</v>
      </c>
      <c r="M3357" s="90">
        <v>11.727572462558999</v>
      </c>
      <c r="N3357" s="90">
        <v>2.3820605535641599</v>
      </c>
      <c r="O3357" s="90">
        <v>0.19218644493546</v>
      </c>
      <c r="P3357" s="90">
        <v>3.903619021515E-2</v>
      </c>
      <c r="Q3357" s="90">
        <v>60.805340106970398</v>
      </c>
      <c r="R3357" s="90">
        <v>1300</v>
      </c>
      <c r="S3357" s="90" t="s">
        <v>387</v>
      </c>
      <c r="T3357" s="90">
        <v>1300</v>
      </c>
      <c r="U3357" s="90" t="s">
        <v>378</v>
      </c>
      <c r="V3357" s="90" t="s">
        <v>244</v>
      </c>
      <c r="Z3357" s="90">
        <v>0</v>
      </c>
      <c r="AA3357" s="90">
        <v>1</v>
      </c>
      <c r="AB3357" s="90">
        <v>0.19218644493546</v>
      </c>
      <c r="AC3357" s="90">
        <v>3.903619021515E-2</v>
      </c>
      <c r="AD3357" s="90">
        <v>60.8053401069686</v>
      </c>
      <c r="AF3357" s="90">
        <v>-1</v>
      </c>
      <c r="AG3357" s="90">
        <v>-1</v>
      </c>
      <c r="AH3357" s="90">
        <v>-1</v>
      </c>
      <c r="AI3357" s="90">
        <v>-1</v>
      </c>
      <c r="AJ3357" s="90">
        <v>0</v>
      </c>
      <c r="AM3357" s="90" t="s">
        <v>379</v>
      </c>
      <c r="AN3357" s="90">
        <v>-1</v>
      </c>
      <c r="AQ3357" s="90">
        <v>360</v>
      </c>
      <c r="AR3357" s="90" t="s">
        <v>433</v>
      </c>
      <c r="AS3357" s="90" t="s">
        <v>434</v>
      </c>
      <c r="AT3357" s="90" t="s">
        <v>244</v>
      </c>
      <c r="AU3357" s="90">
        <v>13.60708</v>
      </c>
      <c r="AV3357" s="90">
        <v>83.694627553410498</v>
      </c>
      <c r="AW3357" s="90">
        <v>66.318153349153405</v>
      </c>
      <c r="AX3357" s="90">
        <v>4.93149555E-2</v>
      </c>
    </row>
    <row r="3358" spans="1:50" x14ac:dyDescent="0.25">
      <c r="A3358" s="102">
        <v>840000</v>
      </c>
      <c r="B3358" s="102">
        <v>2400000</v>
      </c>
      <c r="C3358" s="102">
        <v>2400000</v>
      </c>
      <c r="D3358" s="90" t="s">
        <v>374</v>
      </c>
      <c r="E3358" s="90" t="s">
        <v>68</v>
      </c>
      <c r="F3358" s="90" t="s">
        <v>375</v>
      </c>
      <c r="G3358" s="90" t="s">
        <v>376</v>
      </c>
      <c r="H3358" s="90">
        <v>0.59</v>
      </c>
      <c r="I3358" s="90">
        <v>0.64</v>
      </c>
      <c r="J3358" s="90" t="s">
        <v>244</v>
      </c>
      <c r="K3358" s="90">
        <v>0.15624715359003</v>
      </c>
      <c r="L3358" s="90">
        <v>3753.8553054603399</v>
      </c>
      <c r="M3358" s="90">
        <v>11.5377905628033</v>
      </c>
      <c r="N3358" s="90">
        <v>1.5232391878345699</v>
      </c>
      <c r="O3358" s="90">
        <v>1.8027469341559601</v>
      </c>
      <c r="P3358" s="90">
        <v>0.23800178733593999</v>
      </c>
      <c r="Q3358" s="90">
        <v>586.52920646702296</v>
      </c>
      <c r="R3358" s="90">
        <v>1400</v>
      </c>
      <c r="S3358" s="90" t="s">
        <v>324</v>
      </c>
      <c r="T3358" s="90">
        <v>1400</v>
      </c>
      <c r="U3358" s="90" t="s">
        <v>378</v>
      </c>
      <c r="V3358" s="90" t="s">
        <v>244</v>
      </c>
      <c r="Z3358" s="90">
        <v>0</v>
      </c>
      <c r="AA3358" s="90">
        <v>1</v>
      </c>
      <c r="AB3358" s="90">
        <v>1.8027469341559601</v>
      </c>
      <c r="AC3358" s="90">
        <v>0.23800178733593999</v>
      </c>
      <c r="AD3358" s="90">
        <v>1002.30641344688</v>
      </c>
      <c r="AF3358" s="90">
        <v>-1</v>
      </c>
      <c r="AG3358" s="90">
        <v>-1</v>
      </c>
      <c r="AH3358" s="90">
        <v>-1</v>
      </c>
      <c r="AI3358" s="90">
        <v>-1</v>
      </c>
      <c r="AJ3358" s="90">
        <v>0</v>
      </c>
      <c r="AM3358" s="90" t="s">
        <v>379</v>
      </c>
      <c r="AN3358" s="90">
        <v>-1</v>
      </c>
      <c r="AQ3358" s="90">
        <v>360</v>
      </c>
      <c r="AR3358" s="90" t="s">
        <v>433</v>
      </c>
      <c r="AS3358" s="90" t="s">
        <v>434</v>
      </c>
      <c r="AT3358" s="90" t="s">
        <v>244</v>
      </c>
      <c r="AU3358" s="90">
        <v>13.60708</v>
      </c>
      <c r="AV3358" s="90">
        <v>125.823684236551</v>
      </c>
      <c r="AW3358" s="90">
        <v>632.30979698754197</v>
      </c>
      <c r="AX3358" s="90">
        <v>0.81290057859999998</v>
      </c>
    </row>
    <row r="3359" spans="1:50" x14ac:dyDescent="0.25">
      <c r="A3359" s="102">
        <v>840000</v>
      </c>
      <c r="B3359" s="102">
        <v>2400000</v>
      </c>
      <c r="C3359" s="102">
        <v>2400000</v>
      </c>
      <c r="D3359" s="90" t="s">
        <v>374</v>
      </c>
      <c r="E3359" s="90" t="s">
        <v>68</v>
      </c>
      <c r="F3359" s="90" t="s">
        <v>375</v>
      </c>
      <c r="G3359" s="90" t="s">
        <v>376</v>
      </c>
      <c r="H3359" s="90">
        <v>0.59</v>
      </c>
      <c r="I3359" s="90">
        <v>0.64</v>
      </c>
      <c r="J3359" s="90" t="s">
        <v>244</v>
      </c>
      <c r="K3359" s="90">
        <v>3.5591676085579997E-2</v>
      </c>
      <c r="L3359" s="90">
        <v>3688.82269287901</v>
      </c>
      <c r="M3359" s="90">
        <v>10.525515615222901</v>
      </c>
      <c r="N3359" s="90">
        <v>1.9529015761409201</v>
      </c>
      <c r="O3359" s="90">
        <v>0.37462074241078003</v>
      </c>
      <c r="P3359" s="90">
        <v>6.9507040325029995E-2</v>
      </c>
      <c r="Q3359" s="90">
        <v>131.29138242210499</v>
      </c>
      <c r="R3359" s="90">
        <v>1300</v>
      </c>
      <c r="S3359" s="90" t="s">
        <v>387</v>
      </c>
      <c r="T3359" s="90">
        <v>1300</v>
      </c>
      <c r="U3359" s="90" t="s">
        <v>378</v>
      </c>
      <c r="V3359" s="90" t="s">
        <v>244</v>
      </c>
      <c r="Z3359" s="90">
        <v>0</v>
      </c>
      <c r="AA3359" s="90">
        <v>1</v>
      </c>
      <c r="AB3359" s="90">
        <v>0.37462074241078003</v>
      </c>
      <c r="AC3359" s="90">
        <v>6.9507040325029995E-2</v>
      </c>
      <c r="AD3359" s="90">
        <v>131.29138242210601</v>
      </c>
      <c r="AF3359" s="90">
        <v>-1</v>
      </c>
      <c r="AG3359" s="90">
        <v>-1</v>
      </c>
      <c r="AH3359" s="90">
        <v>-1</v>
      </c>
      <c r="AI3359" s="90">
        <v>-1</v>
      </c>
      <c r="AJ3359" s="90">
        <v>0</v>
      </c>
      <c r="AM3359" s="90" t="s">
        <v>379</v>
      </c>
      <c r="AN3359" s="90">
        <v>-1</v>
      </c>
      <c r="AQ3359" s="90">
        <v>360</v>
      </c>
      <c r="AR3359" s="90" t="s">
        <v>433</v>
      </c>
      <c r="AS3359" s="90" t="s">
        <v>434</v>
      </c>
      <c r="AT3359" s="90" t="s">
        <v>244</v>
      </c>
      <c r="AU3359" s="90">
        <v>13.60708</v>
      </c>
      <c r="AV3359" s="90">
        <v>71.975546266892195</v>
      </c>
      <c r="AW3359" s="90">
        <v>144.034402950931</v>
      </c>
      <c r="AX3359" s="90">
        <v>0.106481251</v>
      </c>
    </row>
    <row r="3360" spans="1:50" x14ac:dyDescent="0.25">
      <c r="A3360" s="102">
        <v>840000</v>
      </c>
      <c r="B3360" s="102">
        <v>2400000</v>
      </c>
      <c r="C3360" s="102">
        <v>2400000</v>
      </c>
      <c r="D3360" s="90" t="s">
        <v>374</v>
      </c>
      <c r="E3360" s="90" t="s">
        <v>68</v>
      </c>
      <c r="F3360" s="90" t="s">
        <v>375</v>
      </c>
      <c r="G3360" s="90" t="s">
        <v>376</v>
      </c>
      <c r="H3360" s="90">
        <v>0.59</v>
      </c>
      <c r="I3360" s="90">
        <v>0.64</v>
      </c>
      <c r="J3360" s="90" t="s">
        <v>244</v>
      </c>
      <c r="K3360" s="90">
        <v>3.0692264585060001E-2</v>
      </c>
      <c r="L3360" s="90">
        <v>3688.82269287901</v>
      </c>
      <c r="M3360" s="90">
        <v>10.525515615222901</v>
      </c>
      <c r="N3360" s="90">
        <v>1.9529015761409201</v>
      </c>
      <c r="O3360" s="90">
        <v>0.32305191015666002</v>
      </c>
      <c r="P3360" s="90">
        <v>5.9938971883510002E-2</v>
      </c>
      <c r="Q3360" s="90">
        <v>113.218322097238</v>
      </c>
      <c r="R3360" s="90">
        <v>1890</v>
      </c>
      <c r="S3360" s="90" t="s">
        <v>408</v>
      </c>
      <c r="T3360" s="90">
        <v>1890</v>
      </c>
      <c r="U3360" s="90" t="s">
        <v>378</v>
      </c>
      <c r="V3360" s="90" t="s">
        <v>244</v>
      </c>
      <c r="Z3360" s="90">
        <v>0</v>
      </c>
      <c r="AA3360" s="90">
        <v>1</v>
      </c>
      <c r="AB3360" s="90">
        <v>0.32305191015666002</v>
      </c>
      <c r="AC3360" s="90">
        <v>5.9938971883510002E-2</v>
      </c>
      <c r="AD3360" s="90">
        <v>113.218322097239</v>
      </c>
      <c r="AF3360" s="90">
        <v>-1</v>
      </c>
      <c r="AG3360" s="90">
        <v>-1</v>
      </c>
      <c r="AH3360" s="90">
        <v>-1</v>
      </c>
      <c r="AI3360" s="90">
        <v>-1</v>
      </c>
      <c r="AJ3360" s="90">
        <v>0</v>
      </c>
      <c r="AM3360" s="90" t="s">
        <v>379</v>
      </c>
      <c r="AN3360" s="90">
        <v>-1</v>
      </c>
      <c r="AQ3360" s="90">
        <v>360</v>
      </c>
      <c r="AR3360" s="90" t="s">
        <v>433</v>
      </c>
      <c r="AS3360" s="90" t="s">
        <v>434</v>
      </c>
      <c r="AT3360" s="90" t="s">
        <v>244</v>
      </c>
      <c r="AU3360" s="90">
        <v>13.60708</v>
      </c>
      <c r="AV3360" s="90">
        <v>50.699842473026798</v>
      </c>
      <c r="AW3360" s="90">
        <v>124.207188054076</v>
      </c>
      <c r="AX3360" s="90">
        <v>9.18234567E-2</v>
      </c>
    </row>
    <row r="3361" spans="1:50" x14ac:dyDescent="0.25">
      <c r="A3361" s="102">
        <v>840000</v>
      </c>
      <c r="B3361" s="102">
        <v>2400000</v>
      </c>
      <c r="C3361" s="102">
        <v>2400000</v>
      </c>
      <c r="D3361" s="90" t="s">
        <v>374</v>
      </c>
      <c r="E3361" s="90" t="s">
        <v>68</v>
      </c>
      <c r="F3361" s="90" t="s">
        <v>375</v>
      </c>
      <c r="G3361" s="90" t="s">
        <v>376</v>
      </c>
      <c r="H3361" s="90">
        <v>0.59</v>
      </c>
      <c r="I3361" s="90">
        <v>0.64</v>
      </c>
      <c r="J3361" s="90" t="s">
        <v>244</v>
      </c>
      <c r="K3361" s="90">
        <v>1.320627093057E-2</v>
      </c>
      <c r="L3361" s="90">
        <v>3695.1423574092</v>
      </c>
      <c r="M3361" s="90">
        <v>9.8302641178760695</v>
      </c>
      <c r="N3361" s="90">
        <v>1.5843568761889899</v>
      </c>
      <c r="O3361" s="90">
        <v>0.12982113125976999</v>
      </c>
      <c r="P3361" s="90">
        <v>2.092344615767E-2</v>
      </c>
      <c r="Q3361" s="90">
        <v>48.799051098985899</v>
      </c>
      <c r="R3361" s="90">
        <v>1200</v>
      </c>
      <c r="S3361" s="90" t="s">
        <v>384</v>
      </c>
      <c r="T3361" s="90">
        <v>1200</v>
      </c>
      <c r="U3361" s="90" t="s">
        <v>378</v>
      </c>
      <c r="V3361" s="90" t="s">
        <v>244</v>
      </c>
      <c r="Z3361" s="90">
        <v>0</v>
      </c>
      <c r="AA3361" s="90">
        <v>1</v>
      </c>
      <c r="AB3361" s="90">
        <v>0.12982113125976999</v>
      </c>
      <c r="AC3361" s="90">
        <v>2.092344615767E-2</v>
      </c>
      <c r="AD3361" s="90">
        <v>659.81950133728105</v>
      </c>
      <c r="AF3361" s="90">
        <v>-1</v>
      </c>
      <c r="AG3361" s="90">
        <v>-1</v>
      </c>
      <c r="AH3361" s="90">
        <v>-1</v>
      </c>
      <c r="AI3361" s="90">
        <v>-1</v>
      </c>
      <c r="AJ3361" s="90">
        <v>0</v>
      </c>
      <c r="AM3361" s="90" t="s">
        <v>379</v>
      </c>
      <c r="AN3361" s="90">
        <v>-1</v>
      </c>
      <c r="AQ3361" s="90">
        <v>360</v>
      </c>
      <c r="AR3361" s="90" t="s">
        <v>433</v>
      </c>
      <c r="AS3361" s="90" t="s">
        <v>434</v>
      </c>
      <c r="AT3361" s="90" t="s">
        <v>244</v>
      </c>
      <c r="AU3361" s="90">
        <v>13.60708</v>
      </c>
      <c r="AV3361" s="90">
        <v>87.321826020720806</v>
      </c>
      <c r="AW3361" s="90">
        <v>53.443882331346799</v>
      </c>
      <c r="AX3361" s="90">
        <v>0.53513341550000004</v>
      </c>
    </row>
    <row r="3362" spans="1:50" x14ac:dyDescent="0.25">
      <c r="A3362" s="102">
        <v>840000</v>
      </c>
      <c r="B3362" s="102">
        <v>2400000</v>
      </c>
      <c r="C3362" s="102">
        <v>2400000</v>
      </c>
      <c r="D3362" s="90" t="s">
        <v>374</v>
      </c>
      <c r="E3362" s="90" t="s">
        <v>68</v>
      </c>
      <c r="F3362" s="90" t="s">
        <v>375</v>
      </c>
      <c r="G3362" s="90" t="s">
        <v>376</v>
      </c>
      <c r="H3362" s="90">
        <v>0.59</v>
      </c>
      <c r="I3362" s="90">
        <v>0.64</v>
      </c>
      <c r="J3362" s="90" t="s">
        <v>244</v>
      </c>
      <c r="K3362" s="90">
        <v>1.3795391887499999E-2</v>
      </c>
      <c r="L3362" s="90">
        <v>3695.1423574092</v>
      </c>
      <c r="M3362" s="90">
        <v>9.8302641178760695</v>
      </c>
      <c r="N3362" s="90">
        <v>1.5843568761889899</v>
      </c>
      <c r="O3362" s="90">
        <v>0.1356123458638</v>
      </c>
      <c r="P3362" s="90">
        <v>2.1856823996689999E-2</v>
      </c>
      <c r="Q3362" s="90">
        <v>50.975936900590099</v>
      </c>
      <c r="R3362" s="90">
        <v>1400</v>
      </c>
      <c r="S3362" s="90" t="s">
        <v>324</v>
      </c>
      <c r="T3362" s="90">
        <v>1400</v>
      </c>
      <c r="U3362" s="90" t="s">
        <v>378</v>
      </c>
      <c r="V3362" s="90" t="s">
        <v>244</v>
      </c>
      <c r="Z3362" s="90">
        <v>0</v>
      </c>
      <c r="AA3362" s="90">
        <v>1</v>
      </c>
      <c r="AB3362" s="90">
        <v>0.1356123458638</v>
      </c>
      <c r="AC3362" s="90">
        <v>2.1856823996689999E-2</v>
      </c>
      <c r="AD3362" s="90">
        <v>115.86187935378</v>
      </c>
      <c r="AF3362" s="90">
        <v>-1</v>
      </c>
      <c r="AG3362" s="90">
        <v>-1</v>
      </c>
      <c r="AH3362" s="90">
        <v>-1</v>
      </c>
      <c r="AI3362" s="90">
        <v>-1</v>
      </c>
      <c r="AJ3362" s="90">
        <v>0</v>
      </c>
      <c r="AM3362" s="90" t="s">
        <v>379</v>
      </c>
      <c r="AN3362" s="90">
        <v>-1</v>
      </c>
      <c r="AQ3362" s="90">
        <v>360</v>
      </c>
      <c r="AR3362" s="90" t="s">
        <v>433</v>
      </c>
      <c r="AS3362" s="90" t="s">
        <v>434</v>
      </c>
      <c r="AT3362" s="90" t="s">
        <v>244</v>
      </c>
      <c r="AU3362" s="90">
        <v>13.60708</v>
      </c>
      <c r="AV3362" s="90">
        <v>33.915805044482603</v>
      </c>
      <c r="AW3362" s="90">
        <v>55.827970259488097</v>
      </c>
      <c r="AX3362" s="90">
        <v>9.3967461000000002E-2</v>
      </c>
    </row>
    <row r="3363" spans="1:50" x14ac:dyDescent="0.25">
      <c r="A3363" s="102">
        <v>840000</v>
      </c>
      <c r="B3363" s="102">
        <v>2400000</v>
      </c>
      <c r="C3363" s="102">
        <v>2400000</v>
      </c>
      <c r="D3363" s="90" t="s">
        <v>374</v>
      </c>
      <c r="E3363" s="90" t="s">
        <v>68</v>
      </c>
      <c r="F3363" s="90" t="s">
        <v>375</v>
      </c>
      <c r="G3363" s="90" t="s">
        <v>376</v>
      </c>
      <c r="H3363" s="90">
        <v>0.59</v>
      </c>
      <c r="I3363" s="90">
        <v>0.64</v>
      </c>
      <c r="J3363" s="90" t="s">
        <v>244</v>
      </c>
      <c r="K3363" s="90">
        <v>0.11285583801825</v>
      </c>
      <c r="L3363" s="90">
        <v>3695.1423574092</v>
      </c>
      <c r="M3363" s="90">
        <v>9.8302641178760695</v>
      </c>
      <c r="N3363" s="90">
        <v>1.5843568761889899</v>
      </c>
      <c r="O3363" s="90">
        <v>1.1094026949636799</v>
      </c>
      <c r="P3363" s="90">
        <v>0.17880392298229</v>
      </c>
      <c r="Q3363" s="90">
        <v>417.01838734216602</v>
      </c>
      <c r="R3363" s="90">
        <v>1300</v>
      </c>
      <c r="S3363" s="90" t="s">
        <v>387</v>
      </c>
      <c r="T3363" s="90">
        <v>1300</v>
      </c>
      <c r="U3363" s="90" t="s">
        <v>378</v>
      </c>
      <c r="V3363" s="90" t="s">
        <v>244</v>
      </c>
      <c r="Z3363" s="90">
        <v>0</v>
      </c>
      <c r="AA3363" s="90">
        <v>1</v>
      </c>
      <c r="AB3363" s="90">
        <v>1.1094026949636799</v>
      </c>
      <c r="AC3363" s="90">
        <v>0.17880392298229</v>
      </c>
      <c r="AD3363" s="90">
        <v>458.85718536234401</v>
      </c>
      <c r="AF3363" s="90">
        <v>-1</v>
      </c>
      <c r="AG3363" s="90">
        <v>-1</v>
      </c>
      <c r="AH3363" s="90">
        <v>-1</v>
      </c>
      <c r="AI3363" s="90">
        <v>-1</v>
      </c>
      <c r="AJ3363" s="90">
        <v>0</v>
      </c>
      <c r="AM3363" s="90" t="s">
        <v>379</v>
      </c>
      <c r="AN3363" s="90">
        <v>-1</v>
      </c>
      <c r="AQ3363" s="90">
        <v>360</v>
      </c>
      <c r="AR3363" s="90" t="s">
        <v>433</v>
      </c>
      <c r="AS3363" s="90" t="s">
        <v>434</v>
      </c>
      <c r="AT3363" s="90" t="s">
        <v>244</v>
      </c>
      <c r="AU3363" s="90">
        <v>13.60708</v>
      </c>
      <c r="AV3363" s="90">
        <v>105.062587827632</v>
      </c>
      <c r="AW3363" s="90">
        <v>456.71137288951002</v>
      </c>
      <c r="AX3363" s="90">
        <v>0.37214694679999999</v>
      </c>
    </row>
    <row r="3364" spans="1:50" x14ac:dyDescent="0.25">
      <c r="A3364" s="102">
        <v>840000</v>
      </c>
      <c r="B3364" s="102">
        <v>2400000</v>
      </c>
      <c r="C3364" s="102">
        <v>2400000</v>
      </c>
      <c r="D3364" s="90" t="s">
        <v>374</v>
      </c>
      <c r="E3364" s="90" t="s">
        <v>68</v>
      </c>
      <c r="F3364" s="90" t="s">
        <v>375</v>
      </c>
      <c r="G3364" s="90" t="s">
        <v>376</v>
      </c>
      <c r="H3364" s="90">
        <v>0.59</v>
      </c>
      <c r="I3364" s="90">
        <v>0.64</v>
      </c>
      <c r="J3364" s="90" t="s">
        <v>244</v>
      </c>
      <c r="K3364" s="90">
        <v>0.15439543388995</v>
      </c>
      <c r="L3364" s="90">
        <v>3753.14035942999</v>
      </c>
      <c r="M3364" s="90">
        <v>11.5356646709798</v>
      </c>
      <c r="N3364" s="90">
        <v>1.5229578154493</v>
      </c>
      <c r="O3364" s="90">
        <v>1.78105395208495</v>
      </c>
      <c r="P3364" s="90">
        <v>0.23513773271239</v>
      </c>
      <c r="Q3364" s="90">
        <v>579.46773424409503</v>
      </c>
      <c r="R3364" s="90">
        <v>1400</v>
      </c>
      <c r="S3364" s="90" t="s">
        <v>324</v>
      </c>
      <c r="T3364" s="90">
        <v>1400</v>
      </c>
      <c r="U3364" s="90" t="s">
        <v>378</v>
      </c>
      <c r="V3364" s="90" t="s">
        <v>244</v>
      </c>
      <c r="Z3364" s="90">
        <v>0</v>
      </c>
      <c r="AA3364" s="90">
        <v>1</v>
      </c>
      <c r="AB3364" s="90">
        <v>1.78105395208495</v>
      </c>
      <c r="AC3364" s="90">
        <v>0.23513773271239</v>
      </c>
      <c r="AD3364" s="90">
        <v>1076.7910467326601</v>
      </c>
      <c r="AF3364" s="90">
        <v>-1</v>
      </c>
      <c r="AG3364" s="90">
        <v>-1</v>
      </c>
      <c r="AH3364" s="90">
        <v>-1</v>
      </c>
      <c r="AI3364" s="90">
        <v>-1</v>
      </c>
      <c r="AJ3364" s="90">
        <v>0</v>
      </c>
      <c r="AM3364" s="90" t="s">
        <v>379</v>
      </c>
      <c r="AN3364" s="90">
        <v>-1</v>
      </c>
      <c r="AQ3364" s="90">
        <v>360</v>
      </c>
      <c r="AR3364" s="90" t="s">
        <v>433</v>
      </c>
      <c r="AS3364" s="90" t="s">
        <v>434</v>
      </c>
      <c r="AT3364" s="90" t="s">
        <v>244</v>
      </c>
      <c r="AU3364" s="90">
        <v>13.60708</v>
      </c>
      <c r="AV3364" s="90">
        <v>125.515647045986</v>
      </c>
      <c r="AW3364" s="90">
        <v>624.81615322679897</v>
      </c>
      <c r="AX3364" s="90">
        <v>0.87330985139999995</v>
      </c>
    </row>
    <row r="3365" spans="1:50" x14ac:dyDescent="0.25">
      <c r="A3365" s="102">
        <v>840000</v>
      </c>
      <c r="B3365" s="102">
        <v>2400000</v>
      </c>
      <c r="C3365" s="102">
        <v>2400000</v>
      </c>
      <c r="D3365" s="90" t="s">
        <v>374</v>
      </c>
      <c r="E3365" s="90" t="s">
        <v>68</v>
      </c>
      <c r="F3365" s="90" t="s">
        <v>375</v>
      </c>
      <c r="G3365" s="90" t="s">
        <v>376</v>
      </c>
      <c r="H3365" s="90">
        <v>0.59</v>
      </c>
      <c r="I3365" s="90">
        <v>0.64</v>
      </c>
      <c r="J3365" s="90" t="s">
        <v>244</v>
      </c>
      <c r="K3365" s="90">
        <v>0.16398396721670999</v>
      </c>
      <c r="L3365" s="90">
        <v>3736.76290362911</v>
      </c>
      <c r="M3365" s="90">
        <v>11.9252598337842</v>
      </c>
      <c r="N3365" s="90">
        <v>1.5700371911879001</v>
      </c>
      <c r="O3365" s="90">
        <v>1.9555514176341</v>
      </c>
      <c r="P3365" s="90">
        <v>0.25746092728878001</v>
      </c>
      <c r="Q3365" s="90">
        <v>612.769205485361</v>
      </c>
      <c r="R3365" s="90">
        <v>1400</v>
      </c>
      <c r="S3365" s="90" t="s">
        <v>324</v>
      </c>
      <c r="T3365" s="90">
        <v>1400</v>
      </c>
      <c r="U3365" s="90" t="s">
        <v>378</v>
      </c>
      <c r="V3365" s="90" t="s">
        <v>244</v>
      </c>
      <c r="Z3365" s="90">
        <v>0</v>
      </c>
      <c r="AA3365" s="90">
        <v>1</v>
      </c>
      <c r="AB3365" s="90">
        <v>1.9555514176341</v>
      </c>
      <c r="AC3365" s="90">
        <v>0.25746092728878001</v>
      </c>
      <c r="AD3365" s="90">
        <v>627.23691749059606</v>
      </c>
      <c r="AF3365" s="90">
        <v>-1</v>
      </c>
      <c r="AG3365" s="90">
        <v>-1</v>
      </c>
      <c r="AH3365" s="90">
        <v>-1</v>
      </c>
      <c r="AI3365" s="90">
        <v>-1</v>
      </c>
      <c r="AJ3365" s="90">
        <v>0</v>
      </c>
      <c r="AM3365" s="90" t="s">
        <v>379</v>
      </c>
      <c r="AN3365" s="90">
        <v>-1</v>
      </c>
      <c r="AQ3365" s="90">
        <v>360</v>
      </c>
      <c r="AR3365" s="90" t="s">
        <v>433</v>
      </c>
      <c r="AS3365" s="90" t="s">
        <v>434</v>
      </c>
      <c r="AT3365" s="90" t="s">
        <v>244</v>
      </c>
      <c r="AU3365" s="90">
        <v>13.60708</v>
      </c>
      <c r="AV3365" s="90">
        <v>125.628056100105</v>
      </c>
      <c r="AW3365" s="90">
        <v>663.61957090160104</v>
      </c>
      <c r="AX3365" s="90">
        <v>0.50870796230000004</v>
      </c>
    </row>
    <row r="3366" spans="1:50" x14ac:dyDescent="0.25">
      <c r="A3366" s="102">
        <v>840000</v>
      </c>
      <c r="B3366" s="102">
        <v>2400000</v>
      </c>
      <c r="C3366" s="102">
        <v>2400000</v>
      </c>
      <c r="D3366" s="90" t="s">
        <v>374</v>
      </c>
      <c r="E3366" s="90" t="s">
        <v>68</v>
      </c>
      <c r="F3366" s="90" t="s">
        <v>375</v>
      </c>
      <c r="G3366" s="90" t="s">
        <v>376</v>
      </c>
      <c r="H3366" s="90">
        <v>0.59</v>
      </c>
      <c r="I3366" s="90">
        <v>0.64</v>
      </c>
      <c r="J3366" s="90" t="s">
        <v>244</v>
      </c>
      <c r="K3366" s="90">
        <v>0.16407514312071</v>
      </c>
      <c r="L3366" s="90">
        <v>3740.2262049943702</v>
      </c>
      <c r="M3366" s="90">
        <v>11.845312331822999</v>
      </c>
      <c r="N3366" s="90">
        <v>1.5603793125162699</v>
      </c>
      <c r="O3366" s="90">
        <v>1.9435213161534599</v>
      </c>
      <c r="P3366" s="90">
        <v>0.25601945902370998</v>
      </c>
      <c r="Q3366" s="90">
        <v>613.67814988830798</v>
      </c>
      <c r="R3366" s="90">
        <v>1400</v>
      </c>
      <c r="S3366" s="90" t="s">
        <v>324</v>
      </c>
      <c r="T3366" s="90">
        <v>1400</v>
      </c>
      <c r="U3366" s="90" t="s">
        <v>378</v>
      </c>
      <c r="V3366" s="90" t="s">
        <v>244</v>
      </c>
      <c r="Z3366" s="90">
        <v>0</v>
      </c>
      <c r="AA3366" s="90">
        <v>1</v>
      </c>
      <c r="AB3366" s="90">
        <v>1.9435213161534599</v>
      </c>
      <c r="AC3366" s="90">
        <v>0.25601945902370998</v>
      </c>
      <c r="AD3366" s="90">
        <v>817.09035543151094</v>
      </c>
      <c r="AF3366" s="90">
        <v>-1</v>
      </c>
      <c r="AG3366" s="90">
        <v>-1</v>
      </c>
      <c r="AH3366" s="90">
        <v>-1</v>
      </c>
      <c r="AI3366" s="90">
        <v>-1</v>
      </c>
      <c r="AJ3366" s="90">
        <v>0</v>
      </c>
      <c r="AM3366" s="90" t="s">
        <v>379</v>
      </c>
      <c r="AN3366" s="90">
        <v>-1</v>
      </c>
      <c r="AQ3366" s="90">
        <v>360</v>
      </c>
      <c r="AR3366" s="90" t="s">
        <v>433</v>
      </c>
      <c r="AS3366" s="90" t="s">
        <v>434</v>
      </c>
      <c r="AT3366" s="90" t="s">
        <v>244</v>
      </c>
      <c r="AU3366" s="90">
        <v>13.60708</v>
      </c>
      <c r="AV3366" s="90">
        <v>126.99614360077</v>
      </c>
      <c r="AW3366" s="90">
        <v>663.98854669427305</v>
      </c>
      <c r="AX3366" s="90">
        <v>0.66268479759999999</v>
      </c>
    </row>
    <row r="3367" spans="1:50" x14ac:dyDescent="0.25">
      <c r="A3367" s="102">
        <v>840000</v>
      </c>
      <c r="B3367" s="102">
        <v>2400000</v>
      </c>
      <c r="C3367" s="102">
        <v>2400000</v>
      </c>
      <c r="D3367" s="90" t="s">
        <v>374</v>
      </c>
      <c r="E3367" s="90" t="s">
        <v>68</v>
      </c>
      <c r="F3367" s="90" t="s">
        <v>375</v>
      </c>
      <c r="G3367" s="90" t="s">
        <v>376</v>
      </c>
      <c r="H3367" s="90">
        <v>0.59</v>
      </c>
      <c r="I3367" s="90">
        <v>0.64</v>
      </c>
      <c r="J3367" s="90" t="s">
        <v>244</v>
      </c>
      <c r="K3367" s="90">
        <v>2.0092216060219999E-2</v>
      </c>
      <c r="L3367" s="90">
        <v>3695.6535633538101</v>
      </c>
      <c r="M3367" s="90">
        <v>9.4867124968976295</v>
      </c>
      <c r="N3367" s="90">
        <v>1.25624546124614</v>
      </c>
      <c r="O3367" s="90">
        <v>0.19060907718886999</v>
      </c>
      <c r="P3367" s="90">
        <v>2.524075523203E-2</v>
      </c>
      <c r="Q3367" s="90">
        <v>74.253869878634205</v>
      </c>
      <c r="R3367" s="90">
        <v>1400</v>
      </c>
      <c r="S3367" s="90" t="s">
        <v>324</v>
      </c>
      <c r="T3367" s="90">
        <v>1400</v>
      </c>
      <c r="U3367" s="90" t="s">
        <v>378</v>
      </c>
      <c r="V3367" s="90" t="s">
        <v>244</v>
      </c>
      <c r="Z3367" s="90">
        <v>0</v>
      </c>
      <c r="AA3367" s="90">
        <v>1</v>
      </c>
      <c r="AB3367" s="90">
        <v>0.19060907718886999</v>
      </c>
      <c r="AC3367" s="90">
        <v>2.524075523203E-2</v>
      </c>
      <c r="AD3367" s="90">
        <v>439.60338709263698</v>
      </c>
      <c r="AF3367" s="90">
        <v>-1</v>
      </c>
      <c r="AG3367" s="90">
        <v>-1</v>
      </c>
      <c r="AH3367" s="90">
        <v>-1</v>
      </c>
      <c r="AI3367" s="90">
        <v>-1</v>
      </c>
      <c r="AJ3367" s="90">
        <v>0</v>
      </c>
      <c r="AM3367" s="90" t="s">
        <v>379</v>
      </c>
      <c r="AN3367" s="90">
        <v>-1</v>
      </c>
      <c r="AQ3367" s="90">
        <v>360</v>
      </c>
      <c r="AR3367" s="90" t="s">
        <v>433</v>
      </c>
      <c r="AS3367" s="90" t="s">
        <v>434</v>
      </c>
      <c r="AT3367" s="90" t="s">
        <v>244</v>
      </c>
      <c r="AU3367" s="90">
        <v>13.60708</v>
      </c>
      <c r="AV3367" s="90">
        <v>46.140547049986999</v>
      </c>
      <c r="AW3367" s="90">
        <v>81.310313603559607</v>
      </c>
      <c r="AX3367" s="90">
        <v>0.35653153859999998</v>
      </c>
    </row>
    <row r="3368" spans="1:50" x14ac:dyDescent="0.25">
      <c r="A3368" s="102">
        <v>840000</v>
      </c>
      <c r="B3368" s="102">
        <v>2400000</v>
      </c>
      <c r="C3368" s="102">
        <v>2400000</v>
      </c>
      <c r="D3368" s="90" t="s">
        <v>374</v>
      </c>
      <c r="E3368" s="90" t="s">
        <v>68</v>
      </c>
      <c r="F3368" s="90" t="s">
        <v>375</v>
      </c>
      <c r="G3368" s="90" t="s">
        <v>376</v>
      </c>
      <c r="H3368" s="90">
        <v>0.59</v>
      </c>
      <c r="I3368" s="90">
        <v>0.64</v>
      </c>
      <c r="J3368" s="90" t="s">
        <v>244</v>
      </c>
      <c r="K3368" s="90">
        <v>5.3888972712840003E-2</v>
      </c>
      <c r="L3368" s="90">
        <v>3695.6535633538101</v>
      </c>
      <c r="M3368" s="90">
        <v>9.4867124968976295</v>
      </c>
      <c r="N3368" s="90">
        <v>1.25624546124614</v>
      </c>
      <c r="O3368" s="90">
        <v>0.51122919087991003</v>
      </c>
      <c r="P3368" s="90">
        <v>6.7697777381720003E-2</v>
      </c>
      <c r="Q3368" s="90">
        <v>199.154974031698</v>
      </c>
      <c r="R3368" s="90">
        <v>1890</v>
      </c>
      <c r="S3368" s="90" t="s">
        <v>408</v>
      </c>
      <c r="T3368" s="90">
        <v>1890</v>
      </c>
      <c r="U3368" s="90" t="s">
        <v>378</v>
      </c>
      <c r="V3368" s="90" t="s">
        <v>244</v>
      </c>
      <c r="Z3368" s="90">
        <v>0</v>
      </c>
      <c r="AA3368" s="90">
        <v>1</v>
      </c>
      <c r="AB3368" s="90">
        <v>0.51122919087991003</v>
      </c>
      <c r="AC3368" s="90">
        <v>6.7697777381720003E-2</v>
      </c>
      <c r="AD3368" s="90">
        <v>690.74045335335495</v>
      </c>
      <c r="AF3368" s="90">
        <v>-1</v>
      </c>
      <c r="AG3368" s="90">
        <v>-1</v>
      </c>
      <c r="AH3368" s="90">
        <v>-1</v>
      </c>
      <c r="AI3368" s="90">
        <v>-1</v>
      </c>
      <c r="AJ3368" s="90">
        <v>0</v>
      </c>
      <c r="AM3368" s="90" t="s">
        <v>379</v>
      </c>
      <c r="AN3368" s="90">
        <v>-1</v>
      </c>
      <c r="AQ3368" s="90">
        <v>360</v>
      </c>
      <c r="AR3368" s="90" t="s">
        <v>433</v>
      </c>
      <c r="AS3368" s="90" t="s">
        <v>434</v>
      </c>
      <c r="AT3368" s="90" t="s">
        <v>244</v>
      </c>
      <c r="AU3368" s="90">
        <v>13.60708</v>
      </c>
      <c r="AV3368" s="90">
        <v>76.794303383454903</v>
      </c>
      <c r="AW3368" s="90">
        <v>218.08093531951101</v>
      </c>
      <c r="AX3368" s="90">
        <v>0.56021123549999996</v>
      </c>
    </row>
    <row r="3369" spans="1:50" x14ac:dyDescent="0.25">
      <c r="A3369" s="102">
        <v>840000</v>
      </c>
      <c r="B3369" s="102">
        <v>2400000</v>
      </c>
      <c r="C3369" s="102">
        <v>2400000</v>
      </c>
      <c r="D3369" s="90" t="s">
        <v>374</v>
      </c>
      <c r="E3369" s="90" t="s">
        <v>68</v>
      </c>
      <c r="F3369" s="90" t="s">
        <v>375</v>
      </c>
      <c r="G3369" s="90" t="s">
        <v>376</v>
      </c>
      <c r="H3369" s="90">
        <v>0.59</v>
      </c>
      <c r="I3369" s="90">
        <v>0.64</v>
      </c>
      <c r="J3369" s="90" t="s">
        <v>244</v>
      </c>
      <c r="K3369" s="90">
        <v>1.366980853824E-2</v>
      </c>
      <c r="L3369" s="90">
        <v>3744.6331390922501</v>
      </c>
      <c r="M3369" s="90">
        <v>11.747704000972</v>
      </c>
      <c r="N3369" s="90">
        <v>1.5485933910671199</v>
      </c>
      <c r="O3369" s="90">
        <v>0.16058886445720999</v>
      </c>
      <c r="P3369" s="90">
        <v>2.1168975159469999E-2</v>
      </c>
      <c r="Q3369" s="90">
        <v>51.188418057343497</v>
      </c>
      <c r="R3369" s="90">
        <v>1400</v>
      </c>
      <c r="S3369" s="90" t="s">
        <v>324</v>
      </c>
      <c r="T3369" s="90">
        <v>1400</v>
      </c>
      <c r="U3369" s="90" t="s">
        <v>378</v>
      </c>
      <c r="V3369" s="90" t="s">
        <v>244</v>
      </c>
      <c r="Z3369" s="90">
        <v>0</v>
      </c>
      <c r="AA3369" s="90">
        <v>1</v>
      </c>
      <c r="AB3369" s="90">
        <v>0.16058886445720999</v>
      </c>
      <c r="AC3369" s="90">
        <v>2.1168975159469999E-2</v>
      </c>
      <c r="AD3369" s="90">
        <v>665.06723816995202</v>
      </c>
      <c r="AF3369" s="90">
        <v>-1</v>
      </c>
      <c r="AG3369" s="90">
        <v>-1</v>
      </c>
      <c r="AH3369" s="90">
        <v>-1</v>
      </c>
      <c r="AI3369" s="90">
        <v>-1</v>
      </c>
      <c r="AJ3369" s="90">
        <v>0</v>
      </c>
      <c r="AM3369" s="90" t="s">
        <v>379</v>
      </c>
      <c r="AN3369" s="90">
        <v>-1</v>
      </c>
      <c r="AQ3369" s="90">
        <v>360</v>
      </c>
      <c r="AR3369" s="90" t="s">
        <v>433</v>
      </c>
      <c r="AS3369" s="90" t="s">
        <v>434</v>
      </c>
      <c r="AT3369" s="90" t="s">
        <v>244</v>
      </c>
      <c r="AU3369" s="90">
        <v>13.60708</v>
      </c>
      <c r="AV3369" s="90">
        <v>68.831913707072502</v>
      </c>
      <c r="AW3369" s="90">
        <v>55.319752475959703</v>
      </c>
      <c r="AX3369" s="90">
        <v>0.53938948760000005</v>
      </c>
    </row>
    <row r="3370" spans="1:50" x14ac:dyDescent="0.25">
      <c r="A3370" s="102">
        <v>840000</v>
      </c>
      <c r="B3370" s="102">
        <v>2400000</v>
      </c>
      <c r="C3370" s="102">
        <v>2400000</v>
      </c>
      <c r="D3370" s="90" t="s">
        <v>374</v>
      </c>
      <c r="E3370" s="90" t="s">
        <v>68</v>
      </c>
      <c r="F3370" s="90" t="s">
        <v>375</v>
      </c>
      <c r="G3370" s="90" t="s">
        <v>376</v>
      </c>
      <c r="H3370" s="90">
        <v>0.59</v>
      </c>
      <c r="I3370" s="90">
        <v>0.64</v>
      </c>
      <c r="J3370" s="90" t="s">
        <v>244</v>
      </c>
      <c r="K3370" s="90">
        <v>3.4500035311010001E-2</v>
      </c>
      <c r="L3370" s="90">
        <v>3713.4391479556798</v>
      </c>
      <c r="M3370" s="90">
        <v>11.736175122556901</v>
      </c>
      <c r="N3370" s="90">
        <v>2.3837198730832498</v>
      </c>
      <c r="O3370" s="90">
        <v>0.40489845614443998</v>
      </c>
      <c r="P3370" s="90">
        <v>8.2238419792930006E-2</v>
      </c>
      <c r="Q3370" s="90">
        <v>128.11378172976899</v>
      </c>
      <c r="R3370" s="90">
        <v>1300</v>
      </c>
      <c r="S3370" s="90" t="s">
        <v>387</v>
      </c>
      <c r="T3370" s="90">
        <v>1300</v>
      </c>
      <c r="U3370" s="90" t="s">
        <v>378</v>
      </c>
      <c r="V3370" s="90" t="s">
        <v>244</v>
      </c>
      <c r="Z3370" s="90">
        <v>0</v>
      </c>
      <c r="AA3370" s="90">
        <v>1</v>
      </c>
      <c r="AB3370" s="90">
        <v>0.40489845614443998</v>
      </c>
      <c r="AC3370" s="90">
        <v>8.2238419792930006E-2</v>
      </c>
      <c r="AD3370" s="90">
        <v>1347.3350334660199</v>
      </c>
      <c r="AF3370" s="90">
        <v>-1</v>
      </c>
      <c r="AG3370" s="90">
        <v>-1</v>
      </c>
      <c r="AH3370" s="90">
        <v>-1</v>
      </c>
      <c r="AI3370" s="90">
        <v>-1</v>
      </c>
      <c r="AJ3370" s="90">
        <v>0</v>
      </c>
      <c r="AM3370" s="90" t="s">
        <v>379</v>
      </c>
      <c r="AN3370" s="90">
        <v>-1</v>
      </c>
      <c r="AQ3370" s="90">
        <v>360</v>
      </c>
      <c r="AR3370" s="90" t="s">
        <v>433</v>
      </c>
      <c r="AS3370" s="90" t="s">
        <v>434</v>
      </c>
      <c r="AT3370" s="90" t="s">
        <v>244</v>
      </c>
      <c r="AU3370" s="90">
        <v>13.60708</v>
      </c>
      <c r="AV3370" s="90">
        <v>51.780747216135801</v>
      </c>
      <c r="AW3370" s="90">
        <v>139.616689471397</v>
      </c>
      <c r="AX3370" s="90">
        <v>1.0927291430999999</v>
      </c>
    </row>
    <row r="3371" spans="1:50" x14ac:dyDescent="0.25">
      <c r="A3371" s="102">
        <v>840000</v>
      </c>
      <c r="B3371" s="102">
        <v>2400000</v>
      </c>
      <c r="C3371" s="102">
        <v>2400000</v>
      </c>
      <c r="D3371" s="90" t="s">
        <v>374</v>
      </c>
      <c r="E3371" s="90" t="s">
        <v>68</v>
      </c>
      <c r="F3371" s="90" t="s">
        <v>375</v>
      </c>
      <c r="G3371" s="90" t="s">
        <v>376</v>
      </c>
      <c r="H3371" s="90">
        <v>0.59</v>
      </c>
      <c r="I3371" s="90">
        <v>0.64</v>
      </c>
      <c r="J3371" s="90" t="s">
        <v>244</v>
      </c>
      <c r="K3371" s="90">
        <v>4.8840090039759997E-2</v>
      </c>
      <c r="L3371" s="90">
        <v>3695.6535633538101</v>
      </c>
      <c r="M3371" s="90">
        <v>9.4867124968976295</v>
      </c>
      <c r="N3371" s="90">
        <v>1.25624546124614</v>
      </c>
      <c r="O3371" s="90">
        <v>0.46333189252987</v>
      </c>
      <c r="P3371" s="90">
        <v>6.135514143931E-2</v>
      </c>
      <c r="Q3371" s="90">
        <v>180.49605278998899</v>
      </c>
      <c r="R3371" s="90">
        <v>1400</v>
      </c>
      <c r="S3371" s="90" t="s">
        <v>324</v>
      </c>
      <c r="T3371" s="90">
        <v>1400</v>
      </c>
      <c r="U3371" s="90" t="s">
        <v>378</v>
      </c>
      <c r="V3371" s="90" t="s">
        <v>244</v>
      </c>
      <c r="Z3371" s="90">
        <v>0</v>
      </c>
      <c r="AA3371" s="90">
        <v>1</v>
      </c>
      <c r="AB3371" s="90">
        <v>0.46333189252987</v>
      </c>
      <c r="AC3371" s="90">
        <v>6.135514143931E-2</v>
      </c>
      <c r="AD3371" s="90">
        <v>180.49605278998899</v>
      </c>
      <c r="AF3371" s="90">
        <v>-1</v>
      </c>
      <c r="AG3371" s="90">
        <v>-1</v>
      </c>
      <c r="AH3371" s="90">
        <v>-1</v>
      </c>
      <c r="AI3371" s="90">
        <v>-1</v>
      </c>
      <c r="AJ3371" s="90">
        <v>0</v>
      </c>
      <c r="AM3371" s="90" t="s">
        <v>379</v>
      </c>
      <c r="AN3371" s="90">
        <v>-1</v>
      </c>
      <c r="AQ3371" s="90">
        <v>360</v>
      </c>
      <c r="AR3371" s="90" t="s">
        <v>433</v>
      </c>
      <c r="AS3371" s="90" t="s">
        <v>434</v>
      </c>
      <c r="AT3371" s="90" t="s">
        <v>244</v>
      </c>
      <c r="AU3371" s="90">
        <v>13.60708</v>
      </c>
      <c r="AV3371" s="90">
        <v>58.305512118590499</v>
      </c>
      <c r="AW3371" s="90">
        <v>197.64883204802899</v>
      </c>
      <c r="AX3371" s="90">
        <v>0.14638771519999999</v>
      </c>
    </row>
    <row r="3372" spans="1:50" x14ac:dyDescent="0.25">
      <c r="A3372" s="102">
        <v>840000</v>
      </c>
      <c r="B3372" s="102">
        <v>2400000</v>
      </c>
      <c r="C3372" s="102">
        <v>2400000</v>
      </c>
      <c r="D3372" s="90" t="s">
        <v>374</v>
      </c>
      <c r="E3372" s="90" t="s">
        <v>68</v>
      </c>
      <c r="F3372" s="90" t="s">
        <v>375</v>
      </c>
      <c r="G3372" s="90" t="s">
        <v>376</v>
      </c>
      <c r="H3372" s="90">
        <v>0.59</v>
      </c>
      <c r="I3372" s="90">
        <v>0.64</v>
      </c>
      <c r="J3372" s="90" t="s">
        <v>244</v>
      </c>
      <c r="K3372" s="90">
        <v>6.8325520820559996E-2</v>
      </c>
      <c r="L3372" s="90">
        <v>3695.6535633538101</v>
      </c>
      <c r="M3372" s="90">
        <v>9.4867124968976295</v>
      </c>
      <c r="N3372" s="90">
        <v>1.25624546124614</v>
      </c>
      <c r="O3372" s="90">
        <v>0.64818457222547998</v>
      </c>
      <c r="P3372" s="90">
        <v>8.5833625418110002E-2</v>
      </c>
      <c r="Q3372" s="90">
        <v>252.507454488522</v>
      </c>
      <c r="R3372" s="90">
        <v>1890</v>
      </c>
      <c r="S3372" s="90" t="s">
        <v>408</v>
      </c>
      <c r="T3372" s="90">
        <v>1890</v>
      </c>
      <c r="U3372" s="90" t="s">
        <v>378</v>
      </c>
      <c r="V3372" s="90" t="s">
        <v>244</v>
      </c>
      <c r="Z3372" s="90">
        <v>0</v>
      </c>
      <c r="AA3372" s="90">
        <v>1</v>
      </c>
      <c r="AB3372" s="90">
        <v>0.64818457222547998</v>
      </c>
      <c r="AC3372" s="90">
        <v>8.5833625418110002E-2</v>
      </c>
      <c r="AD3372" s="90">
        <v>252.507454488523</v>
      </c>
      <c r="AF3372" s="90">
        <v>-1</v>
      </c>
      <c r="AG3372" s="90">
        <v>-1</v>
      </c>
      <c r="AH3372" s="90">
        <v>-1</v>
      </c>
      <c r="AI3372" s="90">
        <v>-1</v>
      </c>
      <c r="AJ3372" s="90">
        <v>0</v>
      </c>
      <c r="AM3372" s="90" t="s">
        <v>379</v>
      </c>
      <c r="AN3372" s="90">
        <v>-1</v>
      </c>
      <c r="AQ3372" s="90">
        <v>360</v>
      </c>
      <c r="AR3372" s="90" t="s">
        <v>433</v>
      </c>
      <c r="AS3372" s="90" t="s">
        <v>434</v>
      </c>
      <c r="AT3372" s="90" t="s">
        <v>244</v>
      </c>
      <c r="AU3372" s="90">
        <v>13.60708</v>
      </c>
      <c r="AV3372" s="90">
        <v>80.946514413193697</v>
      </c>
      <c r="AW3372" s="90">
        <v>276.50357274652401</v>
      </c>
      <c r="AX3372" s="90">
        <v>0.20479112290000001</v>
      </c>
    </row>
    <row r="3373" spans="1:50" x14ac:dyDescent="0.25">
      <c r="A3373" s="102">
        <v>840000</v>
      </c>
      <c r="B3373" s="102">
        <v>2400000</v>
      </c>
      <c r="C3373" s="102">
        <v>2400000</v>
      </c>
      <c r="D3373" s="90" t="s">
        <v>374</v>
      </c>
      <c r="E3373" s="90" t="s">
        <v>68</v>
      </c>
      <c r="F3373" s="90" t="s">
        <v>375</v>
      </c>
      <c r="G3373" s="90" t="s">
        <v>376</v>
      </c>
      <c r="H3373" s="90">
        <v>0.59</v>
      </c>
      <c r="I3373" s="90">
        <v>0.64</v>
      </c>
      <c r="J3373" s="90" t="s">
        <v>244</v>
      </c>
      <c r="K3373" s="90">
        <v>1.1796165394319999E-2</v>
      </c>
      <c r="L3373" s="90">
        <v>3294.8136544918402</v>
      </c>
      <c r="M3373" s="90">
        <v>9.87096039206358</v>
      </c>
      <c r="N3373" s="90">
        <v>1.31625280227494</v>
      </c>
      <c r="O3373" s="90">
        <v>0.11643948138564</v>
      </c>
      <c r="P3373" s="90">
        <v>1.552673575638E-2</v>
      </c>
      <c r="Q3373" s="90">
        <v>38.866166811876099</v>
      </c>
      <c r="R3373" s="90">
        <v>1400</v>
      </c>
      <c r="S3373" s="90" t="s">
        <v>324</v>
      </c>
      <c r="T3373" s="90">
        <v>1400</v>
      </c>
      <c r="U3373" s="90" t="s">
        <v>378</v>
      </c>
      <c r="V3373" s="90" t="s">
        <v>244</v>
      </c>
      <c r="Z3373" s="90">
        <v>0</v>
      </c>
      <c r="AA3373" s="90">
        <v>1</v>
      </c>
      <c r="AB3373" s="90">
        <v>0.11643948138564</v>
      </c>
      <c r="AC3373" s="90">
        <v>1.552673575638E-2</v>
      </c>
      <c r="AD3373" s="90">
        <v>1348.89109439094</v>
      </c>
      <c r="AF3373" s="90">
        <v>-1</v>
      </c>
      <c r="AG3373" s="90">
        <v>-1</v>
      </c>
      <c r="AH3373" s="90">
        <v>-1</v>
      </c>
      <c r="AI3373" s="90">
        <v>-1</v>
      </c>
      <c r="AJ3373" s="90">
        <v>0</v>
      </c>
      <c r="AM3373" s="90" t="s">
        <v>379</v>
      </c>
      <c r="AN3373" s="90">
        <v>-1</v>
      </c>
      <c r="AQ3373" s="90">
        <v>361</v>
      </c>
      <c r="AR3373" s="90" t="s">
        <v>435</v>
      </c>
      <c r="AS3373" s="90" t="s">
        <v>256</v>
      </c>
      <c r="AT3373" s="90" t="s">
        <v>244</v>
      </c>
      <c r="AU3373" s="90">
        <v>0.81969000000000003</v>
      </c>
      <c r="AV3373" s="90">
        <v>30.834065574064802</v>
      </c>
      <c r="AW3373" s="90">
        <v>47.737387685727498</v>
      </c>
      <c r="AX3373" s="90">
        <v>1.0939911551999999</v>
      </c>
    </row>
    <row r="3374" spans="1:50" x14ac:dyDescent="0.25">
      <c r="A3374" s="102">
        <v>840000</v>
      </c>
      <c r="B3374" s="102">
        <v>2400000</v>
      </c>
      <c r="C3374" s="102">
        <v>2400000</v>
      </c>
      <c r="D3374" s="90" t="s">
        <v>374</v>
      </c>
      <c r="E3374" s="90" t="s">
        <v>68</v>
      </c>
      <c r="F3374" s="90" t="s">
        <v>375</v>
      </c>
      <c r="G3374" s="90" t="s">
        <v>376</v>
      </c>
      <c r="H3374" s="90">
        <v>0.59</v>
      </c>
      <c r="I3374" s="90">
        <v>0.64</v>
      </c>
      <c r="J3374" s="90" t="s">
        <v>244</v>
      </c>
      <c r="K3374" s="90">
        <v>1.9612082169200001E-3</v>
      </c>
      <c r="L3374" s="90">
        <v>3294.8136544918402</v>
      </c>
      <c r="M3374" s="90">
        <v>9.87096039206358</v>
      </c>
      <c r="N3374" s="90">
        <v>1.31625280227494</v>
      </c>
      <c r="O3374" s="90">
        <v>1.935900862981E-2</v>
      </c>
      <c r="P3374" s="90">
        <v>2.5814458113599999E-3</v>
      </c>
      <c r="Q3374" s="90">
        <v>6.46181561241292</v>
      </c>
      <c r="R3374" s="90">
        <v>1420</v>
      </c>
      <c r="S3374" s="90" t="s">
        <v>327</v>
      </c>
      <c r="T3374" s="90">
        <v>1420</v>
      </c>
      <c r="U3374" s="90" t="s">
        <v>378</v>
      </c>
      <c r="V3374" s="90" t="s">
        <v>244</v>
      </c>
      <c r="Z3374" s="90">
        <v>0</v>
      </c>
      <c r="AA3374" s="90">
        <v>1</v>
      </c>
      <c r="AB3374" s="90">
        <v>1.935900862981E-2</v>
      </c>
      <c r="AC3374" s="90">
        <v>2.5814458113599999E-3</v>
      </c>
      <c r="AD3374" s="90">
        <v>70.232721463815906</v>
      </c>
      <c r="AF3374" s="90">
        <v>-1</v>
      </c>
      <c r="AG3374" s="90">
        <v>-1</v>
      </c>
      <c r="AH3374" s="90">
        <v>-1</v>
      </c>
      <c r="AI3374" s="90">
        <v>-1</v>
      </c>
      <c r="AJ3374" s="90">
        <v>0</v>
      </c>
      <c r="AM3374" s="90" t="s">
        <v>379</v>
      </c>
      <c r="AN3374" s="90">
        <v>-1</v>
      </c>
      <c r="AQ3374" s="90">
        <v>361</v>
      </c>
      <c r="AR3374" s="90" t="s">
        <v>435</v>
      </c>
      <c r="AS3374" s="90" t="s">
        <v>256</v>
      </c>
      <c r="AT3374" s="90" t="s">
        <v>244</v>
      </c>
      <c r="AU3374" s="90">
        <v>0.81969000000000003</v>
      </c>
      <c r="AV3374" s="90">
        <v>13.728152269641299</v>
      </c>
      <c r="AW3374" s="90">
        <v>7.9367280683115</v>
      </c>
      <c r="AX3374" s="90">
        <v>5.6960844699999999E-2</v>
      </c>
    </row>
    <row r="3375" spans="1:50" x14ac:dyDescent="0.25">
      <c r="A3375" s="102">
        <v>840000</v>
      </c>
      <c r="B3375" s="102">
        <v>2400000</v>
      </c>
      <c r="C3375" s="102">
        <v>2400000</v>
      </c>
      <c r="D3375" s="90" t="s">
        <v>374</v>
      </c>
      <c r="E3375" s="90" t="s">
        <v>68</v>
      </c>
      <c r="F3375" s="90" t="s">
        <v>375</v>
      </c>
      <c r="G3375" s="90" t="s">
        <v>376</v>
      </c>
      <c r="H3375" s="90">
        <v>0.59</v>
      </c>
      <c r="I3375" s="90">
        <v>0.64</v>
      </c>
      <c r="J3375" s="90" t="s">
        <v>244</v>
      </c>
      <c r="K3375" s="90">
        <v>5.8826669216440003E-2</v>
      </c>
      <c r="L3375" s="90">
        <v>3786.0833759532502</v>
      </c>
      <c r="M3375" s="90">
        <v>11.6314418889924</v>
      </c>
      <c r="N3375" s="90">
        <v>1.5356567060494699</v>
      </c>
      <c r="O3375" s="90">
        <v>0.68423898451405996</v>
      </c>
      <c r="P3375" s="90">
        <v>9.0337569076780005E-2</v>
      </c>
      <c r="Q3375" s="90">
        <v>222.72267438308299</v>
      </c>
      <c r="R3375" s="90">
        <v>1400</v>
      </c>
      <c r="S3375" s="90" t="s">
        <v>324</v>
      </c>
      <c r="T3375" s="90">
        <v>1400</v>
      </c>
      <c r="U3375" s="90" t="s">
        <v>378</v>
      </c>
      <c r="V3375" s="90" t="s">
        <v>244</v>
      </c>
      <c r="Z3375" s="90">
        <v>0</v>
      </c>
      <c r="AA3375" s="90">
        <v>1</v>
      </c>
      <c r="AB3375" s="90">
        <v>0.68423898451405996</v>
      </c>
      <c r="AC3375" s="90">
        <v>9.0337569076780005E-2</v>
      </c>
      <c r="AD3375" s="90">
        <v>710.91344454100602</v>
      </c>
      <c r="AF3375" s="90">
        <v>-1</v>
      </c>
      <c r="AG3375" s="90">
        <v>-1</v>
      </c>
      <c r="AH3375" s="90">
        <v>-1</v>
      </c>
      <c r="AI3375" s="90">
        <v>-1</v>
      </c>
      <c r="AJ3375" s="90">
        <v>0</v>
      </c>
      <c r="AM3375" s="90" t="s">
        <v>379</v>
      </c>
      <c r="AN3375" s="90">
        <v>-1</v>
      </c>
      <c r="AQ3375" s="90">
        <v>361</v>
      </c>
      <c r="AR3375" s="90" t="s">
        <v>435</v>
      </c>
      <c r="AS3375" s="90" t="s">
        <v>256</v>
      </c>
      <c r="AT3375" s="90" t="s">
        <v>244</v>
      </c>
      <c r="AU3375" s="90">
        <v>0.81969000000000003</v>
      </c>
      <c r="AV3375" s="90">
        <v>93.953562605686898</v>
      </c>
      <c r="AW3375" s="90">
        <v>238.06308412696899</v>
      </c>
      <c r="AX3375" s="90">
        <v>0.57657213669999996</v>
      </c>
    </row>
    <row r="3376" spans="1:50" x14ac:dyDescent="0.25">
      <c r="A3376" s="102">
        <v>840000</v>
      </c>
      <c r="B3376" s="102">
        <v>2400000</v>
      </c>
      <c r="C3376" s="102">
        <v>2400000</v>
      </c>
      <c r="D3376" s="90" t="s">
        <v>374</v>
      </c>
      <c r="E3376" s="90" t="s">
        <v>68</v>
      </c>
      <c r="F3376" s="90" t="s">
        <v>375</v>
      </c>
      <c r="G3376" s="90" t="s">
        <v>376</v>
      </c>
      <c r="H3376" s="90">
        <v>0.59</v>
      </c>
      <c r="I3376" s="90">
        <v>0.64</v>
      </c>
      <c r="J3376" s="90" t="s">
        <v>244</v>
      </c>
      <c r="K3376" s="90">
        <v>0.29758293009592002</v>
      </c>
      <c r="L3376" s="90">
        <v>3786.0833759532502</v>
      </c>
      <c r="M3376" s="90">
        <v>11.6314418889924</v>
      </c>
      <c r="N3376" s="90">
        <v>1.5356567060494699</v>
      </c>
      <c r="O3376" s="90">
        <v>3.4613185585669002</v>
      </c>
      <c r="P3376" s="90">
        <v>0.45698522220766002</v>
      </c>
      <c r="Q3376" s="90">
        <v>1126.6737846036499</v>
      </c>
      <c r="R3376" s="90">
        <v>1410</v>
      </c>
      <c r="S3376" s="90" t="s">
        <v>325</v>
      </c>
      <c r="T3376" s="90">
        <v>1410</v>
      </c>
      <c r="U3376" s="90" t="s">
        <v>378</v>
      </c>
      <c r="V3376" s="90" t="s">
        <v>244</v>
      </c>
      <c r="Z3376" s="90">
        <v>0</v>
      </c>
      <c r="AA3376" s="90">
        <v>1</v>
      </c>
      <c r="AB3376" s="90">
        <v>3.4613185585669002</v>
      </c>
      <c r="AC3376" s="90">
        <v>0.45698522220766002</v>
      </c>
      <c r="AD3376" s="90">
        <v>1416.3844664245401</v>
      </c>
      <c r="AF3376" s="90">
        <v>-1</v>
      </c>
      <c r="AG3376" s="90">
        <v>-1</v>
      </c>
      <c r="AH3376" s="90">
        <v>-1</v>
      </c>
      <c r="AI3376" s="90">
        <v>-1</v>
      </c>
      <c r="AJ3376" s="90">
        <v>0</v>
      </c>
      <c r="AM3376" s="90" t="s">
        <v>379</v>
      </c>
      <c r="AN3376" s="90">
        <v>-1</v>
      </c>
      <c r="AQ3376" s="90">
        <v>361</v>
      </c>
      <c r="AR3376" s="90" t="s">
        <v>435</v>
      </c>
      <c r="AS3376" s="90" t="s">
        <v>256</v>
      </c>
      <c r="AT3376" s="90" t="s">
        <v>244</v>
      </c>
      <c r="AU3376" s="90">
        <v>0.81969000000000003</v>
      </c>
      <c r="AV3376" s="90">
        <v>140.69501002105301</v>
      </c>
      <c r="AW3376" s="90">
        <v>1204.2753918553101</v>
      </c>
      <c r="AX3376" s="90">
        <v>1.1487303053</v>
      </c>
    </row>
    <row r="3377" spans="1:50" x14ac:dyDescent="0.25">
      <c r="A3377" s="102">
        <v>840000</v>
      </c>
      <c r="B3377" s="102">
        <v>2400000</v>
      </c>
      <c r="C3377" s="102">
        <v>2400000</v>
      </c>
      <c r="D3377" s="90" t="s">
        <v>374</v>
      </c>
      <c r="E3377" s="90" t="s">
        <v>68</v>
      </c>
      <c r="F3377" s="90" t="s">
        <v>375</v>
      </c>
      <c r="G3377" s="90" t="s">
        <v>376</v>
      </c>
      <c r="H3377" s="90">
        <v>0.59</v>
      </c>
      <c r="I3377" s="90">
        <v>0.64</v>
      </c>
      <c r="J3377" s="90" t="s">
        <v>244</v>
      </c>
      <c r="K3377" s="90">
        <v>2.8737445744609999E-2</v>
      </c>
      <c r="L3377" s="90">
        <v>3786.0833751069899</v>
      </c>
      <c r="M3377" s="90">
        <v>11.631441886392601</v>
      </c>
      <c r="N3377" s="90">
        <v>1.53565670570623</v>
      </c>
      <c r="O3377" s="90">
        <v>0.33425793014179001</v>
      </c>
      <c r="P3377" s="90">
        <v>4.4130851262569999E-2</v>
      </c>
      <c r="Q3377" s="90">
        <v>108.802365576707</v>
      </c>
      <c r="R3377" s="90">
        <v>1400</v>
      </c>
      <c r="S3377" s="90" t="s">
        <v>324</v>
      </c>
      <c r="T3377" s="90">
        <v>1400</v>
      </c>
      <c r="U3377" s="90" t="s">
        <v>378</v>
      </c>
      <c r="V3377" s="90" t="s">
        <v>244</v>
      </c>
      <c r="Z3377" s="90">
        <v>0</v>
      </c>
      <c r="AA3377" s="90">
        <v>1</v>
      </c>
      <c r="AB3377" s="90">
        <v>0.33425793014179001</v>
      </c>
      <c r="AC3377" s="90">
        <v>4.4130851262569999E-2</v>
      </c>
      <c r="AD3377" s="90">
        <v>342.85706782070997</v>
      </c>
      <c r="AF3377" s="90">
        <v>-1</v>
      </c>
      <c r="AG3377" s="90">
        <v>-1</v>
      </c>
      <c r="AH3377" s="90">
        <v>-1</v>
      </c>
      <c r="AI3377" s="90">
        <v>-1</v>
      </c>
      <c r="AJ3377" s="90">
        <v>0</v>
      </c>
      <c r="AM3377" s="90" t="s">
        <v>379</v>
      </c>
      <c r="AN3377" s="90">
        <v>-1</v>
      </c>
      <c r="AQ3377" s="90">
        <v>361</v>
      </c>
      <c r="AR3377" s="90" t="s">
        <v>435</v>
      </c>
      <c r="AS3377" s="90" t="s">
        <v>256</v>
      </c>
      <c r="AT3377" s="90" t="s">
        <v>244</v>
      </c>
      <c r="AU3377" s="90">
        <v>0.81969000000000003</v>
      </c>
      <c r="AV3377" s="90">
        <v>68.532795037049596</v>
      </c>
      <c r="AW3377" s="90">
        <v>116.296316874947</v>
      </c>
      <c r="AX3377" s="90">
        <v>0.27806737050000002</v>
      </c>
    </row>
    <row r="3378" spans="1:50" x14ac:dyDescent="0.25">
      <c r="A3378" s="102">
        <v>840000</v>
      </c>
      <c r="B3378" s="102">
        <v>2400000</v>
      </c>
      <c r="C3378" s="102">
        <v>2400000</v>
      </c>
      <c r="D3378" s="90" t="s">
        <v>374</v>
      </c>
      <c r="E3378" s="90" t="s">
        <v>68</v>
      </c>
      <c r="F3378" s="90" t="s">
        <v>375</v>
      </c>
      <c r="G3378" s="90" t="s">
        <v>376</v>
      </c>
      <c r="H3378" s="90">
        <v>0.59</v>
      </c>
      <c r="I3378" s="90">
        <v>0.64</v>
      </c>
      <c r="J3378" s="90" t="s">
        <v>244</v>
      </c>
      <c r="K3378" s="90">
        <v>1.6931172420270001E-2</v>
      </c>
      <c r="L3378" s="90">
        <v>3786.0833751069899</v>
      </c>
      <c r="M3378" s="90">
        <v>11.631441886392601</v>
      </c>
      <c r="N3378" s="90">
        <v>1.53565670570623</v>
      </c>
      <c r="O3378" s="90">
        <v>0.19693394807494999</v>
      </c>
      <c r="P3378" s="90">
        <v>2.6000468462659999E-2</v>
      </c>
      <c r="Q3378" s="90">
        <v>64.102830421484597</v>
      </c>
      <c r="R3378" s="90">
        <v>1410</v>
      </c>
      <c r="S3378" s="90" t="s">
        <v>325</v>
      </c>
      <c r="T3378" s="90">
        <v>1410</v>
      </c>
      <c r="U3378" s="90" t="s">
        <v>378</v>
      </c>
      <c r="V3378" s="90" t="s">
        <v>244</v>
      </c>
      <c r="Z3378" s="90">
        <v>0</v>
      </c>
      <c r="AA3378" s="90">
        <v>1</v>
      </c>
      <c r="AB3378" s="90">
        <v>0.19693394807494999</v>
      </c>
      <c r="AC3378" s="90">
        <v>2.6000468462659999E-2</v>
      </c>
      <c r="AD3378" s="90">
        <v>208.06492623643001</v>
      </c>
      <c r="AF3378" s="90">
        <v>-1</v>
      </c>
      <c r="AG3378" s="90">
        <v>-1</v>
      </c>
      <c r="AH3378" s="90">
        <v>-1</v>
      </c>
      <c r="AI3378" s="90">
        <v>-1</v>
      </c>
      <c r="AJ3378" s="90">
        <v>0</v>
      </c>
      <c r="AM3378" s="90" t="s">
        <v>379</v>
      </c>
      <c r="AN3378" s="90">
        <v>-1</v>
      </c>
      <c r="AQ3378" s="90">
        <v>361</v>
      </c>
      <c r="AR3378" s="90" t="s">
        <v>435</v>
      </c>
      <c r="AS3378" s="90" t="s">
        <v>256</v>
      </c>
      <c r="AT3378" s="90" t="s">
        <v>244</v>
      </c>
      <c r="AU3378" s="90">
        <v>0.81969000000000003</v>
      </c>
      <c r="AV3378" s="90">
        <v>34.389492603883603</v>
      </c>
      <c r="AW3378" s="90">
        <v>68.518023847763402</v>
      </c>
      <c r="AX3378" s="90">
        <v>0.16874689879999999</v>
      </c>
    </row>
    <row r="3379" spans="1:50" x14ac:dyDescent="0.25">
      <c r="A3379" s="102">
        <v>840000</v>
      </c>
      <c r="B3379" s="102">
        <v>2400000</v>
      </c>
      <c r="C3379" s="102">
        <v>2400000</v>
      </c>
      <c r="D3379" s="90" t="s">
        <v>374</v>
      </c>
      <c r="E3379" s="90" t="s">
        <v>68</v>
      </c>
      <c r="F3379" s="90" t="s">
        <v>375</v>
      </c>
      <c r="G3379" s="90" t="s">
        <v>376</v>
      </c>
      <c r="H3379" s="90">
        <v>0.59</v>
      </c>
      <c r="I3379" s="90">
        <v>0.64</v>
      </c>
      <c r="J3379" s="90" t="s">
        <v>244</v>
      </c>
      <c r="K3379" s="90">
        <v>1.288065790249E-2</v>
      </c>
      <c r="L3379" s="90">
        <v>3786.0833751069899</v>
      </c>
      <c r="M3379" s="90">
        <v>11.631441886392601</v>
      </c>
      <c r="N3379" s="90">
        <v>1.53565670570623</v>
      </c>
      <c r="O3379" s="90">
        <v>0.14982062385136999</v>
      </c>
      <c r="P3379" s="90">
        <v>1.9780268681870002E-2</v>
      </c>
      <c r="Q3379" s="90">
        <v>48.767244745076901</v>
      </c>
      <c r="R3379" s="90">
        <v>1430</v>
      </c>
      <c r="S3379" s="90" t="s">
        <v>326</v>
      </c>
      <c r="T3379" s="90">
        <v>1430</v>
      </c>
      <c r="U3379" s="90" t="s">
        <v>378</v>
      </c>
      <c r="V3379" s="90" t="s">
        <v>244</v>
      </c>
      <c r="Z3379" s="90">
        <v>0</v>
      </c>
      <c r="AA3379" s="90">
        <v>1</v>
      </c>
      <c r="AB3379" s="90">
        <v>0.14982062385136999</v>
      </c>
      <c r="AC3379" s="90">
        <v>1.9780268681870002E-2</v>
      </c>
      <c r="AD3379" s="90">
        <v>1106.20922902957</v>
      </c>
      <c r="AF3379" s="90">
        <v>-1</v>
      </c>
      <c r="AG3379" s="90">
        <v>-1</v>
      </c>
      <c r="AH3379" s="90">
        <v>-1</v>
      </c>
      <c r="AI3379" s="90">
        <v>-1</v>
      </c>
      <c r="AJ3379" s="90">
        <v>0</v>
      </c>
      <c r="AM3379" s="90" t="s">
        <v>379</v>
      </c>
      <c r="AN3379" s="90">
        <v>-1</v>
      </c>
      <c r="AQ3379" s="90">
        <v>361</v>
      </c>
      <c r="AR3379" s="90" t="s">
        <v>435</v>
      </c>
      <c r="AS3379" s="90" t="s">
        <v>256</v>
      </c>
      <c r="AT3379" s="90" t="s">
        <v>244</v>
      </c>
      <c r="AU3379" s="90">
        <v>0.81969000000000003</v>
      </c>
      <c r="AV3379" s="90">
        <v>40.302986238653602</v>
      </c>
      <c r="AW3379" s="90">
        <v>52.126173157448001</v>
      </c>
      <c r="AX3379" s="90">
        <v>0.89716887999999995</v>
      </c>
    </row>
    <row r="3380" spans="1:50" x14ac:dyDescent="0.25">
      <c r="A3380" s="102">
        <v>840000</v>
      </c>
      <c r="B3380" s="102">
        <v>2400000</v>
      </c>
      <c r="C3380" s="102">
        <v>2400000</v>
      </c>
      <c r="D3380" s="90" t="s">
        <v>374</v>
      </c>
      <c r="E3380" s="90" t="s">
        <v>68</v>
      </c>
      <c r="F3380" s="90" t="s">
        <v>375</v>
      </c>
      <c r="G3380" s="90" t="s">
        <v>376</v>
      </c>
      <c r="H3380" s="90">
        <v>0.59</v>
      </c>
      <c r="I3380" s="90">
        <v>0.64</v>
      </c>
      <c r="J3380" s="90" t="s">
        <v>244</v>
      </c>
      <c r="K3380" s="90">
        <v>1.2411923761999999E-4</v>
      </c>
      <c r="L3380" s="90">
        <v>3786.0833751069899</v>
      </c>
      <c r="M3380" s="90">
        <v>11.631441886392601</v>
      </c>
      <c r="N3380" s="90">
        <v>1.53565670570623</v>
      </c>
      <c r="O3380" s="90">
        <v>1.4436856994100001E-3</v>
      </c>
      <c r="P3380" s="90">
        <v>1.9060453956000001E-4</v>
      </c>
      <c r="Q3380" s="90">
        <v>0.46992578210295999</v>
      </c>
      <c r="R3380" s="90">
        <v>1410</v>
      </c>
      <c r="S3380" s="90" t="s">
        <v>325</v>
      </c>
      <c r="T3380" s="90">
        <v>1410</v>
      </c>
      <c r="U3380" s="90" t="s">
        <v>378</v>
      </c>
      <c r="V3380" s="90" t="s">
        <v>244</v>
      </c>
      <c r="Z3380" s="90">
        <v>0</v>
      </c>
      <c r="AA3380" s="90">
        <v>1</v>
      </c>
      <c r="AB3380" s="90">
        <v>1.4436856994100001E-3</v>
      </c>
      <c r="AC3380" s="90">
        <v>1.9060453956000001E-4</v>
      </c>
      <c r="AD3380" s="90">
        <v>681.77271885544303</v>
      </c>
      <c r="AF3380" s="90">
        <v>-1</v>
      </c>
      <c r="AG3380" s="90">
        <v>-1</v>
      </c>
      <c r="AH3380" s="90">
        <v>-1</v>
      </c>
      <c r="AI3380" s="90">
        <v>-1</v>
      </c>
      <c r="AJ3380" s="90">
        <v>0</v>
      </c>
      <c r="AM3380" s="90" t="s">
        <v>379</v>
      </c>
      <c r="AN3380" s="90">
        <v>-1</v>
      </c>
      <c r="AQ3380" s="90">
        <v>361</v>
      </c>
      <c r="AR3380" s="90" t="s">
        <v>435</v>
      </c>
      <c r="AS3380" s="90" t="s">
        <v>256</v>
      </c>
      <c r="AT3380" s="90" t="s">
        <v>244</v>
      </c>
      <c r="AU3380" s="90">
        <v>0.81969000000000003</v>
      </c>
      <c r="AV3380" s="90">
        <v>12.1063671659868</v>
      </c>
      <c r="AW3380" s="90">
        <v>0.50229273392747997</v>
      </c>
      <c r="AX3380" s="90">
        <v>0.5529381337</v>
      </c>
    </row>
    <row r="3381" spans="1:50" x14ac:dyDescent="0.25">
      <c r="A3381" s="102">
        <v>840000</v>
      </c>
      <c r="B3381" s="102">
        <v>2500000</v>
      </c>
      <c r="C3381" s="102">
        <v>2500000</v>
      </c>
      <c r="D3381" s="90" t="s">
        <v>374</v>
      </c>
      <c r="E3381" s="90" t="s">
        <v>68</v>
      </c>
      <c r="F3381" s="90" t="s">
        <v>375</v>
      </c>
      <c r="G3381" s="90" t="s">
        <v>376</v>
      </c>
      <c r="H3381" s="90">
        <v>0.59</v>
      </c>
      <c r="I3381" s="90">
        <v>0.64</v>
      </c>
      <c r="J3381" s="90" t="s">
        <v>244</v>
      </c>
      <c r="K3381" s="90">
        <v>0.11566107284172999</v>
      </c>
      <c r="L3381" s="90">
        <v>3786.0833751069899</v>
      </c>
      <c r="M3381" s="90">
        <v>11.631441886392601</v>
      </c>
      <c r="N3381" s="90">
        <v>1.53565670570623</v>
      </c>
      <c r="O3381" s="90">
        <v>1.3453050472764201</v>
      </c>
      <c r="P3381" s="90">
        <v>0.17761570209857999</v>
      </c>
      <c r="Q3381" s="90">
        <v>437.90246503311698</v>
      </c>
      <c r="R3381" s="90">
        <v>1400</v>
      </c>
      <c r="S3381" s="90" t="s">
        <v>324</v>
      </c>
      <c r="T3381" s="90">
        <v>1400</v>
      </c>
      <c r="U3381" s="90" t="s">
        <v>378</v>
      </c>
      <c r="V3381" s="90" t="s">
        <v>244</v>
      </c>
      <c r="Z3381" s="90">
        <v>0</v>
      </c>
      <c r="AA3381" s="90">
        <v>1</v>
      </c>
      <c r="AB3381" s="90">
        <v>1.3453050472764201</v>
      </c>
      <c r="AC3381" s="90">
        <v>0.17761570209857999</v>
      </c>
      <c r="AD3381" s="90">
        <v>860.05826399513705</v>
      </c>
      <c r="AF3381" s="90">
        <v>-1</v>
      </c>
      <c r="AG3381" s="90">
        <v>-1</v>
      </c>
      <c r="AH3381" s="90">
        <v>-1</v>
      </c>
      <c r="AI3381" s="90">
        <v>-1</v>
      </c>
      <c r="AJ3381" s="90">
        <v>0</v>
      </c>
      <c r="AM3381" s="90" t="s">
        <v>379</v>
      </c>
      <c r="AN3381" s="90">
        <v>-1</v>
      </c>
      <c r="AQ3381" s="90">
        <v>361</v>
      </c>
      <c r="AR3381" s="90" t="s">
        <v>435</v>
      </c>
      <c r="AS3381" s="90" t="s">
        <v>256</v>
      </c>
      <c r="AT3381" s="90" t="s">
        <v>244</v>
      </c>
      <c r="AU3381" s="90">
        <v>0.81969000000000003</v>
      </c>
      <c r="AV3381" s="90">
        <v>174.340372419186</v>
      </c>
      <c r="AW3381" s="90">
        <v>468.06375545123399</v>
      </c>
      <c r="AX3381" s="90">
        <v>0.69753306079999999</v>
      </c>
    </row>
    <row r="3382" spans="1:50" x14ac:dyDescent="0.25">
      <c r="A3382" s="102">
        <v>840000</v>
      </c>
      <c r="B3382" s="102">
        <v>2500000</v>
      </c>
      <c r="C3382" s="102">
        <v>2500000</v>
      </c>
      <c r="D3382" s="90" t="s">
        <v>374</v>
      </c>
      <c r="E3382" s="90" t="s">
        <v>68</v>
      </c>
      <c r="F3382" s="90" t="s">
        <v>375</v>
      </c>
      <c r="G3382" s="90" t="s">
        <v>376</v>
      </c>
      <c r="H3382" s="90">
        <v>0.59</v>
      </c>
      <c r="I3382" s="90">
        <v>0.64</v>
      </c>
      <c r="J3382" s="90" t="s">
        <v>244</v>
      </c>
      <c r="K3382" s="90">
        <v>0.10455645140892</v>
      </c>
      <c r="L3382" s="90">
        <v>3786.0833751069899</v>
      </c>
      <c r="M3382" s="90">
        <v>11.631441886392601</v>
      </c>
      <c r="N3382" s="90">
        <v>1.53565670570623</v>
      </c>
      <c r="O3382" s="90">
        <v>1.2161422884103801</v>
      </c>
      <c r="P3382" s="90">
        <v>0.16056281573096001</v>
      </c>
      <c r="Q3382" s="90">
        <v>395.85944243952503</v>
      </c>
      <c r="R3382" s="90">
        <v>1420</v>
      </c>
      <c r="S3382" s="90" t="s">
        <v>327</v>
      </c>
      <c r="T3382" s="90">
        <v>1420</v>
      </c>
      <c r="U3382" s="90" t="s">
        <v>378</v>
      </c>
      <c r="V3382" s="90" t="s">
        <v>244</v>
      </c>
      <c r="Z3382" s="90">
        <v>0</v>
      </c>
      <c r="AA3382" s="90">
        <v>1</v>
      </c>
      <c r="AB3382" s="90">
        <v>1.2161422884103801</v>
      </c>
      <c r="AC3382" s="90">
        <v>0.16056281573096001</v>
      </c>
      <c r="AD3382" s="90">
        <v>439.226663204928</v>
      </c>
      <c r="AF3382" s="90">
        <v>-1</v>
      </c>
      <c r="AG3382" s="90">
        <v>-1</v>
      </c>
      <c r="AH3382" s="90">
        <v>-1</v>
      </c>
      <c r="AI3382" s="90">
        <v>-1</v>
      </c>
      <c r="AJ3382" s="90">
        <v>0</v>
      </c>
      <c r="AM3382" s="90" t="s">
        <v>379</v>
      </c>
      <c r="AN3382" s="90">
        <v>-1</v>
      </c>
      <c r="AQ3382" s="90">
        <v>361</v>
      </c>
      <c r="AR3382" s="90" t="s">
        <v>435</v>
      </c>
      <c r="AS3382" s="90" t="s">
        <v>256</v>
      </c>
      <c r="AT3382" s="90" t="s">
        <v>244</v>
      </c>
      <c r="AU3382" s="90">
        <v>0.81969000000000003</v>
      </c>
      <c r="AV3382" s="90">
        <v>86.708908850194405</v>
      </c>
      <c r="AW3382" s="90">
        <v>423.12494688757198</v>
      </c>
      <c r="AX3382" s="90">
        <v>0.3562260042</v>
      </c>
    </row>
    <row r="3383" spans="1:50" x14ac:dyDescent="0.25">
      <c r="A3383" s="102">
        <v>840000</v>
      </c>
      <c r="B3383" s="102">
        <v>2500000</v>
      </c>
      <c r="C3383" s="102">
        <v>2500000</v>
      </c>
      <c r="D3383" s="90" t="s">
        <v>374</v>
      </c>
      <c r="E3383" s="90" t="s">
        <v>68</v>
      </c>
      <c r="F3383" s="90" t="s">
        <v>375</v>
      </c>
      <c r="G3383" s="90" t="s">
        <v>376</v>
      </c>
      <c r="H3383" s="90">
        <v>0.59</v>
      </c>
      <c r="I3383" s="90">
        <v>0.64</v>
      </c>
      <c r="J3383" s="90" t="s">
        <v>244</v>
      </c>
      <c r="K3383" s="90">
        <v>6.3563070100800007E-2</v>
      </c>
      <c r="L3383" s="90">
        <v>3786.0833751069899</v>
      </c>
      <c r="M3383" s="90">
        <v>11.631441886392601</v>
      </c>
      <c r="N3383" s="90">
        <v>1.53565670570623</v>
      </c>
      <c r="O3383" s="90">
        <v>0.73933015599820995</v>
      </c>
      <c r="P3383" s="90">
        <v>9.7611054835570005E-2</v>
      </c>
      <c r="Q3383" s="90">
        <v>240.65508297941801</v>
      </c>
      <c r="R3383" s="90">
        <v>1410</v>
      </c>
      <c r="S3383" s="90" t="s">
        <v>325</v>
      </c>
      <c r="T3383" s="90">
        <v>1410</v>
      </c>
      <c r="U3383" s="90" t="s">
        <v>378</v>
      </c>
      <c r="V3383" s="90" t="s">
        <v>244</v>
      </c>
      <c r="Z3383" s="90">
        <v>0</v>
      </c>
      <c r="AA3383" s="90">
        <v>1</v>
      </c>
      <c r="AB3383" s="90">
        <v>0.73933015599820995</v>
      </c>
      <c r="AC3383" s="90">
        <v>9.7611054835570005E-2</v>
      </c>
      <c r="AD3383" s="90">
        <v>442.55441397629897</v>
      </c>
      <c r="AF3383" s="90">
        <v>-1</v>
      </c>
      <c r="AG3383" s="90">
        <v>-1</v>
      </c>
      <c r="AH3383" s="90">
        <v>-1</v>
      </c>
      <c r="AI3383" s="90">
        <v>-1</v>
      </c>
      <c r="AJ3383" s="90">
        <v>0</v>
      </c>
      <c r="AM3383" s="90" t="s">
        <v>379</v>
      </c>
      <c r="AN3383" s="90">
        <v>-1</v>
      </c>
      <c r="AQ3383" s="90">
        <v>361</v>
      </c>
      <c r="AR3383" s="90" t="s">
        <v>435</v>
      </c>
      <c r="AS3383" s="90" t="s">
        <v>256</v>
      </c>
      <c r="AT3383" s="90" t="s">
        <v>244</v>
      </c>
      <c r="AU3383" s="90">
        <v>0.81969000000000003</v>
      </c>
      <c r="AV3383" s="90">
        <v>67.950967398134296</v>
      </c>
      <c r="AW3383" s="90">
        <v>257.23061846490202</v>
      </c>
      <c r="AX3383" s="90">
        <v>0.35892490999999999</v>
      </c>
    </row>
    <row r="3384" spans="1:50" x14ac:dyDescent="0.25">
      <c r="A3384" s="102">
        <v>840000</v>
      </c>
      <c r="B3384" s="102">
        <v>2500000</v>
      </c>
      <c r="C3384" s="102">
        <v>2500000</v>
      </c>
      <c r="D3384" s="90" t="s">
        <v>374</v>
      </c>
      <c r="E3384" s="90" t="s">
        <v>68</v>
      </c>
      <c r="F3384" s="90" t="s">
        <v>375</v>
      </c>
      <c r="G3384" s="90" t="s">
        <v>376</v>
      </c>
      <c r="H3384" s="90">
        <v>0.59</v>
      </c>
      <c r="I3384" s="90">
        <v>0.64</v>
      </c>
      <c r="J3384" s="90" t="s">
        <v>244</v>
      </c>
      <c r="K3384" s="90">
        <v>0.10706874634984</v>
      </c>
      <c r="L3384" s="90">
        <v>3786.0833751069899</v>
      </c>
      <c r="M3384" s="90">
        <v>11.631441886392601</v>
      </c>
      <c r="N3384" s="90">
        <v>1.53565670570623</v>
      </c>
      <c r="O3384" s="90">
        <v>1.2453639010170801</v>
      </c>
      <c r="P3384" s="90">
        <v>0.16442083830369</v>
      </c>
      <c r="Q3384" s="90">
        <v>405.371200548677</v>
      </c>
      <c r="R3384" s="90">
        <v>1410</v>
      </c>
      <c r="S3384" s="90" t="s">
        <v>325</v>
      </c>
      <c r="T3384" s="90">
        <v>1410</v>
      </c>
      <c r="U3384" s="90" t="s">
        <v>378</v>
      </c>
      <c r="V3384" s="90" t="s">
        <v>244</v>
      </c>
      <c r="Z3384" s="90">
        <v>0</v>
      </c>
      <c r="AA3384" s="90">
        <v>1</v>
      </c>
      <c r="AB3384" s="90">
        <v>1.2453639010170801</v>
      </c>
      <c r="AC3384" s="90">
        <v>0.16442083830369</v>
      </c>
      <c r="AD3384" s="90">
        <v>419.48329935937898</v>
      </c>
      <c r="AF3384" s="90">
        <v>-1</v>
      </c>
      <c r="AG3384" s="90">
        <v>-1</v>
      </c>
      <c r="AH3384" s="90">
        <v>-1</v>
      </c>
      <c r="AI3384" s="90">
        <v>-1</v>
      </c>
      <c r="AJ3384" s="90">
        <v>0</v>
      </c>
      <c r="AM3384" s="90" t="s">
        <v>379</v>
      </c>
      <c r="AN3384" s="90">
        <v>-1</v>
      </c>
      <c r="AQ3384" s="90">
        <v>361</v>
      </c>
      <c r="AR3384" s="90" t="s">
        <v>435</v>
      </c>
      <c r="AS3384" s="90" t="s">
        <v>256</v>
      </c>
      <c r="AT3384" s="90" t="s">
        <v>244</v>
      </c>
      <c r="AU3384" s="90">
        <v>0.81969000000000003</v>
      </c>
      <c r="AV3384" s="90">
        <v>88.372914993084194</v>
      </c>
      <c r="AW3384" s="90">
        <v>433.29184380416501</v>
      </c>
      <c r="AX3384" s="90">
        <v>0.34021354370000001</v>
      </c>
    </row>
    <row r="3385" spans="1:50" x14ac:dyDescent="0.25">
      <c r="A3385" s="102">
        <v>830000</v>
      </c>
      <c r="B3385" s="102">
        <v>2400000</v>
      </c>
      <c r="C3385" s="102">
        <v>2400000</v>
      </c>
      <c r="D3385" s="90" t="s">
        <v>374</v>
      </c>
      <c r="E3385" s="90" t="s">
        <v>68</v>
      </c>
      <c r="F3385" s="90" t="s">
        <v>375</v>
      </c>
      <c r="G3385" s="90" t="s">
        <v>376</v>
      </c>
      <c r="H3385" s="90">
        <v>0.59</v>
      </c>
      <c r="I3385" s="90">
        <v>0.64</v>
      </c>
      <c r="J3385" s="90" t="s">
        <v>409</v>
      </c>
      <c r="K3385" s="90">
        <v>1.094760566933E-2</v>
      </c>
      <c r="L3385" s="90">
        <v>2365.8964729934901</v>
      </c>
      <c r="M3385" s="90">
        <v>6.6479893454949197</v>
      </c>
      <c r="N3385" s="90">
        <v>0.92303951773994997</v>
      </c>
      <c r="O3385" s="90">
        <v>7.2779565848409999E-2</v>
      </c>
      <c r="P3385" s="90">
        <v>1.0105072657430001E-2</v>
      </c>
      <c r="Q3385" s="90">
        <v>25.900901640803198</v>
      </c>
      <c r="R3385" s="90">
        <v>1400</v>
      </c>
      <c r="S3385" s="90" t="s">
        <v>324</v>
      </c>
      <c r="T3385" s="90">
        <v>1400</v>
      </c>
      <c r="U3385" s="90" t="s">
        <v>409</v>
      </c>
      <c r="V3385" s="90" t="s">
        <v>409</v>
      </c>
      <c r="Z3385" s="90">
        <v>0</v>
      </c>
      <c r="AA3385" s="90">
        <v>1</v>
      </c>
      <c r="AB3385" s="90">
        <v>7.2779565848409999E-2</v>
      </c>
      <c r="AC3385" s="90">
        <v>1.0105072657430001E-2</v>
      </c>
      <c r="AD3385" s="90">
        <v>69.639564205623103</v>
      </c>
      <c r="AF3385" s="90">
        <v>-1</v>
      </c>
      <c r="AG3385" s="90">
        <v>-1</v>
      </c>
      <c r="AH3385" s="90">
        <v>-1</v>
      </c>
      <c r="AI3385" s="90">
        <v>-1</v>
      </c>
      <c r="AJ3385" s="90">
        <v>0</v>
      </c>
      <c r="AM3385" s="90" t="s">
        <v>379</v>
      </c>
      <c r="AN3385" s="90">
        <v>-1</v>
      </c>
      <c r="AQ3385" s="90">
        <v>362</v>
      </c>
      <c r="AR3385" s="90" t="s">
        <v>436</v>
      </c>
      <c r="AS3385" s="90" t="s">
        <v>437</v>
      </c>
      <c r="AT3385" s="90" t="s">
        <v>244</v>
      </c>
      <c r="AU3385" s="90">
        <v>0.48036400000000001</v>
      </c>
      <c r="AV3385" s="90">
        <v>101.820877207301</v>
      </c>
      <c r="AW3385" s="90">
        <v>44.303388312850402</v>
      </c>
      <c r="AX3385" s="90">
        <v>5.6479776299999999E-2</v>
      </c>
    </row>
    <row r="3386" spans="1:50" x14ac:dyDescent="0.25">
      <c r="A3386" s="102">
        <v>830000</v>
      </c>
      <c r="B3386" s="102">
        <v>2400000</v>
      </c>
      <c r="C3386" s="102">
        <v>2400000</v>
      </c>
      <c r="D3386" s="90" t="s">
        <v>374</v>
      </c>
      <c r="E3386" s="90" t="s">
        <v>68</v>
      </c>
      <c r="F3386" s="90" t="s">
        <v>375</v>
      </c>
      <c r="G3386" s="90" t="s">
        <v>376</v>
      </c>
      <c r="H3386" s="90">
        <v>0.59</v>
      </c>
      <c r="I3386" s="90">
        <v>0.64</v>
      </c>
      <c r="J3386" s="90" t="s">
        <v>244</v>
      </c>
      <c r="K3386" s="90">
        <v>8.247302941555E-2</v>
      </c>
      <c r="L3386" s="90">
        <v>2365.8964729934901</v>
      </c>
      <c r="M3386" s="90">
        <v>6.6479893454949197</v>
      </c>
      <c r="N3386" s="90">
        <v>0.92303951773994997</v>
      </c>
      <c r="O3386" s="90">
        <v>0.54827982084530003</v>
      </c>
      <c r="P3386" s="90">
        <v>7.6125865298279999E-2</v>
      </c>
      <c r="Q3386" s="90">
        <v>195.12264941135001</v>
      </c>
      <c r="R3386" s="90">
        <v>1400</v>
      </c>
      <c r="S3386" s="90" t="s">
        <v>324</v>
      </c>
      <c r="T3386" s="90">
        <v>1400</v>
      </c>
      <c r="U3386" s="90" t="s">
        <v>378</v>
      </c>
      <c r="V3386" s="90" t="s">
        <v>244</v>
      </c>
      <c r="Z3386" s="90">
        <v>0</v>
      </c>
      <c r="AA3386" s="90">
        <v>1</v>
      </c>
      <c r="AB3386" s="90">
        <v>0.54827982084530003</v>
      </c>
      <c r="AC3386" s="90">
        <v>7.6125865298279999E-2</v>
      </c>
      <c r="AD3386" s="90">
        <v>400.46961239008601</v>
      </c>
      <c r="AF3386" s="90">
        <v>-1</v>
      </c>
      <c r="AG3386" s="90">
        <v>-1</v>
      </c>
      <c r="AH3386" s="90">
        <v>-1</v>
      </c>
      <c r="AI3386" s="90">
        <v>-1</v>
      </c>
      <c r="AJ3386" s="90">
        <v>0</v>
      </c>
      <c r="AM3386" s="90" t="s">
        <v>379</v>
      </c>
      <c r="AN3386" s="90">
        <v>-1</v>
      </c>
      <c r="AQ3386" s="90">
        <v>362</v>
      </c>
      <c r="AR3386" s="90" t="s">
        <v>436</v>
      </c>
      <c r="AS3386" s="90" t="s">
        <v>437</v>
      </c>
      <c r="AT3386" s="90" t="s">
        <v>244</v>
      </c>
      <c r="AU3386" s="90">
        <v>0.48036400000000001</v>
      </c>
      <c r="AV3386" s="90">
        <v>113.383799109517</v>
      </c>
      <c r="AW3386" s="90">
        <v>333.75650876512202</v>
      </c>
      <c r="AX3386" s="90">
        <v>0.32479287299999998</v>
      </c>
    </row>
    <row r="3387" spans="1:50" x14ac:dyDescent="0.25">
      <c r="A3387" s="102">
        <v>830000</v>
      </c>
      <c r="B3387" s="102">
        <v>2400000</v>
      </c>
      <c r="C3387" s="102">
        <v>2400000</v>
      </c>
      <c r="D3387" s="90" t="s">
        <v>374</v>
      </c>
      <c r="E3387" s="90" t="s">
        <v>68</v>
      </c>
      <c r="F3387" s="90" t="s">
        <v>375</v>
      </c>
      <c r="G3387" s="90" t="s">
        <v>376</v>
      </c>
      <c r="H3387" s="90">
        <v>0.59</v>
      </c>
      <c r="I3387" s="90">
        <v>0.64</v>
      </c>
      <c r="J3387" s="90" t="s">
        <v>409</v>
      </c>
      <c r="K3387" s="90">
        <v>2.6474339085020001E-2</v>
      </c>
      <c r="L3387" s="90">
        <v>2240.08209311362</v>
      </c>
      <c r="M3387" s="90">
        <v>6.4464406966650998</v>
      </c>
      <c r="N3387" s="90">
        <v>0.88509513281274999</v>
      </c>
      <c r="O3387" s="90">
        <v>0.17066525689498999</v>
      </c>
      <c r="P3387" s="90">
        <v>2.3432308668579999E-2</v>
      </c>
      <c r="Q3387" s="90">
        <v>59.3046929113735</v>
      </c>
      <c r="R3387" s="90">
        <v>1400</v>
      </c>
      <c r="S3387" s="90" t="s">
        <v>324</v>
      </c>
      <c r="T3387" s="90">
        <v>1400</v>
      </c>
      <c r="U3387" s="90" t="s">
        <v>409</v>
      </c>
      <c r="V3387" s="90" t="s">
        <v>409</v>
      </c>
      <c r="Z3387" s="90">
        <v>0</v>
      </c>
      <c r="AA3387" s="90">
        <v>1</v>
      </c>
      <c r="AB3387" s="90">
        <v>0.17066525689498999</v>
      </c>
      <c r="AC3387" s="90">
        <v>2.3432308668579999E-2</v>
      </c>
      <c r="AD3387" s="90">
        <v>65.978995611845406</v>
      </c>
      <c r="AF3387" s="90">
        <v>-1</v>
      </c>
      <c r="AG3387" s="90">
        <v>-1</v>
      </c>
      <c r="AH3387" s="90">
        <v>-1</v>
      </c>
      <c r="AI3387" s="90">
        <v>-1</v>
      </c>
      <c r="AJ3387" s="90">
        <v>0</v>
      </c>
      <c r="AM3387" s="90" t="s">
        <v>379</v>
      </c>
      <c r="AN3387" s="90">
        <v>-1</v>
      </c>
      <c r="AQ3387" s="90">
        <v>362</v>
      </c>
      <c r="AR3387" s="90" t="s">
        <v>436</v>
      </c>
      <c r="AS3387" s="90" t="s">
        <v>437</v>
      </c>
      <c r="AT3387" s="90" t="s">
        <v>244</v>
      </c>
      <c r="AU3387" s="90">
        <v>0.48036400000000001</v>
      </c>
      <c r="AV3387" s="90">
        <v>104.26278911426</v>
      </c>
      <c r="AW3387" s="90">
        <v>107.137849155014</v>
      </c>
      <c r="AX3387" s="90">
        <v>5.3510945300000001E-2</v>
      </c>
    </row>
    <row r="3388" spans="1:50" x14ac:dyDescent="0.25">
      <c r="A3388" s="102">
        <v>830000</v>
      </c>
      <c r="B3388" s="102">
        <v>2400000</v>
      </c>
      <c r="C3388" s="102">
        <v>2400000</v>
      </c>
      <c r="D3388" s="90" t="s">
        <v>374</v>
      </c>
      <c r="E3388" s="90" t="s">
        <v>68</v>
      </c>
      <c r="F3388" s="90" t="s">
        <v>375</v>
      </c>
      <c r="G3388" s="90" t="s">
        <v>376</v>
      </c>
      <c r="H3388" s="90">
        <v>0.59</v>
      </c>
      <c r="I3388" s="90">
        <v>0.64</v>
      </c>
      <c r="J3388" s="90" t="s">
        <v>244</v>
      </c>
      <c r="K3388" s="90">
        <v>7.8601734457360004E-2</v>
      </c>
      <c r="L3388" s="90">
        <v>2240.08209311362</v>
      </c>
      <c r="M3388" s="90">
        <v>6.4464406966650998</v>
      </c>
      <c r="N3388" s="90">
        <v>0.88509513281274999</v>
      </c>
      <c r="O3388" s="90">
        <v>0.50670141983443995</v>
      </c>
      <c r="P3388" s="90">
        <v>6.9570012598849998E-2</v>
      </c>
      <c r="Q3388" s="90">
        <v>176.074337845624</v>
      </c>
      <c r="R3388" s="90">
        <v>1400</v>
      </c>
      <c r="S3388" s="90" t="s">
        <v>324</v>
      </c>
      <c r="T3388" s="90">
        <v>1400</v>
      </c>
      <c r="U3388" s="90" t="s">
        <v>378</v>
      </c>
      <c r="V3388" s="90" t="s">
        <v>244</v>
      </c>
      <c r="Z3388" s="90">
        <v>0</v>
      </c>
      <c r="AA3388" s="90">
        <v>1</v>
      </c>
      <c r="AB3388" s="90">
        <v>0.50670141983443995</v>
      </c>
      <c r="AC3388" s="90">
        <v>6.9570012598849998E-2</v>
      </c>
      <c r="AD3388" s="90">
        <v>446.336493541989</v>
      </c>
      <c r="AF3388" s="90">
        <v>-1</v>
      </c>
      <c r="AG3388" s="90">
        <v>-1</v>
      </c>
      <c r="AH3388" s="90">
        <v>-1</v>
      </c>
      <c r="AI3388" s="90">
        <v>-1</v>
      </c>
      <c r="AJ3388" s="90">
        <v>0</v>
      </c>
      <c r="AM3388" s="90" t="s">
        <v>379</v>
      </c>
      <c r="AN3388" s="90">
        <v>-1</v>
      </c>
      <c r="AQ3388" s="90">
        <v>362</v>
      </c>
      <c r="AR3388" s="90" t="s">
        <v>436</v>
      </c>
      <c r="AS3388" s="90" t="s">
        <v>437</v>
      </c>
      <c r="AT3388" s="90" t="s">
        <v>244</v>
      </c>
      <c r="AU3388" s="90">
        <v>0.48036400000000001</v>
      </c>
      <c r="AV3388" s="90">
        <v>112.757113478816</v>
      </c>
      <c r="AW3388" s="90">
        <v>318.089933900581</v>
      </c>
      <c r="AX3388" s="90">
        <v>0.36199228999999999</v>
      </c>
    </row>
    <row r="3389" spans="1:50" x14ac:dyDescent="0.25">
      <c r="A3389" s="102">
        <v>830000</v>
      </c>
      <c r="B3389" s="102">
        <v>2400000</v>
      </c>
      <c r="C3389" s="102">
        <v>2400000</v>
      </c>
      <c r="D3389" s="90" t="s">
        <v>374</v>
      </c>
      <c r="E3389" s="90" t="s">
        <v>68</v>
      </c>
      <c r="F3389" s="90" t="s">
        <v>375</v>
      </c>
      <c r="G3389" s="90" t="s">
        <v>376</v>
      </c>
      <c r="H3389" s="90">
        <v>0.59</v>
      </c>
      <c r="I3389" s="90">
        <v>0.64</v>
      </c>
      <c r="J3389" s="90" t="s">
        <v>389</v>
      </c>
      <c r="K3389" s="90">
        <v>6.1042061279999998E-5</v>
      </c>
      <c r="L3389" s="90">
        <v>2240.08209311362</v>
      </c>
      <c r="M3389" s="90">
        <v>6.4464406966650998</v>
      </c>
      <c r="N3389" s="90">
        <v>0.88509513281274999</v>
      </c>
      <c r="O3389" s="90">
        <v>3.9350402810000001E-4</v>
      </c>
      <c r="P3389" s="90">
        <v>5.4028031339999997E-5</v>
      </c>
      <c r="Q3389" s="90">
        <v>0.13673922842023001</v>
      </c>
      <c r="R3389" s="90">
        <v>5400</v>
      </c>
      <c r="S3389" s="90" t="s">
        <v>392</v>
      </c>
      <c r="T3389" s="90">
        <v>5400</v>
      </c>
      <c r="U3389" s="90" t="s">
        <v>409</v>
      </c>
      <c r="V3389" s="90" t="s">
        <v>409</v>
      </c>
      <c r="Y3389" s="90" t="s">
        <v>389</v>
      </c>
      <c r="Z3389" s="90">
        <v>0</v>
      </c>
      <c r="AA3389" s="90">
        <v>1</v>
      </c>
      <c r="AB3389" s="90">
        <v>3.9350402810000001E-4</v>
      </c>
      <c r="AC3389" s="90">
        <v>5.4028031339999997E-5</v>
      </c>
      <c r="AD3389" s="90">
        <v>151.26221572962001</v>
      </c>
      <c r="AF3389" s="90">
        <v>-1</v>
      </c>
      <c r="AG3389" s="90">
        <v>-1</v>
      </c>
      <c r="AH3389" s="90">
        <v>-1</v>
      </c>
      <c r="AI3389" s="90">
        <v>-1</v>
      </c>
      <c r="AJ3389" s="90">
        <v>0</v>
      </c>
      <c r="AM3389" s="90" t="s">
        <v>379</v>
      </c>
      <c r="AN3389" s="90">
        <v>-1</v>
      </c>
      <c r="AQ3389" s="90">
        <v>362</v>
      </c>
      <c r="AR3389" s="90" t="s">
        <v>436</v>
      </c>
      <c r="AS3389" s="90" t="s">
        <v>437</v>
      </c>
      <c r="AT3389" s="90" t="s">
        <v>244</v>
      </c>
      <c r="AU3389" s="90">
        <v>0.48036400000000001</v>
      </c>
      <c r="AV3389" s="90">
        <v>12.600943820832001</v>
      </c>
      <c r="AW3389" s="90">
        <v>0.24702845776367999</v>
      </c>
      <c r="AX3389" s="90">
        <v>0.122678196</v>
      </c>
    </row>
    <row r="3390" spans="1:50" x14ac:dyDescent="0.25">
      <c r="A3390" s="102">
        <v>830000</v>
      </c>
      <c r="B3390" s="102">
        <v>2400000</v>
      </c>
      <c r="C3390" s="102">
        <v>2400000</v>
      </c>
      <c r="D3390" s="90" t="s">
        <v>374</v>
      </c>
      <c r="E3390" s="90" t="s">
        <v>68</v>
      </c>
      <c r="F3390" s="90" t="s">
        <v>375</v>
      </c>
      <c r="G3390" s="90" t="s">
        <v>376</v>
      </c>
      <c r="H3390" s="90">
        <v>0.59</v>
      </c>
      <c r="I3390" s="90">
        <v>0.64</v>
      </c>
      <c r="J3390" s="90" t="s">
        <v>409</v>
      </c>
      <c r="K3390" s="90">
        <v>1.8741452399649999E-2</v>
      </c>
      <c r="L3390" s="90">
        <v>2302.9384694763899</v>
      </c>
      <c r="M3390" s="90">
        <v>6.5471667265581699</v>
      </c>
      <c r="N3390" s="90">
        <v>0.90405995890753998</v>
      </c>
      <c r="O3390" s="90">
        <v>0.12270341355842</v>
      </c>
      <c r="P3390" s="90">
        <v>1.6943396686299999E-2</v>
      </c>
      <c r="Q3390" s="90">
        <v>43.160411705035301</v>
      </c>
      <c r="R3390" s="90">
        <v>1400</v>
      </c>
      <c r="S3390" s="90" t="s">
        <v>324</v>
      </c>
      <c r="T3390" s="90">
        <v>1400</v>
      </c>
      <c r="U3390" s="90" t="s">
        <v>409</v>
      </c>
      <c r="V3390" s="90" t="s">
        <v>409</v>
      </c>
      <c r="Z3390" s="90">
        <v>0</v>
      </c>
      <c r="AA3390" s="90">
        <v>1</v>
      </c>
      <c r="AB3390" s="90">
        <v>0.12270341355842</v>
      </c>
      <c r="AC3390" s="90">
        <v>1.6943396686299999E-2</v>
      </c>
      <c r="AD3390" s="90">
        <v>67.806388028907904</v>
      </c>
      <c r="AF3390" s="90">
        <v>-1</v>
      </c>
      <c r="AG3390" s="90">
        <v>-1</v>
      </c>
      <c r="AH3390" s="90">
        <v>-1</v>
      </c>
      <c r="AI3390" s="90">
        <v>-1</v>
      </c>
      <c r="AJ3390" s="90">
        <v>0</v>
      </c>
      <c r="AM3390" s="90" t="s">
        <v>379</v>
      </c>
      <c r="AN3390" s="90">
        <v>-1</v>
      </c>
      <c r="AQ3390" s="90">
        <v>362</v>
      </c>
      <c r="AR3390" s="90" t="s">
        <v>436</v>
      </c>
      <c r="AS3390" s="90" t="s">
        <v>437</v>
      </c>
      <c r="AT3390" s="90" t="s">
        <v>244</v>
      </c>
      <c r="AU3390" s="90">
        <v>0.48036400000000001</v>
      </c>
      <c r="AV3390" s="90">
        <v>103.082521739482</v>
      </c>
      <c r="AW3390" s="90">
        <v>75.843967008663597</v>
      </c>
      <c r="AX3390" s="90">
        <v>5.4993015399999998E-2</v>
      </c>
    </row>
    <row r="3391" spans="1:50" x14ac:dyDescent="0.25">
      <c r="A3391" s="102">
        <v>830000</v>
      </c>
      <c r="B3391" s="102">
        <v>2400000</v>
      </c>
      <c r="C3391" s="102">
        <v>2400000</v>
      </c>
      <c r="D3391" s="90" t="s">
        <v>374</v>
      </c>
      <c r="E3391" s="90" t="s">
        <v>68</v>
      </c>
      <c r="F3391" s="90" t="s">
        <v>375</v>
      </c>
      <c r="G3391" s="90" t="s">
        <v>376</v>
      </c>
      <c r="H3391" s="90">
        <v>0.59</v>
      </c>
      <c r="I3391" s="90">
        <v>0.64</v>
      </c>
      <c r="J3391" s="90" t="s">
        <v>244</v>
      </c>
      <c r="K3391" s="90">
        <v>8.0537426839219994E-2</v>
      </c>
      <c r="L3391" s="90">
        <v>2302.9384694763899</v>
      </c>
      <c r="M3391" s="90">
        <v>6.5471667265581699</v>
      </c>
      <c r="N3391" s="90">
        <v>0.90405995890753998</v>
      </c>
      <c r="O3391" s="90">
        <v>0.52729196124440003</v>
      </c>
      <c r="P3391" s="90">
        <v>7.2810662798790005E-2</v>
      </c>
      <c r="Q3391" s="90">
        <v>185.47273850069601</v>
      </c>
      <c r="R3391" s="90">
        <v>1400</v>
      </c>
      <c r="S3391" s="90" t="s">
        <v>324</v>
      </c>
      <c r="T3391" s="90">
        <v>1400</v>
      </c>
      <c r="U3391" s="90" t="s">
        <v>378</v>
      </c>
      <c r="V3391" s="90" t="s">
        <v>244</v>
      </c>
      <c r="Z3391" s="90">
        <v>0</v>
      </c>
      <c r="AA3391" s="90">
        <v>1</v>
      </c>
      <c r="AB3391" s="90">
        <v>0.52729196124440003</v>
      </c>
      <c r="AC3391" s="90">
        <v>7.2810662798790005E-2</v>
      </c>
      <c r="AD3391" s="90">
        <v>424.35643816581199</v>
      </c>
      <c r="AF3391" s="90">
        <v>-1</v>
      </c>
      <c r="AG3391" s="90">
        <v>-1</v>
      </c>
      <c r="AH3391" s="90">
        <v>-1</v>
      </c>
      <c r="AI3391" s="90">
        <v>-1</v>
      </c>
      <c r="AJ3391" s="90">
        <v>0</v>
      </c>
      <c r="AM3391" s="90" t="s">
        <v>379</v>
      </c>
      <c r="AN3391" s="90">
        <v>-1</v>
      </c>
      <c r="AQ3391" s="90">
        <v>362</v>
      </c>
      <c r="AR3391" s="90" t="s">
        <v>436</v>
      </c>
      <c r="AS3391" s="90" t="s">
        <v>437</v>
      </c>
      <c r="AT3391" s="90" t="s">
        <v>244</v>
      </c>
      <c r="AU3391" s="90">
        <v>0.48036400000000001</v>
      </c>
      <c r="AV3391" s="90">
        <v>113.07045432316301</v>
      </c>
      <c r="AW3391" s="90">
        <v>325.923403047894</v>
      </c>
      <c r="AX3391" s="90">
        <v>0.34416580549999998</v>
      </c>
    </row>
    <row r="3392" spans="1:50" x14ac:dyDescent="0.25">
      <c r="A3392" s="102">
        <v>830000</v>
      </c>
      <c r="B3392" s="102">
        <v>2400000</v>
      </c>
      <c r="C3392" s="102">
        <v>2400000</v>
      </c>
      <c r="D3392" s="90" t="s">
        <v>374</v>
      </c>
      <c r="E3392" s="90" t="s">
        <v>68</v>
      </c>
      <c r="F3392" s="90" t="s">
        <v>375</v>
      </c>
      <c r="G3392" s="90" t="s">
        <v>376</v>
      </c>
      <c r="H3392" s="90">
        <v>0.59</v>
      </c>
      <c r="I3392" s="90">
        <v>0.64</v>
      </c>
      <c r="J3392" s="90" t="s">
        <v>409</v>
      </c>
      <c r="K3392" s="90">
        <v>3.1891826469000002E-3</v>
      </c>
      <c r="L3392" s="90">
        <v>2431.5070642957398</v>
      </c>
      <c r="M3392" s="90">
        <v>6.7556750793336002</v>
      </c>
      <c r="N3392" s="90">
        <v>0.94297393693562004</v>
      </c>
      <c r="O3392" s="90">
        <v>2.1545081731100001E-2</v>
      </c>
      <c r="P3392" s="90">
        <v>3.0073161161500001E-3</v>
      </c>
      <c r="Q3392" s="90">
        <v>7.7545201352667403</v>
      </c>
      <c r="R3392" s="90">
        <v>1400</v>
      </c>
      <c r="S3392" s="90" t="s">
        <v>324</v>
      </c>
      <c r="T3392" s="90">
        <v>1400</v>
      </c>
      <c r="U3392" s="90" t="s">
        <v>409</v>
      </c>
      <c r="V3392" s="90" t="s">
        <v>409</v>
      </c>
      <c r="Z3392" s="90">
        <v>0</v>
      </c>
      <c r="AA3392" s="90">
        <v>1</v>
      </c>
      <c r="AB3392" s="90">
        <v>2.1545081731100001E-2</v>
      </c>
      <c r="AC3392" s="90">
        <v>3.0073161161500001E-3</v>
      </c>
      <c r="AD3392" s="90">
        <v>71.564168609340499</v>
      </c>
      <c r="AF3392" s="90">
        <v>-1</v>
      </c>
      <c r="AG3392" s="90">
        <v>-1</v>
      </c>
      <c r="AH3392" s="90">
        <v>-1</v>
      </c>
      <c r="AI3392" s="90">
        <v>-1</v>
      </c>
      <c r="AJ3392" s="90">
        <v>0</v>
      </c>
      <c r="AM3392" s="90" t="s">
        <v>379</v>
      </c>
      <c r="AN3392" s="90">
        <v>-1</v>
      </c>
      <c r="AQ3392" s="90">
        <v>362</v>
      </c>
      <c r="AR3392" s="90" t="s">
        <v>436</v>
      </c>
      <c r="AS3392" s="90" t="s">
        <v>437</v>
      </c>
      <c r="AT3392" s="90" t="s">
        <v>244</v>
      </c>
      <c r="AU3392" s="90">
        <v>0.48036400000000001</v>
      </c>
      <c r="AV3392" s="90">
        <v>91.079065074458299</v>
      </c>
      <c r="AW3392" s="90">
        <v>12.906164276815201</v>
      </c>
      <c r="AX3392" s="90">
        <v>5.8040688200000003E-2</v>
      </c>
    </row>
    <row r="3393" spans="1:50" x14ac:dyDescent="0.25">
      <c r="A3393" s="102">
        <v>830000</v>
      </c>
      <c r="B3393" s="102">
        <v>2400000</v>
      </c>
      <c r="C3393" s="102">
        <v>2400000</v>
      </c>
      <c r="D3393" s="90" t="s">
        <v>374</v>
      </c>
      <c r="E3393" s="90" t="s">
        <v>68</v>
      </c>
      <c r="F3393" s="90" t="s">
        <v>375</v>
      </c>
      <c r="G3393" s="90" t="s">
        <v>376</v>
      </c>
      <c r="H3393" s="90">
        <v>0.59</v>
      </c>
      <c r="I3393" s="90">
        <v>0.64</v>
      </c>
      <c r="J3393" s="90" t="s">
        <v>244</v>
      </c>
      <c r="K3393" s="90">
        <v>8.4373208390250004E-2</v>
      </c>
      <c r="L3393" s="90">
        <v>2431.5070642957398</v>
      </c>
      <c r="M3393" s="90">
        <v>6.7556750793336002</v>
      </c>
      <c r="N3393" s="90">
        <v>0.94297393693562004</v>
      </c>
      <c r="O3393" s="90">
        <v>0.56999798128548995</v>
      </c>
      <c r="P3393" s="90">
        <v>7.9561736487649998E-2</v>
      </c>
      <c r="Q3393" s="90">
        <v>205.15405223821099</v>
      </c>
      <c r="R3393" s="90">
        <v>1400</v>
      </c>
      <c r="S3393" s="90" t="s">
        <v>324</v>
      </c>
      <c r="T3393" s="90">
        <v>1400</v>
      </c>
      <c r="U3393" s="90" t="s">
        <v>378</v>
      </c>
      <c r="V3393" s="90" t="s">
        <v>244</v>
      </c>
      <c r="Z3393" s="90">
        <v>0</v>
      </c>
      <c r="AA3393" s="90">
        <v>1</v>
      </c>
      <c r="AB3393" s="90">
        <v>0.56999798128548995</v>
      </c>
      <c r="AC3393" s="90">
        <v>7.9561736487649998E-2</v>
      </c>
      <c r="AD3393" s="90">
        <v>375.10332549795601</v>
      </c>
      <c r="AF3393" s="90">
        <v>-1</v>
      </c>
      <c r="AG3393" s="90">
        <v>-1</v>
      </c>
      <c r="AH3393" s="90">
        <v>-1</v>
      </c>
      <c r="AI3393" s="90">
        <v>-1</v>
      </c>
      <c r="AJ3393" s="90">
        <v>0</v>
      </c>
      <c r="AM3393" s="90" t="s">
        <v>379</v>
      </c>
      <c r="AN3393" s="90">
        <v>-1</v>
      </c>
      <c r="AQ3393" s="90">
        <v>362</v>
      </c>
      <c r="AR3393" s="90" t="s">
        <v>436</v>
      </c>
      <c r="AS3393" s="90" t="s">
        <v>437</v>
      </c>
      <c r="AT3393" s="90" t="s">
        <v>244</v>
      </c>
      <c r="AU3393" s="90">
        <v>0.48036400000000001</v>
      </c>
      <c r="AV3393" s="90">
        <v>113.638814129138</v>
      </c>
      <c r="AW3393" s="90">
        <v>341.44626025261499</v>
      </c>
      <c r="AX3393" s="90">
        <v>0.3042200531</v>
      </c>
    </row>
    <row r="3394" spans="1:50" x14ac:dyDescent="0.25">
      <c r="A3394" s="102">
        <v>830000</v>
      </c>
      <c r="B3394" s="102">
        <v>2400000</v>
      </c>
      <c r="C3394" s="102">
        <v>2400000</v>
      </c>
      <c r="D3394" s="90" t="s">
        <v>374</v>
      </c>
      <c r="E3394" s="90" t="s">
        <v>68</v>
      </c>
      <c r="F3394" s="90" t="s">
        <v>375</v>
      </c>
      <c r="G3394" s="90" t="s">
        <v>376</v>
      </c>
      <c r="H3394" s="90">
        <v>0.59</v>
      </c>
      <c r="I3394" s="90">
        <v>0.64</v>
      </c>
      <c r="J3394" s="90" t="s">
        <v>409</v>
      </c>
      <c r="K3394" s="90">
        <v>4.7842886238300001E-3</v>
      </c>
      <c r="L3394" s="90">
        <v>2176.7336699941502</v>
      </c>
      <c r="M3394" s="90">
        <v>6.2861362830793501</v>
      </c>
      <c r="N3394" s="90">
        <v>0.85875812512570004</v>
      </c>
      <c r="O3394" s="90">
        <v>3.0074690306999999E-2</v>
      </c>
      <c r="P3394" s="90">
        <v>4.1085467286599998E-3</v>
      </c>
      <c r="Q3394" s="90">
        <v>10.414122134467201</v>
      </c>
      <c r="R3394" s="90">
        <v>1400</v>
      </c>
      <c r="S3394" s="90" t="s">
        <v>324</v>
      </c>
      <c r="T3394" s="90">
        <v>1400</v>
      </c>
      <c r="U3394" s="90" t="s">
        <v>409</v>
      </c>
      <c r="V3394" s="90" t="s">
        <v>409</v>
      </c>
      <c r="Z3394" s="90">
        <v>0</v>
      </c>
      <c r="AA3394" s="90">
        <v>1</v>
      </c>
      <c r="AB3394" s="90">
        <v>3.0074690306999999E-2</v>
      </c>
      <c r="AC3394" s="90">
        <v>4.1085467286599998E-3</v>
      </c>
      <c r="AD3394" s="90">
        <v>64.119835247392103</v>
      </c>
      <c r="AF3394" s="90">
        <v>-1</v>
      </c>
      <c r="AG3394" s="90">
        <v>-1</v>
      </c>
      <c r="AH3394" s="90">
        <v>-1</v>
      </c>
      <c r="AI3394" s="90">
        <v>-1</v>
      </c>
      <c r="AJ3394" s="90">
        <v>0</v>
      </c>
      <c r="AM3394" s="90" t="s">
        <v>379</v>
      </c>
      <c r="AN3394" s="90">
        <v>-1</v>
      </c>
      <c r="AQ3394" s="90">
        <v>362</v>
      </c>
      <c r="AR3394" s="90" t="s">
        <v>436</v>
      </c>
      <c r="AS3394" s="90" t="s">
        <v>437</v>
      </c>
      <c r="AT3394" s="90" t="s">
        <v>244</v>
      </c>
      <c r="AU3394" s="90">
        <v>0.48036400000000001</v>
      </c>
      <c r="AV3394" s="90">
        <v>21.0879939452415</v>
      </c>
      <c r="AW3394" s="90">
        <v>19.361329143973698</v>
      </c>
      <c r="AX3394" s="90">
        <v>5.2003110499999998E-2</v>
      </c>
    </row>
    <row r="3395" spans="1:50" x14ac:dyDescent="0.25">
      <c r="A3395" s="102">
        <v>830000</v>
      </c>
      <c r="B3395" s="102">
        <v>2400000</v>
      </c>
      <c r="C3395" s="102">
        <v>2400000</v>
      </c>
      <c r="D3395" s="90" t="s">
        <v>374</v>
      </c>
      <c r="E3395" s="90" t="s">
        <v>68</v>
      </c>
      <c r="F3395" s="90" t="s">
        <v>375</v>
      </c>
      <c r="G3395" s="90" t="s">
        <v>376</v>
      </c>
      <c r="H3395" s="90">
        <v>0.59</v>
      </c>
      <c r="I3395" s="90">
        <v>0.64</v>
      </c>
      <c r="J3395" s="90" t="s">
        <v>244</v>
      </c>
      <c r="K3395" s="90">
        <v>7.5229563213500003E-3</v>
      </c>
      <c r="L3395" s="90">
        <v>2176.7336699941502</v>
      </c>
      <c r="M3395" s="90">
        <v>6.2861362830793501</v>
      </c>
      <c r="N3395" s="90">
        <v>0.85875812512570004</v>
      </c>
      <c r="O3395" s="90">
        <v>4.7290328687669997E-2</v>
      </c>
      <c r="P3395" s="90">
        <v>6.4603998659200001E-3</v>
      </c>
      <c r="Q3395" s="90">
        <v>16.3754723225844</v>
      </c>
      <c r="R3395" s="90">
        <v>1400</v>
      </c>
      <c r="S3395" s="90" t="s">
        <v>324</v>
      </c>
      <c r="T3395" s="90">
        <v>1400</v>
      </c>
      <c r="U3395" s="90" t="s">
        <v>378</v>
      </c>
      <c r="V3395" s="90" t="s">
        <v>244</v>
      </c>
      <c r="Z3395" s="90">
        <v>0</v>
      </c>
      <c r="AA3395" s="90">
        <v>1</v>
      </c>
      <c r="AB3395" s="90">
        <v>4.7290328687669997E-2</v>
      </c>
      <c r="AC3395" s="90">
        <v>6.4603998659200001E-3</v>
      </c>
      <c r="AD3395" s="90">
        <v>446.92091655367801</v>
      </c>
      <c r="AF3395" s="90">
        <v>-1</v>
      </c>
      <c r="AG3395" s="90">
        <v>-1</v>
      </c>
      <c r="AH3395" s="90">
        <v>-1</v>
      </c>
      <c r="AI3395" s="90">
        <v>-1</v>
      </c>
      <c r="AJ3395" s="90">
        <v>0</v>
      </c>
      <c r="AM3395" s="90" t="s">
        <v>379</v>
      </c>
      <c r="AN3395" s="90">
        <v>-1</v>
      </c>
      <c r="AQ3395" s="90">
        <v>362</v>
      </c>
      <c r="AR3395" s="90" t="s">
        <v>436</v>
      </c>
      <c r="AS3395" s="90" t="s">
        <v>437</v>
      </c>
      <c r="AT3395" s="90" t="s">
        <v>244</v>
      </c>
      <c r="AU3395" s="90">
        <v>0.48036400000000001</v>
      </c>
      <c r="AV3395" s="90">
        <v>26.0455725275819</v>
      </c>
      <c r="AW3395" s="90">
        <v>30.444324104503899</v>
      </c>
      <c r="AX3395" s="90">
        <v>0.36246627460000003</v>
      </c>
    </row>
    <row r="3396" spans="1:50" x14ac:dyDescent="0.25">
      <c r="A3396" s="102">
        <v>830000</v>
      </c>
      <c r="B3396" s="102">
        <v>2400000</v>
      </c>
      <c r="C3396" s="102">
        <v>2400000</v>
      </c>
      <c r="D3396" s="90" t="s">
        <v>374</v>
      </c>
      <c r="E3396" s="90" t="s">
        <v>68</v>
      </c>
      <c r="F3396" s="90" t="s">
        <v>375</v>
      </c>
      <c r="G3396" s="90" t="s">
        <v>376</v>
      </c>
      <c r="H3396" s="90">
        <v>0.59</v>
      </c>
      <c r="I3396" s="90">
        <v>0.64</v>
      </c>
      <c r="J3396" s="90" t="s">
        <v>389</v>
      </c>
      <c r="K3396" s="90">
        <v>2.4562183487000002E-4</v>
      </c>
      <c r="L3396" s="90">
        <v>2176.7336699941502</v>
      </c>
      <c r="M3396" s="90">
        <v>6.2861362830793501</v>
      </c>
      <c r="N3396" s="90">
        <v>0.85875812512570004</v>
      </c>
      <c r="O3396" s="90">
        <v>1.54401232814E-3</v>
      </c>
      <c r="P3396" s="90">
        <v>2.1092974641E-4</v>
      </c>
      <c r="Q3396" s="90">
        <v>0.53465331806467997</v>
      </c>
      <c r="R3396" s="90">
        <v>5400</v>
      </c>
      <c r="S3396" s="90" t="s">
        <v>392</v>
      </c>
      <c r="T3396" s="90">
        <v>5400</v>
      </c>
      <c r="U3396" s="90" t="s">
        <v>409</v>
      </c>
      <c r="V3396" s="90" t="s">
        <v>409</v>
      </c>
      <c r="Y3396" s="90" t="s">
        <v>389</v>
      </c>
      <c r="Z3396" s="90">
        <v>0</v>
      </c>
      <c r="AA3396" s="90">
        <v>1</v>
      </c>
      <c r="AB3396" s="90">
        <v>1.54401232814E-3</v>
      </c>
      <c r="AC3396" s="90">
        <v>2.1092974641E-4</v>
      </c>
      <c r="AD3396" s="90">
        <v>138.93620458418999</v>
      </c>
      <c r="AF3396" s="90">
        <v>-1</v>
      </c>
      <c r="AG3396" s="90">
        <v>-1</v>
      </c>
      <c r="AH3396" s="90">
        <v>-1</v>
      </c>
      <c r="AI3396" s="90">
        <v>-1</v>
      </c>
      <c r="AJ3396" s="90">
        <v>0</v>
      </c>
      <c r="AM3396" s="90" t="s">
        <v>379</v>
      </c>
      <c r="AN3396" s="90">
        <v>-1</v>
      </c>
      <c r="AQ3396" s="90">
        <v>362</v>
      </c>
      <c r="AR3396" s="90" t="s">
        <v>436</v>
      </c>
      <c r="AS3396" s="90" t="s">
        <v>437</v>
      </c>
      <c r="AT3396" s="90" t="s">
        <v>244</v>
      </c>
      <c r="AU3396" s="90">
        <v>0.48036400000000001</v>
      </c>
      <c r="AV3396" s="90">
        <v>15.8056895273654</v>
      </c>
      <c r="AW3396" s="90">
        <v>0.99399629995863004</v>
      </c>
      <c r="AX3396" s="90">
        <v>0.11268143110000001</v>
      </c>
    </row>
    <row r="3397" spans="1:50" x14ac:dyDescent="0.25">
      <c r="A3397" s="102">
        <v>830000</v>
      </c>
      <c r="B3397" s="102">
        <v>2500000</v>
      </c>
      <c r="C3397" s="102">
        <v>2500000</v>
      </c>
      <c r="D3397" s="90" t="s">
        <v>374</v>
      </c>
      <c r="E3397" s="90" t="s">
        <v>68</v>
      </c>
      <c r="F3397" s="90" t="s">
        <v>375</v>
      </c>
      <c r="G3397" s="90" t="s">
        <v>376</v>
      </c>
      <c r="H3397" s="90">
        <v>0.59</v>
      </c>
      <c r="I3397" s="90">
        <v>0.64</v>
      </c>
      <c r="J3397" s="90" t="s">
        <v>244</v>
      </c>
      <c r="K3397" s="90">
        <v>7.6489669225220006E-2</v>
      </c>
      <c r="L3397" s="90">
        <v>2118.7195307829902</v>
      </c>
      <c r="M3397" s="90">
        <v>5.9069963952792301</v>
      </c>
      <c r="N3397" s="90">
        <v>0.82498997657880002</v>
      </c>
      <c r="O3397" s="90">
        <v>0.4518242003895</v>
      </c>
      <c r="P3397" s="90">
        <v>6.3103210422629993E-2</v>
      </c>
      <c r="Q3397" s="90">
        <v>162.06015609061501</v>
      </c>
      <c r="R3397" s="90">
        <v>1400</v>
      </c>
      <c r="S3397" s="90" t="s">
        <v>324</v>
      </c>
      <c r="T3397" s="90">
        <v>1400</v>
      </c>
      <c r="U3397" s="90" t="s">
        <v>378</v>
      </c>
      <c r="V3397" s="90" t="s">
        <v>244</v>
      </c>
      <c r="Z3397" s="90">
        <v>0</v>
      </c>
      <c r="AA3397" s="90">
        <v>1</v>
      </c>
      <c r="AB3397" s="90">
        <v>0.4518242003895</v>
      </c>
      <c r="AC3397" s="90">
        <v>6.3103210422629993E-2</v>
      </c>
      <c r="AD3397" s="90">
        <v>295.06999400661601</v>
      </c>
      <c r="AF3397" s="90">
        <v>-1</v>
      </c>
      <c r="AG3397" s="90">
        <v>-1</v>
      </c>
      <c r="AH3397" s="90">
        <v>-1</v>
      </c>
      <c r="AI3397" s="90">
        <v>-1</v>
      </c>
      <c r="AJ3397" s="90">
        <v>0</v>
      </c>
      <c r="AM3397" s="90" t="s">
        <v>379</v>
      </c>
      <c r="AN3397" s="90">
        <v>-1</v>
      </c>
      <c r="AQ3397" s="90">
        <v>362</v>
      </c>
      <c r="AR3397" s="90" t="s">
        <v>436</v>
      </c>
      <c r="AS3397" s="90" t="s">
        <v>437</v>
      </c>
      <c r="AT3397" s="90" t="s">
        <v>244</v>
      </c>
      <c r="AU3397" s="90">
        <v>0.48036400000000001</v>
      </c>
      <c r="AV3397" s="90">
        <v>106.75646725474699</v>
      </c>
      <c r="AW3397" s="90">
        <v>309.54270915135402</v>
      </c>
      <c r="AX3397" s="90">
        <v>0.2393106196</v>
      </c>
    </row>
    <row r="3398" spans="1:50" x14ac:dyDescent="0.25">
      <c r="A3398" s="102">
        <v>840000</v>
      </c>
      <c r="B3398" s="102">
        <v>2400000</v>
      </c>
      <c r="C3398" s="102">
        <v>2400000</v>
      </c>
      <c r="D3398" s="90" t="s">
        <v>374</v>
      </c>
      <c r="E3398" s="90" t="s">
        <v>68</v>
      </c>
      <c r="F3398" s="90" t="s">
        <v>375</v>
      </c>
      <c r="G3398" s="90" t="s">
        <v>376</v>
      </c>
      <c r="H3398" s="90">
        <v>0.59</v>
      </c>
      <c r="I3398" s="90">
        <v>0.64</v>
      </c>
      <c r="J3398" s="90" t="s">
        <v>244</v>
      </c>
      <c r="K3398" s="90">
        <v>5.9223215346400002E-3</v>
      </c>
      <c r="L3398" s="90">
        <v>2176.7336699941502</v>
      </c>
      <c r="M3398" s="90">
        <v>6.2861362830793501</v>
      </c>
      <c r="N3398" s="90">
        <v>0.85875812512570004</v>
      </c>
      <c r="O3398" s="90">
        <v>3.7228520278960002E-2</v>
      </c>
      <c r="P3398" s="90">
        <v>5.0858417374699998E-3</v>
      </c>
      <c r="Q3398" s="90">
        <v>12.8913166889823</v>
      </c>
      <c r="R3398" s="90">
        <v>1400</v>
      </c>
      <c r="S3398" s="90" t="s">
        <v>324</v>
      </c>
      <c r="T3398" s="90">
        <v>1400</v>
      </c>
      <c r="U3398" s="90" t="s">
        <v>378</v>
      </c>
      <c r="V3398" s="90" t="s">
        <v>244</v>
      </c>
      <c r="Z3398" s="90">
        <v>0</v>
      </c>
      <c r="AA3398" s="90">
        <v>1</v>
      </c>
      <c r="AB3398" s="90">
        <v>3.7228520278960002E-2</v>
      </c>
      <c r="AC3398" s="90">
        <v>5.0858417374699998E-3</v>
      </c>
      <c r="AD3398" s="90">
        <v>446.92091655367801</v>
      </c>
      <c r="AF3398" s="90">
        <v>-1</v>
      </c>
      <c r="AG3398" s="90">
        <v>-1</v>
      </c>
      <c r="AH3398" s="90">
        <v>-1</v>
      </c>
      <c r="AI3398" s="90">
        <v>-1</v>
      </c>
      <c r="AJ3398" s="90">
        <v>0</v>
      </c>
      <c r="AM3398" s="90" t="s">
        <v>379</v>
      </c>
      <c r="AN3398" s="90">
        <v>-1</v>
      </c>
      <c r="AQ3398" s="90">
        <v>362</v>
      </c>
      <c r="AR3398" s="90" t="s">
        <v>436</v>
      </c>
      <c r="AS3398" s="90" t="s">
        <v>437</v>
      </c>
      <c r="AT3398" s="90" t="s">
        <v>244</v>
      </c>
      <c r="AU3398" s="90">
        <v>0.48036400000000001</v>
      </c>
      <c r="AV3398" s="90">
        <v>24.020954592643399</v>
      </c>
      <c r="AW3398" s="90">
        <v>23.966784937977501</v>
      </c>
      <c r="AX3398" s="90">
        <v>0.36246627460000003</v>
      </c>
    </row>
    <row r="3399" spans="1:50" x14ac:dyDescent="0.25">
      <c r="A3399" s="102">
        <v>660000</v>
      </c>
      <c r="B3399" s="102">
        <v>2400000</v>
      </c>
      <c r="C3399" s="102">
        <v>2400000</v>
      </c>
      <c r="D3399" s="90" t="s">
        <v>374</v>
      </c>
      <c r="E3399" s="90" t="s">
        <v>68</v>
      </c>
      <c r="F3399" s="90" t="s">
        <v>375</v>
      </c>
      <c r="G3399" s="90" t="s">
        <v>376</v>
      </c>
      <c r="H3399" s="90">
        <v>0.59</v>
      </c>
      <c r="I3399" s="90">
        <v>0.64</v>
      </c>
      <c r="J3399" s="90" t="s">
        <v>244</v>
      </c>
      <c r="K3399" s="90">
        <v>3.7067839020110002E-2</v>
      </c>
      <c r="L3399" s="90">
        <v>2593.3183217431801</v>
      </c>
      <c r="M3399" s="90">
        <v>6.49663609627539</v>
      </c>
      <c r="N3399" s="90">
        <v>0.95657697543445996</v>
      </c>
      <c r="O3399" s="90">
        <v>0.24081626098899001</v>
      </c>
      <c r="P3399" s="90">
        <v>3.5458241335749999E-2</v>
      </c>
      <c r="Q3399" s="90">
        <v>96.128706078288502</v>
      </c>
      <c r="R3399" s="90">
        <v>1210</v>
      </c>
      <c r="S3399" s="90" t="s">
        <v>385</v>
      </c>
      <c r="T3399" s="90">
        <v>1210</v>
      </c>
      <c r="U3399" s="90" t="s">
        <v>378</v>
      </c>
      <c r="V3399" s="90" t="s">
        <v>244</v>
      </c>
      <c r="Z3399" s="90">
        <v>0</v>
      </c>
      <c r="AA3399" s="90">
        <v>1</v>
      </c>
      <c r="AB3399" s="90">
        <v>0.24081626098899001</v>
      </c>
      <c r="AC3399" s="90">
        <v>3.5458241335749999E-2</v>
      </c>
      <c r="AD3399" s="90">
        <v>281.25823202466</v>
      </c>
      <c r="AF3399" s="90">
        <v>-1</v>
      </c>
      <c r="AG3399" s="90">
        <v>-1</v>
      </c>
      <c r="AH3399" s="90">
        <v>-1</v>
      </c>
      <c r="AI3399" s="90">
        <v>-1</v>
      </c>
      <c r="AJ3399" s="90">
        <v>0</v>
      </c>
      <c r="AM3399" s="90" t="s">
        <v>379</v>
      </c>
      <c r="AN3399" s="90">
        <v>-1</v>
      </c>
      <c r="AQ3399" s="90">
        <v>363</v>
      </c>
      <c r="AR3399" s="90" t="s">
        <v>438</v>
      </c>
      <c r="AS3399" s="90" t="s">
        <v>260</v>
      </c>
      <c r="AT3399" s="90" t="s">
        <v>244</v>
      </c>
      <c r="AU3399" s="90">
        <v>2.7417280000000002</v>
      </c>
      <c r="AV3399" s="90">
        <v>51.413101895751304</v>
      </c>
      <c r="AW3399" s="90">
        <v>150.00822240303901</v>
      </c>
      <c r="AX3399" s="90">
        <v>0.22810886620000001</v>
      </c>
    </row>
    <row r="3400" spans="1:50" x14ac:dyDescent="0.25">
      <c r="A3400" s="102">
        <v>660000</v>
      </c>
      <c r="B3400" s="102">
        <v>2400000</v>
      </c>
      <c r="C3400" s="102">
        <v>2400000</v>
      </c>
      <c r="D3400" s="90" t="s">
        <v>374</v>
      </c>
      <c r="E3400" s="90" t="s">
        <v>68</v>
      </c>
      <c r="F3400" s="90" t="s">
        <v>375</v>
      </c>
      <c r="G3400" s="90" t="s">
        <v>376</v>
      </c>
      <c r="H3400" s="90">
        <v>0.59</v>
      </c>
      <c r="I3400" s="90">
        <v>0.64</v>
      </c>
      <c r="J3400" s="90" t="s">
        <v>244</v>
      </c>
      <c r="K3400" s="90">
        <v>7.4854371263950004E-2</v>
      </c>
      <c r="L3400" s="90">
        <v>2593.3183217431801</v>
      </c>
      <c r="M3400" s="90">
        <v>6.49663609627539</v>
      </c>
      <c r="N3400" s="90">
        <v>0.95657697543445996</v>
      </c>
      <c r="O3400" s="90">
        <v>0.48630161031740998</v>
      </c>
      <c r="P3400" s="90">
        <v>7.1603968061719994E-2</v>
      </c>
      <c r="Q3400" s="90">
        <v>194.12121246138099</v>
      </c>
      <c r="R3400" s="90">
        <v>1210</v>
      </c>
      <c r="S3400" s="90" t="s">
        <v>385</v>
      </c>
      <c r="T3400" s="90">
        <v>1210</v>
      </c>
      <c r="U3400" s="90" t="s">
        <v>378</v>
      </c>
      <c r="V3400" s="90" t="s">
        <v>244</v>
      </c>
      <c r="Z3400" s="90">
        <v>0</v>
      </c>
      <c r="AA3400" s="90">
        <v>1</v>
      </c>
      <c r="AB3400" s="90">
        <v>0.48630161031740998</v>
      </c>
      <c r="AC3400" s="90">
        <v>7.1603968061719994E-2</v>
      </c>
      <c r="AD3400" s="90">
        <v>769.90295393858503</v>
      </c>
      <c r="AF3400" s="90">
        <v>-1</v>
      </c>
      <c r="AG3400" s="90">
        <v>-1</v>
      </c>
      <c r="AH3400" s="90">
        <v>-1</v>
      </c>
      <c r="AI3400" s="90">
        <v>-1</v>
      </c>
      <c r="AJ3400" s="90">
        <v>0</v>
      </c>
      <c r="AM3400" s="90" t="s">
        <v>379</v>
      </c>
      <c r="AN3400" s="90">
        <v>-1</v>
      </c>
      <c r="AQ3400" s="90">
        <v>363</v>
      </c>
      <c r="AR3400" s="90" t="s">
        <v>438</v>
      </c>
      <c r="AS3400" s="90" t="s">
        <v>260</v>
      </c>
      <c r="AT3400" s="90" t="s">
        <v>244</v>
      </c>
      <c r="AU3400" s="90">
        <v>2.7417280000000002</v>
      </c>
      <c r="AV3400" s="90">
        <v>74.610744283557196</v>
      </c>
      <c r="AW3400" s="90">
        <v>302.92489309425201</v>
      </c>
      <c r="AX3400" s="90">
        <v>0.62441439899999995</v>
      </c>
    </row>
    <row r="3401" spans="1:50" x14ac:dyDescent="0.25">
      <c r="A3401" s="102">
        <v>660000</v>
      </c>
      <c r="B3401" s="102">
        <v>2400000</v>
      </c>
      <c r="C3401" s="102">
        <v>2400000</v>
      </c>
      <c r="D3401" s="90" t="s">
        <v>374</v>
      </c>
      <c r="E3401" s="90" t="s">
        <v>68</v>
      </c>
      <c r="F3401" s="90" t="s">
        <v>375</v>
      </c>
      <c r="G3401" s="90" t="s">
        <v>376</v>
      </c>
      <c r="H3401" s="90">
        <v>0.59</v>
      </c>
      <c r="I3401" s="90">
        <v>0.64</v>
      </c>
      <c r="J3401" s="90" t="s">
        <v>244</v>
      </c>
      <c r="K3401" s="90">
        <v>2.3069395540299999E-3</v>
      </c>
      <c r="L3401" s="90">
        <v>2593.3183217431801</v>
      </c>
      <c r="M3401" s="90">
        <v>6.49663609627539</v>
      </c>
      <c r="N3401" s="90">
        <v>0.95657697543445996</v>
      </c>
      <c r="O3401" s="90">
        <v>1.4987346778679999E-2</v>
      </c>
      <c r="P3401" s="90">
        <v>2.2067652611099998E-3</v>
      </c>
      <c r="Q3401" s="90">
        <v>5.9826286126407897</v>
      </c>
      <c r="R3401" s="90">
        <v>1210</v>
      </c>
      <c r="S3401" s="90" t="s">
        <v>385</v>
      </c>
      <c r="T3401" s="90">
        <v>1210</v>
      </c>
      <c r="U3401" s="90" t="s">
        <v>378</v>
      </c>
      <c r="V3401" s="90" t="s">
        <v>244</v>
      </c>
      <c r="Z3401" s="90">
        <v>0</v>
      </c>
      <c r="AA3401" s="90">
        <v>1</v>
      </c>
      <c r="AB3401" s="90">
        <v>1.4987346778679999E-2</v>
      </c>
      <c r="AC3401" s="90">
        <v>2.2067652611099998E-3</v>
      </c>
      <c r="AD3401" s="90">
        <v>78.369315373714898</v>
      </c>
      <c r="AF3401" s="90">
        <v>-1</v>
      </c>
      <c r="AG3401" s="90">
        <v>-1</v>
      </c>
      <c r="AH3401" s="90">
        <v>-1</v>
      </c>
      <c r="AI3401" s="90">
        <v>-1</v>
      </c>
      <c r="AJ3401" s="90">
        <v>0</v>
      </c>
      <c r="AM3401" s="90" t="s">
        <v>379</v>
      </c>
      <c r="AN3401" s="90">
        <v>-1</v>
      </c>
      <c r="AQ3401" s="90">
        <v>363</v>
      </c>
      <c r="AR3401" s="90" t="s">
        <v>438</v>
      </c>
      <c r="AS3401" s="90" t="s">
        <v>260</v>
      </c>
      <c r="AT3401" s="90" t="s">
        <v>244</v>
      </c>
      <c r="AU3401" s="90">
        <v>2.7417280000000002</v>
      </c>
      <c r="AV3401" s="90">
        <v>14.7190745188554</v>
      </c>
      <c r="AW3401" s="90">
        <v>9.3358531503466509</v>
      </c>
      <c r="AX3401" s="90">
        <v>6.3559866500000006E-2</v>
      </c>
    </row>
    <row r="3402" spans="1:50" x14ac:dyDescent="0.25">
      <c r="A3402" s="102">
        <v>660000</v>
      </c>
      <c r="B3402" s="102">
        <v>2400000</v>
      </c>
      <c r="C3402" s="102">
        <v>2400000</v>
      </c>
      <c r="D3402" s="90" t="s">
        <v>374</v>
      </c>
      <c r="E3402" s="90" t="s">
        <v>68</v>
      </c>
      <c r="F3402" s="90" t="s">
        <v>375</v>
      </c>
      <c r="G3402" s="90" t="s">
        <v>376</v>
      </c>
      <c r="H3402" s="90">
        <v>0.59</v>
      </c>
      <c r="I3402" s="90">
        <v>0.64</v>
      </c>
      <c r="J3402" s="90" t="s">
        <v>244</v>
      </c>
      <c r="K3402" s="102">
        <v>1.481880814E-6</v>
      </c>
      <c r="L3402" s="90">
        <v>3607.7600892952801</v>
      </c>
      <c r="M3402" s="90">
        <v>8.9907539672503791</v>
      </c>
      <c r="N3402" s="90">
        <v>1.3222196492799401</v>
      </c>
      <c r="O3402" s="90">
        <v>1.3323225799999999E-5</v>
      </c>
      <c r="P3402" s="102">
        <v>1.959371930162E-6</v>
      </c>
      <c r="Q3402" s="90">
        <v>5.3462704578399996E-3</v>
      </c>
      <c r="R3402" s="90">
        <v>1210</v>
      </c>
      <c r="S3402" s="90" t="s">
        <v>385</v>
      </c>
      <c r="T3402" s="90">
        <v>1210</v>
      </c>
      <c r="U3402" s="90" t="s">
        <v>378</v>
      </c>
      <c r="V3402" s="90" t="s">
        <v>244</v>
      </c>
      <c r="Z3402" s="90">
        <v>0</v>
      </c>
      <c r="AA3402" s="90">
        <v>1</v>
      </c>
      <c r="AB3402" s="90">
        <v>1.3323225799999999E-5</v>
      </c>
      <c r="AC3402" s="102">
        <v>1.959371930162E-6</v>
      </c>
      <c r="AD3402" s="90">
        <v>70.962667887520695</v>
      </c>
      <c r="AF3402" s="90">
        <v>-1</v>
      </c>
      <c r="AG3402" s="90">
        <v>-1</v>
      </c>
      <c r="AH3402" s="90">
        <v>-1</v>
      </c>
      <c r="AI3402" s="90">
        <v>-1</v>
      </c>
      <c r="AJ3402" s="90">
        <v>0</v>
      </c>
      <c r="AM3402" s="90" t="s">
        <v>379</v>
      </c>
      <c r="AN3402" s="90">
        <v>-1</v>
      </c>
      <c r="AQ3402" s="90">
        <v>363</v>
      </c>
      <c r="AR3402" s="90" t="s">
        <v>438</v>
      </c>
      <c r="AS3402" s="90" t="s">
        <v>260</v>
      </c>
      <c r="AT3402" s="90" t="s">
        <v>244</v>
      </c>
      <c r="AU3402" s="90">
        <v>2.7417280000000002</v>
      </c>
      <c r="AV3402" s="90">
        <v>0.38327002492047002</v>
      </c>
      <c r="AW3402" s="90">
        <v>5.9969588913199997E-3</v>
      </c>
      <c r="AX3402" s="90">
        <v>5.7552853100000002E-2</v>
      </c>
    </row>
    <row r="3403" spans="1:50" x14ac:dyDescent="0.25">
      <c r="A3403" s="102">
        <v>660000</v>
      </c>
      <c r="B3403" s="102">
        <v>2400000</v>
      </c>
      <c r="C3403" s="102">
        <v>2400000</v>
      </c>
      <c r="D3403" s="90" t="s">
        <v>374</v>
      </c>
      <c r="E3403" s="90" t="s">
        <v>68</v>
      </c>
      <c r="F3403" s="90" t="s">
        <v>375</v>
      </c>
      <c r="G3403" s="90" t="s">
        <v>376</v>
      </c>
      <c r="H3403" s="90">
        <v>0.59</v>
      </c>
      <c r="I3403" s="90">
        <v>0.64</v>
      </c>
      <c r="J3403" s="90" t="s">
        <v>244</v>
      </c>
      <c r="K3403" s="90">
        <v>5.1572866138670001E-2</v>
      </c>
      <c r="L3403" s="90">
        <v>2471.6386299568298</v>
      </c>
      <c r="M3403" s="90">
        <v>6.0933685828395303</v>
      </c>
      <c r="N3403" s="90">
        <v>0.89387086141280003</v>
      </c>
      <c r="O3403" s="90">
        <v>0.31425248225635999</v>
      </c>
      <c r="P3403" s="90">
        <v>4.6099482280900002E-2</v>
      </c>
      <c r="Q3403" s="90">
        <v>127.469488205931</v>
      </c>
      <c r="R3403" s="90">
        <v>1210</v>
      </c>
      <c r="S3403" s="90" t="s">
        <v>385</v>
      </c>
      <c r="T3403" s="90">
        <v>1210</v>
      </c>
      <c r="U3403" s="90" t="s">
        <v>378</v>
      </c>
      <c r="V3403" s="90" t="s">
        <v>244</v>
      </c>
      <c r="Z3403" s="90">
        <v>0</v>
      </c>
      <c r="AA3403" s="90">
        <v>1</v>
      </c>
      <c r="AB3403" s="90">
        <v>0.31425248225635999</v>
      </c>
      <c r="AC3403" s="90">
        <v>4.6099482280900002E-2</v>
      </c>
      <c r="AD3403" s="90">
        <v>370.44571032529001</v>
      </c>
      <c r="AF3403" s="90">
        <v>-1</v>
      </c>
      <c r="AG3403" s="90">
        <v>-1</v>
      </c>
      <c r="AH3403" s="90">
        <v>-1</v>
      </c>
      <c r="AI3403" s="90">
        <v>-1</v>
      </c>
      <c r="AJ3403" s="90">
        <v>0</v>
      </c>
      <c r="AM3403" s="90" t="s">
        <v>379</v>
      </c>
      <c r="AN3403" s="90">
        <v>-1</v>
      </c>
      <c r="AQ3403" s="90">
        <v>363</v>
      </c>
      <c r="AR3403" s="90" t="s">
        <v>438</v>
      </c>
      <c r="AS3403" s="90" t="s">
        <v>260</v>
      </c>
      <c r="AT3403" s="90" t="s">
        <v>244</v>
      </c>
      <c r="AU3403" s="90">
        <v>2.7417280000000002</v>
      </c>
      <c r="AV3403" s="90">
        <v>59.376393358202698</v>
      </c>
      <c r="AW3403" s="90">
        <v>208.70798455485399</v>
      </c>
      <c r="AX3403" s="90">
        <v>0.30044258740000002</v>
      </c>
    </row>
    <row r="3404" spans="1:50" x14ac:dyDescent="0.25">
      <c r="A3404" s="102">
        <v>660000</v>
      </c>
      <c r="B3404" s="102">
        <v>2400000</v>
      </c>
      <c r="C3404" s="102">
        <v>2400000</v>
      </c>
      <c r="D3404" s="90" t="s">
        <v>374</v>
      </c>
      <c r="E3404" s="90" t="s">
        <v>68</v>
      </c>
      <c r="F3404" s="90" t="s">
        <v>375</v>
      </c>
      <c r="G3404" s="90" t="s">
        <v>376</v>
      </c>
      <c r="H3404" s="90">
        <v>0.59</v>
      </c>
      <c r="I3404" s="90">
        <v>0.64</v>
      </c>
      <c r="J3404" s="90" t="s">
        <v>244</v>
      </c>
      <c r="K3404" s="90">
        <v>2.088606944147E-2</v>
      </c>
      <c r="L3404" s="90">
        <v>2471.6386299568298</v>
      </c>
      <c r="M3404" s="90">
        <v>6.0933685828395303</v>
      </c>
      <c r="N3404" s="90">
        <v>0.89387086141280003</v>
      </c>
      <c r="O3404" s="90">
        <v>0.12726651935366001</v>
      </c>
      <c r="P3404" s="90">
        <v>1.8669448883170001E-2</v>
      </c>
      <c r="Q3404" s="90">
        <v>51.6228160595006</v>
      </c>
      <c r="R3404" s="90">
        <v>1210</v>
      </c>
      <c r="S3404" s="90" t="s">
        <v>385</v>
      </c>
      <c r="T3404" s="90">
        <v>1210</v>
      </c>
      <c r="U3404" s="90" t="s">
        <v>378</v>
      </c>
      <c r="V3404" s="90" t="s">
        <v>244</v>
      </c>
      <c r="Z3404" s="90">
        <v>0</v>
      </c>
      <c r="AA3404" s="90">
        <v>1</v>
      </c>
      <c r="AB3404" s="90">
        <v>0.12726651935366001</v>
      </c>
      <c r="AC3404" s="90">
        <v>1.8669448883170001E-2</v>
      </c>
      <c r="AD3404" s="90">
        <v>139.542024512588</v>
      </c>
      <c r="AF3404" s="90">
        <v>-1</v>
      </c>
      <c r="AG3404" s="90">
        <v>-1</v>
      </c>
      <c r="AH3404" s="90">
        <v>-1</v>
      </c>
      <c r="AI3404" s="90">
        <v>-1</v>
      </c>
      <c r="AJ3404" s="90">
        <v>0</v>
      </c>
      <c r="AM3404" s="90" t="s">
        <v>379</v>
      </c>
      <c r="AN3404" s="90">
        <v>-1</v>
      </c>
      <c r="AQ3404" s="90">
        <v>363</v>
      </c>
      <c r="AR3404" s="90" t="s">
        <v>438</v>
      </c>
      <c r="AS3404" s="90" t="s">
        <v>260</v>
      </c>
      <c r="AT3404" s="90" t="s">
        <v>244</v>
      </c>
      <c r="AU3404" s="90">
        <v>2.7417280000000002</v>
      </c>
      <c r="AV3404" s="90">
        <v>41.435864679685999</v>
      </c>
      <c r="AW3404" s="90">
        <v>84.5229242579112</v>
      </c>
      <c r="AX3404" s="90">
        <v>0.1131727693</v>
      </c>
    </row>
    <row r="3405" spans="1:50" x14ac:dyDescent="0.25">
      <c r="A3405" s="102">
        <v>660000</v>
      </c>
      <c r="B3405" s="102">
        <v>2400000</v>
      </c>
      <c r="C3405" s="102">
        <v>2400000</v>
      </c>
      <c r="D3405" s="90" t="s">
        <v>374</v>
      </c>
      <c r="E3405" s="90" t="s">
        <v>68</v>
      </c>
      <c r="F3405" s="90" t="s">
        <v>375</v>
      </c>
      <c r="G3405" s="90" t="s">
        <v>376</v>
      </c>
      <c r="H3405" s="90">
        <v>0.59</v>
      </c>
      <c r="I3405" s="90">
        <v>0.64</v>
      </c>
      <c r="J3405" s="90" t="s">
        <v>244</v>
      </c>
      <c r="K3405" s="90">
        <v>6.6554256231570005E-2</v>
      </c>
      <c r="L3405" s="90">
        <v>2471.6386299568298</v>
      </c>
      <c r="M3405" s="90">
        <v>6.0933685828395303</v>
      </c>
      <c r="N3405" s="90">
        <v>0.89387086141280003</v>
      </c>
      <c r="O3405" s="90">
        <v>0.40553961397570998</v>
      </c>
      <c r="P3405" s="90">
        <v>5.9490910348399997E-2</v>
      </c>
      <c r="Q3405" s="90">
        <v>164.498070689998</v>
      </c>
      <c r="R3405" s="90">
        <v>1210</v>
      </c>
      <c r="S3405" s="90" t="s">
        <v>385</v>
      </c>
      <c r="T3405" s="90">
        <v>1210</v>
      </c>
      <c r="U3405" s="90" t="s">
        <v>378</v>
      </c>
      <c r="V3405" s="90" t="s">
        <v>244</v>
      </c>
      <c r="Z3405" s="90">
        <v>0</v>
      </c>
      <c r="AA3405" s="90">
        <v>1</v>
      </c>
      <c r="AB3405" s="90">
        <v>0.40553961397570998</v>
      </c>
      <c r="AC3405" s="90">
        <v>5.9490910348399997E-2</v>
      </c>
      <c r="AD3405" s="90">
        <v>417.29727924610802</v>
      </c>
      <c r="AF3405" s="90">
        <v>-1</v>
      </c>
      <c r="AG3405" s="90">
        <v>-1</v>
      </c>
      <c r="AH3405" s="90">
        <v>-1</v>
      </c>
      <c r="AI3405" s="90">
        <v>-1</v>
      </c>
      <c r="AJ3405" s="90">
        <v>0</v>
      </c>
      <c r="AM3405" s="90" t="s">
        <v>379</v>
      </c>
      <c r="AN3405" s="90">
        <v>-1</v>
      </c>
      <c r="AQ3405" s="90">
        <v>363</v>
      </c>
      <c r="AR3405" s="90" t="s">
        <v>438</v>
      </c>
      <c r="AS3405" s="90" t="s">
        <v>260</v>
      </c>
      <c r="AT3405" s="90" t="s">
        <v>244</v>
      </c>
      <c r="AU3405" s="90">
        <v>2.7417280000000002</v>
      </c>
      <c r="AV3405" s="90">
        <v>71.585708137730705</v>
      </c>
      <c r="AW3405" s="90">
        <v>269.33551926879301</v>
      </c>
      <c r="AX3405" s="90">
        <v>0.33844061580000001</v>
      </c>
    </row>
    <row r="3406" spans="1:50" x14ac:dyDescent="0.25">
      <c r="A3406" s="102">
        <v>660000</v>
      </c>
      <c r="B3406" s="102">
        <v>2400000</v>
      </c>
      <c r="C3406" s="102">
        <v>2400000</v>
      </c>
      <c r="D3406" s="90" t="s">
        <v>374</v>
      </c>
      <c r="E3406" s="90" t="s">
        <v>68</v>
      </c>
      <c r="F3406" s="90" t="s">
        <v>375</v>
      </c>
      <c r="G3406" s="90" t="s">
        <v>376</v>
      </c>
      <c r="H3406" s="90">
        <v>0.59</v>
      </c>
      <c r="I3406" s="90">
        <v>0.64</v>
      </c>
      <c r="J3406" s="90" t="s">
        <v>244</v>
      </c>
      <c r="K3406" s="90">
        <v>0.19187997468189999</v>
      </c>
      <c r="L3406" s="90">
        <v>3718.8488312355398</v>
      </c>
      <c r="M3406" s="90">
        <v>9.2672581901262401</v>
      </c>
      <c r="N3406" s="90">
        <v>1.36287216632592</v>
      </c>
      <c r="O3406" s="90">
        <v>1.7782012668921201</v>
      </c>
      <c r="P3406" s="90">
        <v>0.26150787676928999</v>
      </c>
      <c r="Q3406" s="90">
        <v>713.57261958331901</v>
      </c>
      <c r="R3406" s="90">
        <v>1200</v>
      </c>
      <c r="S3406" s="90" t="s">
        <v>384</v>
      </c>
      <c r="T3406" s="90">
        <v>1200</v>
      </c>
      <c r="U3406" s="90" t="s">
        <v>378</v>
      </c>
      <c r="V3406" s="90" t="s">
        <v>244</v>
      </c>
      <c r="Z3406" s="90">
        <v>0</v>
      </c>
      <c r="AA3406" s="90">
        <v>1</v>
      </c>
      <c r="AB3406" s="90">
        <v>1.7782012668921201</v>
      </c>
      <c r="AC3406" s="90">
        <v>0.26150787676928999</v>
      </c>
      <c r="AD3406" s="90">
        <v>713.57261958331901</v>
      </c>
      <c r="AF3406" s="90">
        <v>-1</v>
      </c>
      <c r="AG3406" s="90">
        <v>-1</v>
      </c>
      <c r="AH3406" s="90">
        <v>-1</v>
      </c>
      <c r="AI3406" s="90">
        <v>-1</v>
      </c>
      <c r="AJ3406" s="90">
        <v>0</v>
      </c>
      <c r="AM3406" s="90" t="s">
        <v>379</v>
      </c>
      <c r="AN3406" s="90">
        <v>-1</v>
      </c>
      <c r="AQ3406" s="90">
        <v>363</v>
      </c>
      <c r="AR3406" s="90" t="s">
        <v>438</v>
      </c>
      <c r="AS3406" s="90" t="s">
        <v>260</v>
      </c>
      <c r="AT3406" s="90" t="s">
        <v>244</v>
      </c>
      <c r="AU3406" s="90">
        <v>2.7417280000000002</v>
      </c>
      <c r="AV3406" s="90">
        <v>109.109923635858</v>
      </c>
      <c r="AW3406" s="90">
        <v>776.51070787142805</v>
      </c>
      <c r="AX3406" s="90">
        <v>0.57872880739999999</v>
      </c>
    </row>
    <row r="3407" spans="1:50" x14ac:dyDescent="0.25">
      <c r="A3407" s="102">
        <v>660000</v>
      </c>
      <c r="B3407" s="102">
        <v>2400000</v>
      </c>
      <c r="C3407" s="102">
        <v>2400000</v>
      </c>
      <c r="D3407" s="90" t="s">
        <v>374</v>
      </c>
      <c r="E3407" s="90" t="s">
        <v>68</v>
      </c>
      <c r="F3407" s="90" t="s">
        <v>375</v>
      </c>
      <c r="G3407" s="90" t="s">
        <v>376</v>
      </c>
      <c r="H3407" s="90">
        <v>0.59</v>
      </c>
      <c r="I3407" s="90">
        <v>0.64</v>
      </c>
      <c r="J3407" s="90" t="s">
        <v>244</v>
      </c>
      <c r="K3407" s="90">
        <v>2.2837010915699998E-3</v>
      </c>
      <c r="L3407" s="90">
        <v>3718.8488312355398</v>
      </c>
      <c r="M3407" s="90">
        <v>9.2672581901262401</v>
      </c>
      <c r="N3407" s="90">
        <v>1.36287216632592</v>
      </c>
      <c r="O3407" s="90">
        <v>2.116364764472E-2</v>
      </c>
      <c r="P3407" s="90">
        <v>3.11239265392E-3</v>
      </c>
      <c r="Q3407" s="90">
        <v>8.4927391353061701</v>
      </c>
      <c r="R3407" s="90">
        <v>1210</v>
      </c>
      <c r="S3407" s="90" t="s">
        <v>385</v>
      </c>
      <c r="T3407" s="90">
        <v>1210</v>
      </c>
      <c r="U3407" s="90" t="s">
        <v>378</v>
      </c>
      <c r="V3407" s="90" t="s">
        <v>244</v>
      </c>
      <c r="Z3407" s="90">
        <v>0</v>
      </c>
      <c r="AA3407" s="90">
        <v>1</v>
      </c>
      <c r="AB3407" s="90">
        <v>2.116364764472E-2</v>
      </c>
      <c r="AC3407" s="90">
        <v>3.11239265392E-3</v>
      </c>
      <c r="AD3407" s="90">
        <v>8.4927391353074402</v>
      </c>
      <c r="AF3407" s="90">
        <v>-1</v>
      </c>
      <c r="AG3407" s="90">
        <v>-1</v>
      </c>
      <c r="AH3407" s="90">
        <v>-1</v>
      </c>
      <c r="AI3407" s="90">
        <v>-1</v>
      </c>
      <c r="AJ3407" s="90">
        <v>0</v>
      </c>
      <c r="AM3407" s="90" t="s">
        <v>379</v>
      </c>
      <c r="AN3407" s="90">
        <v>-1</v>
      </c>
      <c r="AQ3407" s="90">
        <v>363</v>
      </c>
      <c r="AR3407" s="90" t="s">
        <v>438</v>
      </c>
      <c r="AS3407" s="90" t="s">
        <v>260</v>
      </c>
      <c r="AT3407" s="90" t="s">
        <v>244</v>
      </c>
      <c r="AU3407" s="90">
        <v>2.7417280000000002</v>
      </c>
      <c r="AV3407" s="90">
        <v>23.033336509427802</v>
      </c>
      <c r="AW3407" s="90">
        <v>9.2418104292956702</v>
      </c>
      <c r="AX3407" s="90">
        <v>6.8878663E-3</v>
      </c>
    </row>
    <row r="3408" spans="1:50" x14ac:dyDescent="0.25">
      <c r="A3408" s="102">
        <v>660000</v>
      </c>
      <c r="B3408" s="102">
        <v>2400000</v>
      </c>
      <c r="C3408" s="102">
        <v>2400000</v>
      </c>
      <c r="D3408" s="90" t="s">
        <v>374</v>
      </c>
      <c r="E3408" s="90" t="s">
        <v>68</v>
      </c>
      <c r="F3408" s="90" t="s">
        <v>375</v>
      </c>
      <c r="G3408" s="90" t="s">
        <v>376</v>
      </c>
      <c r="H3408" s="90">
        <v>0.59</v>
      </c>
      <c r="I3408" s="90">
        <v>0.64</v>
      </c>
      <c r="J3408" s="90" t="s">
        <v>244</v>
      </c>
      <c r="K3408" s="90">
        <v>3.0604524357000001E-4</v>
      </c>
      <c r="L3408" s="90">
        <v>3718.8488312355398</v>
      </c>
      <c r="M3408" s="90">
        <v>9.2672581901262401</v>
      </c>
      <c r="N3408" s="90">
        <v>1.36287216632592</v>
      </c>
      <c r="O3408" s="90">
        <v>2.8362002900500002E-3</v>
      </c>
      <c r="P3408" s="90">
        <v>4.1710054409999997E-4</v>
      </c>
      <c r="Q3408" s="90">
        <v>1.13813599636664</v>
      </c>
      <c r="R3408" s="90">
        <v>1210</v>
      </c>
      <c r="S3408" s="90" t="s">
        <v>385</v>
      </c>
      <c r="T3408" s="90">
        <v>1210</v>
      </c>
      <c r="U3408" s="90" t="s">
        <v>378</v>
      </c>
      <c r="V3408" s="90" t="s">
        <v>244</v>
      </c>
      <c r="Z3408" s="90">
        <v>0</v>
      </c>
      <c r="AA3408" s="90">
        <v>1</v>
      </c>
      <c r="AB3408" s="90">
        <v>2.8362002900500002E-3</v>
      </c>
      <c r="AC3408" s="90">
        <v>4.1710054409999997E-4</v>
      </c>
      <c r="AD3408" s="90">
        <v>1.1381359963659601</v>
      </c>
      <c r="AF3408" s="90">
        <v>-1</v>
      </c>
      <c r="AG3408" s="90">
        <v>-1</v>
      </c>
      <c r="AH3408" s="90">
        <v>-1</v>
      </c>
      <c r="AI3408" s="90">
        <v>-1</v>
      </c>
      <c r="AJ3408" s="90">
        <v>0</v>
      </c>
      <c r="AM3408" s="90" t="s">
        <v>379</v>
      </c>
      <c r="AN3408" s="90">
        <v>-1</v>
      </c>
      <c r="AQ3408" s="90">
        <v>363</v>
      </c>
      <c r="AR3408" s="90" t="s">
        <v>438</v>
      </c>
      <c r="AS3408" s="90" t="s">
        <v>260</v>
      </c>
      <c r="AT3408" s="90" t="s">
        <v>244</v>
      </c>
      <c r="AU3408" s="90">
        <v>2.7417280000000002</v>
      </c>
      <c r="AV3408" s="90">
        <v>16.074246320880398</v>
      </c>
      <c r="AW3408" s="90">
        <v>1.23852115949762</v>
      </c>
      <c r="AX3408" s="90">
        <v>9.2306240000000002E-4</v>
      </c>
    </row>
    <row r="3409" spans="1:50" x14ac:dyDescent="0.25">
      <c r="A3409" s="102">
        <v>660000</v>
      </c>
      <c r="B3409" s="102">
        <v>2400000</v>
      </c>
      <c r="C3409" s="102">
        <v>2400000</v>
      </c>
      <c r="D3409" s="90" t="s">
        <v>374</v>
      </c>
      <c r="E3409" s="90" t="s">
        <v>68</v>
      </c>
      <c r="F3409" s="90" t="s">
        <v>375</v>
      </c>
      <c r="G3409" s="90" t="s">
        <v>376</v>
      </c>
      <c r="H3409" s="90">
        <v>0.59</v>
      </c>
      <c r="I3409" s="90">
        <v>0.64</v>
      </c>
      <c r="J3409" s="90" t="s">
        <v>244</v>
      </c>
      <c r="K3409" s="90">
        <v>6.161235974109E-2</v>
      </c>
      <c r="L3409" s="90">
        <v>3718.8488312355398</v>
      </c>
      <c r="M3409" s="90">
        <v>9.2672581901262401</v>
      </c>
      <c r="N3409" s="90">
        <v>1.36287216632592</v>
      </c>
      <c r="O3409" s="90">
        <v>0.57097764542368001</v>
      </c>
      <c r="P3409" s="90">
        <v>8.3969770192799997E-2</v>
      </c>
      <c r="Q3409" s="90">
        <v>229.127052012842</v>
      </c>
      <c r="R3409" s="90">
        <v>1210</v>
      </c>
      <c r="S3409" s="90" t="s">
        <v>385</v>
      </c>
      <c r="T3409" s="90">
        <v>1210</v>
      </c>
      <c r="U3409" s="90" t="s">
        <v>378</v>
      </c>
      <c r="V3409" s="90" t="s">
        <v>244</v>
      </c>
      <c r="Z3409" s="90">
        <v>0</v>
      </c>
      <c r="AA3409" s="90">
        <v>1</v>
      </c>
      <c r="AB3409" s="90">
        <v>0.57097764542368001</v>
      </c>
      <c r="AC3409" s="90">
        <v>8.3969770192799997E-2</v>
      </c>
      <c r="AD3409" s="90">
        <v>229.127052012843</v>
      </c>
      <c r="AF3409" s="90">
        <v>-1</v>
      </c>
      <c r="AG3409" s="90">
        <v>-1</v>
      </c>
      <c r="AH3409" s="90">
        <v>-1</v>
      </c>
      <c r="AI3409" s="90">
        <v>-1</v>
      </c>
      <c r="AJ3409" s="90">
        <v>0</v>
      </c>
      <c r="AM3409" s="90" t="s">
        <v>379</v>
      </c>
      <c r="AN3409" s="90">
        <v>-1</v>
      </c>
      <c r="AQ3409" s="90">
        <v>363</v>
      </c>
      <c r="AR3409" s="90" t="s">
        <v>438</v>
      </c>
      <c r="AS3409" s="90" t="s">
        <v>260</v>
      </c>
      <c r="AT3409" s="90" t="s">
        <v>244</v>
      </c>
      <c r="AU3409" s="90">
        <v>2.7417280000000002</v>
      </c>
      <c r="AV3409" s="90">
        <v>69.327757862477299</v>
      </c>
      <c r="AW3409" s="90">
        <v>249.33637371747801</v>
      </c>
      <c r="AX3409" s="90">
        <v>0.1858289149</v>
      </c>
    </row>
    <row r="3410" spans="1:50" x14ac:dyDescent="0.25">
      <c r="A3410" s="102">
        <v>660000</v>
      </c>
      <c r="B3410" s="102">
        <v>2400000</v>
      </c>
      <c r="C3410" s="102">
        <v>2400000</v>
      </c>
      <c r="D3410" s="90" t="s">
        <v>374</v>
      </c>
      <c r="E3410" s="90" t="s">
        <v>68</v>
      </c>
      <c r="F3410" s="90" t="s">
        <v>375</v>
      </c>
      <c r="G3410" s="90" t="s">
        <v>376</v>
      </c>
      <c r="H3410" s="90">
        <v>0.59</v>
      </c>
      <c r="I3410" s="90">
        <v>0.64</v>
      </c>
      <c r="J3410" s="90" t="s">
        <v>244</v>
      </c>
      <c r="K3410" s="90">
        <v>2.2932267927469999E-2</v>
      </c>
      <c r="L3410" s="90">
        <v>3718.8488312355398</v>
      </c>
      <c r="M3410" s="90">
        <v>9.2672581901262401</v>
      </c>
      <c r="N3410" s="90">
        <v>1.36287216632592</v>
      </c>
      <c r="O3410" s="90">
        <v>0.21251924776903</v>
      </c>
      <c r="P3410" s="90">
        <v>3.1253749669079997E-2</v>
      </c>
      <c r="Q3410" s="90">
        <v>85.281637779659505</v>
      </c>
      <c r="R3410" s="90">
        <v>1210</v>
      </c>
      <c r="S3410" s="90" t="s">
        <v>385</v>
      </c>
      <c r="T3410" s="90">
        <v>1210</v>
      </c>
      <c r="U3410" s="90" t="s">
        <v>378</v>
      </c>
      <c r="V3410" s="90" t="s">
        <v>244</v>
      </c>
      <c r="Z3410" s="90">
        <v>0</v>
      </c>
      <c r="AA3410" s="90">
        <v>1</v>
      </c>
      <c r="AB3410" s="90">
        <v>0.21251924776903</v>
      </c>
      <c r="AC3410" s="90">
        <v>3.1253749669079997E-2</v>
      </c>
      <c r="AD3410" s="90">
        <v>85.281637779660301</v>
      </c>
      <c r="AF3410" s="90">
        <v>-1</v>
      </c>
      <c r="AG3410" s="90">
        <v>-1</v>
      </c>
      <c r="AH3410" s="90">
        <v>-1</v>
      </c>
      <c r="AI3410" s="90">
        <v>-1</v>
      </c>
      <c r="AJ3410" s="90">
        <v>0</v>
      </c>
      <c r="AM3410" s="90" t="s">
        <v>379</v>
      </c>
      <c r="AN3410" s="90">
        <v>-1</v>
      </c>
      <c r="AQ3410" s="90">
        <v>363</v>
      </c>
      <c r="AR3410" s="90" t="s">
        <v>438</v>
      </c>
      <c r="AS3410" s="90" t="s">
        <v>260</v>
      </c>
      <c r="AT3410" s="90" t="s">
        <v>244</v>
      </c>
      <c r="AU3410" s="90">
        <v>2.7417280000000002</v>
      </c>
      <c r="AV3410" s="90">
        <v>55.585370168903403</v>
      </c>
      <c r="AW3410" s="90">
        <v>92.803595742488397</v>
      </c>
      <c r="AX3410" s="90">
        <v>6.91659674E-2</v>
      </c>
    </row>
    <row r="3411" spans="1:50" x14ac:dyDescent="0.25">
      <c r="A3411" s="102">
        <v>660000</v>
      </c>
      <c r="B3411" s="102">
        <v>2400000</v>
      </c>
      <c r="C3411" s="102">
        <v>2400000</v>
      </c>
      <c r="D3411" s="90" t="s">
        <v>374</v>
      </c>
      <c r="E3411" s="90" t="s">
        <v>68</v>
      </c>
      <c r="F3411" s="90" t="s">
        <v>375</v>
      </c>
      <c r="G3411" s="90" t="s">
        <v>376</v>
      </c>
      <c r="H3411" s="90">
        <v>0.59</v>
      </c>
      <c r="I3411" s="90">
        <v>0.64</v>
      </c>
      <c r="J3411" s="90" t="s">
        <v>244</v>
      </c>
      <c r="K3411" s="90">
        <v>0.15128171671331</v>
      </c>
      <c r="L3411" s="90">
        <v>3718.8488312355398</v>
      </c>
      <c r="M3411" s="90">
        <v>9.2672581901262401</v>
      </c>
      <c r="N3411" s="90">
        <v>1.36287216632592</v>
      </c>
      <c r="O3411" s="90">
        <v>1.4019667282277799</v>
      </c>
      <c r="P3411" s="90">
        <v>0.20617764098256999</v>
      </c>
      <c r="Q3411" s="90">
        <v>562.59383538660302</v>
      </c>
      <c r="R3411" s="90">
        <v>1210</v>
      </c>
      <c r="S3411" s="90" t="s">
        <v>385</v>
      </c>
      <c r="T3411" s="90">
        <v>1210</v>
      </c>
      <c r="U3411" s="90" t="s">
        <v>378</v>
      </c>
      <c r="V3411" s="90" t="s">
        <v>244</v>
      </c>
      <c r="Z3411" s="90">
        <v>0</v>
      </c>
      <c r="AA3411" s="90">
        <v>1</v>
      </c>
      <c r="AB3411" s="90">
        <v>1.4019667282277799</v>
      </c>
      <c r="AC3411" s="90">
        <v>0.20617764098256999</v>
      </c>
      <c r="AD3411" s="90">
        <v>683.74904645158699</v>
      </c>
      <c r="AF3411" s="90">
        <v>-1</v>
      </c>
      <c r="AG3411" s="90">
        <v>-1</v>
      </c>
      <c r="AH3411" s="90">
        <v>-1</v>
      </c>
      <c r="AI3411" s="90">
        <v>-1</v>
      </c>
      <c r="AJ3411" s="90">
        <v>0</v>
      </c>
      <c r="AM3411" s="90" t="s">
        <v>379</v>
      </c>
      <c r="AN3411" s="90">
        <v>-1</v>
      </c>
      <c r="AQ3411" s="90">
        <v>363</v>
      </c>
      <c r="AR3411" s="90" t="s">
        <v>438</v>
      </c>
      <c r="AS3411" s="90" t="s">
        <v>260</v>
      </c>
      <c r="AT3411" s="90" t="s">
        <v>244</v>
      </c>
      <c r="AU3411" s="90">
        <v>2.7417280000000002</v>
      </c>
      <c r="AV3411" s="90">
        <v>95.039558462204695</v>
      </c>
      <c r="AW3411" s="90">
        <v>612.21538687295799</v>
      </c>
      <c r="AX3411" s="90">
        <v>0.55454099469999996</v>
      </c>
    </row>
    <row r="3412" spans="1:50" x14ac:dyDescent="0.25">
      <c r="A3412" s="102">
        <v>660000</v>
      </c>
      <c r="B3412" s="102">
        <v>2400000</v>
      </c>
      <c r="C3412" s="102">
        <v>2400000</v>
      </c>
      <c r="D3412" s="90" t="s">
        <v>374</v>
      </c>
      <c r="E3412" s="90" t="s">
        <v>68</v>
      </c>
      <c r="F3412" s="90" t="s">
        <v>375</v>
      </c>
      <c r="G3412" s="90" t="s">
        <v>376</v>
      </c>
      <c r="H3412" s="90">
        <v>0.59</v>
      </c>
      <c r="I3412" s="90">
        <v>0.64</v>
      </c>
      <c r="J3412" s="90" t="s">
        <v>244</v>
      </c>
      <c r="K3412" s="90">
        <v>0.11341986584348</v>
      </c>
      <c r="L3412" s="90">
        <v>3718.8488312355398</v>
      </c>
      <c r="M3412" s="90">
        <v>9.2672581901262401</v>
      </c>
      <c r="N3412" s="90">
        <v>1.36287216632592</v>
      </c>
      <c r="O3412" s="90">
        <v>1.0510911806610701</v>
      </c>
      <c r="P3412" s="90">
        <v>0.15457677826649999</v>
      </c>
      <c r="Q3412" s="90">
        <v>421.791335530943</v>
      </c>
      <c r="R3412" s="90">
        <v>1210</v>
      </c>
      <c r="S3412" s="90" t="s">
        <v>385</v>
      </c>
      <c r="T3412" s="90">
        <v>1210</v>
      </c>
      <c r="U3412" s="90" t="s">
        <v>378</v>
      </c>
      <c r="V3412" s="90" t="s">
        <v>244</v>
      </c>
      <c r="Z3412" s="90">
        <v>0</v>
      </c>
      <c r="AA3412" s="90">
        <v>1</v>
      </c>
      <c r="AB3412" s="90">
        <v>1.0510911806610701</v>
      </c>
      <c r="AC3412" s="90">
        <v>0.15457677826649999</v>
      </c>
      <c r="AD3412" s="90">
        <v>576.00766660828697</v>
      </c>
      <c r="AF3412" s="90">
        <v>-1</v>
      </c>
      <c r="AG3412" s="90">
        <v>-1</v>
      </c>
      <c r="AH3412" s="90">
        <v>-1</v>
      </c>
      <c r="AI3412" s="90">
        <v>-1</v>
      </c>
      <c r="AJ3412" s="90">
        <v>0</v>
      </c>
      <c r="AM3412" s="90" t="s">
        <v>379</v>
      </c>
      <c r="AN3412" s="90">
        <v>-1</v>
      </c>
      <c r="AQ3412" s="90">
        <v>363</v>
      </c>
      <c r="AR3412" s="90" t="s">
        <v>438</v>
      </c>
      <c r="AS3412" s="90" t="s">
        <v>260</v>
      </c>
      <c r="AT3412" s="90" t="s">
        <v>244</v>
      </c>
      <c r="AU3412" s="90">
        <v>2.7417280000000002</v>
      </c>
      <c r="AV3412" s="90">
        <v>85.114015422880698</v>
      </c>
      <c r="AW3412" s="90">
        <v>458.99391251646301</v>
      </c>
      <c r="AX3412" s="90">
        <v>0.46715950249999999</v>
      </c>
    </row>
    <row r="3413" spans="1:50" x14ac:dyDescent="0.25">
      <c r="A3413" s="102">
        <v>660000</v>
      </c>
      <c r="B3413" s="102">
        <v>2400000</v>
      </c>
      <c r="C3413" s="102">
        <v>2400000</v>
      </c>
      <c r="D3413" s="90" t="s">
        <v>374</v>
      </c>
      <c r="E3413" s="90" t="s">
        <v>68</v>
      </c>
      <c r="F3413" s="90" t="s">
        <v>375</v>
      </c>
      <c r="G3413" s="90" t="s">
        <v>376</v>
      </c>
      <c r="H3413" s="90">
        <v>0.59</v>
      </c>
      <c r="I3413" s="90">
        <v>0.64</v>
      </c>
      <c r="J3413" s="90" t="s">
        <v>244</v>
      </c>
      <c r="K3413" s="90">
        <v>1.08318406129E-3</v>
      </c>
      <c r="L3413" s="90">
        <v>459.63917443044699</v>
      </c>
      <c r="M3413" s="90">
        <v>1.18603625045021</v>
      </c>
      <c r="N3413" s="90">
        <v>0.17580312924777</v>
      </c>
      <c r="O3413" s="90">
        <v>1.2846955626E-3</v>
      </c>
      <c r="P3413" s="90">
        <v>1.9042714752E-4</v>
      </c>
      <c r="Q3413" s="90">
        <v>0.49787382769076999</v>
      </c>
      <c r="R3413" s="90">
        <v>1210</v>
      </c>
      <c r="S3413" s="90" t="s">
        <v>385</v>
      </c>
      <c r="T3413" s="90">
        <v>1210</v>
      </c>
      <c r="U3413" s="90" t="s">
        <v>378</v>
      </c>
      <c r="V3413" s="90" t="s">
        <v>244</v>
      </c>
      <c r="Z3413" s="90">
        <v>0</v>
      </c>
      <c r="AA3413" s="90">
        <v>1</v>
      </c>
      <c r="AB3413" s="90">
        <v>1.2846955626E-3</v>
      </c>
      <c r="AC3413" s="90">
        <v>1.9042714752E-4</v>
      </c>
      <c r="AD3413" s="90">
        <v>22.836860701597299</v>
      </c>
      <c r="AF3413" s="90">
        <v>-1</v>
      </c>
      <c r="AG3413" s="90">
        <v>-1</v>
      </c>
      <c r="AH3413" s="90">
        <v>-1</v>
      </c>
      <c r="AI3413" s="90">
        <v>-1</v>
      </c>
      <c r="AJ3413" s="90">
        <v>0</v>
      </c>
      <c r="AM3413" s="90" t="s">
        <v>379</v>
      </c>
      <c r="AN3413" s="90">
        <v>-1</v>
      </c>
      <c r="AQ3413" s="90">
        <v>363</v>
      </c>
      <c r="AR3413" s="90" t="s">
        <v>438</v>
      </c>
      <c r="AS3413" s="90" t="s">
        <v>260</v>
      </c>
      <c r="AT3413" s="90" t="s">
        <v>244</v>
      </c>
      <c r="AU3413" s="90">
        <v>2.7417280000000002</v>
      </c>
      <c r="AV3413" s="90">
        <v>10.0099195691901</v>
      </c>
      <c r="AW3413" s="90">
        <v>4.3834903751006999</v>
      </c>
      <c r="AX3413" s="90">
        <v>1.8521379300000002E-2</v>
      </c>
    </row>
    <row r="3414" spans="1:50" x14ac:dyDescent="0.25">
      <c r="A3414" s="102">
        <v>660000</v>
      </c>
      <c r="B3414" s="102">
        <v>2400000</v>
      </c>
      <c r="C3414" s="102">
        <v>2400000</v>
      </c>
      <c r="D3414" s="90" t="s">
        <v>374</v>
      </c>
      <c r="E3414" s="90" t="s">
        <v>68</v>
      </c>
      <c r="F3414" s="90" t="s">
        <v>375</v>
      </c>
      <c r="G3414" s="90" t="s">
        <v>376</v>
      </c>
      <c r="H3414" s="90">
        <v>0.59</v>
      </c>
      <c r="I3414" s="90">
        <v>0.64</v>
      </c>
      <c r="J3414" s="90" t="s">
        <v>244</v>
      </c>
      <c r="K3414" s="90">
        <v>0.13975125171326999</v>
      </c>
      <c r="L3414" s="90">
        <v>3719.9162220297799</v>
      </c>
      <c r="M3414" s="90">
        <v>9.2696442545323201</v>
      </c>
      <c r="N3414" s="90">
        <v>1.3632137612166999</v>
      </c>
      <c r="O3414" s="90">
        <v>1.29544438750766</v>
      </c>
      <c r="P3414" s="90">
        <v>0.19051082948279</v>
      </c>
      <c r="Q3414" s="90">
        <v>519.86294829717895</v>
      </c>
      <c r="R3414" s="90">
        <v>1200</v>
      </c>
      <c r="S3414" s="90" t="s">
        <v>384</v>
      </c>
      <c r="T3414" s="90">
        <v>1200</v>
      </c>
      <c r="U3414" s="90" t="s">
        <v>378</v>
      </c>
      <c r="V3414" s="90" t="s">
        <v>244</v>
      </c>
      <c r="Z3414" s="90">
        <v>0</v>
      </c>
      <c r="AA3414" s="90">
        <v>1</v>
      </c>
      <c r="AB3414" s="90">
        <v>1.29544438750766</v>
      </c>
      <c r="AC3414" s="90">
        <v>0.19051082948279</v>
      </c>
      <c r="AD3414" s="90">
        <v>796.62062386056198</v>
      </c>
      <c r="AF3414" s="90">
        <v>-1</v>
      </c>
      <c r="AG3414" s="90">
        <v>-1</v>
      </c>
      <c r="AH3414" s="90">
        <v>-1</v>
      </c>
      <c r="AI3414" s="90">
        <v>-1</v>
      </c>
      <c r="AJ3414" s="90">
        <v>0</v>
      </c>
      <c r="AM3414" s="90" t="s">
        <v>379</v>
      </c>
      <c r="AN3414" s="90">
        <v>-1</v>
      </c>
      <c r="AQ3414" s="90">
        <v>363</v>
      </c>
      <c r="AR3414" s="90" t="s">
        <v>438</v>
      </c>
      <c r="AS3414" s="90" t="s">
        <v>260</v>
      </c>
      <c r="AT3414" s="90" t="s">
        <v>244</v>
      </c>
      <c r="AU3414" s="90">
        <v>2.7417280000000002</v>
      </c>
      <c r="AV3414" s="90">
        <v>104.43445137774999</v>
      </c>
      <c r="AW3414" s="90">
        <v>565.55325053430704</v>
      </c>
      <c r="AX3414" s="90">
        <v>0.64608323099999998</v>
      </c>
    </row>
    <row r="3415" spans="1:50" x14ac:dyDescent="0.25">
      <c r="A3415" s="102">
        <v>660000</v>
      </c>
      <c r="B3415" s="102">
        <v>2400000</v>
      </c>
      <c r="C3415" s="102">
        <v>2400000</v>
      </c>
      <c r="D3415" s="90" t="s">
        <v>374</v>
      </c>
      <c r="E3415" s="90" t="s">
        <v>68</v>
      </c>
      <c r="F3415" s="90" t="s">
        <v>375</v>
      </c>
      <c r="G3415" s="90" t="s">
        <v>376</v>
      </c>
      <c r="H3415" s="90">
        <v>0.59</v>
      </c>
      <c r="I3415" s="90">
        <v>0.64</v>
      </c>
      <c r="J3415" s="90" t="s">
        <v>244</v>
      </c>
      <c r="K3415" s="90">
        <v>6.72053635537E-3</v>
      </c>
      <c r="L3415" s="90">
        <v>3719.9162220297799</v>
      </c>
      <c r="M3415" s="90">
        <v>9.2696442545323201</v>
      </c>
      <c r="N3415" s="90">
        <v>1.3632137612166999</v>
      </c>
      <c r="O3415" s="90">
        <v>6.2296981213959997E-2</v>
      </c>
      <c r="P3415" s="90">
        <v>9.1615276424000004E-3</v>
      </c>
      <c r="Q3415" s="90">
        <v>24.999832209096599</v>
      </c>
      <c r="R3415" s="90">
        <v>1210</v>
      </c>
      <c r="S3415" s="90" t="s">
        <v>385</v>
      </c>
      <c r="T3415" s="90">
        <v>1210</v>
      </c>
      <c r="U3415" s="90" t="s">
        <v>378</v>
      </c>
      <c r="V3415" s="90" t="s">
        <v>244</v>
      </c>
      <c r="Z3415" s="90">
        <v>0</v>
      </c>
      <c r="AA3415" s="90">
        <v>1</v>
      </c>
      <c r="AB3415" s="90">
        <v>6.2296981213959997E-2</v>
      </c>
      <c r="AC3415" s="90">
        <v>9.1615276424000004E-3</v>
      </c>
      <c r="AD3415" s="90">
        <v>24.999832209096301</v>
      </c>
      <c r="AF3415" s="90">
        <v>-1</v>
      </c>
      <c r="AG3415" s="90">
        <v>-1</v>
      </c>
      <c r="AH3415" s="90">
        <v>-1</v>
      </c>
      <c r="AI3415" s="90">
        <v>-1</v>
      </c>
      <c r="AJ3415" s="90">
        <v>0</v>
      </c>
      <c r="AM3415" s="90" t="s">
        <v>379</v>
      </c>
      <c r="AN3415" s="90">
        <v>-1</v>
      </c>
      <c r="AQ3415" s="90">
        <v>363</v>
      </c>
      <c r="AR3415" s="90" t="s">
        <v>438</v>
      </c>
      <c r="AS3415" s="90" t="s">
        <v>260</v>
      </c>
      <c r="AT3415" s="90" t="s">
        <v>244</v>
      </c>
      <c r="AU3415" s="90">
        <v>2.7417280000000002</v>
      </c>
      <c r="AV3415" s="90">
        <v>23.524525289801598</v>
      </c>
      <c r="AW3415" s="90">
        <v>27.1970457117176</v>
      </c>
      <c r="AX3415" s="90">
        <v>2.0275614099999999E-2</v>
      </c>
    </row>
    <row r="3416" spans="1:50" x14ac:dyDescent="0.25">
      <c r="A3416" s="102">
        <v>660000</v>
      </c>
      <c r="B3416" s="102">
        <v>2400000</v>
      </c>
      <c r="C3416" s="102">
        <v>2400000</v>
      </c>
      <c r="D3416" s="90" t="s">
        <v>374</v>
      </c>
      <c r="E3416" s="90" t="s">
        <v>68</v>
      </c>
      <c r="F3416" s="90" t="s">
        <v>375</v>
      </c>
      <c r="G3416" s="90" t="s">
        <v>376</v>
      </c>
      <c r="H3416" s="90">
        <v>0.59</v>
      </c>
      <c r="I3416" s="90">
        <v>0.64</v>
      </c>
      <c r="J3416" s="90" t="s">
        <v>244</v>
      </c>
      <c r="K3416" s="90">
        <v>5.790597218989E-2</v>
      </c>
      <c r="L3416" s="90">
        <v>3719.9162220297799</v>
      </c>
      <c r="M3416" s="90">
        <v>9.2696442545323201</v>
      </c>
      <c r="N3416" s="90">
        <v>1.3632137612166999</v>
      </c>
      <c r="O3416" s="90">
        <v>0.53676776241316004</v>
      </c>
      <c r="P3416" s="90">
        <v>7.8938218145889999E-2</v>
      </c>
      <c r="Q3416" s="90">
        <v>215.40536530159201</v>
      </c>
      <c r="R3416" s="90">
        <v>1210</v>
      </c>
      <c r="S3416" s="90" t="s">
        <v>385</v>
      </c>
      <c r="T3416" s="90">
        <v>1210</v>
      </c>
      <c r="U3416" s="90" t="s">
        <v>378</v>
      </c>
      <c r="V3416" s="90" t="s">
        <v>244</v>
      </c>
      <c r="Z3416" s="90">
        <v>0</v>
      </c>
      <c r="AA3416" s="90">
        <v>1</v>
      </c>
      <c r="AB3416" s="90">
        <v>0.53676776241316004</v>
      </c>
      <c r="AC3416" s="90">
        <v>7.8938218145889999E-2</v>
      </c>
      <c r="AD3416" s="90">
        <v>343.89485144742901</v>
      </c>
      <c r="AF3416" s="90">
        <v>-1</v>
      </c>
      <c r="AG3416" s="90">
        <v>-1</v>
      </c>
      <c r="AH3416" s="90">
        <v>-1</v>
      </c>
      <c r="AI3416" s="90">
        <v>-1</v>
      </c>
      <c r="AJ3416" s="90">
        <v>0</v>
      </c>
      <c r="AM3416" s="90" t="s">
        <v>379</v>
      </c>
      <c r="AN3416" s="90">
        <v>-1</v>
      </c>
      <c r="AQ3416" s="90">
        <v>363</v>
      </c>
      <c r="AR3416" s="90" t="s">
        <v>438</v>
      </c>
      <c r="AS3416" s="90" t="s">
        <v>260</v>
      </c>
      <c r="AT3416" s="90" t="s">
        <v>244</v>
      </c>
      <c r="AU3416" s="90">
        <v>2.7417280000000002</v>
      </c>
      <c r="AV3416" s="90">
        <v>64.617272865308195</v>
      </c>
      <c r="AW3416" s="90">
        <v>234.337155451988</v>
      </c>
      <c r="AX3416" s="90">
        <v>0.27890904420000001</v>
      </c>
    </row>
    <row r="3417" spans="1:50" x14ac:dyDescent="0.25">
      <c r="A3417" s="102">
        <v>660000</v>
      </c>
      <c r="B3417" s="102">
        <v>2400000</v>
      </c>
      <c r="C3417" s="102">
        <v>2400000</v>
      </c>
      <c r="D3417" s="90" t="s">
        <v>374</v>
      </c>
      <c r="E3417" s="90" t="s">
        <v>68</v>
      </c>
      <c r="F3417" s="90" t="s">
        <v>375</v>
      </c>
      <c r="G3417" s="90" t="s">
        <v>376</v>
      </c>
      <c r="H3417" s="90">
        <v>0.59</v>
      </c>
      <c r="I3417" s="90">
        <v>0.64</v>
      </c>
      <c r="J3417" s="90" t="s">
        <v>244</v>
      </c>
      <c r="K3417" s="90">
        <v>5.0675658752650003E-2</v>
      </c>
      <c r="L3417" s="90">
        <v>3719.9162220297799</v>
      </c>
      <c r="M3417" s="90">
        <v>9.2696442545323201</v>
      </c>
      <c r="N3417" s="90">
        <v>1.3632137612166999</v>
      </c>
      <c r="O3417" s="90">
        <v>0.46974532900118998</v>
      </c>
      <c r="P3417" s="90">
        <v>6.9081755370340003E-2</v>
      </c>
      <c r="Q3417" s="90">
        <v>188.50920505605001</v>
      </c>
      <c r="R3417" s="90">
        <v>1210</v>
      </c>
      <c r="S3417" s="90" t="s">
        <v>385</v>
      </c>
      <c r="T3417" s="90">
        <v>1210</v>
      </c>
      <c r="U3417" s="90" t="s">
        <v>378</v>
      </c>
      <c r="V3417" s="90" t="s">
        <v>244</v>
      </c>
      <c r="Z3417" s="90">
        <v>0</v>
      </c>
      <c r="AA3417" s="90">
        <v>1</v>
      </c>
      <c r="AB3417" s="90">
        <v>0.46974532900118998</v>
      </c>
      <c r="AC3417" s="90">
        <v>6.9081755370340003E-2</v>
      </c>
      <c r="AD3417" s="90">
        <v>188.50920505604901</v>
      </c>
      <c r="AF3417" s="90">
        <v>-1</v>
      </c>
      <c r="AG3417" s="90">
        <v>-1</v>
      </c>
      <c r="AH3417" s="90">
        <v>-1</v>
      </c>
      <c r="AI3417" s="90">
        <v>-1</v>
      </c>
      <c r="AJ3417" s="90">
        <v>0</v>
      </c>
      <c r="AM3417" s="90" t="s">
        <v>379</v>
      </c>
      <c r="AN3417" s="90">
        <v>-1</v>
      </c>
      <c r="AQ3417" s="90">
        <v>363</v>
      </c>
      <c r="AR3417" s="90" t="s">
        <v>438</v>
      </c>
      <c r="AS3417" s="90" t="s">
        <v>260</v>
      </c>
      <c r="AT3417" s="90" t="s">
        <v>244</v>
      </c>
      <c r="AU3417" s="90">
        <v>2.7417280000000002</v>
      </c>
      <c r="AV3417" s="90">
        <v>65.545041319346197</v>
      </c>
      <c r="AW3417" s="90">
        <v>205.07711508253499</v>
      </c>
      <c r="AX3417" s="90">
        <v>0.15288662210000001</v>
      </c>
    </row>
    <row r="3418" spans="1:50" x14ac:dyDescent="0.25">
      <c r="A3418" s="102">
        <v>660000</v>
      </c>
      <c r="B3418" s="102">
        <v>2400000</v>
      </c>
      <c r="C3418" s="102">
        <v>2400000</v>
      </c>
      <c r="D3418" s="90" t="s">
        <v>374</v>
      </c>
      <c r="E3418" s="90" t="s">
        <v>68</v>
      </c>
      <c r="F3418" s="90" t="s">
        <v>375</v>
      </c>
      <c r="G3418" s="90" t="s">
        <v>376</v>
      </c>
      <c r="H3418" s="90">
        <v>0.59</v>
      </c>
      <c r="I3418" s="90">
        <v>0.64</v>
      </c>
      <c r="J3418" s="90" t="s">
        <v>244</v>
      </c>
      <c r="K3418" s="90">
        <v>5.9543892832919998E-2</v>
      </c>
      <c r="L3418" s="90">
        <v>3719.9162220297799</v>
      </c>
      <c r="M3418" s="90">
        <v>9.2696442545323201</v>
      </c>
      <c r="N3418" s="90">
        <v>1.3632137612166999</v>
      </c>
      <c r="O3418" s="90">
        <v>0.55195070409116997</v>
      </c>
      <c r="P3418" s="90">
        <v>8.1171054106250001E-2</v>
      </c>
      <c r="Q3418" s="90">
        <v>221.498292871985</v>
      </c>
      <c r="R3418" s="90">
        <v>1210</v>
      </c>
      <c r="S3418" s="90" t="s">
        <v>385</v>
      </c>
      <c r="T3418" s="90">
        <v>1210</v>
      </c>
      <c r="U3418" s="90" t="s">
        <v>378</v>
      </c>
      <c r="V3418" s="90" t="s">
        <v>244</v>
      </c>
      <c r="Z3418" s="90">
        <v>0</v>
      </c>
      <c r="AA3418" s="90">
        <v>1</v>
      </c>
      <c r="AB3418" s="90">
        <v>0.55195070409116997</v>
      </c>
      <c r="AC3418" s="90">
        <v>8.1171054106250001E-2</v>
      </c>
      <c r="AD3418" s="90">
        <v>522.84262115597505</v>
      </c>
      <c r="AF3418" s="90">
        <v>-1</v>
      </c>
      <c r="AG3418" s="90">
        <v>-1</v>
      </c>
      <c r="AH3418" s="90">
        <v>-1</v>
      </c>
      <c r="AI3418" s="90">
        <v>-1</v>
      </c>
      <c r="AJ3418" s="90">
        <v>0</v>
      </c>
      <c r="AM3418" s="90" t="s">
        <v>379</v>
      </c>
      <c r="AN3418" s="90">
        <v>-1</v>
      </c>
      <c r="AQ3418" s="90">
        <v>363</v>
      </c>
      <c r="AR3418" s="90" t="s">
        <v>438</v>
      </c>
      <c r="AS3418" s="90" t="s">
        <v>260</v>
      </c>
      <c r="AT3418" s="90" t="s">
        <v>244</v>
      </c>
      <c r="AU3418" s="90">
        <v>2.7417280000000002</v>
      </c>
      <c r="AV3418" s="90">
        <v>62.388330627337503</v>
      </c>
      <c r="AW3418" s="90">
        <v>240.96558512560199</v>
      </c>
      <c r="AX3418" s="90">
        <v>0.42404105530000002</v>
      </c>
    </row>
    <row r="3419" spans="1:50" x14ac:dyDescent="0.25">
      <c r="A3419" s="102">
        <v>660000</v>
      </c>
      <c r="B3419" s="102">
        <v>2400000</v>
      </c>
      <c r="C3419" s="102">
        <v>2400000</v>
      </c>
      <c r="D3419" s="90" t="s">
        <v>374</v>
      </c>
      <c r="E3419" s="90" t="s">
        <v>68</v>
      </c>
      <c r="F3419" s="90" t="s">
        <v>375</v>
      </c>
      <c r="G3419" s="90" t="s">
        <v>376</v>
      </c>
      <c r="H3419" s="90">
        <v>0.59</v>
      </c>
      <c r="I3419" s="90">
        <v>0.64</v>
      </c>
      <c r="J3419" s="90" t="s">
        <v>244</v>
      </c>
      <c r="K3419" s="90">
        <v>3.511462809582E-2</v>
      </c>
      <c r="L3419" s="90">
        <v>3719.9162220297799</v>
      </c>
      <c r="M3419" s="90">
        <v>9.2696442545323201</v>
      </c>
      <c r="N3419" s="90">
        <v>1.3632137612166999</v>
      </c>
      <c r="O3419" s="90">
        <v>0.32550011057854</v>
      </c>
      <c r="P3419" s="90">
        <v>4.7868744240239999E-2</v>
      </c>
      <c r="Q3419" s="90">
        <v>130.623474684217</v>
      </c>
      <c r="R3419" s="90">
        <v>1210</v>
      </c>
      <c r="S3419" s="90" t="s">
        <v>385</v>
      </c>
      <c r="T3419" s="90">
        <v>1210</v>
      </c>
      <c r="U3419" s="90" t="s">
        <v>378</v>
      </c>
      <c r="V3419" s="90" t="s">
        <v>244</v>
      </c>
      <c r="Z3419" s="90">
        <v>0</v>
      </c>
      <c r="AA3419" s="90">
        <v>1</v>
      </c>
      <c r="AB3419" s="90">
        <v>0.32550011057854</v>
      </c>
      <c r="AC3419" s="90">
        <v>4.7868744240239999E-2</v>
      </c>
      <c r="AD3419" s="90">
        <v>191.90620149074101</v>
      </c>
      <c r="AF3419" s="90">
        <v>-1</v>
      </c>
      <c r="AG3419" s="90">
        <v>-1</v>
      </c>
      <c r="AH3419" s="90">
        <v>-1</v>
      </c>
      <c r="AI3419" s="90">
        <v>-1</v>
      </c>
      <c r="AJ3419" s="90">
        <v>0</v>
      </c>
      <c r="AM3419" s="90" t="s">
        <v>379</v>
      </c>
      <c r="AN3419" s="90">
        <v>-1</v>
      </c>
      <c r="AQ3419" s="90">
        <v>363</v>
      </c>
      <c r="AR3419" s="90" t="s">
        <v>438</v>
      </c>
      <c r="AS3419" s="90" t="s">
        <v>260</v>
      </c>
      <c r="AT3419" s="90" t="s">
        <v>244</v>
      </c>
      <c r="AU3419" s="90">
        <v>2.7417280000000002</v>
      </c>
      <c r="AV3419" s="90">
        <v>49.179362044026199</v>
      </c>
      <c r="AW3419" s="90">
        <v>142.103858229791</v>
      </c>
      <c r="AX3419" s="90">
        <v>0.15564168819999999</v>
      </c>
    </row>
    <row r="3420" spans="1:50" x14ac:dyDescent="0.25">
      <c r="A3420" s="102">
        <v>660000</v>
      </c>
      <c r="B3420" s="102">
        <v>2400000</v>
      </c>
      <c r="C3420" s="102">
        <v>2400000</v>
      </c>
      <c r="D3420" s="90" t="s">
        <v>374</v>
      </c>
      <c r="E3420" s="90" t="s">
        <v>68</v>
      </c>
      <c r="F3420" s="90" t="s">
        <v>375</v>
      </c>
      <c r="G3420" s="90" t="s">
        <v>376</v>
      </c>
      <c r="H3420" s="90">
        <v>0.59</v>
      </c>
      <c r="I3420" s="90">
        <v>0.64</v>
      </c>
      <c r="J3420" s="90" t="s">
        <v>244</v>
      </c>
      <c r="K3420" s="90">
        <v>9.2903445254260003E-2</v>
      </c>
      <c r="L3420" s="90">
        <v>1903.4034455242399</v>
      </c>
      <c r="M3420" s="90">
        <v>4.7893880568154099</v>
      </c>
      <c r="N3420" s="90">
        <v>0.70591151821575004</v>
      </c>
      <c r="O3420" s="90">
        <v>0.44495065113776999</v>
      </c>
      <c r="P3420" s="90">
        <v>6.5581612086910004E-2</v>
      </c>
      <c r="Q3420" s="90">
        <v>176.83273779803901</v>
      </c>
      <c r="R3420" s="90">
        <v>1210</v>
      </c>
      <c r="S3420" s="90" t="s">
        <v>385</v>
      </c>
      <c r="T3420" s="90">
        <v>1210</v>
      </c>
      <c r="U3420" s="90" t="s">
        <v>378</v>
      </c>
      <c r="V3420" s="90" t="s">
        <v>244</v>
      </c>
      <c r="Z3420" s="90">
        <v>0</v>
      </c>
      <c r="AA3420" s="90">
        <v>1</v>
      </c>
      <c r="AB3420" s="90">
        <v>0.44495065113776999</v>
      </c>
      <c r="AC3420" s="90">
        <v>6.5581612086910004E-2</v>
      </c>
      <c r="AD3420" s="90">
        <v>449.11832121004801</v>
      </c>
      <c r="AF3420" s="90">
        <v>-1</v>
      </c>
      <c r="AG3420" s="90">
        <v>-1</v>
      </c>
      <c r="AH3420" s="90">
        <v>-1</v>
      </c>
      <c r="AI3420" s="90">
        <v>-1</v>
      </c>
      <c r="AJ3420" s="90">
        <v>0</v>
      </c>
      <c r="AM3420" s="90" t="s">
        <v>379</v>
      </c>
      <c r="AN3420" s="90">
        <v>-1</v>
      </c>
      <c r="AQ3420" s="90">
        <v>363</v>
      </c>
      <c r="AR3420" s="90" t="s">
        <v>438</v>
      </c>
      <c r="AS3420" s="90" t="s">
        <v>260</v>
      </c>
      <c r="AT3420" s="90" t="s">
        <v>244</v>
      </c>
      <c r="AU3420" s="90">
        <v>2.7417280000000002</v>
      </c>
      <c r="AV3420" s="90">
        <v>80.827817393582393</v>
      </c>
      <c r="AW3420" s="90">
        <v>375.966904090306</v>
      </c>
      <c r="AX3420" s="90">
        <v>0.36424843569999998</v>
      </c>
    </row>
    <row r="3421" spans="1:50" x14ac:dyDescent="0.25">
      <c r="A3421" s="102">
        <v>660000</v>
      </c>
      <c r="B3421" s="102">
        <v>2400000</v>
      </c>
      <c r="C3421" s="102">
        <v>2400000</v>
      </c>
      <c r="D3421" s="90" t="s">
        <v>374</v>
      </c>
      <c r="E3421" s="90" t="s">
        <v>68</v>
      </c>
      <c r="F3421" s="90" t="s">
        <v>375</v>
      </c>
      <c r="G3421" s="90" t="s">
        <v>376</v>
      </c>
      <c r="H3421" s="90">
        <v>0.59</v>
      </c>
      <c r="I3421" s="90">
        <v>0.64</v>
      </c>
      <c r="J3421" s="90" t="s">
        <v>244</v>
      </c>
      <c r="K3421" s="90">
        <v>1.0849222374069999E-2</v>
      </c>
      <c r="L3421" s="90">
        <v>1903.4034455242399</v>
      </c>
      <c r="M3421" s="90">
        <v>4.7893880568154099</v>
      </c>
      <c r="N3421" s="90">
        <v>0.70591151821575004</v>
      </c>
      <c r="O3421" s="90">
        <v>5.1961136064119999E-2</v>
      </c>
      <c r="P3421" s="90">
        <v>7.6585910375399999E-3</v>
      </c>
      <c r="Q3421" s="90">
        <v>20.650447248073</v>
      </c>
      <c r="R3421" s="90">
        <v>1210</v>
      </c>
      <c r="S3421" s="90" t="s">
        <v>385</v>
      </c>
      <c r="T3421" s="90">
        <v>1210</v>
      </c>
      <c r="U3421" s="90" t="s">
        <v>378</v>
      </c>
      <c r="V3421" s="90" t="s">
        <v>244</v>
      </c>
      <c r="Z3421" s="90">
        <v>0</v>
      </c>
      <c r="AA3421" s="90">
        <v>1</v>
      </c>
      <c r="AB3421" s="90">
        <v>5.1961136064119999E-2</v>
      </c>
      <c r="AC3421" s="90">
        <v>7.6585910375399999E-3</v>
      </c>
      <c r="AD3421" s="90">
        <v>139.43437214597799</v>
      </c>
      <c r="AF3421" s="90">
        <v>-1</v>
      </c>
      <c r="AG3421" s="90">
        <v>-1</v>
      </c>
      <c r="AH3421" s="90">
        <v>-1</v>
      </c>
      <c r="AI3421" s="90">
        <v>-1</v>
      </c>
      <c r="AJ3421" s="90">
        <v>0</v>
      </c>
      <c r="AM3421" s="90" t="s">
        <v>379</v>
      </c>
      <c r="AN3421" s="90">
        <v>-1</v>
      </c>
      <c r="AQ3421" s="90">
        <v>363</v>
      </c>
      <c r="AR3421" s="90" t="s">
        <v>438</v>
      </c>
      <c r="AS3421" s="90" t="s">
        <v>260</v>
      </c>
      <c r="AT3421" s="90" t="s">
        <v>244</v>
      </c>
      <c r="AU3421" s="90">
        <v>2.7417280000000002</v>
      </c>
      <c r="AV3421" s="90">
        <v>31.754728611848201</v>
      </c>
      <c r="AW3421" s="90">
        <v>43.905245242570999</v>
      </c>
      <c r="AX3421" s="90">
        <v>0.11308546</v>
      </c>
    </row>
    <row r="3422" spans="1:50" x14ac:dyDescent="0.25">
      <c r="A3422" s="102">
        <v>660000</v>
      </c>
      <c r="B3422" s="102">
        <v>2400000</v>
      </c>
      <c r="C3422" s="102">
        <v>2400000</v>
      </c>
      <c r="D3422" s="90" t="s">
        <v>374</v>
      </c>
      <c r="E3422" s="90" t="s">
        <v>68</v>
      </c>
      <c r="F3422" s="90" t="s">
        <v>375</v>
      </c>
      <c r="G3422" s="90" t="s">
        <v>376</v>
      </c>
      <c r="H3422" s="90">
        <v>0.59</v>
      </c>
      <c r="I3422" s="90">
        <v>0.64</v>
      </c>
      <c r="J3422" s="90" t="s">
        <v>244</v>
      </c>
      <c r="K3422" s="90">
        <v>6.9003277011329994E-2</v>
      </c>
      <c r="L3422" s="90">
        <v>3595.7925262836502</v>
      </c>
      <c r="M3422" s="90">
        <v>8.9279431599277608</v>
      </c>
      <c r="N3422" s="90">
        <v>1.3118613044916301</v>
      </c>
      <c r="O3422" s="90">
        <v>0.61605733500591997</v>
      </c>
      <c r="P3422" s="90">
        <v>9.0522728994280002E-2</v>
      </c>
      <c r="Q3422" s="90">
        <v>248.121467766428</v>
      </c>
      <c r="R3422" s="90">
        <v>1200</v>
      </c>
      <c r="S3422" s="90" t="s">
        <v>384</v>
      </c>
      <c r="T3422" s="90">
        <v>1200</v>
      </c>
      <c r="U3422" s="90" t="s">
        <v>378</v>
      </c>
      <c r="V3422" s="90" t="s">
        <v>244</v>
      </c>
      <c r="Z3422" s="90">
        <v>0</v>
      </c>
      <c r="AA3422" s="90">
        <v>1</v>
      </c>
      <c r="AB3422" s="90">
        <v>0.61605733500591997</v>
      </c>
      <c r="AC3422" s="90">
        <v>9.0522728994280002E-2</v>
      </c>
      <c r="AD3422" s="90">
        <v>248.12146776642601</v>
      </c>
      <c r="AF3422" s="90">
        <v>-1</v>
      </c>
      <c r="AG3422" s="90">
        <v>-1</v>
      </c>
      <c r="AH3422" s="90">
        <v>-1</v>
      </c>
      <c r="AI3422" s="90">
        <v>-1</v>
      </c>
      <c r="AJ3422" s="90">
        <v>0</v>
      </c>
      <c r="AM3422" s="90" t="s">
        <v>379</v>
      </c>
      <c r="AN3422" s="90">
        <v>-1</v>
      </c>
      <c r="AQ3422" s="90">
        <v>363</v>
      </c>
      <c r="AR3422" s="90" t="s">
        <v>438</v>
      </c>
      <c r="AS3422" s="90" t="s">
        <v>260</v>
      </c>
      <c r="AT3422" s="90" t="s">
        <v>244</v>
      </c>
      <c r="AU3422" s="90">
        <v>2.7417280000000002</v>
      </c>
      <c r="AV3422" s="90">
        <v>101.949585682208</v>
      </c>
      <c r="AW3422" s="90">
        <v>279.24635473995301</v>
      </c>
      <c r="AX3422" s="90">
        <v>0.20123395599999999</v>
      </c>
    </row>
    <row r="3423" spans="1:50" x14ac:dyDescent="0.25">
      <c r="A3423" s="102">
        <v>660000</v>
      </c>
      <c r="B3423" s="102">
        <v>2400000</v>
      </c>
      <c r="C3423" s="102">
        <v>2400000</v>
      </c>
      <c r="D3423" s="90" t="s">
        <v>374</v>
      </c>
      <c r="E3423" s="90" t="s">
        <v>68</v>
      </c>
      <c r="F3423" s="90" t="s">
        <v>375</v>
      </c>
      <c r="G3423" s="90" t="s">
        <v>376</v>
      </c>
      <c r="H3423" s="90">
        <v>0.59</v>
      </c>
      <c r="I3423" s="90">
        <v>0.64</v>
      </c>
      <c r="J3423" s="90" t="s">
        <v>244</v>
      </c>
      <c r="K3423" s="90">
        <v>5.6569858413870001E-2</v>
      </c>
      <c r="L3423" s="90">
        <v>3595.7925262836502</v>
      </c>
      <c r="M3423" s="90">
        <v>8.9279431599277608</v>
      </c>
      <c r="N3423" s="90">
        <v>1.3118613044916301</v>
      </c>
      <c r="O3423" s="90">
        <v>0.50505248048424001</v>
      </c>
      <c r="P3423" s="90">
        <v>7.4211808253729999E-2</v>
      </c>
      <c r="Q3423" s="90">
        <v>203.41347409753899</v>
      </c>
      <c r="R3423" s="90">
        <v>1210</v>
      </c>
      <c r="S3423" s="90" t="s">
        <v>385</v>
      </c>
      <c r="T3423" s="90">
        <v>1210</v>
      </c>
      <c r="U3423" s="90" t="s">
        <v>378</v>
      </c>
      <c r="V3423" s="90" t="s">
        <v>244</v>
      </c>
      <c r="Z3423" s="90">
        <v>0</v>
      </c>
      <c r="AA3423" s="90">
        <v>1</v>
      </c>
      <c r="AB3423" s="90">
        <v>0.50505248048424001</v>
      </c>
      <c r="AC3423" s="90">
        <v>7.4211808253729999E-2</v>
      </c>
      <c r="AD3423" s="90">
        <v>308.06924853999402</v>
      </c>
      <c r="AF3423" s="90">
        <v>-1</v>
      </c>
      <c r="AG3423" s="90">
        <v>-1</v>
      </c>
      <c r="AH3423" s="90">
        <v>-1</v>
      </c>
      <c r="AI3423" s="90">
        <v>-1</v>
      </c>
      <c r="AJ3423" s="90">
        <v>0</v>
      </c>
      <c r="AM3423" s="90" t="s">
        <v>379</v>
      </c>
      <c r="AN3423" s="90">
        <v>-1</v>
      </c>
      <c r="AQ3423" s="90">
        <v>363</v>
      </c>
      <c r="AR3423" s="90" t="s">
        <v>438</v>
      </c>
      <c r="AS3423" s="90" t="s">
        <v>260</v>
      </c>
      <c r="AT3423" s="90" t="s">
        <v>244</v>
      </c>
      <c r="AU3423" s="90">
        <v>2.7417280000000002</v>
      </c>
      <c r="AV3423" s="90">
        <v>61.9506461320494</v>
      </c>
      <c r="AW3423" s="90">
        <v>228.93009483645099</v>
      </c>
      <c r="AX3423" s="90">
        <v>0.24985340510000001</v>
      </c>
    </row>
    <row r="3424" spans="1:50" x14ac:dyDescent="0.25">
      <c r="A3424" s="102">
        <v>660000</v>
      </c>
      <c r="B3424" s="102">
        <v>2400000</v>
      </c>
      <c r="C3424" s="102">
        <v>2400000</v>
      </c>
      <c r="D3424" s="90" t="s">
        <v>374</v>
      </c>
      <c r="E3424" s="90" t="s">
        <v>68</v>
      </c>
      <c r="F3424" s="90" t="s">
        <v>375</v>
      </c>
      <c r="G3424" s="90" t="s">
        <v>376</v>
      </c>
      <c r="H3424" s="90">
        <v>0.59</v>
      </c>
      <c r="I3424" s="90">
        <v>0.64</v>
      </c>
      <c r="J3424" s="90" t="s">
        <v>244</v>
      </c>
      <c r="K3424" s="90">
        <v>0.11291624935786</v>
      </c>
      <c r="L3424" s="90">
        <v>3595.7925262836502</v>
      </c>
      <c r="M3424" s="90">
        <v>8.9279431599277608</v>
      </c>
      <c r="N3424" s="90">
        <v>1.3118613044916301</v>
      </c>
      <c r="O3424" s="90">
        <v>1.0081098560991999</v>
      </c>
      <c r="P3424" s="90">
        <v>0.14813045818090001</v>
      </c>
      <c r="Q3424" s="90">
        <v>406.023405536974</v>
      </c>
      <c r="R3424" s="90">
        <v>1210</v>
      </c>
      <c r="S3424" s="90" t="s">
        <v>385</v>
      </c>
      <c r="T3424" s="90">
        <v>1210</v>
      </c>
      <c r="U3424" s="90" t="s">
        <v>378</v>
      </c>
      <c r="V3424" s="90" t="s">
        <v>244</v>
      </c>
      <c r="Z3424" s="90">
        <v>0</v>
      </c>
      <c r="AA3424" s="90">
        <v>1</v>
      </c>
      <c r="AB3424" s="90">
        <v>1.0081098560991999</v>
      </c>
      <c r="AC3424" s="90">
        <v>0.14813045818090001</v>
      </c>
      <c r="AD3424" s="90">
        <v>862.25127845583802</v>
      </c>
      <c r="AF3424" s="90">
        <v>-1</v>
      </c>
      <c r="AG3424" s="90">
        <v>-1</v>
      </c>
      <c r="AH3424" s="90">
        <v>-1</v>
      </c>
      <c r="AI3424" s="90">
        <v>-1</v>
      </c>
      <c r="AJ3424" s="90">
        <v>0</v>
      </c>
      <c r="AM3424" s="90" t="s">
        <v>379</v>
      </c>
      <c r="AN3424" s="90">
        <v>-1</v>
      </c>
      <c r="AQ3424" s="90">
        <v>363</v>
      </c>
      <c r="AR3424" s="90" t="s">
        <v>438</v>
      </c>
      <c r="AS3424" s="90" t="s">
        <v>260</v>
      </c>
      <c r="AT3424" s="90" t="s">
        <v>244</v>
      </c>
      <c r="AU3424" s="90">
        <v>2.7417280000000002</v>
      </c>
      <c r="AV3424" s="90">
        <v>85.582529732324303</v>
      </c>
      <c r="AW3424" s="90">
        <v>456.95584890717402</v>
      </c>
      <c r="AX3424" s="90">
        <v>0.69931166140000001</v>
      </c>
    </row>
    <row r="3425" spans="1:50" x14ac:dyDescent="0.25">
      <c r="A3425" s="102">
        <v>660000</v>
      </c>
      <c r="B3425" s="102">
        <v>2400000</v>
      </c>
      <c r="C3425" s="102">
        <v>2400000</v>
      </c>
      <c r="D3425" s="90" t="s">
        <v>374</v>
      </c>
      <c r="E3425" s="90" t="s">
        <v>68</v>
      </c>
      <c r="F3425" s="90" t="s">
        <v>375</v>
      </c>
      <c r="G3425" s="90" t="s">
        <v>376</v>
      </c>
      <c r="H3425" s="90">
        <v>0.59</v>
      </c>
      <c r="I3425" s="90">
        <v>0.64</v>
      </c>
      <c r="J3425" s="90" t="s">
        <v>244</v>
      </c>
      <c r="K3425" s="90">
        <v>8.4859882871219997E-2</v>
      </c>
      <c r="L3425" s="90">
        <v>3595.7925262836502</v>
      </c>
      <c r="M3425" s="90">
        <v>8.9279431599277608</v>
      </c>
      <c r="N3425" s="90">
        <v>1.3118613044916301</v>
      </c>
      <c r="O3425" s="90">
        <v>0.75762421083237996</v>
      </c>
      <c r="P3425" s="90">
        <v>0.11132439664244</v>
      </c>
      <c r="Q3425" s="90">
        <v>305.13853260964203</v>
      </c>
      <c r="R3425" s="90">
        <v>1210</v>
      </c>
      <c r="S3425" s="90" t="s">
        <v>385</v>
      </c>
      <c r="T3425" s="90">
        <v>1210</v>
      </c>
      <c r="U3425" s="90" t="s">
        <v>378</v>
      </c>
      <c r="V3425" s="90" t="s">
        <v>244</v>
      </c>
      <c r="Z3425" s="90">
        <v>0</v>
      </c>
      <c r="AA3425" s="90">
        <v>1</v>
      </c>
      <c r="AB3425" s="90">
        <v>0.75762421083237996</v>
      </c>
      <c r="AC3425" s="90">
        <v>0.11132439664244</v>
      </c>
      <c r="AD3425" s="90">
        <v>632.53710185142097</v>
      </c>
      <c r="AF3425" s="90">
        <v>-1</v>
      </c>
      <c r="AG3425" s="90">
        <v>-1</v>
      </c>
      <c r="AH3425" s="90">
        <v>-1</v>
      </c>
      <c r="AI3425" s="90">
        <v>-1</v>
      </c>
      <c r="AJ3425" s="90">
        <v>0</v>
      </c>
      <c r="AM3425" s="90" t="s">
        <v>379</v>
      </c>
      <c r="AN3425" s="90">
        <v>-1</v>
      </c>
      <c r="AQ3425" s="90">
        <v>363</v>
      </c>
      <c r="AR3425" s="90" t="s">
        <v>438</v>
      </c>
      <c r="AS3425" s="90" t="s">
        <v>260</v>
      </c>
      <c r="AT3425" s="90" t="s">
        <v>244</v>
      </c>
      <c r="AU3425" s="90">
        <v>2.7417280000000002</v>
      </c>
      <c r="AV3425" s="90">
        <v>75.854278908542696</v>
      </c>
      <c r="AW3425" s="90">
        <v>343.41576200151201</v>
      </c>
      <c r="AX3425" s="90">
        <v>0.51300657080000001</v>
      </c>
    </row>
    <row r="3426" spans="1:50" x14ac:dyDescent="0.25">
      <c r="A3426" s="102">
        <v>660000</v>
      </c>
      <c r="B3426" s="102">
        <v>2400000</v>
      </c>
      <c r="C3426" s="102">
        <v>2400000</v>
      </c>
      <c r="D3426" s="90" t="s">
        <v>374</v>
      </c>
      <c r="E3426" s="90" t="s">
        <v>68</v>
      </c>
      <c r="F3426" s="90" t="s">
        <v>375</v>
      </c>
      <c r="G3426" s="90" t="s">
        <v>376</v>
      </c>
      <c r="H3426" s="90">
        <v>0.59</v>
      </c>
      <c r="I3426" s="90">
        <v>0.64</v>
      </c>
      <c r="J3426" s="90" t="s">
        <v>244</v>
      </c>
      <c r="K3426" s="90">
        <v>1.48383316168E-2</v>
      </c>
      <c r="L3426" s="90">
        <v>3113.3176225485299</v>
      </c>
      <c r="M3426" s="90">
        <v>7.7701021600308904</v>
      </c>
      <c r="N3426" s="90">
        <v>1.14309705995563</v>
      </c>
      <c r="O3426" s="90">
        <v>0.11529535254699</v>
      </c>
      <c r="P3426" s="90">
        <v>1.6961653245810001E-2</v>
      </c>
      <c r="Q3426" s="90">
        <v>46.196439311821202</v>
      </c>
      <c r="R3426" s="90">
        <v>1200</v>
      </c>
      <c r="S3426" s="90" t="s">
        <v>384</v>
      </c>
      <c r="T3426" s="90">
        <v>1200</v>
      </c>
      <c r="U3426" s="90" t="s">
        <v>378</v>
      </c>
      <c r="V3426" s="90" t="s">
        <v>244</v>
      </c>
      <c r="Z3426" s="90">
        <v>0</v>
      </c>
      <c r="AA3426" s="90">
        <v>1</v>
      </c>
      <c r="AB3426" s="90">
        <v>0.11529535254699</v>
      </c>
      <c r="AC3426" s="90">
        <v>1.6961653245810001E-2</v>
      </c>
      <c r="AD3426" s="90">
        <v>46.196439311822097</v>
      </c>
      <c r="AF3426" s="90">
        <v>-1</v>
      </c>
      <c r="AG3426" s="90">
        <v>-1</v>
      </c>
      <c r="AH3426" s="90">
        <v>-1</v>
      </c>
      <c r="AI3426" s="90">
        <v>-1</v>
      </c>
      <c r="AJ3426" s="90">
        <v>0</v>
      </c>
      <c r="AM3426" s="90" t="s">
        <v>379</v>
      </c>
      <c r="AN3426" s="90">
        <v>-1</v>
      </c>
      <c r="AQ3426" s="90">
        <v>363</v>
      </c>
      <c r="AR3426" s="90" t="s">
        <v>438</v>
      </c>
      <c r="AS3426" s="90" t="s">
        <v>260</v>
      </c>
      <c r="AT3426" s="90" t="s">
        <v>244</v>
      </c>
      <c r="AU3426" s="90">
        <v>2.7417280000000002</v>
      </c>
      <c r="AV3426" s="90">
        <v>82.7517423625454</v>
      </c>
      <c r="AW3426" s="90">
        <v>60.048597601173697</v>
      </c>
      <c r="AX3426" s="90">
        <v>3.7466698499999999E-2</v>
      </c>
    </row>
    <row r="3427" spans="1:50" x14ac:dyDescent="0.25">
      <c r="A3427" s="102">
        <v>660000</v>
      </c>
      <c r="B3427" s="102">
        <v>2400000</v>
      </c>
      <c r="C3427" s="102">
        <v>2400000</v>
      </c>
      <c r="D3427" s="90" t="s">
        <v>374</v>
      </c>
      <c r="E3427" s="90" t="s">
        <v>68</v>
      </c>
      <c r="F3427" s="90" t="s">
        <v>375</v>
      </c>
      <c r="G3427" s="90" t="s">
        <v>376</v>
      </c>
      <c r="H3427" s="90">
        <v>0.59</v>
      </c>
      <c r="I3427" s="90">
        <v>0.64</v>
      </c>
      <c r="J3427" s="90" t="s">
        <v>244</v>
      </c>
      <c r="K3427" s="90">
        <v>3.926959986313E-2</v>
      </c>
      <c r="L3427" s="90">
        <v>3113.3176225485299</v>
      </c>
      <c r="M3427" s="90">
        <v>7.7701021600308904</v>
      </c>
      <c r="N3427" s="90">
        <v>1.14309705995563</v>
      </c>
      <c r="O3427" s="90">
        <v>0.30512880272005</v>
      </c>
      <c r="P3427" s="90">
        <v>4.4888964149169999E-2</v>
      </c>
      <c r="Q3427" s="90">
        <v>122.25873728431201</v>
      </c>
      <c r="R3427" s="90">
        <v>1210</v>
      </c>
      <c r="S3427" s="90" t="s">
        <v>385</v>
      </c>
      <c r="T3427" s="90">
        <v>1210</v>
      </c>
      <c r="U3427" s="90" t="s">
        <v>378</v>
      </c>
      <c r="V3427" s="90" t="s">
        <v>244</v>
      </c>
      <c r="Z3427" s="90">
        <v>0</v>
      </c>
      <c r="AA3427" s="90">
        <v>1</v>
      </c>
      <c r="AB3427" s="90">
        <v>0.30512880272005</v>
      </c>
      <c r="AC3427" s="90">
        <v>4.4888964149169999E-2</v>
      </c>
      <c r="AD3427" s="90">
        <v>412.26712788934799</v>
      </c>
      <c r="AF3427" s="90">
        <v>-1</v>
      </c>
      <c r="AG3427" s="90">
        <v>-1</v>
      </c>
      <c r="AH3427" s="90">
        <v>-1</v>
      </c>
      <c r="AI3427" s="90">
        <v>-1</v>
      </c>
      <c r="AJ3427" s="90">
        <v>0</v>
      </c>
      <c r="AM3427" s="90" t="s">
        <v>379</v>
      </c>
      <c r="AN3427" s="90">
        <v>-1</v>
      </c>
      <c r="AQ3427" s="90">
        <v>363</v>
      </c>
      <c r="AR3427" s="90" t="s">
        <v>438</v>
      </c>
      <c r="AS3427" s="90" t="s">
        <v>260</v>
      </c>
      <c r="AT3427" s="90" t="s">
        <v>244</v>
      </c>
      <c r="AU3427" s="90">
        <v>2.7417280000000002</v>
      </c>
      <c r="AV3427" s="90">
        <v>51.8248123373737</v>
      </c>
      <c r="AW3427" s="90">
        <v>158.91843241118499</v>
      </c>
      <c r="AX3427" s="90">
        <v>0.33436101210000002</v>
      </c>
    </row>
    <row r="3428" spans="1:50" x14ac:dyDescent="0.25">
      <c r="A3428" s="102">
        <v>660000</v>
      </c>
      <c r="B3428" s="102">
        <v>2400000</v>
      </c>
      <c r="C3428" s="102">
        <v>2400000</v>
      </c>
      <c r="D3428" s="90" t="s">
        <v>374</v>
      </c>
      <c r="E3428" s="90" t="s">
        <v>68</v>
      </c>
      <c r="F3428" s="90" t="s">
        <v>375</v>
      </c>
      <c r="G3428" s="90" t="s">
        <v>376</v>
      </c>
      <c r="H3428" s="90">
        <v>0.59</v>
      </c>
      <c r="I3428" s="90">
        <v>0.64</v>
      </c>
      <c r="J3428" s="90" t="s">
        <v>244</v>
      </c>
      <c r="K3428" s="90">
        <v>0.11268137757726</v>
      </c>
      <c r="L3428" s="90">
        <v>3113.3176225485299</v>
      </c>
      <c r="M3428" s="90">
        <v>7.7701021600308904</v>
      </c>
      <c r="N3428" s="90">
        <v>1.14309705995563</v>
      </c>
      <c r="O3428" s="90">
        <v>0.87554581530834996</v>
      </c>
      <c r="P3428" s="90">
        <v>0.12880575142032</v>
      </c>
      <c r="Q3428" s="90">
        <v>350.81291854434102</v>
      </c>
      <c r="R3428" s="90">
        <v>1210</v>
      </c>
      <c r="S3428" s="90" t="s">
        <v>385</v>
      </c>
      <c r="T3428" s="90">
        <v>1210</v>
      </c>
      <c r="U3428" s="90" t="s">
        <v>378</v>
      </c>
      <c r="V3428" s="90" t="s">
        <v>244</v>
      </c>
      <c r="Z3428" s="90">
        <v>0</v>
      </c>
      <c r="AA3428" s="90">
        <v>1</v>
      </c>
      <c r="AB3428" s="90">
        <v>0.87554581530834996</v>
      </c>
      <c r="AC3428" s="90">
        <v>0.12880575142032</v>
      </c>
      <c r="AD3428" s="90">
        <v>720.37215796144903</v>
      </c>
      <c r="AF3428" s="90">
        <v>-1</v>
      </c>
      <c r="AG3428" s="90">
        <v>-1</v>
      </c>
      <c r="AH3428" s="90">
        <v>-1</v>
      </c>
      <c r="AI3428" s="90">
        <v>-1</v>
      </c>
      <c r="AJ3428" s="90">
        <v>0</v>
      </c>
      <c r="AM3428" s="90" t="s">
        <v>379</v>
      </c>
      <c r="AN3428" s="90">
        <v>-1</v>
      </c>
      <c r="AQ3428" s="90">
        <v>363</v>
      </c>
      <c r="AR3428" s="90" t="s">
        <v>438</v>
      </c>
      <c r="AS3428" s="90" t="s">
        <v>260</v>
      </c>
      <c r="AT3428" s="90" t="s">
        <v>244</v>
      </c>
      <c r="AU3428" s="90">
        <v>2.7417280000000002</v>
      </c>
      <c r="AV3428" s="90">
        <v>84.756640903768698</v>
      </c>
      <c r="AW3428" s="90">
        <v>456.00535653343098</v>
      </c>
      <c r="AX3428" s="90">
        <v>0.58424343710000004</v>
      </c>
    </row>
    <row r="3429" spans="1:50" x14ac:dyDescent="0.25">
      <c r="A3429" s="102">
        <v>660000</v>
      </c>
      <c r="B3429" s="102">
        <v>2400000</v>
      </c>
      <c r="C3429" s="102">
        <v>2400000</v>
      </c>
      <c r="D3429" s="90" t="s">
        <v>374</v>
      </c>
      <c r="E3429" s="90" t="s">
        <v>68</v>
      </c>
      <c r="F3429" s="90" t="s">
        <v>375</v>
      </c>
      <c r="G3429" s="90" t="s">
        <v>376</v>
      </c>
      <c r="H3429" s="90">
        <v>0.59</v>
      </c>
      <c r="I3429" s="90">
        <v>0.64</v>
      </c>
      <c r="J3429" s="90" t="s">
        <v>244</v>
      </c>
      <c r="K3429" s="90">
        <v>6.9738423030419994E-2</v>
      </c>
      <c r="L3429" s="90">
        <v>3113.3176225485299</v>
      </c>
      <c r="M3429" s="90">
        <v>7.7701021600308904</v>
      </c>
      <c r="N3429" s="90">
        <v>1.14309705995563</v>
      </c>
      <c r="O3429" s="90">
        <v>0.54187467142581003</v>
      </c>
      <c r="P3429" s="90">
        <v>7.9717786332010002E-2</v>
      </c>
      <c r="Q3429" s="90">
        <v>217.11786138935099</v>
      </c>
      <c r="R3429" s="90">
        <v>1210</v>
      </c>
      <c r="S3429" s="90" t="s">
        <v>385</v>
      </c>
      <c r="T3429" s="90">
        <v>1210</v>
      </c>
      <c r="U3429" s="90" t="s">
        <v>378</v>
      </c>
      <c r="V3429" s="90" t="s">
        <v>244</v>
      </c>
      <c r="Z3429" s="90">
        <v>0</v>
      </c>
      <c r="AA3429" s="90">
        <v>1</v>
      </c>
      <c r="AB3429" s="90">
        <v>0.54187467142581003</v>
      </c>
      <c r="AC3429" s="90">
        <v>7.9717786332010002E-2</v>
      </c>
      <c r="AD3429" s="90">
        <v>440.95901910762001</v>
      </c>
      <c r="AF3429" s="90">
        <v>-1</v>
      </c>
      <c r="AG3429" s="90">
        <v>-1</v>
      </c>
      <c r="AH3429" s="90">
        <v>-1</v>
      </c>
      <c r="AI3429" s="90">
        <v>-1</v>
      </c>
      <c r="AJ3429" s="90">
        <v>0</v>
      </c>
      <c r="AM3429" s="90" t="s">
        <v>379</v>
      </c>
      <c r="AN3429" s="90">
        <v>-1</v>
      </c>
      <c r="AQ3429" s="90">
        <v>363</v>
      </c>
      <c r="AR3429" s="90" t="s">
        <v>438</v>
      </c>
      <c r="AS3429" s="90" t="s">
        <v>260</v>
      </c>
      <c r="AT3429" s="90" t="s">
        <v>244</v>
      </c>
      <c r="AU3429" s="90">
        <v>2.7417280000000002</v>
      </c>
      <c r="AV3429" s="90">
        <v>67.969800474724096</v>
      </c>
      <c r="AW3429" s="90">
        <v>282.22138512870401</v>
      </c>
      <c r="AX3429" s="90">
        <v>0.35763099679999999</v>
      </c>
    </row>
    <row r="3430" spans="1:50" x14ac:dyDescent="0.25">
      <c r="A3430" s="102">
        <v>660000</v>
      </c>
      <c r="B3430" s="102">
        <v>2400000</v>
      </c>
      <c r="C3430" s="102">
        <v>2400000</v>
      </c>
      <c r="D3430" s="90" t="s">
        <v>374</v>
      </c>
      <c r="E3430" s="90" t="s">
        <v>68</v>
      </c>
      <c r="F3430" s="90" t="s">
        <v>375</v>
      </c>
      <c r="G3430" s="90" t="s">
        <v>376</v>
      </c>
      <c r="H3430" s="90">
        <v>0.59</v>
      </c>
      <c r="I3430" s="90">
        <v>0.64</v>
      </c>
      <c r="J3430" s="90" t="s">
        <v>244</v>
      </c>
      <c r="K3430" s="90">
        <v>0.12570649388131999</v>
      </c>
      <c r="L3430" s="90">
        <v>3583.0042889193201</v>
      </c>
      <c r="M3430" s="90">
        <v>8.9322092121397496</v>
      </c>
      <c r="N3430" s="90">
        <v>1.31371679707623</v>
      </c>
      <c r="O3430" s="90">
        <v>1.1228367026725501</v>
      </c>
      <c r="P3430" s="90">
        <v>0.16514273251344999</v>
      </c>
      <c r="Q3430" s="90">
        <v>450.406906721795</v>
      </c>
      <c r="R3430" s="90">
        <v>1200</v>
      </c>
      <c r="S3430" s="90" t="s">
        <v>384</v>
      </c>
      <c r="T3430" s="90">
        <v>1200</v>
      </c>
      <c r="U3430" s="90" t="s">
        <v>378</v>
      </c>
      <c r="V3430" s="90" t="s">
        <v>244</v>
      </c>
      <c r="Z3430" s="90">
        <v>0</v>
      </c>
      <c r="AA3430" s="90">
        <v>1</v>
      </c>
      <c r="AB3430" s="90">
        <v>1.1228367026725501</v>
      </c>
      <c r="AC3430" s="90">
        <v>0.16514273251344999</v>
      </c>
      <c r="AD3430" s="90">
        <v>450.406906721795</v>
      </c>
      <c r="AF3430" s="90">
        <v>-1</v>
      </c>
      <c r="AG3430" s="90">
        <v>-1</v>
      </c>
      <c r="AH3430" s="90">
        <v>-1</v>
      </c>
      <c r="AI3430" s="90">
        <v>-1</v>
      </c>
      <c r="AJ3430" s="90">
        <v>0</v>
      </c>
      <c r="AM3430" s="90" t="s">
        <v>379</v>
      </c>
      <c r="AN3430" s="90">
        <v>-1</v>
      </c>
      <c r="AQ3430" s="90">
        <v>363</v>
      </c>
      <c r="AR3430" s="90" t="s">
        <v>438</v>
      </c>
      <c r="AS3430" s="90" t="s">
        <v>260</v>
      </c>
      <c r="AT3430" s="90" t="s">
        <v>244</v>
      </c>
      <c r="AU3430" s="90">
        <v>2.7417280000000002</v>
      </c>
      <c r="AV3430" s="90">
        <v>122.639254434687</v>
      </c>
      <c r="AW3430" s="90">
        <v>508.716132101021</v>
      </c>
      <c r="AX3430" s="90">
        <v>0.36529351719999997</v>
      </c>
    </row>
    <row r="3431" spans="1:50" x14ac:dyDescent="0.25">
      <c r="A3431" s="102">
        <v>660000</v>
      </c>
      <c r="B3431" s="102">
        <v>2400000</v>
      </c>
      <c r="C3431" s="102">
        <v>2400000</v>
      </c>
      <c r="D3431" s="90" t="s">
        <v>374</v>
      </c>
      <c r="E3431" s="90" t="s">
        <v>68</v>
      </c>
      <c r="F3431" s="90" t="s">
        <v>375</v>
      </c>
      <c r="G3431" s="90" t="s">
        <v>376</v>
      </c>
      <c r="H3431" s="90">
        <v>0.59</v>
      </c>
      <c r="I3431" s="90">
        <v>0.64</v>
      </c>
      <c r="J3431" s="90" t="s">
        <v>244</v>
      </c>
      <c r="K3431" s="90">
        <v>1.4957400601999999E-3</v>
      </c>
      <c r="L3431" s="90">
        <v>3583.0042889193201</v>
      </c>
      <c r="M3431" s="90">
        <v>8.9322092121397496</v>
      </c>
      <c r="N3431" s="90">
        <v>1.31371679707623</v>
      </c>
      <c r="O3431" s="90">
        <v>1.336026314471E-2</v>
      </c>
      <c r="P3431" s="90">
        <v>1.9649788411400001E-3</v>
      </c>
      <c r="Q3431" s="90">
        <v>5.3592430508157998</v>
      </c>
      <c r="R3431" s="90">
        <v>1210</v>
      </c>
      <c r="S3431" s="90" t="s">
        <v>385</v>
      </c>
      <c r="T3431" s="90">
        <v>1210</v>
      </c>
      <c r="U3431" s="90" t="s">
        <v>378</v>
      </c>
      <c r="V3431" s="90" t="s">
        <v>244</v>
      </c>
      <c r="Z3431" s="90">
        <v>0</v>
      </c>
      <c r="AA3431" s="90">
        <v>1</v>
      </c>
      <c r="AB3431" s="90">
        <v>1.336026314471E-2</v>
      </c>
      <c r="AC3431" s="90">
        <v>1.9649788411400001E-3</v>
      </c>
      <c r="AD3431" s="90">
        <v>5.3592430508164099</v>
      </c>
      <c r="AF3431" s="90">
        <v>-1</v>
      </c>
      <c r="AG3431" s="90">
        <v>-1</v>
      </c>
      <c r="AH3431" s="90">
        <v>-1</v>
      </c>
      <c r="AI3431" s="90">
        <v>-1</v>
      </c>
      <c r="AJ3431" s="90">
        <v>0</v>
      </c>
      <c r="AM3431" s="90" t="s">
        <v>379</v>
      </c>
      <c r="AN3431" s="90">
        <v>-1</v>
      </c>
      <c r="AQ3431" s="90">
        <v>363</v>
      </c>
      <c r="AR3431" s="90" t="s">
        <v>438</v>
      </c>
      <c r="AS3431" s="90" t="s">
        <v>260</v>
      </c>
      <c r="AT3431" s="90" t="s">
        <v>244</v>
      </c>
      <c r="AU3431" s="90">
        <v>2.7417280000000002</v>
      </c>
      <c r="AV3431" s="90">
        <v>14.769256951717599</v>
      </c>
      <c r="AW3431" s="90">
        <v>6.0530452688741603</v>
      </c>
      <c r="AX3431" s="90">
        <v>4.3465068999999999E-3</v>
      </c>
    </row>
    <row r="3432" spans="1:50" x14ac:dyDescent="0.25">
      <c r="A3432" s="102">
        <v>660000</v>
      </c>
      <c r="B3432" s="102">
        <v>2400000</v>
      </c>
      <c r="C3432" s="102">
        <v>2400000</v>
      </c>
      <c r="D3432" s="90" t="s">
        <v>374</v>
      </c>
      <c r="E3432" s="90" t="s">
        <v>68</v>
      </c>
      <c r="F3432" s="90" t="s">
        <v>375</v>
      </c>
      <c r="G3432" s="90" t="s">
        <v>376</v>
      </c>
      <c r="H3432" s="90">
        <v>0.59</v>
      </c>
      <c r="I3432" s="90">
        <v>0.64</v>
      </c>
      <c r="J3432" s="90" t="s">
        <v>244</v>
      </c>
      <c r="K3432" s="90">
        <v>6.7192634964210005E-2</v>
      </c>
      <c r="L3432" s="90">
        <v>3583.0042889193201</v>
      </c>
      <c r="M3432" s="90">
        <v>8.9322092121397496</v>
      </c>
      <c r="N3432" s="90">
        <v>1.31371679707623</v>
      </c>
      <c r="O3432" s="90">
        <v>0.60017867301529004</v>
      </c>
      <c r="P3432" s="90">
        <v>8.8272093192300005E-2</v>
      </c>
      <c r="Q3432" s="90">
        <v>240.75149926056901</v>
      </c>
      <c r="R3432" s="90">
        <v>1210</v>
      </c>
      <c r="S3432" s="90" t="s">
        <v>385</v>
      </c>
      <c r="T3432" s="90">
        <v>1210</v>
      </c>
      <c r="U3432" s="90" t="s">
        <v>378</v>
      </c>
      <c r="V3432" s="90" t="s">
        <v>244</v>
      </c>
      <c r="Z3432" s="90">
        <v>0</v>
      </c>
      <c r="AA3432" s="90">
        <v>1</v>
      </c>
      <c r="AB3432" s="90">
        <v>0.60017867301529004</v>
      </c>
      <c r="AC3432" s="90">
        <v>8.8272093192300005E-2</v>
      </c>
      <c r="AD3432" s="90">
        <v>809.52937860032398</v>
      </c>
      <c r="AF3432" s="90">
        <v>-1</v>
      </c>
      <c r="AG3432" s="90">
        <v>-1</v>
      </c>
      <c r="AH3432" s="90">
        <v>-1</v>
      </c>
      <c r="AI3432" s="90">
        <v>-1</v>
      </c>
      <c r="AJ3432" s="90">
        <v>0</v>
      </c>
      <c r="AM3432" s="90" t="s">
        <v>379</v>
      </c>
      <c r="AN3432" s="90">
        <v>-1</v>
      </c>
      <c r="AQ3432" s="90">
        <v>363</v>
      </c>
      <c r="AR3432" s="90" t="s">
        <v>438</v>
      </c>
      <c r="AS3432" s="90" t="s">
        <v>260</v>
      </c>
      <c r="AT3432" s="90" t="s">
        <v>244</v>
      </c>
      <c r="AU3432" s="90">
        <v>2.7417280000000002</v>
      </c>
      <c r="AV3432" s="90">
        <v>73.000140263407303</v>
      </c>
      <c r="AW3432" s="90">
        <v>271.91894634290702</v>
      </c>
      <c r="AX3432" s="90">
        <v>0.65655261850000002</v>
      </c>
    </row>
    <row r="3433" spans="1:50" x14ac:dyDescent="0.25">
      <c r="A3433" s="102">
        <v>660000</v>
      </c>
      <c r="B3433" s="102">
        <v>2400000</v>
      </c>
      <c r="C3433" s="102">
        <v>2400000</v>
      </c>
      <c r="D3433" s="90" t="s">
        <v>374</v>
      </c>
      <c r="E3433" s="90" t="s">
        <v>68</v>
      </c>
      <c r="F3433" s="90" t="s">
        <v>375</v>
      </c>
      <c r="G3433" s="90" t="s">
        <v>376</v>
      </c>
      <c r="H3433" s="90">
        <v>0.59</v>
      </c>
      <c r="I3433" s="90">
        <v>0.64</v>
      </c>
      <c r="J3433" s="90" t="s">
        <v>244</v>
      </c>
      <c r="K3433" s="90">
        <v>3.897141892376E-2</v>
      </c>
      <c r="L3433" s="90">
        <v>3583.0042889193201</v>
      </c>
      <c r="M3433" s="90">
        <v>8.9322092121397496</v>
      </c>
      <c r="N3433" s="90">
        <v>1.31371679707623</v>
      </c>
      <c r="O3433" s="90">
        <v>0.34810086712101002</v>
      </c>
      <c r="P3433" s="90">
        <v>5.119740764604E-2</v>
      </c>
      <c r="Q3433" s="90">
        <v>139.634761149121</v>
      </c>
      <c r="R3433" s="90">
        <v>1210</v>
      </c>
      <c r="S3433" s="90" t="s">
        <v>385</v>
      </c>
      <c r="T3433" s="90">
        <v>1210</v>
      </c>
      <c r="U3433" s="90" t="s">
        <v>378</v>
      </c>
      <c r="V3433" s="90" t="s">
        <v>244</v>
      </c>
      <c r="Z3433" s="90">
        <v>0</v>
      </c>
      <c r="AA3433" s="90">
        <v>1</v>
      </c>
      <c r="AB3433" s="90">
        <v>0.34810086712101002</v>
      </c>
      <c r="AC3433" s="90">
        <v>5.119740764604E-2</v>
      </c>
      <c r="AD3433" s="90">
        <v>487.96954048082898</v>
      </c>
      <c r="AF3433" s="90">
        <v>-1</v>
      </c>
      <c r="AG3433" s="90">
        <v>-1</v>
      </c>
      <c r="AH3433" s="90">
        <v>-1</v>
      </c>
      <c r="AI3433" s="90">
        <v>-1</v>
      </c>
      <c r="AJ3433" s="90">
        <v>0</v>
      </c>
      <c r="AM3433" s="90" t="s">
        <v>379</v>
      </c>
      <c r="AN3433" s="90">
        <v>-1</v>
      </c>
      <c r="AQ3433" s="90">
        <v>363</v>
      </c>
      <c r="AR3433" s="90" t="s">
        <v>438</v>
      </c>
      <c r="AS3433" s="90" t="s">
        <v>260</v>
      </c>
      <c r="AT3433" s="90" t="s">
        <v>244</v>
      </c>
      <c r="AU3433" s="90">
        <v>2.7417280000000002</v>
      </c>
      <c r="AV3433" s="90">
        <v>51.332477220172301</v>
      </c>
      <c r="AW3433" s="90">
        <v>157.71173696167901</v>
      </c>
      <c r="AX3433" s="90">
        <v>0.39575794040000001</v>
      </c>
    </row>
    <row r="3434" spans="1:50" x14ac:dyDescent="0.25">
      <c r="A3434" s="102">
        <v>660000</v>
      </c>
      <c r="B3434" s="102">
        <v>2400000</v>
      </c>
      <c r="C3434" s="102">
        <v>2400000</v>
      </c>
      <c r="D3434" s="90" t="s">
        <v>374</v>
      </c>
      <c r="E3434" s="90" t="s">
        <v>68</v>
      </c>
      <c r="F3434" s="90" t="s">
        <v>375</v>
      </c>
      <c r="G3434" s="90" t="s">
        <v>376</v>
      </c>
      <c r="H3434" s="90">
        <v>0.59</v>
      </c>
      <c r="I3434" s="90">
        <v>0.64</v>
      </c>
      <c r="J3434" s="90" t="s">
        <v>244</v>
      </c>
      <c r="K3434" s="90">
        <v>4.1645443983129998E-2</v>
      </c>
      <c r="L3434" s="90">
        <v>3583.0042889193201</v>
      </c>
      <c r="M3434" s="90">
        <v>8.9322092121397496</v>
      </c>
      <c r="N3434" s="90">
        <v>1.31371679707623</v>
      </c>
      <c r="O3434" s="90">
        <v>0.37198581838976003</v>
      </c>
      <c r="P3434" s="90">
        <v>5.471031928233E-2</v>
      </c>
      <c r="Q3434" s="90">
        <v>149.215804405504</v>
      </c>
      <c r="R3434" s="90">
        <v>1210</v>
      </c>
      <c r="S3434" s="90" t="s">
        <v>385</v>
      </c>
      <c r="T3434" s="90">
        <v>1210</v>
      </c>
      <c r="U3434" s="90" t="s">
        <v>378</v>
      </c>
      <c r="V3434" s="90" t="s">
        <v>244</v>
      </c>
      <c r="Z3434" s="90">
        <v>0</v>
      </c>
      <c r="AA3434" s="90">
        <v>1</v>
      </c>
      <c r="AB3434" s="90">
        <v>0.37198581838976003</v>
      </c>
      <c r="AC3434" s="90">
        <v>5.471031928233E-2</v>
      </c>
      <c r="AD3434" s="90">
        <v>382.97567629155702</v>
      </c>
      <c r="AF3434" s="90">
        <v>-1</v>
      </c>
      <c r="AG3434" s="90">
        <v>-1</v>
      </c>
      <c r="AH3434" s="90">
        <v>-1</v>
      </c>
      <c r="AI3434" s="90">
        <v>-1</v>
      </c>
      <c r="AJ3434" s="90">
        <v>0</v>
      </c>
      <c r="AM3434" s="90" t="s">
        <v>379</v>
      </c>
      <c r="AN3434" s="90">
        <v>-1</v>
      </c>
      <c r="AQ3434" s="90">
        <v>363</v>
      </c>
      <c r="AR3434" s="90" t="s">
        <v>438</v>
      </c>
      <c r="AS3434" s="90" t="s">
        <v>260</v>
      </c>
      <c r="AT3434" s="90" t="s">
        <v>244</v>
      </c>
      <c r="AU3434" s="90">
        <v>2.7417280000000002</v>
      </c>
      <c r="AV3434" s="90">
        <v>52.511688803970301</v>
      </c>
      <c r="AW3434" s="90">
        <v>168.53313244682701</v>
      </c>
      <c r="AX3434" s="90">
        <v>0.31060476580000002</v>
      </c>
    </row>
    <row r="3435" spans="1:50" x14ac:dyDescent="0.25">
      <c r="A3435" s="102">
        <v>660000</v>
      </c>
      <c r="B3435" s="102">
        <v>2400000</v>
      </c>
      <c r="C3435" s="102">
        <v>2400000</v>
      </c>
      <c r="D3435" s="90" t="s">
        <v>374</v>
      </c>
      <c r="E3435" s="90" t="s">
        <v>68</v>
      </c>
      <c r="F3435" s="90" t="s">
        <v>375</v>
      </c>
      <c r="G3435" s="90" t="s">
        <v>376</v>
      </c>
      <c r="H3435" s="90">
        <v>0.59</v>
      </c>
      <c r="I3435" s="90">
        <v>0.64</v>
      </c>
      <c r="J3435" s="90" t="s">
        <v>244</v>
      </c>
      <c r="K3435" s="90">
        <v>2.14132004236E-3</v>
      </c>
      <c r="L3435" s="90">
        <v>1922.1925220829301</v>
      </c>
      <c r="M3435" s="90">
        <v>4.6704959626397597</v>
      </c>
      <c r="N3435" s="90">
        <v>0.68279462148518999</v>
      </c>
      <c r="O3435" s="90">
        <v>1.000102661258E-2</v>
      </c>
      <c r="P3435" s="90">
        <v>1.4620818077999999E-3</v>
      </c>
      <c r="Q3435" s="90">
        <v>4.1160293728203197</v>
      </c>
      <c r="R3435" s="90">
        <v>1210</v>
      </c>
      <c r="S3435" s="90" t="s">
        <v>385</v>
      </c>
      <c r="T3435" s="90">
        <v>1210</v>
      </c>
      <c r="U3435" s="90" t="s">
        <v>378</v>
      </c>
      <c r="V3435" s="90" t="s">
        <v>244</v>
      </c>
      <c r="Z3435" s="90">
        <v>0</v>
      </c>
      <c r="AA3435" s="90">
        <v>1</v>
      </c>
      <c r="AB3435" s="90">
        <v>1.000102661258E-2</v>
      </c>
      <c r="AC3435" s="90">
        <v>1.4620818077999999E-3</v>
      </c>
      <c r="AD3435" s="90">
        <v>120.74308733601799</v>
      </c>
      <c r="AF3435" s="90">
        <v>-1</v>
      </c>
      <c r="AG3435" s="90">
        <v>-1</v>
      </c>
      <c r="AH3435" s="90">
        <v>-1</v>
      </c>
      <c r="AI3435" s="90">
        <v>-1</v>
      </c>
      <c r="AJ3435" s="90">
        <v>0</v>
      </c>
      <c r="AM3435" s="90" t="s">
        <v>379</v>
      </c>
      <c r="AN3435" s="90">
        <v>-1</v>
      </c>
      <c r="AQ3435" s="90">
        <v>363</v>
      </c>
      <c r="AR3435" s="90" t="s">
        <v>438</v>
      </c>
      <c r="AS3435" s="90" t="s">
        <v>260</v>
      </c>
      <c r="AT3435" s="90" t="s">
        <v>244</v>
      </c>
      <c r="AU3435" s="90">
        <v>2.7417280000000002</v>
      </c>
      <c r="AV3435" s="90">
        <v>13.658547249995999</v>
      </c>
      <c r="AW3435" s="90">
        <v>8.6656147658603508</v>
      </c>
      <c r="AX3435" s="90">
        <v>9.7926267100000006E-2</v>
      </c>
    </row>
    <row r="3436" spans="1:50" x14ac:dyDescent="0.25">
      <c r="A3436" s="102">
        <v>660000</v>
      </c>
      <c r="B3436" s="102">
        <v>2400000</v>
      </c>
      <c r="C3436" s="102">
        <v>2400000</v>
      </c>
      <c r="D3436" s="90" t="s">
        <v>374</v>
      </c>
      <c r="E3436" s="90" t="s">
        <v>68</v>
      </c>
      <c r="F3436" s="90" t="s">
        <v>375</v>
      </c>
      <c r="G3436" s="90" t="s">
        <v>376</v>
      </c>
      <c r="H3436" s="90">
        <v>0.59</v>
      </c>
      <c r="I3436" s="90">
        <v>0.64</v>
      </c>
      <c r="J3436" s="90" t="s">
        <v>244</v>
      </c>
      <c r="K3436" s="90">
        <v>6.8725778613640001E-2</v>
      </c>
      <c r="L3436" s="90">
        <v>1922.1925220829301</v>
      </c>
      <c r="M3436" s="90">
        <v>4.6704959626397597</v>
      </c>
      <c r="N3436" s="90">
        <v>0.68279462148518999</v>
      </c>
      <c r="O3436" s="90">
        <v>0.32098347154432</v>
      </c>
      <c r="P3436" s="90">
        <v>4.6925591994779997E-2</v>
      </c>
      <c r="Q3436" s="90">
        <v>132.104177725483</v>
      </c>
      <c r="R3436" s="90">
        <v>1210</v>
      </c>
      <c r="S3436" s="90" t="s">
        <v>385</v>
      </c>
      <c r="T3436" s="90">
        <v>1210</v>
      </c>
      <c r="U3436" s="90" t="s">
        <v>378</v>
      </c>
      <c r="V3436" s="90" t="s">
        <v>244</v>
      </c>
      <c r="Z3436" s="90">
        <v>0</v>
      </c>
      <c r="AA3436" s="90">
        <v>1</v>
      </c>
      <c r="AB3436" s="90">
        <v>0.32098347154432</v>
      </c>
      <c r="AC3436" s="90">
        <v>4.6925591994779997E-2</v>
      </c>
      <c r="AD3436" s="90">
        <v>343.78893583831803</v>
      </c>
      <c r="AF3436" s="90">
        <v>-1</v>
      </c>
      <c r="AG3436" s="90">
        <v>-1</v>
      </c>
      <c r="AH3436" s="90">
        <v>-1</v>
      </c>
      <c r="AI3436" s="90">
        <v>-1</v>
      </c>
      <c r="AJ3436" s="90">
        <v>0</v>
      </c>
      <c r="AM3436" s="90" t="s">
        <v>379</v>
      </c>
      <c r="AN3436" s="90">
        <v>-1</v>
      </c>
      <c r="AQ3436" s="90">
        <v>363</v>
      </c>
      <c r="AR3436" s="90" t="s">
        <v>438</v>
      </c>
      <c r="AS3436" s="90" t="s">
        <v>260</v>
      </c>
      <c r="AT3436" s="90" t="s">
        <v>244</v>
      </c>
      <c r="AU3436" s="90">
        <v>2.7417280000000002</v>
      </c>
      <c r="AV3436" s="90">
        <v>73.253016614623107</v>
      </c>
      <c r="AW3436" s="90">
        <v>278.12335856708597</v>
      </c>
      <c r="AX3436" s="90">
        <v>0.27882314339999997</v>
      </c>
    </row>
    <row r="3437" spans="1:50" x14ac:dyDescent="0.25">
      <c r="A3437" s="102">
        <v>660000</v>
      </c>
      <c r="B3437" s="102">
        <v>2400000</v>
      </c>
      <c r="C3437" s="102">
        <v>2400000</v>
      </c>
      <c r="D3437" s="90" t="s">
        <v>374</v>
      </c>
      <c r="E3437" s="90" t="s">
        <v>68</v>
      </c>
      <c r="F3437" s="90" t="s">
        <v>375</v>
      </c>
      <c r="G3437" s="90" t="s">
        <v>376</v>
      </c>
      <c r="H3437" s="90">
        <v>0.59</v>
      </c>
      <c r="I3437" s="90">
        <v>0.64</v>
      </c>
      <c r="J3437" s="90" t="s">
        <v>244</v>
      </c>
      <c r="K3437" s="90">
        <v>4.2957343964000003E-3</v>
      </c>
      <c r="L3437" s="90">
        <v>1922.1925220829301</v>
      </c>
      <c r="M3437" s="90">
        <v>4.6704959626397597</v>
      </c>
      <c r="N3437" s="90">
        <v>0.68279462148518999</v>
      </c>
      <c r="O3437" s="90">
        <v>2.0063210154949999E-2</v>
      </c>
      <c r="P3437" s="90">
        <v>2.93310434119E-3</v>
      </c>
      <c r="Q3437" s="90">
        <v>8.2572285336145494</v>
      </c>
      <c r="R3437" s="90">
        <v>1210</v>
      </c>
      <c r="S3437" s="90" t="s">
        <v>385</v>
      </c>
      <c r="T3437" s="90">
        <v>1210</v>
      </c>
      <c r="U3437" s="90" t="s">
        <v>378</v>
      </c>
      <c r="V3437" s="90" t="s">
        <v>244</v>
      </c>
      <c r="Z3437" s="90">
        <v>0</v>
      </c>
      <c r="AA3437" s="90">
        <v>1</v>
      </c>
      <c r="AB3437" s="90">
        <v>2.0063210154949999E-2</v>
      </c>
      <c r="AC3437" s="90">
        <v>2.93310434119E-3</v>
      </c>
      <c r="AD3437" s="90">
        <v>37.581817507349001</v>
      </c>
      <c r="AF3437" s="90">
        <v>-1</v>
      </c>
      <c r="AG3437" s="90">
        <v>-1</v>
      </c>
      <c r="AH3437" s="90">
        <v>-1</v>
      </c>
      <c r="AI3437" s="90">
        <v>-1</v>
      </c>
      <c r="AJ3437" s="90">
        <v>0</v>
      </c>
      <c r="AM3437" s="90" t="s">
        <v>379</v>
      </c>
      <c r="AN3437" s="90">
        <v>-1</v>
      </c>
      <c r="AQ3437" s="90">
        <v>363</v>
      </c>
      <c r="AR3437" s="90" t="s">
        <v>438</v>
      </c>
      <c r="AS3437" s="90" t="s">
        <v>260</v>
      </c>
      <c r="AT3437" s="90" t="s">
        <v>244</v>
      </c>
      <c r="AU3437" s="90">
        <v>2.7417280000000002</v>
      </c>
      <c r="AV3437" s="90">
        <v>30.4073752907995</v>
      </c>
      <c r="AW3437" s="90">
        <v>17.384220330993902</v>
      </c>
      <c r="AX3437" s="90">
        <v>3.04799818E-2</v>
      </c>
    </row>
    <row r="3438" spans="1:50" x14ac:dyDescent="0.25">
      <c r="A3438" s="102">
        <v>660000</v>
      </c>
      <c r="B3438" s="102">
        <v>2500000</v>
      </c>
      <c r="C3438" s="102">
        <v>2500000</v>
      </c>
      <c r="D3438" s="90" t="s">
        <v>374</v>
      </c>
      <c r="E3438" s="90" t="s">
        <v>68</v>
      </c>
      <c r="F3438" s="90" t="s">
        <v>375</v>
      </c>
      <c r="G3438" s="90" t="s">
        <v>376</v>
      </c>
      <c r="H3438" s="90">
        <v>0.59</v>
      </c>
      <c r="I3438" s="90">
        <v>0.64</v>
      </c>
      <c r="J3438" s="90" t="s">
        <v>244</v>
      </c>
      <c r="K3438" s="90">
        <v>0.29103104358155002</v>
      </c>
      <c r="L3438" s="90">
        <v>3718.8488304043099</v>
      </c>
      <c r="M3438" s="90">
        <v>9.2672581880548393</v>
      </c>
      <c r="N3438" s="90">
        <v>1.3628721660212899</v>
      </c>
      <c r="O3438" s="90">
        <v>2.6970598216092898</v>
      </c>
      <c r="P3438" s="90">
        <v>0.39663810874542998</v>
      </c>
      <c r="Q3438" s="90">
        <v>1082.3004560346001</v>
      </c>
      <c r="R3438" s="90">
        <v>1200</v>
      </c>
      <c r="S3438" s="90" t="s">
        <v>384</v>
      </c>
      <c r="T3438" s="90">
        <v>1200</v>
      </c>
      <c r="U3438" s="90" t="s">
        <v>378</v>
      </c>
      <c r="V3438" s="90" t="s">
        <v>244</v>
      </c>
      <c r="Z3438" s="90">
        <v>0</v>
      </c>
      <c r="AA3438" s="90">
        <v>1</v>
      </c>
      <c r="AB3438" s="90">
        <v>2.6970598216092898</v>
      </c>
      <c r="AC3438" s="90">
        <v>0.39663810874542998</v>
      </c>
      <c r="AD3438" s="90">
        <v>1082.3004560346001</v>
      </c>
      <c r="AF3438" s="90">
        <v>-1</v>
      </c>
      <c r="AG3438" s="90">
        <v>-1</v>
      </c>
      <c r="AH3438" s="90">
        <v>-1</v>
      </c>
      <c r="AI3438" s="90">
        <v>-1</v>
      </c>
      <c r="AJ3438" s="90">
        <v>0</v>
      </c>
      <c r="AM3438" s="90" t="s">
        <v>379</v>
      </c>
      <c r="AN3438" s="90">
        <v>-1</v>
      </c>
      <c r="AQ3438" s="90">
        <v>363</v>
      </c>
      <c r="AR3438" s="90" t="s">
        <v>438</v>
      </c>
      <c r="AS3438" s="90" t="s">
        <v>260</v>
      </c>
      <c r="AT3438" s="90" t="s">
        <v>244</v>
      </c>
      <c r="AU3438" s="90">
        <v>2.7417280000000002</v>
      </c>
      <c r="AV3438" s="90">
        <v>158.10763261275099</v>
      </c>
      <c r="AW3438" s="90">
        <v>1177.7608478357799</v>
      </c>
      <c r="AX3438" s="90">
        <v>0.87777814759999995</v>
      </c>
    </row>
    <row r="3439" spans="1:50" x14ac:dyDescent="0.25">
      <c r="A3439" s="102">
        <v>660000</v>
      </c>
      <c r="B3439" s="102">
        <v>2500000</v>
      </c>
      <c r="C3439" s="102">
        <v>2500000</v>
      </c>
      <c r="D3439" s="90" t="s">
        <v>374</v>
      </c>
      <c r="E3439" s="90" t="s">
        <v>68</v>
      </c>
      <c r="F3439" s="90" t="s">
        <v>375</v>
      </c>
      <c r="G3439" s="90" t="s">
        <v>376</v>
      </c>
      <c r="H3439" s="90">
        <v>0.59</v>
      </c>
      <c r="I3439" s="90">
        <v>0.64</v>
      </c>
      <c r="J3439" s="90" t="s">
        <v>244</v>
      </c>
      <c r="K3439" s="90">
        <v>2.9028904881629999E-2</v>
      </c>
      <c r="L3439" s="90">
        <v>3718.8488304043099</v>
      </c>
      <c r="M3439" s="90">
        <v>9.2672581880548393</v>
      </c>
      <c r="N3439" s="90">
        <v>1.3628721660212899</v>
      </c>
      <c r="O3439" s="90">
        <v>0.26901835645458999</v>
      </c>
      <c r="P3439" s="90">
        <v>3.956268647326E-2</v>
      </c>
      <c r="Q3439" s="90">
        <v>107.954108966986</v>
      </c>
      <c r="R3439" s="90">
        <v>1210</v>
      </c>
      <c r="S3439" s="90" t="s">
        <v>385</v>
      </c>
      <c r="T3439" s="90">
        <v>1210</v>
      </c>
      <c r="U3439" s="90" t="s">
        <v>378</v>
      </c>
      <c r="V3439" s="90" t="s">
        <v>244</v>
      </c>
      <c r="Z3439" s="90">
        <v>0</v>
      </c>
      <c r="AA3439" s="90">
        <v>1</v>
      </c>
      <c r="AB3439" s="90">
        <v>0.26901835645458999</v>
      </c>
      <c r="AC3439" s="90">
        <v>3.956268647326E-2</v>
      </c>
      <c r="AD3439" s="90">
        <v>108.49331710727201</v>
      </c>
      <c r="AF3439" s="90">
        <v>-1</v>
      </c>
      <c r="AG3439" s="90">
        <v>-1</v>
      </c>
      <c r="AH3439" s="90">
        <v>-1</v>
      </c>
      <c r="AI3439" s="90">
        <v>-1</v>
      </c>
      <c r="AJ3439" s="90">
        <v>0</v>
      </c>
      <c r="AM3439" s="90" t="s">
        <v>379</v>
      </c>
      <c r="AN3439" s="90">
        <v>-1</v>
      </c>
      <c r="AQ3439" s="90">
        <v>363</v>
      </c>
      <c r="AR3439" s="90" t="s">
        <v>438</v>
      </c>
      <c r="AS3439" s="90" t="s">
        <v>260</v>
      </c>
      <c r="AT3439" s="90" t="s">
        <v>244</v>
      </c>
      <c r="AU3439" s="90">
        <v>2.7417280000000002</v>
      </c>
      <c r="AV3439" s="90">
        <v>54.227001186596198</v>
      </c>
      <c r="AW3439" s="90">
        <v>117.47581015548499</v>
      </c>
      <c r="AX3439" s="90">
        <v>8.7991335899999995E-2</v>
      </c>
    </row>
    <row r="3440" spans="1:50" x14ac:dyDescent="0.25">
      <c r="A3440" s="102">
        <v>660000</v>
      </c>
      <c r="B3440" s="102">
        <v>2500000</v>
      </c>
      <c r="C3440" s="102">
        <v>2500000</v>
      </c>
      <c r="D3440" s="90" t="s">
        <v>374</v>
      </c>
      <c r="E3440" s="90" t="s">
        <v>68</v>
      </c>
      <c r="F3440" s="90" t="s">
        <v>375</v>
      </c>
      <c r="G3440" s="90" t="s">
        <v>376</v>
      </c>
      <c r="H3440" s="90">
        <v>0.59</v>
      </c>
      <c r="I3440" s="90">
        <v>0.64</v>
      </c>
      <c r="J3440" s="90" t="s">
        <v>244</v>
      </c>
      <c r="K3440" s="90">
        <v>0.15438103234316999</v>
      </c>
      <c r="L3440" s="90">
        <v>3718.8488304043099</v>
      </c>
      <c r="M3440" s="90">
        <v>9.2672581880548393</v>
      </c>
      <c r="N3440" s="90">
        <v>1.3628721660212899</v>
      </c>
      <c r="O3440" s="90">
        <v>1.4306888860626501</v>
      </c>
      <c r="P3440" s="90">
        <v>0.21040161194213999</v>
      </c>
      <c r="Q3440" s="90">
        <v>574.11972156602997</v>
      </c>
      <c r="R3440" s="90">
        <v>1210</v>
      </c>
      <c r="S3440" s="90" t="s">
        <v>385</v>
      </c>
      <c r="T3440" s="90">
        <v>1210</v>
      </c>
      <c r="U3440" s="90" t="s">
        <v>378</v>
      </c>
      <c r="V3440" s="90" t="s">
        <v>244</v>
      </c>
      <c r="Z3440" s="90">
        <v>0</v>
      </c>
      <c r="AA3440" s="90">
        <v>1</v>
      </c>
      <c r="AB3440" s="90">
        <v>1.4306888860626501</v>
      </c>
      <c r="AC3440" s="90">
        <v>0.21040161194213999</v>
      </c>
      <c r="AD3440" s="90">
        <v>713.38788513720999</v>
      </c>
      <c r="AF3440" s="90">
        <v>-1</v>
      </c>
      <c r="AG3440" s="90">
        <v>-1</v>
      </c>
      <c r="AH3440" s="90">
        <v>-1</v>
      </c>
      <c r="AI3440" s="90">
        <v>-1</v>
      </c>
      <c r="AJ3440" s="90">
        <v>0</v>
      </c>
      <c r="AM3440" s="90" t="s">
        <v>379</v>
      </c>
      <c r="AN3440" s="90">
        <v>-1</v>
      </c>
      <c r="AQ3440" s="90">
        <v>363</v>
      </c>
      <c r="AR3440" s="90" t="s">
        <v>438</v>
      </c>
      <c r="AS3440" s="90" t="s">
        <v>260</v>
      </c>
      <c r="AT3440" s="90" t="s">
        <v>244</v>
      </c>
      <c r="AU3440" s="90">
        <v>2.7417280000000002</v>
      </c>
      <c r="AV3440" s="90">
        <v>98.764845496572505</v>
      </c>
      <c r="AW3440" s="90">
        <v>624.75787223472298</v>
      </c>
      <c r="AX3440" s="90">
        <v>0.57857898230000004</v>
      </c>
    </row>
    <row r="3441" spans="1:50" x14ac:dyDescent="0.25">
      <c r="A3441" s="102">
        <v>660000</v>
      </c>
      <c r="B3441" s="102">
        <v>2500000</v>
      </c>
      <c r="C3441" s="102">
        <v>2500000</v>
      </c>
      <c r="D3441" s="90" t="s">
        <v>374</v>
      </c>
      <c r="E3441" s="90" t="s">
        <v>68</v>
      </c>
      <c r="F3441" s="90" t="s">
        <v>375</v>
      </c>
      <c r="G3441" s="90" t="s">
        <v>376</v>
      </c>
      <c r="H3441" s="90">
        <v>0.59</v>
      </c>
      <c r="I3441" s="90">
        <v>0.64</v>
      </c>
      <c r="J3441" s="90" t="s">
        <v>244</v>
      </c>
      <c r="K3441" s="90">
        <v>0.10540526132017</v>
      </c>
      <c r="L3441" s="90">
        <v>3718.8488304043099</v>
      </c>
      <c r="M3441" s="90">
        <v>9.2672581880548393</v>
      </c>
      <c r="N3441" s="90">
        <v>1.3628721660212899</v>
      </c>
      <c r="O3441" s="90">
        <v>0.97681777103348999</v>
      </c>
      <c r="P3441" s="90">
        <v>0.14365389680547</v>
      </c>
      <c r="Q3441" s="90">
        <v>391.98623277900799</v>
      </c>
      <c r="R3441" s="90">
        <v>1210</v>
      </c>
      <c r="S3441" s="90" t="s">
        <v>385</v>
      </c>
      <c r="T3441" s="90">
        <v>1210</v>
      </c>
      <c r="U3441" s="90" t="s">
        <v>378</v>
      </c>
      <c r="V3441" s="90" t="s">
        <v>244</v>
      </c>
      <c r="Z3441" s="90">
        <v>0</v>
      </c>
      <c r="AA3441" s="90">
        <v>1</v>
      </c>
      <c r="AB3441" s="90">
        <v>0.97681777103348999</v>
      </c>
      <c r="AC3441" s="90">
        <v>0.14365389680547</v>
      </c>
      <c r="AD3441" s="90">
        <v>391.98623277900799</v>
      </c>
      <c r="AF3441" s="90">
        <v>-1</v>
      </c>
      <c r="AG3441" s="90">
        <v>-1</v>
      </c>
      <c r="AH3441" s="90">
        <v>-1</v>
      </c>
      <c r="AI3441" s="90">
        <v>-1</v>
      </c>
      <c r="AJ3441" s="90">
        <v>0</v>
      </c>
      <c r="AM3441" s="90" t="s">
        <v>379</v>
      </c>
      <c r="AN3441" s="90">
        <v>-1</v>
      </c>
      <c r="AQ3441" s="90">
        <v>363</v>
      </c>
      <c r="AR3441" s="90" t="s">
        <v>438</v>
      </c>
      <c r="AS3441" s="90" t="s">
        <v>260</v>
      </c>
      <c r="AT3441" s="90" t="s">
        <v>244</v>
      </c>
      <c r="AU3441" s="90">
        <v>2.7417280000000002</v>
      </c>
      <c r="AV3441" s="90">
        <v>87.064388047829596</v>
      </c>
      <c r="AW3441" s="90">
        <v>426.55995872831699</v>
      </c>
      <c r="AX3441" s="90">
        <v>0.3179125975</v>
      </c>
    </row>
    <row r="3442" spans="1:50" x14ac:dyDescent="0.25">
      <c r="A3442" s="102">
        <v>660000</v>
      </c>
      <c r="B3442" s="102">
        <v>2500000</v>
      </c>
      <c r="C3442" s="102">
        <v>2500000</v>
      </c>
      <c r="D3442" s="90" t="s">
        <v>374</v>
      </c>
      <c r="E3442" s="90" t="s">
        <v>68</v>
      </c>
      <c r="F3442" s="90" t="s">
        <v>375</v>
      </c>
      <c r="G3442" s="90" t="s">
        <v>376</v>
      </c>
      <c r="H3442" s="90">
        <v>0.59</v>
      </c>
      <c r="I3442" s="90">
        <v>0.64</v>
      </c>
      <c r="J3442" s="90" t="s">
        <v>244</v>
      </c>
      <c r="K3442" s="90">
        <v>3.1496166999999997E-4</v>
      </c>
      <c r="L3442" s="90">
        <v>3718.8488304043099</v>
      </c>
      <c r="M3442" s="90">
        <v>9.2672581880548393</v>
      </c>
      <c r="N3442" s="90">
        <v>1.3628721660212899</v>
      </c>
      <c r="O3442" s="90">
        <v>2.9188311152299998E-3</v>
      </c>
      <c r="P3442" s="90">
        <v>4.2925249339999998E-4</v>
      </c>
      <c r="Q3442" s="90">
        <v>1.1712948381016901</v>
      </c>
      <c r="R3442" s="90">
        <v>1210</v>
      </c>
      <c r="S3442" s="90" t="s">
        <v>385</v>
      </c>
      <c r="T3442" s="90">
        <v>1210</v>
      </c>
      <c r="U3442" s="90" t="s">
        <v>378</v>
      </c>
      <c r="V3442" s="90" t="s">
        <v>244</v>
      </c>
      <c r="Z3442" s="90">
        <v>0</v>
      </c>
      <c r="AA3442" s="90">
        <v>1</v>
      </c>
      <c r="AB3442" s="90">
        <v>2.9188311152299998E-3</v>
      </c>
      <c r="AC3442" s="90">
        <v>4.2925249339999998E-4</v>
      </c>
      <c r="AD3442" s="90">
        <v>1.1712948381017501</v>
      </c>
      <c r="AF3442" s="90">
        <v>-1</v>
      </c>
      <c r="AG3442" s="90">
        <v>-1</v>
      </c>
      <c r="AH3442" s="90">
        <v>-1</v>
      </c>
      <c r="AI3442" s="90">
        <v>-1</v>
      </c>
      <c r="AJ3442" s="90">
        <v>0</v>
      </c>
      <c r="AM3442" s="90" t="s">
        <v>379</v>
      </c>
      <c r="AN3442" s="90">
        <v>-1</v>
      </c>
      <c r="AQ3442" s="90">
        <v>363</v>
      </c>
      <c r="AR3442" s="90" t="s">
        <v>438</v>
      </c>
      <c r="AS3442" s="90" t="s">
        <v>260</v>
      </c>
      <c r="AT3442" s="90" t="s">
        <v>244</v>
      </c>
      <c r="AU3442" s="90">
        <v>2.7417280000000002</v>
      </c>
      <c r="AV3442" s="90">
        <v>21.847679802668001</v>
      </c>
      <c r="AW3442" s="90">
        <v>1.2746046570493901</v>
      </c>
      <c r="AX3442" s="90">
        <v>9.4995530000000004E-4</v>
      </c>
    </row>
    <row r="3443" spans="1:50" x14ac:dyDescent="0.25">
      <c r="A3443" s="102">
        <v>660000</v>
      </c>
      <c r="B3443" s="102">
        <v>2500000</v>
      </c>
      <c r="C3443" s="102">
        <v>2500000</v>
      </c>
      <c r="D3443" s="90" t="s">
        <v>374</v>
      </c>
      <c r="E3443" s="90" t="s">
        <v>68</v>
      </c>
      <c r="F3443" s="90" t="s">
        <v>375</v>
      </c>
      <c r="G3443" s="90" t="s">
        <v>376</v>
      </c>
      <c r="H3443" s="90">
        <v>0.59</v>
      </c>
      <c r="I3443" s="90">
        <v>0.64</v>
      </c>
      <c r="J3443" s="90" t="s">
        <v>244</v>
      </c>
      <c r="K3443" s="102">
        <v>7.9895267839999992E-6</v>
      </c>
      <c r="L3443" s="90">
        <v>3718.8488304043099</v>
      </c>
      <c r="M3443" s="90">
        <v>9.2672581880548393</v>
      </c>
      <c r="N3443" s="90">
        <v>1.3628721660212899</v>
      </c>
      <c r="O3443" s="90">
        <v>7.4041007500000002E-5</v>
      </c>
      <c r="P3443" s="90">
        <v>1.088870367E-5</v>
      </c>
      <c r="Q3443" s="90">
        <v>2.9711842336160001E-2</v>
      </c>
      <c r="R3443" s="90">
        <v>1210</v>
      </c>
      <c r="S3443" s="90" t="s">
        <v>385</v>
      </c>
      <c r="T3443" s="90">
        <v>1210</v>
      </c>
      <c r="U3443" s="90" t="s">
        <v>378</v>
      </c>
      <c r="V3443" s="90" t="s">
        <v>244</v>
      </c>
      <c r="Z3443" s="90">
        <v>0</v>
      </c>
      <c r="AA3443" s="90">
        <v>1</v>
      </c>
      <c r="AB3443" s="90">
        <v>7.4041007500000002E-5</v>
      </c>
      <c r="AC3443" s="90">
        <v>1.088870367E-5</v>
      </c>
      <c r="AD3443" s="90">
        <v>2.971184233512E-2</v>
      </c>
      <c r="AF3443" s="90">
        <v>-1</v>
      </c>
      <c r="AG3443" s="90">
        <v>-1</v>
      </c>
      <c r="AH3443" s="90">
        <v>-1</v>
      </c>
      <c r="AI3443" s="90">
        <v>-1</v>
      </c>
      <c r="AJ3443" s="90">
        <v>0</v>
      </c>
      <c r="AM3443" s="90" t="s">
        <v>379</v>
      </c>
      <c r="AN3443" s="90">
        <v>-1</v>
      </c>
      <c r="AQ3443" s="90">
        <v>363</v>
      </c>
      <c r="AR3443" s="90" t="s">
        <v>438</v>
      </c>
      <c r="AS3443" s="90" t="s">
        <v>260</v>
      </c>
      <c r="AT3443" s="90" t="s">
        <v>244</v>
      </c>
      <c r="AU3443" s="90">
        <v>2.7417280000000002</v>
      </c>
      <c r="AV3443" s="90">
        <v>1.3599146642106501</v>
      </c>
      <c r="AW3443" s="90">
        <v>3.233246777663E-2</v>
      </c>
      <c r="AX3443" s="90">
        <v>2.40972E-5</v>
      </c>
    </row>
    <row r="3444" spans="1:50" x14ac:dyDescent="0.25">
      <c r="A3444" s="102">
        <v>830000</v>
      </c>
      <c r="B3444" s="102">
        <v>2400000</v>
      </c>
      <c r="C3444" s="102">
        <v>2400000</v>
      </c>
      <c r="D3444" s="90" t="s">
        <v>374</v>
      </c>
      <c r="E3444" s="90" t="s">
        <v>68</v>
      </c>
      <c r="F3444" s="90" t="s">
        <v>375</v>
      </c>
      <c r="G3444" s="90" t="s">
        <v>376</v>
      </c>
      <c r="H3444" s="90">
        <v>0.59</v>
      </c>
      <c r="I3444" s="90">
        <v>0.64</v>
      </c>
      <c r="J3444" s="90" t="s">
        <v>244</v>
      </c>
      <c r="K3444" s="90">
        <v>5.1750695176500001E-3</v>
      </c>
      <c r="L3444" s="90">
        <v>2540.64184824939</v>
      </c>
      <c r="M3444" s="90">
        <v>6.3863010905944098</v>
      </c>
      <c r="N3444" s="90">
        <v>0.94106223433539005</v>
      </c>
      <c r="O3444" s="90">
        <v>3.3049552104469998E-2</v>
      </c>
      <c r="P3444" s="90">
        <v>4.8700624831200003E-3</v>
      </c>
      <c r="Q3444" s="90">
        <v>13.1479981841414</v>
      </c>
      <c r="R3444" s="90">
        <v>1200</v>
      </c>
      <c r="S3444" s="90" t="s">
        <v>384</v>
      </c>
      <c r="T3444" s="90">
        <v>1200</v>
      </c>
      <c r="U3444" s="90" t="s">
        <v>378</v>
      </c>
      <c r="V3444" s="90" t="s">
        <v>244</v>
      </c>
      <c r="Z3444" s="90">
        <v>0</v>
      </c>
      <c r="AA3444" s="90">
        <v>1</v>
      </c>
      <c r="AB3444" s="90">
        <v>3.3049552104469998E-2</v>
      </c>
      <c r="AC3444" s="90">
        <v>4.8700624831200003E-3</v>
      </c>
      <c r="AD3444" s="90">
        <v>13.147998184141199</v>
      </c>
      <c r="AF3444" s="90">
        <v>-1</v>
      </c>
      <c r="AG3444" s="90">
        <v>-1</v>
      </c>
      <c r="AH3444" s="90">
        <v>-1</v>
      </c>
      <c r="AI3444" s="90">
        <v>-1</v>
      </c>
      <c r="AJ3444" s="90">
        <v>0</v>
      </c>
      <c r="AM3444" s="90" t="s">
        <v>379</v>
      </c>
      <c r="AN3444" s="90">
        <v>-1</v>
      </c>
      <c r="AQ3444" s="90">
        <v>364</v>
      </c>
      <c r="AR3444" s="90" t="s">
        <v>439</v>
      </c>
      <c r="AS3444" s="90" t="s">
        <v>440</v>
      </c>
      <c r="AT3444" s="90" t="s">
        <v>244</v>
      </c>
      <c r="AU3444" s="90">
        <v>1.7493050000000001</v>
      </c>
      <c r="AV3444" s="90">
        <v>22.382428167631701</v>
      </c>
      <c r="AW3444" s="90">
        <v>20.942763313867999</v>
      </c>
      <c r="AX3444" s="90">
        <v>1.0663421100000001E-2</v>
      </c>
    </row>
    <row r="3445" spans="1:50" x14ac:dyDescent="0.25">
      <c r="A3445" s="102">
        <v>830000</v>
      </c>
      <c r="B3445" s="102">
        <v>2400000</v>
      </c>
      <c r="C3445" s="102">
        <v>2400000</v>
      </c>
      <c r="D3445" s="90" t="s">
        <v>374</v>
      </c>
      <c r="E3445" s="90" t="s">
        <v>68</v>
      </c>
      <c r="F3445" s="90" t="s">
        <v>375</v>
      </c>
      <c r="G3445" s="90" t="s">
        <v>376</v>
      </c>
      <c r="H3445" s="90">
        <v>0.59</v>
      </c>
      <c r="I3445" s="90">
        <v>0.64</v>
      </c>
      <c r="J3445" s="90" t="s">
        <v>244</v>
      </c>
      <c r="K3445" s="90">
        <v>2.4580957804399999E-2</v>
      </c>
      <c r="L3445" s="90">
        <v>2540.64184824939</v>
      </c>
      <c r="M3445" s="90">
        <v>6.3863010905944098</v>
      </c>
      <c r="N3445" s="90">
        <v>0.94106223433539005</v>
      </c>
      <c r="O3445" s="90">
        <v>0.15698139763412999</v>
      </c>
      <c r="P3445" s="90">
        <v>2.313221107351E-2</v>
      </c>
      <c r="Q3445" s="90">
        <v>62.451410067926503</v>
      </c>
      <c r="R3445" s="90">
        <v>1210</v>
      </c>
      <c r="S3445" s="90" t="s">
        <v>385</v>
      </c>
      <c r="T3445" s="90">
        <v>1210</v>
      </c>
      <c r="U3445" s="90" t="s">
        <v>378</v>
      </c>
      <c r="V3445" s="90" t="s">
        <v>244</v>
      </c>
      <c r="Z3445" s="90">
        <v>0</v>
      </c>
      <c r="AA3445" s="90">
        <v>1</v>
      </c>
      <c r="AB3445" s="90">
        <v>0.15698139763412999</v>
      </c>
      <c r="AC3445" s="90">
        <v>2.313221107351E-2</v>
      </c>
      <c r="AD3445" s="90">
        <v>320.49717313461798</v>
      </c>
      <c r="AF3445" s="90">
        <v>-1</v>
      </c>
      <c r="AG3445" s="90">
        <v>-1</v>
      </c>
      <c r="AH3445" s="90">
        <v>-1</v>
      </c>
      <c r="AI3445" s="90">
        <v>-1</v>
      </c>
      <c r="AJ3445" s="90">
        <v>0</v>
      </c>
      <c r="AM3445" s="90" t="s">
        <v>379</v>
      </c>
      <c r="AN3445" s="90">
        <v>-1</v>
      </c>
      <c r="AQ3445" s="90">
        <v>364</v>
      </c>
      <c r="AR3445" s="90" t="s">
        <v>439</v>
      </c>
      <c r="AS3445" s="90" t="s">
        <v>440</v>
      </c>
      <c r="AT3445" s="90" t="s">
        <v>244</v>
      </c>
      <c r="AU3445" s="90">
        <v>1.7493050000000001</v>
      </c>
      <c r="AV3445" s="90">
        <v>48.262671652301002</v>
      </c>
      <c r="AW3445" s="90">
        <v>99.475606959503907</v>
      </c>
      <c r="AX3445" s="90">
        <v>0.25993282490000003</v>
      </c>
    </row>
    <row r="3446" spans="1:50" x14ac:dyDescent="0.25">
      <c r="A3446" s="102">
        <v>830000</v>
      </c>
      <c r="B3446" s="102">
        <v>2400000</v>
      </c>
      <c r="C3446" s="102">
        <v>2400000</v>
      </c>
      <c r="D3446" s="90" t="s">
        <v>374</v>
      </c>
      <c r="E3446" s="90" t="s">
        <v>68</v>
      </c>
      <c r="F3446" s="90" t="s">
        <v>375</v>
      </c>
      <c r="G3446" s="90" t="s">
        <v>376</v>
      </c>
      <c r="H3446" s="90">
        <v>0.59</v>
      </c>
      <c r="I3446" s="90">
        <v>0.64</v>
      </c>
      <c r="J3446" s="90" t="s">
        <v>244</v>
      </c>
      <c r="K3446" s="90">
        <v>0.10266184863106</v>
      </c>
      <c r="L3446" s="90">
        <v>2540.64184824939</v>
      </c>
      <c r="M3446" s="90">
        <v>6.3863010905944098</v>
      </c>
      <c r="N3446" s="90">
        <v>0.94106223433539005</v>
      </c>
      <c r="O3446" s="90">
        <v>0.65562947587497999</v>
      </c>
      <c r="P3446" s="90">
        <v>9.6611188653739993E-2</v>
      </c>
      <c r="Q3446" s="90">
        <v>260.82698885071801</v>
      </c>
      <c r="R3446" s="90">
        <v>1210</v>
      </c>
      <c r="S3446" s="90" t="s">
        <v>385</v>
      </c>
      <c r="T3446" s="90">
        <v>1210</v>
      </c>
      <c r="U3446" s="90" t="s">
        <v>378</v>
      </c>
      <c r="V3446" s="90" t="s">
        <v>244</v>
      </c>
      <c r="Z3446" s="90">
        <v>0</v>
      </c>
      <c r="AA3446" s="90">
        <v>1</v>
      </c>
      <c r="AB3446" s="90">
        <v>0.65562947587497999</v>
      </c>
      <c r="AC3446" s="90">
        <v>9.6611188653739993E-2</v>
      </c>
      <c r="AD3446" s="90">
        <v>536.50236931964798</v>
      </c>
      <c r="AF3446" s="90">
        <v>-1</v>
      </c>
      <c r="AG3446" s="90">
        <v>-1</v>
      </c>
      <c r="AH3446" s="90">
        <v>-1</v>
      </c>
      <c r="AI3446" s="90">
        <v>-1</v>
      </c>
      <c r="AJ3446" s="90">
        <v>0</v>
      </c>
      <c r="AM3446" s="90" t="s">
        <v>379</v>
      </c>
      <c r="AN3446" s="90">
        <v>-1</v>
      </c>
      <c r="AQ3446" s="90">
        <v>364</v>
      </c>
      <c r="AR3446" s="90" t="s">
        <v>439</v>
      </c>
      <c r="AS3446" s="90" t="s">
        <v>440</v>
      </c>
      <c r="AT3446" s="90" t="s">
        <v>244</v>
      </c>
      <c r="AU3446" s="90">
        <v>1.7493050000000001</v>
      </c>
      <c r="AV3446" s="90">
        <v>77.691760430200802</v>
      </c>
      <c r="AW3446" s="90">
        <v>415.45776146806401</v>
      </c>
      <c r="AX3446" s="90">
        <v>0.4351195209</v>
      </c>
    </row>
    <row r="3447" spans="1:50" x14ac:dyDescent="0.25">
      <c r="A3447" s="102">
        <v>830000</v>
      </c>
      <c r="B3447" s="102">
        <v>2400000</v>
      </c>
      <c r="C3447" s="102">
        <v>2400000</v>
      </c>
      <c r="D3447" s="90" t="s">
        <v>374</v>
      </c>
      <c r="E3447" s="90" t="s">
        <v>68</v>
      </c>
      <c r="F3447" s="90" t="s">
        <v>375</v>
      </c>
      <c r="G3447" s="90" t="s">
        <v>376</v>
      </c>
      <c r="H3447" s="90">
        <v>0.59</v>
      </c>
      <c r="I3447" s="90">
        <v>0.64</v>
      </c>
      <c r="J3447" s="90" t="s">
        <v>244</v>
      </c>
      <c r="K3447" s="90">
        <v>3.15786905442E-3</v>
      </c>
      <c r="L3447" s="90">
        <v>2540.64184824939</v>
      </c>
      <c r="M3447" s="90">
        <v>6.3863010905944098</v>
      </c>
      <c r="N3447" s="90">
        <v>0.94106223433539005</v>
      </c>
      <c r="O3447" s="90">
        <v>2.0167102586200001E-2</v>
      </c>
      <c r="P3447" s="90">
        <v>2.97175130809E-3</v>
      </c>
      <c r="Q3447" s="90">
        <v>8.0230142709537393</v>
      </c>
      <c r="R3447" s="90">
        <v>1210</v>
      </c>
      <c r="S3447" s="90" t="s">
        <v>385</v>
      </c>
      <c r="T3447" s="90">
        <v>1210</v>
      </c>
      <c r="U3447" s="90" t="s">
        <v>378</v>
      </c>
      <c r="V3447" s="90" t="s">
        <v>244</v>
      </c>
      <c r="Z3447" s="90">
        <v>0</v>
      </c>
      <c r="AA3447" s="90">
        <v>1</v>
      </c>
      <c r="AB3447" s="90">
        <v>2.0167102586200001E-2</v>
      </c>
      <c r="AC3447" s="90">
        <v>2.97175130809E-3</v>
      </c>
      <c r="AD3447" s="90">
        <v>231.92178362158299</v>
      </c>
      <c r="AF3447" s="90">
        <v>-1</v>
      </c>
      <c r="AG3447" s="90">
        <v>-1</v>
      </c>
      <c r="AH3447" s="90">
        <v>-1</v>
      </c>
      <c r="AI3447" s="90">
        <v>-1</v>
      </c>
      <c r="AJ3447" s="90">
        <v>0</v>
      </c>
      <c r="AM3447" s="90" t="s">
        <v>379</v>
      </c>
      <c r="AN3447" s="90">
        <v>-1</v>
      </c>
      <c r="AQ3447" s="90">
        <v>364</v>
      </c>
      <c r="AR3447" s="90" t="s">
        <v>439</v>
      </c>
      <c r="AS3447" s="90" t="s">
        <v>440</v>
      </c>
      <c r="AT3447" s="90" t="s">
        <v>244</v>
      </c>
      <c r="AU3447" s="90">
        <v>1.7493050000000001</v>
      </c>
      <c r="AV3447" s="90">
        <v>17.217264898851599</v>
      </c>
      <c r="AW3447" s="90">
        <v>12.7794426639803</v>
      </c>
      <c r="AX3447" s="90">
        <v>0.18809552609999999</v>
      </c>
    </row>
    <row r="3448" spans="1:50" x14ac:dyDescent="0.25">
      <c r="A3448" s="102">
        <v>830000</v>
      </c>
      <c r="B3448" s="102">
        <v>2400000</v>
      </c>
      <c r="C3448" s="102">
        <v>2400000</v>
      </c>
      <c r="D3448" s="90" t="s">
        <v>374</v>
      </c>
      <c r="E3448" s="90" t="s">
        <v>68</v>
      </c>
      <c r="F3448" s="90" t="s">
        <v>375</v>
      </c>
      <c r="G3448" s="90" t="s">
        <v>376</v>
      </c>
      <c r="H3448" s="90">
        <v>0.59</v>
      </c>
      <c r="I3448" s="90">
        <v>0.64</v>
      </c>
      <c r="J3448" s="90" t="s">
        <v>244</v>
      </c>
      <c r="K3448" s="90">
        <v>1.0608958729300001E-2</v>
      </c>
      <c r="L3448" s="90">
        <v>3370.81140256856</v>
      </c>
      <c r="M3448" s="90">
        <v>8.3473111086168998</v>
      </c>
      <c r="N3448" s="90">
        <v>1.2257924490635299</v>
      </c>
      <c r="O3448" s="90">
        <v>8.8556279051959993E-2</v>
      </c>
      <c r="P3448" s="90">
        <v>1.30043815028E-2</v>
      </c>
      <c r="Q3448" s="90">
        <v>35.760799054113797</v>
      </c>
      <c r="R3448" s="90">
        <v>1200</v>
      </c>
      <c r="S3448" s="90" t="s">
        <v>384</v>
      </c>
      <c r="T3448" s="90">
        <v>1200</v>
      </c>
      <c r="U3448" s="90" t="s">
        <v>378</v>
      </c>
      <c r="V3448" s="90" t="s">
        <v>244</v>
      </c>
      <c r="Z3448" s="90">
        <v>0</v>
      </c>
      <c r="AA3448" s="90">
        <v>1</v>
      </c>
      <c r="AB3448" s="90">
        <v>8.8556279051959993E-2</v>
      </c>
      <c r="AC3448" s="90">
        <v>1.30043815028E-2</v>
      </c>
      <c r="AD3448" s="90">
        <v>116.54033224299801</v>
      </c>
      <c r="AF3448" s="90">
        <v>-1</v>
      </c>
      <c r="AG3448" s="90">
        <v>-1</v>
      </c>
      <c r="AH3448" s="90">
        <v>-1</v>
      </c>
      <c r="AI3448" s="90">
        <v>-1</v>
      </c>
      <c r="AJ3448" s="90">
        <v>0</v>
      </c>
      <c r="AM3448" s="90" t="s">
        <v>379</v>
      </c>
      <c r="AN3448" s="90">
        <v>-1</v>
      </c>
      <c r="AQ3448" s="90">
        <v>364</v>
      </c>
      <c r="AR3448" s="90" t="s">
        <v>439</v>
      </c>
      <c r="AS3448" s="90" t="s">
        <v>440</v>
      </c>
      <c r="AT3448" s="90" t="s">
        <v>244</v>
      </c>
      <c r="AU3448" s="90">
        <v>1.7493050000000001</v>
      </c>
      <c r="AV3448" s="90">
        <v>30.207555888719298</v>
      </c>
      <c r="AW3448" s="90">
        <v>42.932932768655199</v>
      </c>
      <c r="AX3448" s="90">
        <v>9.4517706600000001E-2</v>
      </c>
    </row>
    <row r="3449" spans="1:50" x14ac:dyDescent="0.25">
      <c r="A3449" s="102">
        <v>830000</v>
      </c>
      <c r="B3449" s="102">
        <v>2400000</v>
      </c>
      <c r="C3449" s="102">
        <v>2400000</v>
      </c>
      <c r="D3449" s="90" t="s">
        <v>374</v>
      </c>
      <c r="E3449" s="90" t="s">
        <v>68</v>
      </c>
      <c r="F3449" s="90" t="s">
        <v>375</v>
      </c>
      <c r="G3449" s="90" t="s">
        <v>376</v>
      </c>
      <c r="H3449" s="90">
        <v>0.59</v>
      </c>
      <c r="I3449" s="90">
        <v>0.64</v>
      </c>
      <c r="J3449" s="90" t="s">
        <v>244</v>
      </c>
      <c r="K3449" s="90">
        <v>7.8738216885000005E-4</v>
      </c>
      <c r="L3449" s="90">
        <v>1041.8442427806799</v>
      </c>
      <c r="M3449" s="90">
        <v>2.8100646307377</v>
      </c>
      <c r="N3449" s="90">
        <v>0.42052423899289998</v>
      </c>
      <c r="O3449" s="90">
        <v>2.2125947835799999E-3</v>
      </c>
      <c r="P3449" s="90">
        <v>3.3111328734999998E-4</v>
      </c>
      <c r="Q3449" s="90">
        <v>0.82032957949392005</v>
      </c>
      <c r="R3449" s="90">
        <v>1210</v>
      </c>
      <c r="S3449" s="90" t="s">
        <v>385</v>
      </c>
      <c r="T3449" s="90">
        <v>1210</v>
      </c>
      <c r="U3449" s="90" t="s">
        <v>378</v>
      </c>
      <c r="V3449" s="90" t="s">
        <v>244</v>
      </c>
      <c r="Z3449" s="90">
        <v>0</v>
      </c>
      <c r="AA3449" s="90">
        <v>1</v>
      </c>
      <c r="AB3449" s="90">
        <v>2.2125947835799999E-3</v>
      </c>
      <c r="AC3449" s="90">
        <v>3.3111328734999998E-4</v>
      </c>
      <c r="AD3449" s="90">
        <v>40.541667582313799</v>
      </c>
      <c r="AF3449" s="90">
        <v>-1</v>
      </c>
      <c r="AG3449" s="90">
        <v>-1</v>
      </c>
      <c r="AH3449" s="90">
        <v>-1</v>
      </c>
      <c r="AI3449" s="90">
        <v>-1</v>
      </c>
      <c r="AJ3449" s="90">
        <v>0</v>
      </c>
      <c r="AM3449" s="90" t="s">
        <v>379</v>
      </c>
      <c r="AN3449" s="90">
        <v>-1</v>
      </c>
      <c r="AQ3449" s="90">
        <v>364</v>
      </c>
      <c r="AR3449" s="90" t="s">
        <v>439</v>
      </c>
      <c r="AS3449" s="90" t="s">
        <v>440</v>
      </c>
      <c r="AT3449" s="90" t="s">
        <v>244</v>
      </c>
      <c r="AU3449" s="90">
        <v>1.7493050000000001</v>
      </c>
      <c r="AV3449" s="90">
        <v>10.7028583488375</v>
      </c>
      <c r="AW3449" s="90">
        <v>3.1864225869319598</v>
      </c>
      <c r="AX3449" s="90">
        <v>3.2880509000000002E-2</v>
      </c>
    </row>
    <row r="3450" spans="1:50" x14ac:dyDescent="0.25">
      <c r="A3450" s="102">
        <v>830000</v>
      </c>
      <c r="B3450" s="102">
        <v>2400000</v>
      </c>
      <c r="C3450" s="102">
        <v>2400000</v>
      </c>
      <c r="D3450" s="90" t="s">
        <v>374</v>
      </c>
      <c r="E3450" s="90" t="s">
        <v>68</v>
      </c>
      <c r="F3450" s="90" t="s">
        <v>375</v>
      </c>
      <c r="G3450" s="90" t="s">
        <v>376</v>
      </c>
      <c r="H3450" s="90">
        <v>0.59</v>
      </c>
      <c r="I3450" s="90">
        <v>0.64</v>
      </c>
      <c r="J3450" s="90" t="s">
        <v>244</v>
      </c>
      <c r="K3450" s="90">
        <v>2.8627006454200001E-3</v>
      </c>
      <c r="L3450" s="90">
        <v>1041.8442427806799</v>
      </c>
      <c r="M3450" s="90">
        <v>2.8100646307377</v>
      </c>
      <c r="N3450" s="90">
        <v>0.42052423899289998</v>
      </c>
      <c r="O3450" s="90">
        <v>8.0443738321099995E-3</v>
      </c>
      <c r="P3450" s="90">
        <v>1.2038350103799999E-3</v>
      </c>
      <c r="Q3450" s="90">
        <v>2.9824881862447601</v>
      </c>
      <c r="R3450" s="90">
        <v>1210</v>
      </c>
      <c r="S3450" s="90" t="s">
        <v>385</v>
      </c>
      <c r="T3450" s="90">
        <v>1210</v>
      </c>
      <c r="U3450" s="90" t="s">
        <v>378</v>
      </c>
      <c r="V3450" s="90" t="s">
        <v>244</v>
      </c>
      <c r="Z3450" s="90">
        <v>0</v>
      </c>
      <c r="AA3450" s="90">
        <v>1</v>
      </c>
      <c r="AB3450" s="90">
        <v>8.0443738321099995E-3</v>
      </c>
      <c r="AC3450" s="90">
        <v>1.2038350103799999E-3</v>
      </c>
      <c r="AD3450" s="90">
        <v>160.93965255939</v>
      </c>
      <c r="AF3450" s="90">
        <v>-1</v>
      </c>
      <c r="AG3450" s="90">
        <v>-1</v>
      </c>
      <c r="AH3450" s="90">
        <v>-1</v>
      </c>
      <c r="AI3450" s="90">
        <v>-1</v>
      </c>
      <c r="AJ3450" s="90">
        <v>0</v>
      </c>
      <c r="AM3450" s="90" t="s">
        <v>379</v>
      </c>
      <c r="AN3450" s="90">
        <v>-1</v>
      </c>
      <c r="AQ3450" s="90">
        <v>364</v>
      </c>
      <c r="AR3450" s="90" t="s">
        <v>439</v>
      </c>
      <c r="AS3450" s="90" t="s">
        <v>440</v>
      </c>
      <c r="AT3450" s="90" t="s">
        <v>244</v>
      </c>
      <c r="AU3450" s="90">
        <v>1.7493050000000001</v>
      </c>
      <c r="AV3450" s="90">
        <v>15.259157999718999</v>
      </c>
      <c r="AW3450" s="90">
        <v>11.584938492361699</v>
      </c>
      <c r="AX3450" s="90">
        <v>0.13052688770000001</v>
      </c>
    </row>
    <row r="3451" spans="1:50" x14ac:dyDescent="0.25">
      <c r="A3451" s="102">
        <v>830000</v>
      </c>
      <c r="B3451" s="102">
        <v>2400000</v>
      </c>
      <c r="C3451" s="102">
        <v>2400000</v>
      </c>
      <c r="D3451" s="90" t="s">
        <v>374</v>
      </c>
      <c r="E3451" s="90" t="s">
        <v>68</v>
      </c>
      <c r="F3451" s="90" t="s">
        <v>375</v>
      </c>
      <c r="G3451" s="90" t="s">
        <v>376</v>
      </c>
      <c r="H3451" s="90">
        <v>0.59</v>
      </c>
      <c r="I3451" s="90">
        <v>0.64</v>
      </c>
      <c r="J3451" s="90" t="s">
        <v>244</v>
      </c>
      <c r="K3451" s="90">
        <v>4.5381919597490002E-2</v>
      </c>
      <c r="L3451" s="90">
        <v>3680.3011758289699</v>
      </c>
      <c r="M3451" s="90">
        <v>9.1319003230339195</v>
      </c>
      <c r="N3451" s="90">
        <v>1.34163035005578</v>
      </c>
      <c r="O3451" s="90">
        <v>0.41442316623221997</v>
      </c>
      <c r="P3451" s="90">
        <v>6.0885760675779999E-2</v>
      </c>
      <c r="Q3451" s="90">
        <v>167.01913205602099</v>
      </c>
      <c r="R3451" s="90">
        <v>1200</v>
      </c>
      <c r="S3451" s="90" t="s">
        <v>384</v>
      </c>
      <c r="T3451" s="90">
        <v>1200</v>
      </c>
      <c r="U3451" s="90" t="s">
        <v>378</v>
      </c>
      <c r="V3451" s="90" t="s">
        <v>244</v>
      </c>
      <c r="Z3451" s="90">
        <v>0</v>
      </c>
      <c r="AA3451" s="90">
        <v>1</v>
      </c>
      <c r="AB3451" s="90">
        <v>0.41442316623221997</v>
      </c>
      <c r="AC3451" s="90">
        <v>6.0885760675779999E-2</v>
      </c>
      <c r="AD3451" s="90">
        <v>425.662501957583</v>
      </c>
      <c r="AF3451" s="90">
        <v>-1</v>
      </c>
      <c r="AG3451" s="90">
        <v>-1</v>
      </c>
      <c r="AH3451" s="90">
        <v>-1</v>
      </c>
      <c r="AI3451" s="90">
        <v>-1</v>
      </c>
      <c r="AJ3451" s="90">
        <v>0</v>
      </c>
      <c r="AM3451" s="90" t="s">
        <v>379</v>
      </c>
      <c r="AN3451" s="90">
        <v>-1</v>
      </c>
      <c r="AQ3451" s="90">
        <v>364</v>
      </c>
      <c r="AR3451" s="90" t="s">
        <v>439</v>
      </c>
      <c r="AS3451" s="90" t="s">
        <v>440</v>
      </c>
      <c r="AT3451" s="90" t="s">
        <v>244</v>
      </c>
      <c r="AU3451" s="90">
        <v>1.7493050000000001</v>
      </c>
      <c r="AV3451" s="90">
        <v>78.590560163056296</v>
      </c>
      <c r="AW3451" s="90">
        <v>183.654112783946</v>
      </c>
      <c r="AX3451" s="90">
        <v>0.3452250624</v>
      </c>
    </row>
    <row r="3452" spans="1:50" x14ac:dyDescent="0.25">
      <c r="A3452" s="102">
        <v>830000</v>
      </c>
      <c r="B3452" s="102">
        <v>2400000</v>
      </c>
      <c r="C3452" s="102">
        <v>2400000</v>
      </c>
      <c r="D3452" s="90" t="s">
        <v>374</v>
      </c>
      <c r="E3452" s="90" t="s">
        <v>68</v>
      </c>
      <c r="F3452" s="90" t="s">
        <v>375</v>
      </c>
      <c r="G3452" s="90" t="s">
        <v>376</v>
      </c>
      <c r="H3452" s="90">
        <v>0.59</v>
      </c>
      <c r="I3452" s="90">
        <v>0.64</v>
      </c>
      <c r="J3452" s="90" t="s">
        <v>244</v>
      </c>
      <c r="K3452" s="90">
        <v>2.2175235773510001E-2</v>
      </c>
      <c r="L3452" s="90">
        <v>3712.5787757838302</v>
      </c>
      <c r="M3452" s="90">
        <v>9.2522854229750298</v>
      </c>
      <c r="N3452" s="90">
        <v>1.36069238478629</v>
      </c>
      <c r="O3452" s="90">
        <v>0.20517161069836001</v>
      </c>
      <c r="P3452" s="90">
        <v>3.017367444786E-2</v>
      </c>
      <c r="Q3452" s="90">
        <v>82.327309680769005</v>
      </c>
      <c r="R3452" s="90">
        <v>1200</v>
      </c>
      <c r="S3452" s="90" t="s">
        <v>384</v>
      </c>
      <c r="T3452" s="90">
        <v>1200</v>
      </c>
      <c r="U3452" s="90" t="s">
        <v>378</v>
      </c>
      <c r="V3452" s="90" t="s">
        <v>244</v>
      </c>
      <c r="Z3452" s="90">
        <v>0</v>
      </c>
      <c r="AA3452" s="90">
        <v>1</v>
      </c>
      <c r="AB3452" s="90">
        <v>0.20517161069836001</v>
      </c>
      <c r="AC3452" s="90">
        <v>3.017367444786E-2</v>
      </c>
      <c r="AD3452" s="90">
        <v>902.61779468705197</v>
      </c>
      <c r="AF3452" s="90">
        <v>-1</v>
      </c>
      <c r="AG3452" s="90">
        <v>-1</v>
      </c>
      <c r="AH3452" s="90">
        <v>-1</v>
      </c>
      <c r="AI3452" s="90">
        <v>-1</v>
      </c>
      <c r="AJ3452" s="90">
        <v>0</v>
      </c>
      <c r="AM3452" s="90" t="s">
        <v>379</v>
      </c>
      <c r="AN3452" s="90">
        <v>-1</v>
      </c>
      <c r="AQ3452" s="90">
        <v>364</v>
      </c>
      <c r="AR3452" s="90" t="s">
        <v>439</v>
      </c>
      <c r="AS3452" s="90" t="s">
        <v>440</v>
      </c>
      <c r="AT3452" s="90" t="s">
        <v>244</v>
      </c>
      <c r="AU3452" s="90">
        <v>1.7493050000000001</v>
      </c>
      <c r="AV3452" s="90">
        <v>44.758281604376798</v>
      </c>
      <c r="AW3452" s="90">
        <v>89.739995308300607</v>
      </c>
      <c r="AX3452" s="90">
        <v>0.73205011730000003</v>
      </c>
    </row>
    <row r="3453" spans="1:50" x14ac:dyDescent="0.25">
      <c r="A3453" s="102">
        <v>830000</v>
      </c>
      <c r="B3453" s="102">
        <v>2400000</v>
      </c>
      <c r="C3453" s="102">
        <v>2400000</v>
      </c>
      <c r="D3453" s="90" t="s">
        <v>374</v>
      </c>
      <c r="E3453" s="90" t="s">
        <v>68</v>
      </c>
      <c r="F3453" s="90" t="s">
        <v>375</v>
      </c>
      <c r="G3453" s="90" t="s">
        <v>376</v>
      </c>
      <c r="H3453" s="90">
        <v>0.59</v>
      </c>
      <c r="I3453" s="90">
        <v>0.64</v>
      </c>
      <c r="J3453" s="90" t="s">
        <v>244</v>
      </c>
      <c r="K3453" s="90">
        <v>2.9879569072E-4</v>
      </c>
      <c r="L3453" s="90">
        <v>3712.5787757838302</v>
      </c>
      <c r="M3453" s="90">
        <v>9.2522854229750298</v>
      </c>
      <c r="N3453" s="90">
        <v>1.36069238478629</v>
      </c>
      <c r="O3453" s="90">
        <v>2.7645430137199999E-3</v>
      </c>
      <c r="P3453" s="90">
        <v>4.0656902097E-4</v>
      </c>
      <c r="Q3453" s="90">
        <v>1.10930253967388</v>
      </c>
      <c r="R3453" s="90">
        <v>1210</v>
      </c>
      <c r="S3453" s="90" t="s">
        <v>385</v>
      </c>
      <c r="T3453" s="90">
        <v>1210</v>
      </c>
      <c r="U3453" s="90" t="s">
        <v>378</v>
      </c>
      <c r="V3453" s="90" t="s">
        <v>244</v>
      </c>
      <c r="Z3453" s="90">
        <v>0</v>
      </c>
      <c r="AA3453" s="90">
        <v>1</v>
      </c>
      <c r="AB3453" s="90">
        <v>2.7645430137199999E-3</v>
      </c>
      <c r="AC3453" s="90">
        <v>4.0656902097E-4</v>
      </c>
      <c r="AD3453" s="90">
        <v>6.4821656916090102</v>
      </c>
      <c r="AF3453" s="90">
        <v>-1</v>
      </c>
      <c r="AG3453" s="90">
        <v>-1</v>
      </c>
      <c r="AH3453" s="90">
        <v>-1</v>
      </c>
      <c r="AI3453" s="90">
        <v>-1</v>
      </c>
      <c r="AJ3453" s="90">
        <v>0</v>
      </c>
      <c r="AM3453" s="90" t="s">
        <v>379</v>
      </c>
      <c r="AN3453" s="90">
        <v>-1</v>
      </c>
      <c r="AQ3453" s="90">
        <v>364</v>
      </c>
      <c r="AR3453" s="90" t="s">
        <v>439</v>
      </c>
      <c r="AS3453" s="90" t="s">
        <v>440</v>
      </c>
      <c r="AT3453" s="90" t="s">
        <v>244</v>
      </c>
      <c r="AU3453" s="90">
        <v>1.7493050000000001</v>
      </c>
      <c r="AV3453" s="90">
        <v>5.3072846307238004</v>
      </c>
      <c r="AW3453" s="90">
        <v>1.2091832599874699</v>
      </c>
      <c r="AX3453" s="90">
        <v>5.2572308999999998E-3</v>
      </c>
    </row>
    <row r="3454" spans="1:50" x14ac:dyDescent="0.25">
      <c r="A3454" s="102">
        <v>830000</v>
      </c>
      <c r="B3454" s="102">
        <v>2400000</v>
      </c>
      <c r="C3454" s="102">
        <v>2400000</v>
      </c>
      <c r="D3454" s="90" t="s">
        <v>374</v>
      </c>
      <c r="E3454" s="90" t="s">
        <v>68</v>
      </c>
      <c r="F3454" s="90" t="s">
        <v>375</v>
      </c>
      <c r="G3454" s="90" t="s">
        <v>376</v>
      </c>
      <c r="H3454" s="90">
        <v>0.59</v>
      </c>
      <c r="I3454" s="90">
        <v>0.64</v>
      </c>
      <c r="J3454" s="90" t="s">
        <v>244</v>
      </c>
      <c r="K3454" s="90">
        <v>9.2528876909980004E-2</v>
      </c>
      <c r="L3454" s="90">
        <v>3713.9967900996899</v>
      </c>
      <c r="M3454" s="90">
        <v>9.2571261963835898</v>
      </c>
      <c r="N3454" s="90">
        <v>1.3614487104634001</v>
      </c>
      <c r="O3454" s="90">
        <v>0.85655149036538003</v>
      </c>
      <c r="P3454" s="90">
        <v>0.12597332014971999</v>
      </c>
      <c r="Q3454" s="90">
        <v>343.65195183521797</v>
      </c>
      <c r="R3454" s="90">
        <v>1200</v>
      </c>
      <c r="S3454" s="90" t="s">
        <v>384</v>
      </c>
      <c r="T3454" s="90">
        <v>1200</v>
      </c>
      <c r="U3454" s="90" t="s">
        <v>378</v>
      </c>
      <c r="V3454" s="90" t="s">
        <v>244</v>
      </c>
      <c r="Z3454" s="90">
        <v>0</v>
      </c>
      <c r="AA3454" s="90">
        <v>1</v>
      </c>
      <c r="AB3454" s="90">
        <v>0.85655149036538003</v>
      </c>
      <c r="AC3454" s="90">
        <v>0.12597332014971999</v>
      </c>
      <c r="AD3454" s="90">
        <v>637.02951692261695</v>
      </c>
      <c r="AF3454" s="90">
        <v>-1</v>
      </c>
      <c r="AG3454" s="90">
        <v>-1</v>
      </c>
      <c r="AH3454" s="90">
        <v>-1</v>
      </c>
      <c r="AI3454" s="90">
        <v>-1</v>
      </c>
      <c r="AJ3454" s="90">
        <v>0</v>
      </c>
      <c r="AM3454" s="90" t="s">
        <v>379</v>
      </c>
      <c r="AN3454" s="90">
        <v>-1</v>
      </c>
      <c r="AQ3454" s="90">
        <v>364</v>
      </c>
      <c r="AR3454" s="90" t="s">
        <v>439</v>
      </c>
      <c r="AS3454" s="90" t="s">
        <v>440</v>
      </c>
      <c r="AT3454" s="90" t="s">
        <v>244</v>
      </c>
      <c r="AU3454" s="90">
        <v>1.7493050000000001</v>
      </c>
      <c r="AV3454" s="90">
        <v>84.633189071347104</v>
      </c>
      <c r="AW3454" s="90">
        <v>374.45107978063498</v>
      </c>
      <c r="AX3454" s="90">
        <v>0.51665005429999999</v>
      </c>
    </row>
    <row r="3455" spans="1:50" x14ac:dyDescent="0.25">
      <c r="A3455" s="102">
        <v>830000</v>
      </c>
      <c r="B3455" s="102">
        <v>2400000</v>
      </c>
      <c r="C3455" s="102">
        <v>2400000</v>
      </c>
      <c r="D3455" s="90" t="s">
        <v>374</v>
      </c>
      <c r="E3455" s="90" t="s">
        <v>68</v>
      </c>
      <c r="F3455" s="90" t="s">
        <v>375</v>
      </c>
      <c r="G3455" s="90" t="s">
        <v>376</v>
      </c>
      <c r="H3455" s="90">
        <v>0.59</v>
      </c>
      <c r="I3455" s="90">
        <v>0.64</v>
      </c>
      <c r="J3455" s="90" t="s">
        <v>244</v>
      </c>
      <c r="K3455" s="90">
        <v>3.5209671943070002E-2</v>
      </c>
      <c r="L3455" s="90">
        <v>3713.9967900996899</v>
      </c>
      <c r="M3455" s="90">
        <v>9.2571261963835898</v>
      </c>
      <c r="N3455" s="90">
        <v>1.3614487104634001</v>
      </c>
      <c r="O3455" s="90">
        <v>0.32594037651034002</v>
      </c>
      <c r="P3455" s="90">
        <v>4.7936162462739997E-2</v>
      </c>
      <c r="Q3455" s="90">
        <v>130.76860857705501</v>
      </c>
      <c r="R3455" s="90">
        <v>1210</v>
      </c>
      <c r="S3455" s="90" t="s">
        <v>385</v>
      </c>
      <c r="T3455" s="90">
        <v>1210</v>
      </c>
      <c r="U3455" s="90" t="s">
        <v>378</v>
      </c>
      <c r="V3455" s="90" t="s">
        <v>244</v>
      </c>
      <c r="Z3455" s="90">
        <v>0</v>
      </c>
      <c r="AA3455" s="90">
        <v>1</v>
      </c>
      <c r="AB3455" s="90">
        <v>0.32594037651034002</v>
      </c>
      <c r="AC3455" s="90">
        <v>4.7936162462739997E-2</v>
      </c>
      <c r="AD3455" s="90">
        <v>132.244887416116</v>
      </c>
      <c r="AF3455" s="90">
        <v>-1</v>
      </c>
      <c r="AG3455" s="90">
        <v>-1</v>
      </c>
      <c r="AH3455" s="90">
        <v>-1</v>
      </c>
      <c r="AI3455" s="90">
        <v>-1</v>
      </c>
      <c r="AJ3455" s="90">
        <v>0</v>
      </c>
      <c r="AM3455" s="90" t="s">
        <v>379</v>
      </c>
      <c r="AN3455" s="90">
        <v>-1</v>
      </c>
      <c r="AQ3455" s="90">
        <v>364</v>
      </c>
      <c r="AR3455" s="90" t="s">
        <v>439</v>
      </c>
      <c r="AS3455" s="90" t="s">
        <v>440</v>
      </c>
      <c r="AT3455" s="90" t="s">
        <v>244</v>
      </c>
      <c r="AU3455" s="90">
        <v>1.7493050000000001</v>
      </c>
      <c r="AV3455" s="90">
        <v>52.018431161046401</v>
      </c>
      <c r="AW3455" s="90">
        <v>142.488487033442</v>
      </c>
      <c r="AX3455" s="90">
        <v>0.1072545721</v>
      </c>
    </row>
    <row r="3456" spans="1:50" x14ac:dyDescent="0.25">
      <c r="A3456" s="102">
        <v>830000</v>
      </c>
      <c r="B3456" s="102">
        <v>2400000</v>
      </c>
      <c r="C3456" s="102">
        <v>2400000</v>
      </c>
      <c r="D3456" s="90" t="s">
        <v>374</v>
      </c>
      <c r="E3456" s="90" t="s">
        <v>68</v>
      </c>
      <c r="F3456" s="90" t="s">
        <v>375</v>
      </c>
      <c r="G3456" s="90" t="s">
        <v>376</v>
      </c>
      <c r="H3456" s="90">
        <v>0.59</v>
      </c>
      <c r="I3456" s="90">
        <v>0.64</v>
      </c>
      <c r="J3456" s="90" t="s">
        <v>244</v>
      </c>
      <c r="K3456" s="90">
        <v>1.384503107258E-2</v>
      </c>
      <c r="L3456" s="90">
        <v>3713.9967900996899</v>
      </c>
      <c r="M3456" s="90">
        <v>9.2571261963835898</v>
      </c>
      <c r="N3456" s="90">
        <v>1.3614487104634001</v>
      </c>
      <c r="O3456" s="90">
        <v>0.12816519983173999</v>
      </c>
      <c r="P3456" s="90">
        <v>1.884929970009E-2</v>
      </c>
      <c r="Q3456" s="90">
        <v>51.420400962400102</v>
      </c>
      <c r="R3456" s="90">
        <v>1210</v>
      </c>
      <c r="S3456" s="90" t="s">
        <v>385</v>
      </c>
      <c r="T3456" s="90">
        <v>1210</v>
      </c>
      <c r="U3456" s="90" t="s">
        <v>378</v>
      </c>
      <c r="V3456" s="90" t="s">
        <v>244</v>
      </c>
      <c r="Z3456" s="90">
        <v>0</v>
      </c>
      <c r="AA3456" s="90">
        <v>1</v>
      </c>
      <c r="AB3456" s="90">
        <v>0.12816519983173999</v>
      </c>
      <c r="AC3456" s="90">
        <v>1.884929970009E-2</v>
      </c>
      <c r="AD3456" s="90">
        <v>433.91175469589899</v>
      </c>
      <c r="AF3456" s="90">
        <v>-1</v>
      </c>
      <c r="AG3456" s="90">
        <v>-1</v>
      </c>
      <c r="AH3456" s="90">
        <v>-1</v>
      </c>
      <c r="AI3456" s="90">
        <v>-1</v>
      </c>
      <c r="AJ3456" s="90">
        <v>0</v>
      </c>
      <c r="AM3456" s="90" t="s">
        <v>379</v>
      </c>
      <c r="AN3456" s="90">
        <v>-1</v>
      </c>
      <c r="AQ3456" s="90">
        <v>364</v>
      </c>
      <c r="AR3456" s="90" t="s">
        <v>439</v>
      </c>
      <c r="AS3456" s="90" t="s">
        <v>440</v>
      </c>
      <c r="AT3456" s="90" t="s">
        <v>244</v>
      </c>
      <c r="AU3456" s="90">
        <v>1.7493050000000001</v>
      </c>
      <c r="AV3456" s="90">
        <v>43.306590265242598</v>
      </c>
      <c r="AW3456" s="90">
        <v>56.028852914403998</v>
      </c>
      <c r="AX3456" s="90">
        <v>0.35191545390000001</v>
      </c>
    </row>
    <row r="3457" spans="1:50" x14ac:dyDescent="0.25">
      <c r="A3457" s="102">
        <v>830000</v>
      </c>
      <c r="B3457" s="102">
        <v>2400000</v>
      </c>
      <c r="C3457" s="102">
        <v>2400000</v>
      </c>
      <c r="D3457" s="90" t="s">
        <v>374</v>
      </c>
      <c r="E3457" s="90" t="s">
        <v>68</v>
      </c>
      <c r="F3457" s="90" t="s">
        <v>375</v>
      </c>
      <c r="G3457" s="90" t="s">
        <v>376</v>
      </c>
      <c r="H3457" s="90">
        <v>0.59</v>
      </c>
      <c r="I3457" s="90">
        <v>0.64</v>
      </c>
      <c r="J3457" s="90" t="s">
        <v>244</v>
      </c>
      <c r="K3457" s="90">
        <v>0.12858617583913001</v>
      </c>
      <c r="L3457" s="90">
        <v>3714.5901285915602</v>
      </c>
      <c r="M3457" s="90">
        <v>9.2571122019392007</v>
      </c>
      <c r="N3457" s="90">
        <v>1.36139592302354</v>
      </c>
      <c r="O3457" s="90">
        <v>1.19033665736114</v>
      </c>
      <c r="P3457" s="90">
        <v>0.17505669554458</v>
      </c>
      <c r="Q3457" s="90">
        <v>477.644939445386</v>
      </c>
      <c r="R3457" s="90">
        <v>1200</v>
      </c>
      <c r="S3457" s="90" t="s">
        <v>384</v>
      </c>
      <c r="T3457" s="90">
        <v>1200</v>
      </c>
      <c r="U3457" s="90" t="s">
        <v>378</v>
      </c>
      <c r="V3457" s="90" t="s">
        <v>244</v>
      </c>
      <c r="Z3457" s="90">
        <v>0</v>
      </c>
      <c r="AA3457" s="90">
        <v>1</v>
      </c>
      <c r="AB3457" s="90">
        <v>1.19033665736114</v>
      </c>
      <c r="AC3457" s="90">
        <v>0.17505669554458</v>
      </c>
      <c r="AD3457" s="90">
        <v>918.32456318276695</v>
      </c>
      <c r="AF3457" s="90">
        <v>-1</v>
      </c>
      <c r="AG3457" s="90">
        <v>-1</v>
      </c>
      <c r="AH3457" s="90">
        <v>-1</v>
      </c>
      <c r="AI3457" s="90">
        <v>-1</v>
      </c>
      <c r="AJ3457" s="90">
        <v>0</v>
      </c>
      <c r="AM3457" s="90" t="s">
        <v>379</v>
      </c>
      <c r="AN3457" s="90">
        <v>-1</v>
      </c>
      <c r="AQ3457" s="90">
        <v>364</v>
      </c>
      <c r="AR3457" s="90" t="s">
        <v>439</v>
      </c>
      <c r="AS3457" s="90" t="s">
        <v>440</v>
      </c>
      <c r="AT3457" s="90" t="s">
        <v>244</v>
      </c>
      <c r="AU3457" s="90">
        <v>1.7493050000000001</v>
      </c>
      <c r="AV3457" s="90">
        <v>140.27969503666299</v>
      </c>
      <c r="AW3457" s="90">
        <v>520.36979152645301</v>
      </c>
      <c r="AX3457" s="90">
        <v>0.74478877789999998</v>
      </c>
    </row>
    <row r="3458" spans="1:50" x14ac:dyDescent="0.25">
      <c r="A3458" s="102">
        <v>830000</v>
      </c>
      <c r="B3458" s="102">
        <v>2400000</v>
      </c>
      <c r="C3458" s="102">
        <v>2400000</v>
      </c>
      <c r="D3458" s="90" t="s">
        <v>374</v>
      </c>
      <c r="E3458" s="90" t="s">
        <v>68</v>
      </c>
      <c r="F3458" s="90" t="s">
        <v>375</v>
      </c>
      <c r="G3458" s="90" t="s">
        <v>376</v>
      </c>
      <c r="H3458" s="90">
        <v>0.59</v>
      </c>
      <c r="I3458" s="90">
        <v>0.64</v>
      </c>
      <c r="J3458" s="90" t="s">
        <v>244</v>
      </c>
      <c r="K3458" s="90">
        <v>5.1489633274590003E-2</v>
      </c>
      <c r="L3458" s="90">
        <v>3714.5901285915602</v>
      </c>
      <c r="M3458" s="90">
        <v>9.2571122019392007</v>
      </c>
      <c r="N3458" s="90">
        <v>1.36139592302354</v>
      </c>
      <c r="O3458" s="90">
        <v>0.47664531245961</v>
      </c>
      <c r="P3458" s="90">
        <v>7.0097776818000002E-2</v>
      </c>
      <c r="Q3458" s="90">
        <v>191.26288348660199</v>
      </c>
      <c r="R3458" s="90">
        <v>1210</v>
      </c>
      <c r="S3458" s="90" t="s">
        <v>385</v>
      </c>
      <c r="T3458" s="90">
        <v>1210</v>
      </c>
      <c r="U3458" s="90" t="s">
        <v>378</v>
      </c>
      <c r="V3458" s="90" t="s">
        <v>244</v>
      </c>
      <c r="Z3458" s="90">
        <v>0</v>
      </c>
      <c r="AA3458" s="90">
        <v>1</v>
      </c>
      <c r="AB3458" s="90">
        <v>0.47664531245961</v>
      </c>
      <c r="AC3458" s="90">
        <v>7.0097776818000002E-2</v>
      </c>
      <c r="AD3458" s="90">
        <v>202.10410887674701</v>
      </c>
      <c r="AF3458" s="90">
        <v>-1</v>
      </c>
      <c r="AG3458" s="90">
        <v>-1</v>
      </c>
      <c r="AH3458" s="90">
        <v>-1</v>
      </c>
      <c r="AI3458" s="90">
        <v>-1</v>
      </c>
      <c r="AJ3458" s="90">
        <v>0</v>
      </c>
      <c r="AM3458" s="90" t="s">
        <v>379</v>
      </c>
      <c r="AN3458" s="90">
        <v>-1</v>
      </c>
      <c r="AQ3458" s="90">
        <v>364</v>
      </c>
      <c r="AR3458" s="90" t="s">
        <v>439</v>
      </c>
      <c r="AS3458" s="90" t="s">
        <v>440</v>
      </c>
      <c r="AT3458" s="90" t="s">
        <v>244</v>
      </c>
      <c r="AU3458" s="90">
        <v>1.7493050000000001</v>
      </c>
      <c r="AV3458" s="90">
        <v>63.564069377090497</v>
      </c>
      <c r="AW3458" s="90">
        <v>208.37115310430801</v>
      </c>
      <c r="AX3458" s="90">
        <v>0.1639124971</v>
      </c>
    </row>
    <row r="3459" spans="1:50" x14ac:dyDescent="0.25">
      <c r="A3459" s="102">
        <v>830000</v>
      </c>
      <c r="B3459" s="102">
        <v>2400000</v>
      </c>
      <c r="C3459" s="102">
        <v>2400000</v>
      </c>
      <c r="D3459" s="90" t="s">
        <v>374</v>
      </c>
      <c r="E3459" s="90" t="s">
        <v>68</v>
      </c>
      <c r="F3459" s="90" t="s">
        <v>375</v>
      </c>
      <c r="G3459" s="90" t="s">
        <v>376</v>
      </c>
      <c r="H3459" s="90">
        <v>0.59</v>
      </c>
      <c r="I3459" s="90">
        <v>0.64</v>
      </c>
      <c r="J3459" s="90" t="s">
        <v>244</v>
      </c>
      <c r="K3459" s="90">
        <v>1.419079156085E-2</v>
      </c>
      <c r="L3459" s="90">
        <v>3714.5901285915602</v>
      </c>
      <c r="M3459" s="90">
        <v>9.2571122019392007</v>
      </c>
      <c r="N3459" s="90">
        <v>1.36139592302354</v>
      </c>
      <c r="O3459" s="90">
        <v>0.13136574971314</v>
      </c>
      <c r="P3459" s="90">
        <v>1.9319285775420001E-2</v>
      </c>
      <c r="Q3459" s="90">
        <v>52.712974248845001</v>
      </c>
      <c r="R3459" s="90">
        <v>1210</v>
      </c>
      <c r="S3459" s="90" t="s">
        <v>385</v>
      </c>
      <c r="T3459" s="90">
        <v>1210</v>
      </c>
      <c r="U3459" s="90" t="s">
        <v>378</v>
      </c>
      <c r="V3459" s="90" t="s">
        <v>244</v>
      </c>
      <c r="Z3459" s="90">
        <v>0</v>
      </c>
      <c r="AA3459" s="90">
        <v>1</v>
      </c>
      <c r="AB3459" s="90">
        <v>0.13136574971314</v>
      </c>
      <c r="AC3459" s="90">
        <v>1.9319285775420001E-2</v>
      </c>
      <c r="AD3459" s="90">
        <v>52.712974248845804</v>
      </c>
      <c r="AF3459" s="90">
        <v>-1</v>
      </c>
      <c r="AG3459" s="90">
        <v>-1</v>
      </c>
      <c r="AH3459" s="90">
        <v>-1</v>
      </c>
      <c r="AI3459" s="90">
        <v>-1</v>
      </c>
      <c r="AJ3459" s="90">
        <v>0</v>
      </c>
      <c r="AM3459" s="90" t="s">
        <v>379</v>
      </c>
      <c r="AN3459" s="90">
        <v>-1</v>
      </c>
      <c r="AQ3459" s="90">
        <v>364</v>
      </c>
      <c r="AR3459" s="90" t="s">
        <v>439</v>
      </c>
      <c r="AS3459" s="90" t="s">
        <v>440</v>
      </c>
      <c r="AT3459" s="90" t="s">
        <v>244</v>
      </c>
      <c r="AU3459" s="90">
        <v>1.7493050000000001</v>
      </c>
      <c r="AV3459" s="90">
        <v>35.649844678942699</v>
      </c>
      <c r="AW3459" s="90">
        <v>57.428095966978503</v>
      </c>
      <c r="AX3459" s="90">
        <v>4.2751803900000003E-2</v>
      </c>
    </row>
    <row r="3460" spans="1:50" x14ac:dyDescent="0.25">
      <c r="A3460" s="102">
        <v>830000</v>
      </c>
      <c r="B3460" s="102">
        <v>2400000</v>
      </c>
      <c r="C3460" s="102">
        <v>2400000</v>
      </c>
      <c r="D3460" s="90" t="s">
        <v>374</v>
      </c>
      <c r="E3460" s="90" t="s">
        <v>68</v>
      </c>
      <c r="F3460" s="90" t="s">
        <v>375</v>
      </c>
      <c r="G3460" s="90" t="s">
        <v>376</v>
      </c>
      <c r="H3460" s="90">
        <v>0.59</v>
      </c>
      <c r="I3460" s="90">
        <v>0.64</v>
      </c>
      <c r="J3460" s="90" t="s">
        <v>244</v>
      </c>
      <c r="K3460" s="90">
        <v>0.10112476484977</v>
      </c>
      <c r="L3460" s="90">
        <v>3714.5901285915602</v>
      </c>
      <c r="M3460" s="90">
        <v>9.2571122019392007</v>
      </c>
      <c r="N3460" s="90">
        <v>1.36139592302354</v>
      </c>
      <c r="O3460" s="90">
        <v>0.93612329460905996</v>
      </c>
      <c r="P3460" s="90">
        <v>0.13767084258319001</v>
      </c>
      <c r="Q3460" s="90">
        <v>375.63705326710999</v>
      </c>
      <c r="R3460" s="90">
        <v>1210</v>
      </c>
      <c r="S3460" s="90" t="s">
        <v>385</v>
      </c>
      <c r="T3460" s="90">
        <v>1210</v>
      </c>
      <c r="U3460" s="90" t="s">
        <v>378</v>
      </c>
      <c r="V3460" s="90" t="s">
        <v>244</v>
      </c>
      <c r="Z3460" s="90">
        <v>0</v>
      </c>
      <c r="AA3460" s="90">
        <v>1</v>
      </c>
      <c r="AB3460" s="90">
        <v>0.93612329460905996</v>
      </c>
      <c r="AC3460" s="90">
        <v>0.13767084258319001</v>
      </c>
      <c r="AD3460" s="90">
        <v>543.15313354457203</v>
      </c>
      <c r="AF3460" s="90">
        <v>-1</v>
      </c>
      <c r="AG3460" s="90">
        <v>-1</v>
      </c>
      <c r="AH3460" s="90">
        <v>-1</v>
      </c>
      <c r="AI3460" s="90">
        <v>-1</v>
      </c>
      <c r="AJ3460" s="90">
        <v>0</v>
      </c>
      <c r="AM3460" s="90" t="s">
        <v>379</v>
      </c>
      <c r="AN3460" s="90">
        <v>-1</v>
      </c>
      <c r="AQ3460" s="90">
        <v>364</v>
      </c>
      <c r="AR3460" s="90" t="s">
        <v>439</v>
      </c>
      <c r="AS3460" s="90" t="s">
        <v>440</v>
      </c>
      <c r="AT3460" s="90" t="s">
        <v>244</v>
      </c>
      <c r="AU3460" s="90">
        <v>1.7493050000000001</v>
      </c>
      <c r="AV3460" s="90">
        <v>88.985694801333295</v>
      </c>
      <c r="AW3460" s="90">
        <v>409.23740409599401</v>
      </c>
      <c r="AX3460" s="90">
        <v>0.44051349029999998</v>
      </c>
    </row>
    <row r="3461" spans="1:50" x14ac:dyDescent="0.25">
      <c r="A3461" s="102">
        <v>830000</v>
      </c>
      <c r="B3461" s="102">
        <v>2400000</v>
      </c>
      <c r="C3461" s="102">
        <v>2400000</v>
      </c>
      <c r="D3461" s="90" t="s">
        <v>374</v>
      </c>
      <c r="E3461" s="90" t="s">
        <v>68</v>
      </c>
      <c r="F3461" s="90" t="s">
        <v>375</v>
      </c>
      <c r="G3461" s="90" t="s">
        <v>376</v>
      </c>
      <c r="H3461" s="90">
        <v>0.59</v>
      </c>
      <c r="I3461" s="90">
        <v>0.64</v>
      </c>
      <c r="J3461" s="90" t="s">
        <v>244</v>
      </c>
      <c r="K3461" s="90">
        <v>6.0075450953190002E-2</v>
      </c>
      <c r="L3461" s="90">
        <v>3515.37924025352</v>
      </c>
      <c r="M3461" s="90">
        <v>8.7984820205331005</v>
      </c>
      <c r="N3461" s="90">
        <v>1.29523297149218</v>
      </c>
      <c r="O3461" s="90">
        <v>0.52857277508707001</v>
      </c>
      <c r="P3461" s="90">
        <v>7.7811704851830005E-2</v>
      </c>
      <c r="Q3461" s="90">
        <v>211.18799312972001</v>
      </c>
      <c r="R3461" s="90">
        <v>1200</v>
      </c>
      <c r="S3461" s="90" t="s">
        <v>384</v>
      </c>
      <c r="T3461" s="90">
        <v>1200</v>
      </c>
      <c r="U3461" s="90" t="s">
        <v>378</v>
      </c>
      <c r="V3461" s="90" t="s">
        <v>244</v>
      </c>
      <c r="Z3461" s="90">
        <v>0</v>
      </c>
      <c r="AA3461" s="90">
        <v>1</v>
      </c>
      <c r="AB3461" s="90">
        <v>0.52857277508707001</v>
      </c>
      <c r="AC3461" s="90">
        <v>7.7811704851830005E-2</v>
      </c>
      <c r="AD3461" s="90">
        <v>211.18799312972001</v>
      </c>
      <c r="AF3461" s="90">
        <v>-1</v>
      </c>
      <c r="AG3461" s="90">
        <v>-1</v>
      </c>
      <c r="AH3461" s="90">
        <v>-1</v>
      </c>
      <c r="AI3461" s="90">
        <v>-1</v>
      </c>
      <c r="AJ3461" s="90">
        <v>0</v>
      </c>
      <c r="AM3461" s="90" t="s">
        <v>379</v>
      </c>
      <c r="AN3461" s="90">
        <v>-1</v>
      </c>
      <c r="AQ3461" s="90">
        <v>364</v>
      </c>
      <c r="AR3461" s="90" t="s">
        <v>439</v>
      </c>
      <c r="AS3461" s="90" t="s">
        <v>440</v>
      </c>
      <c r="AT3461" s="90" t="s">
        <v>244</v>
      </c>
      <c r="AU3461" s="90">
        <v>1.7493050000000001</v>
      </c>
      <c r="AV3461" s="90">
        <v>72.252057027630897</v>
      </c>
      <c r="AW3461" s="90">
        <v>243.116724518501</v>
      </c>
      <c r="AX3461" s="90">
        <v>0.17127979979999999</v>
      </c>
    </row>
    <row r="3462" spans="1:50" x14ac:dyDescent="0.25">
      <c r="A3462" s="102">
        <v>830000</v>
      </c>
      <c r="B3462" s="102">
        <v>2400000</v>
      </c>
      <c r="C3462" s="102">
        <v>2400000</v>
      </c>
      <c r="D3462" s="90" t="s">
        <v>374</v>
      </c>
      <c r="E3462" s="90" t="s">
        <v>68</v>
      </c>
      <c r="F3462" s="90" t="s">
        <v>375</v>
      </c>
      <c r="G3462" s="90" t="s">
        <v>376</v>
      </c>
      <c r="H3462" s="90">
        <v>0.59</v>
      </c>
      <c r="I3462" s="90">
        <v>0.64</v>
      </c>
      <c r="J3462" s="90" t="s">
        <v>244</v>
      </c>
      <c r="K3462" s="90">
        <v>4.8731968856040003E-2</v>
      </c>
      <c r="L3462" s="90">
        <v>3515.37924025352</v>
      </c>
      <c r="M3462" s="90">
        <v>8.7984820205331005</v>
      </c>
      <c r="N3462" s="90">
        <v>1.29523297149218</v>
      </c>
      <c r="O3462" s="90">
        <v>0.42876735180510001</v>
      </c>
      <c r="P3462" s="90">
        <v>6.3119252828079994E-2</v>
      </c>
      <c r="Q3462" s="90">
        <v>171.31135165322499</v>
      </c>
      <c r="R3462" s="90">
        <v>1210</v>
      </c>
      <c r="S3462" s="90" t="s">
        <v>385</v>
      </c>
      <c r="T3462" s="90">
        <v>1210</v>
      </c>
      <c r="U3462" s="90" t="s">
        <v>378</v>
      </c>
      <c r="V3462" s="90" t="s">
        <v>244</v>
      </c>
      <c r="Z3462" s="90">
        <v>0</v>
      </c>
      <c r="AA3462" s="90">
        <v>1</v>
      </c>
      <c r="AB3462" s="90">
        <v>0.42876735180510001</v>
      </c>
      <c r="AC3462" s="90">
        <v>6.3119252828079994E-2</v>
      </c>
      <c r="AD3462" s="90">
        <v>256.37214052739699</v>
      </c>
      <c r="AF3462" s="90">
        <v>-1</v>
      </c>
      <c r="AG3462" s="90">
        <v>-1</v>
      </c>
      <c r="AH3462" s="90">
        <v>-1</v>
      </c>
      <c r="AI3462" s="90">
        <v>-1</v>
      </c>
      <c r="AJ3462" s="90">
        <v>0</v>
      </c>
      <c r="AM3462" s="90" t="s">
        <v>379</v>
      </c>
      <c r="AN3462" s="90">
        <v>-1</v>
      </c>
      <c r="AQ3462" s="90">
        <v>364</v>
      </c>
      <c r="AR3462" s="90" t="s">
        <v>439</v>
      </c>
      <c r="AS3462" s="90" t="s">
        <v>440</v>
      </c>
      <c r="AT3462" s="90" t="s">
        <v>244</v>
      </c>
      <c r="AU3462" s="90">
        <v>1.7493050000000001</v>
      </c>
      <c r="AV3462" s="90">
        <v>59.487957541451799</v>
      </c>
      <c r="AW3462" s="90">
        <v>197.21128114128601</v>
      </c>
      <c r="AX3462" s="90">
        <v>0.2079254992</v>
      </c>
    </row>
    <row r="3463" spans="1:50" x14ac:dyDescent="0.25">
      <c r="A3463" s="102">
        <v>830000</v>
      </c>
      <c r="B3463" s="102">
        <v>2400000</v>
      </c>
      <c r="C3463" s="102">
        <v>2400000</v>
      </c>
      <c r="D3463" s="90" t="s">
        <v>374</v>
      </c>
      <c r="E3463" s="90" t="s">
        <v>68</v>
      </c>
      <c r="F3463" s="90" t="s">
        <v>375</v>
      </c>
      <c r="G3463" s="90" t="s">
        <v>376</v>
      </c>
      <c r="H3463" s="90">
        <v>0.59</v>
      </c>
      <c r="I3463" s="90">
        <v>0.64</v>
      </c>
      <c r="J3463" s="90" t="s">
        <v>244</v>
      </c>
      <c r="K3463" s="90">
        <v>7.8496584042940007E-2</v>
      </c>
      <c r="L3463" s="90">
        <v>3515.37924025352</v>
      </c>
      <c r="M3463" s="90">
        <v>8.7984820205331005</v>
      </c>
      <c r="N3463" s="90">
        <v>1.29523297149218</v>
      </c>
      <c r="O3463" s="90">
        <v>0.6906507833751</v>
      </c>
      <c r="P3463" s="90">
        <v>0.10167136380192</v>
      </c>
      <c r="Q3463" s="90">
        <v>275.945261975378</v>
      </c>
      <c r="R3463" s="90">
        <v>1210</v>
      </c>
      <c r="S3463" s="90" t="s">
        <v>385</v>
      </c>
      <c r="T3463" s="90">
        <v>1210</v>
      </c>
      <c r="U3463" s="90" t="s">
        <v>378</v>
      </c>
      <c r="V3463" s="90" t="s">
        <v>244</v>
      </c>
      <c r="Z3463" s="90">
        <v>0</v>
      </c>
      <c r="AA3463" s="90">
        <v>1</v>
      </c>
      <c r="AB3463" s="90">
        <v>0.6906507833751</v>
      </c>
      <c r="AC3463" s="90">
        <v>0.10167136380192</v>
      </c>
      <c r="AD3463" s="90">
        <v>672.910285314053</v>
      </c>
      <c r="AF3463" s="90">
        <v>-1</v>
      </c>
      <c r="AG3463" s="90">
        <v>-1</v>
      </c>
      <c r="AH3463" s="90">
        <v>-1</v>
      </c>
      <c r="AI3463" s="90">
        <v>-1</v>
      </c>
      <c r="AJ3463" s="90">
        <v>0</v>
      </c>
      <c r="AM3463" s="90" t="s">
        <v>379</v>
      </c>
      <c r="AN3463" s="90">
        <v>-1</v>
      </c>
      <c r="AQ3463" s="90">
        <v>364</v>
      </c>
      <c r="AR3463" s="90" t="s">
        <v>439</v>
      </c>
      <c r="AS3463" s="90" t="s">
        <v>440</v>
      </c>
      <c r="AT3463" s="90" t="s">
        <v>244</v>
      </c>
      <c r="AU3463" s="90">
        <v>1.7493050000000001</v>
      </c>
      <c r="AV3463" s="90">
        <v>77.343825176101703</v>
      </c>
      <c r="AW3463" s="90">
        <v>317.66440527064299</v>
      </c>
      <c r="AX3463" s="90">
        <v>0.54575043420000002</v>
      </c>
    </row>
    <row r="3464" spans="1:50" x14ac:dyDescent="0.25">
      <c r="A3464" s="102">
        <v>830000</v>
      </c>
      <c r="B3464" s="102">
        <v>2400000</v>
      </c>
      <c r="C3464" s="102">
        <v>2400000</v>
      </c>
      <c r="D3464" s="90" t="s">
        <v>374</v>
      </c>
      <c r="E3464" s="90" t="s">
        <v>68</v>
      </c>
      <c r="F3464" s="90" t="s">
        <v>375</v>
      </c>
      <c r="G3464" s="90" t="s">
        <v>376</v>
      </c>
      <c r="H3464" s="90">
        <v>0.59</v>
      </c>
      <c r="I3464" s="90">
        <v>0.64</v>
      </c>
      <c r="J3464" s="90" t="s">
        <v>244</v>
      </c>
      <c r="K3464" s="90">
        <v>0.10513663156265</v>
      </c>
      <c r="L3464" s="90">
        <v>3515.37924025352</v>
      </c>
      <c r="M3464" s="90">
        <v>8.7984820205331005</v>
      </c>
      <c r="N3464" s="90">
        <v>1.29523297149218</v>
      </c>
      <c r="O3464" s="90">
        <v>0.92504276250345996</v>
      </c>
      <c r="P3464" s="90">
        <v>0.13617643171158</v>
      </c>
      <c r="Q3464" s="90">
        <v>369.59513198555101</v>
      </c>
      <c r="R3464" s="90">
        <v>1210</v>
      </c>
      <c r="S3464" s="90" t="s">
        <v>385</v>
      </c>
      <c r="T3464" s="90">
        <v>1210</v>
      </c>
      <c r="U3464" s="90" t="s">
        <v>378</v>
      </c>
      <c r="V3464" s="90" t="s">
        <v>244</v>
      </c>
      <c r="Z3464" s="90">
        <v>0</v>
      </c>
      <c r="AA3464" s="90">
        <v>1</v>
      </c>
      <c r="AB3464" s="90">
        <v>0.92504276250345996</v>
      </c>
      <c r="AC3464" s="90">
        <v>0.13617643171158</v>
      </c>
      <c r="AD3464" s="90">
        <v>904.98045759566696</v>
      </c>
      <c r="AF3464" s="90">
        <v>-1</v>
      </c>
      <c r="AG3464" s="90">
        <v>-1</v>
      </c>
      <c r="AH3464" s="90">
        <v>-1</v>
      </c>
      <c r="AI3464" s="90">
        <v>-1</v>
      </c>
      <c r="AJ3464" s="90">
        <v>0</v>
      </c>
      <c r="AM3464" s="90" t="s">
        <v>379</v>
      </c>
      <c r="AN3464" s="90">
        <v>-1</v>
      </c>
      <c r="AQ3464" s="90">
        <v>364</v>
      </c>
      <c r="AR3464" s="90" t="s">
        <v>439</v>
      </c>
      <c r="AS3464" s="90" t="s">
        <v>440</v>
      </c>
      <c r="AT3464" s="90" t="s">
        <v>244</v>
      </c>
      <c r="AU3464" s="90">
        <v>1.7493050000000001</v>
      </c>
      <c r="AV3464" s="90">
        <v>80.438444440514701</v>
      </c>
      <c r="AW3464" s="90">
        <v>425.47285266884302</v>
      </c>
      <c r="AX3464" s="90">
        <v>0.73396630789999995</v>
      </c>
    </row>
    <row r="3465" spans="1:50" x14ac:dyDescent="0.25">
      <c r="A3465" s="102">
        <v>830000</v>
      </c>
      <c r="B3465" s="102">
        <v>2400000</v>
      </c>
      <c r="C3465" s="102">
        <v>2400000</v>
      </c>
      <c r="D3465" s="90" t="s">
        <v>374</v>
      </c>
      <c r="E3465" s="90" t="s">
        <v>68</v>
      </c>
      <c r="F3465" s="90" t="s">
        <v>375</v>
      </c>
      <c r="G3465" s="90" t="s">
        <v>376</v>
      </c>
      <c r="H3465" s="90">
        <v>0.59</v>
      </c>
      <c r="I3465" s="90">
        <v>0.64</v>
      </c>
      <c r="J3465" s="90" t="s">
        <v>244</v>
      </c>
      <c r="K3465" s="90">
        <v>8.4170179342740001E-2</v>
      </c>
      <c r="L3465" s="90">
        <v>3715.1656000449502</v>
      </c>
      <c r="M3465" s="90">
        <v>9.1984565769502407</v>
      </c>
      <c r="N3465" s="90">
        <v>1.3507275260001801</v>
      </c>
      <c r="O3465" s="90">
        <v>0.77423573975834004</v>
      </c>
      <c r="P3465" s="90">
        <v>0.11369097810661</v>
      </c>
      <c r="Q3465" s="90">
        <v>312.70615484377601</v>
      </c>
      <c r="R3465" s="90">
        <v>1200</v>
      </c>
      <c r="S3465" s="90" t="s">
        <v>384</v>
      </c>
      <c r="T3465" s="90">
        <v>1200</v>
      </c>
      <c r="U3465" s="90" t="s">
        <v>378</v>
      </c>
      <c r="V3465" s="90" t="s">
        <v>244</v>
      </c>
      <c r="Z3465" s="90">
        <v>0</v>
      </c>
      <c r="AA3465" s="90">
        <v>1</v>
      </c>
      <c r="AB3465" s="90">
        <v>0.77423573975834004</v>
      </c>
      <c r="AC3465" s="90">
        <v>0.11369097810661</v>
      </c>
      <c r="AD3465" s="90">
        <v>364.77970742013702</v>
      </c>
      <c r="AF3465" s="90">
        <v>-1</v>
      </c>
      <c r="AG3465" s="90">
        <v>-1</v>
      </c>
      <c r="AH3465" s="90">
        <v>-1</v>
      </c>
      <c r="AI3465" s="90">
        <v>-1</v>
      </c>
      <c r="AJ3465" s="90">
        <v>0</v>
      </c>
      <c r="AM3465" s="90" t="s">
        <v>379</v>
      </c>
      <c r="AN3465" s="90">
        <v>-1</v>
      </c>
      <c r="AQ3465" s="90">
        <v>364</v>
      </c>
      <c r="AR3465" s="90" t="s">
        <v>439</v>
      </c>
      <c r="AS3465" s="90" t="s">
        <v>440</v>
      </c>
      <c r="AT3465" s="90" t="s">
        <v>244</v>
      </c>
      <c r="AU3465" s="90">
        <v>1.7493050000000001</v>
      </c>
      <c r="AV3465" s="90">
        <v>116.24184894868</v>
      </c>
      <c r="AW3465" s="90">
        <v>340.62463084774402</v>
      </c>
      <c r="AX3465" s="90">
        <v>0.29584728910000002</v>
      </c>
    </row>
    <row r="3466" spans="1:50" x14ac:dyDescent="0.25">
      <c r="A3466" s="102">
        <v>830000</v>
      </c>
      <c r="B3466" s="102">
        <v>2400000</v>
      </c>
      <c r="C3466" s="102">
        <v>2400000</v>
      </c>
      <c r="D3466" s="90" t="s">
        <v>374</v>
      </c>
      <c r="E3466" s="90" t="s">
        <v>68</v>
      </c>
      <c r="F3466" s="90" t="s">
        <v>375</v>
      </c>
      <c r="G3466" s="90" t="s">
        <v>376</v>
      </c>
      <c r="H3466" s="90">
        <v>0.59</v>
      </c>
      <c r="I3466" s="90">
        <v>0.64</v>
      </c>
      <c r="J3466" s="90" t="s">
        <v>244</v>
      </c>
      <c r="K3466" s="90">
        <v>7.8618295213880002E-2</v>
      </c>
      <c r="L3466" s="90">
        <v>3715.1656000449502</v>
      </c>
      <c r="M3466" s="90">
        <v>9.1984565769502407</v>
      </c>
      <c r="N3466" s="90">
        <v>1.3507275260001801</v>
      </c>
      <c r="O3466" s="90">
        <v>0.72316697467874003</v>
      </c>
      <c r="P3466" s="90">
        <v>0.10619189539259</v>
      </c>
      <c r="Q3466" s="90">
        <v>292.07998591279301</v>
      </c>
      <c r="R3466" s="90">
        <v>1210</v>
      </c>
      <c r="S3466" s="90" t="s">
        <v>385</v>
      </c>
      <c r="T3466" s="90">
        <v>1210</v>
      </c>
      <c r="U3466" s="90" t="s">
        <v>378</v>
      </c>
      <c r="V3466" s="90" t="s">
        <v>244</v>
      </c>
      <c r="Z3466" s="90">
        <v>0</v>
      </c>
      <c r="AA3466" s="90">
        <v>1</v>
      </c>
      <c r="AB3466" s="90">
        <v>0.72316697467874003</v>
      </c>
      <c r="AC3466" s="90">
        <v>0.10619189539259</v>
      </c>
      <c r="AD3466" s="90">
        <v>610.94964550956502</v>
      </c>
      <c r="AF3466" s="90">
        <v>-1</v>
      </c>
      <c r="AG3466" s="90">
        <v>-1</v>
      </c>
      <c r="AH3466" s="90">
        <v>-1</v>
      </c>
      <c r="AI3466" s="90">
        <v>-1</v>
      </c>
      <c r="AJ3466" s="90">
        <v>0</v>
      </c>
      <c r="AM3466" s="90" t="s">
        <v>379</v>
      </c>
      <c r="AN3466" s="90">
        <v>-1</v>
      </c>
      <c r="AQ3466" s="90">
        <v>364</v>
      </c>
      <c r="AR3466" s="90" t="s">
        <v>439</v>
      </c>
      <c r="AS3466" s="90" t="s">
        <v>440</v>
      </c>
      <c r="AT3466" s="90" t="s">
        <v>244</v>
      </c>
      <c r="AU3466" s="90">
        <v>1.7493050000000001</v>
      </c>
      <c r="AV3466" s="90">
        <v>73.526565294662504</v>
      </c>
      <c r="AW3466" s="90">
        <v>318.15695290443603</v>
      </c>
      <c r="AX3466" s="90">
        <v>0.49549849600000001</v>
      </c>
    </row>
    <row r="3467" spans="1:50" x14ac:dyDescent="0.25">
      <c r="A3467" s="102">
        <v>830000</v>
      </c>
      <c r="B3467" s="102">
        <v>2400000</v>
      </c>
      <c r="C3467" s="102">
        <v>2400000</v>
      </c>
      <c r="D3467" s="90" t="s">
        <v>374</v>
      </c>
      <c r="E3467" s="90" t="s">
        <v>68</v>
      </c>
      <c r="F3467" s="90" t="s">
        <v>375</v>
      </c>
      <c r="G3467" s="90" t="s">
        <v>376</v>
      </c>
      <c r="H3467" s="90">
        <v>0.59</v>
      </c>
      <c r="I3467" s="90">
        <v>0.64</v>
      </c>
      <c r="J3467" s="90" t="s">
        <v>244</v>
      </c>
      <c r="K3467" s="90">
        <v>8.7596974973720002E-2</v>
      </c>
      <c r="L3467" s="90">
        <v>3715.1656000449502</v>
      </c>
      <c r="M3467" s="90">
        <v>9.1984565769502407</v>
      </c>
      <c r="N3467" s="90">
        <v>1.3507275260001801</v>
      </c>
      <c r="O3467" s="90">
        <v>0.80575697056797002</v>
      </c>
      <c r="P3467" s="90">
        <v>0.11831964529135</v>
      </c>
      <c r="Q3467" s="90">
        <v>325.43726809037003</v>
      </c>
      <c r="R3467" s="90">
        <v>1210</v>
      </c>
      <c r="S3467" s="90" t="s">
        <v>385</v>
      </c>
      <c r="T3467" s="90">
        <v>1210</v>
      </c>
      <c r="U3467" s="90" t="s">
        <v>378</v>
      </c>
      <c r="V3467" s="90" t="s">
        <v>244</v>
      </c>
      <c r="Z3467" s="90">
        <v>0</v>
      </c>
      <c r="AA3467" s="90">
        <v>1</v>
      </c>
      <c r="AB3467" s="90">
        <v>0.80575697056797002</v>
      </c>
      <c r="AC3467" s="90">
        <v>0.11831964529135</v>
      </c>
      <c r="AD3467" s="90">
        <v>915.71619154586097</v>
      </c>
      <c r="AF3467" s="90">
        <v>-1</v>
      </c>
      <c r="AG3467" s="90">
        <v>-1</v>
      </c>
      <c r="AH3467" s="90">
        <v>-1</v>
      </c>
      <c r="AI3467" s="90">
        <v>-1</v>
      </c>
      <c r="AJ3467" s="90">
        <v>0</v>
      </c>
      <c r="AM3467" s="90" t="s">
        <v>379</v>
      </c>
      <c r="AN3467" s="90">
        <v>-1</v>
      </c>
      <c r="AQ3467" s="90">
        <v>364</v>
      </c>
      <c r="AR3467" s="90" t="s">
        <v>439</v>
      </c>
      <c r="AS3467" s="90" t="s">
        <v>440</v>
      </c>
      <c r="AT3467" s="90" t="s">
        <v>244</v>
      </c>
      <c r="AU3467" s="90">
        <v>1.7493050000000001</v>
      </c>
      <c r="AV3467" s="90">
        <v>89.8707833709243</v>
      </c>
      <c r="AW3467" s="90">
        <v>354.49238075521902</v>
      </c>
      <c r="AX3467" s="90">
        <v>0.74267331029999994</v>
      </c>
    </row>
    <row r="3468" spans="1:50" x14ac:dyDescent="0.25">
      <c r="A3468" s="102">
        <v>830000</v>
      </c>
      <c r="B3468" s="102">
        <v>2400000</v>
      </c>
      <c r="C3468" s="102">
        <v>2400000</v>
      </c>
      <c r="D3468" s="90" t="s">
        <v>374</v>
      </c>
      <c r="E3468" s="90" t="s">
        <v>68</v>
      </c>
      <c r="F3468" s="90" t="s">
        <v>375</v>
      </c>
      <c r="G3468" s="90" t="s">
        <v>376</v>
      </c>
      <c r="H3468" s="90">
        <v>0.59</v>
      </c>
      <c r="I3468" s="90">
        <v>0.64</v>
      </c>
      <c r="J3468" s="90" t="s">
        <v>244</v>
      </c>
      <c r="K3468" s="90">
        <v>4.514987030019E-2</v>
      </c>
      <c r="L3468" s="90">
        <v>3715.1656000449502</v>
      </c>
      <c r="M3468" s="90">
        <v>9.1984565769502407</v>
      </c>
      <c r="N3468" s="90">
        <v>1.3507275260001801</v>
      </c>
      <c r="O3468" s="90">
        <v>0.4153091214113</v>
      </c>
      <c r="P3468" s="90">
        <v>6.0985172609809998E-2</v>
      </c>
      <c r="Q3468" s="90">
        <v>167.739244985786</v>
      </c>
      <c r="R3468" s="90">
        <v>1210</v>
      </c>
      <c r="S3468" s="90" t="s">
        <v>385</v>
      </c>
      <c r="T3468" s="90">
        <v>1210</v>
      </c>
      <c r="U3468" s="90" t="s">
        <v>378</v>
      </c>
      <c r="V3468" s="90" t="s">
        <v>244</v>
      </c>
      <c r="Z3468" s="90">
        <v>0</v>
      </c>
      <c r="AA3468" s="90">
        <v>1</v>
      </c>
      <c r="AB3468" s="90">
        <v>0.4153091214113</v>
      </c>
      <c r="AC3468" s="90">
        <v>6.0985172609809998E-2</v>
      </c>
      <c r="AD3468" s="90">
        <v>307.14539343785299</v>
      </c>
      <c r="AF3468" s="90">
        <v>-1</v>
      </c>
      <c r="AG3468" s="90">
        <v>-1</v>
      </c>
      <c r="AH3468" s="90">
        <v>-1</v>
      </c>
      <c r="AI3468" s="90">
        <v>-1</v>
      </c>
      <c r="AJ3468" s="90">
        <v>0</v>
      </c>
      <c r="AM3468" s="90" t="s">
        <v>379</v>
      </c>
      <c r="AN3468" s="90">
        <v>-1</v>
      </c>
      <c r="AQ3468" s="90">
        <v>364</v>
      </c>
      <c r="AR3468" s="90" t="s">
        <v>439</v>
      </c>
      <c r="AS3468" s="90" t="s">
        <v>440</v>
      </c>
      <c r="AT3468" s="90" t="s">
        <v>244</v>
      </c>
      <c r="AU3468" s="90">
        <v>1.7493050000000001</v>
      </c>
      <c r="AV3468" s="90">
        <v>57.155987217107601</v>
      </c>
      <c r="AW3468" s="90">
        <v>182.71504259488199</v>
      </c>
      <c r="AX3468" s="90">
        <v>0.2491041309</v>
      </c>
    </row>
    <row r="3469" spans="1:50" x14ac:dyDescent="0.25">
      <c r="A3469" s="102">
        <v>830000</v>
      </c>
      <c r="B3469" s="102">
        <v>2500000</v>
      </c>
      <c r="C3469" s="102">
        <v>2500000</v>
      </c>
      <c r="D3469" s="90" t="s">
        <v>374</v>
      </c>
      <c r="E3469" s="90" t="s">
        <v>68</v>
      </c>
      <c r="F3469" s="90" t="s">
        <v>375</v>
      </c>
      <c r="G3469" s="90" t="s">
        <v>376</v>
      </c>
      <c r="H3469" s="90">
        <v>0.59</v>
      </c>
      <c r="I3469" s="90">
        <v>0.64</v>
      </c>
      <c r="J3469" s="90" t="s">
        <v>244</v>
      </c>
      <c r="K3469" s="90">
        <v>3.9039530706199997E-2</v>
      </c>
      <c r="L3469" s="90">
        <v>3111.4830598017002</v>
      </c>
      <c r="M3469" s="90">
        <v>7.8093203482593303</v>
      </c>
      <c r="N3469" s="90">
        <v>1.1503529313157701</v>
      </c>
      <c r="O3469" s="90">
        <v>0.30487220153042999</v>
      </c>
      <c r="P3469" s="90">
        <v>4.4909238585069997E-2</v>
      </c>
      <c r="Q3469" s="90">
        <v>121.470838454952</v>
      </c>
      <c r="R3469" s="90">
        <v>1200</v>
      </c>
      <c r="S3469" s="90" t="s">
        <v>384</v>
      </c>
      <c r="T3469" s="90">
        <v>1200</v>
      </c>
      <c r="U3469" s="90" t="s">
        <v>378</v>
      </c>
      <c r="V3469" s="90" t="s">
        <v>244</v>
      </c>
      <c r="Z3469" s="90">
        <v>0</v>
      </c>
      <c r="AA3469" s="90">
        <v>1</v>
      </c>
      <c r="AB3469" s="90">
        <v>0.30487220153042999</v>
      </c>
      <c r="AC3469" s="90">
        <v>4.4909238585069997E-2</v>
      </c>
      <c r="AD3469" s="90">
        <v>125.30083218040799</v>
      </c>
      <c r="AF3469" s="90">
        <v>-1</v>
      </c>
      <c r="AG3469" s="90">
        <v>-1</v>
      </c>
      <c r="AH3469" s="90">
        <v>-1</v>
      </c>
      <c r="AI3469" s="90">
        <v>-1</v>
      </c>
      <c r="AJ3469" s="90">
        <v>0</v>
      </c>
      <c r="AM3469" s="90" t="s">
        <v>379</v>
      </c>
      <c r="AN3469" s="90">
        <v>-1</v>
      </c>
      <c r="AQ3469" s="90">
        <v>364</v>
      </c>
      <c r="AR3469" s="90" t="s">
        <v>439</v>
      </c>
      <c r="AS3469" s="90" t="s">
        <v>440</v>
      </c>
      <c r="AT3469" s="90" t="s">
        <v>244</v>
      </c>
      <c r="AU3469" s="90">
        <v>1.7493050000000001</v>
      </c>
      <c r="AV3469" s="90">
        <v>60.415727592140698</v>
      </c>
      <c r="AW3469" s="90">
        <v>157.98737556587</v>
      </c>
      <c r="AX3469" s="90">
        <v>0.1016227349</v>
      </c>
    </row>
    <row r="3470" spans="1:50" x14ac:dyDescent="0.25">
      <c r="A3470" s="102">
        <v>830000</v>
      </c>
      <c r="B3470" s="102">
        <v>2500000</v>
      </c>
      <c r="C3470" s="102">
        <v>2500000</v>
      </c>
      <c r="D3470" s="90" t="s">
        <v>374</v>
      </c>
      <c r="E3470" s="90" t="s">
        <v>68</v>
      </c>
      <c r="F3470" s="90" t="s">
        <v>375</v>
      </c>
      <c r="G3470" s="90" t="s">
        <v>376</v>
      </c>
      <c r="H3470" s="90">
        <v>0.59</v>
      </c>
      <c r="I3470" s="90">
        <v>0.64</v>
      </c>
      <c r="J3470" s="90" t="s">
        <v>244</v>
      </c>
      <c r="K3470" s="90">
        <v>9.8154479689869997E-2</v>
      </c>
      <c r="L3470" s="90">
        <v>3111.4830598017002</v>
      </c>
      <c r="M3470" s="90">
        <v>7.8093203482593303</v>
      </c>
      <c r="N3470" s="90">
        <v>1.1503529313157701</v>
      </c>
      <c r="O3470" s="90">
        <v>0.76651977551494999</v>
      </c>
      <c r="P3470" s="90">
        <v>0.11291229343302001</v>
      </c>
      <c r="Q3470" s="90">
        <v>305.40600079869898</v>
      </c>
      <c r="R3470" s="90">
        <v>1210</v>
      </c>
      <c r="S3470" s="90" t="s">
        <v>385</v>
      </c>
      <c r="T3470" s="90">
        <v>1210</v>
      </c>
      <c r="U3470" s="90" t="s">
        <v>378</v>
      </c>
      <c r="V3470" s="90" t="s">
        <v>244</v>
      </c>
      <c r="Z3470" s="90">
        <v>0</v>
      </c>
      <c r="AA3470" s="90">
        <v>1</v>
      </c>
      <c r="AB3470" s="90">
        <v>0.76651977551494999</v>
      </c>
      <c r="AC3470" s="90">
        <v>0.11291229343302001</v>
      </c>
      <c r="AD3470" s="90">
        <v>785.79519988655397</v>
      </c>
      <c r="AF3470" s="90">
        <v>-1</v>
      </c>
      <c r="AG3470" s="90">
        <v>-1</v>
      </c>
      <c r="AH3470" s="90">
        <v>-1</v>
      </c>
      <c r="AI3470" s="90">
        <v>-1</v>
      </c>
      <c r="AJ3470" s="90">
        <v>0</v>
      </c>
      <c r="AM3470" s="90" t="s">
        <v>379</v>
      </c>
      <c r="AN3470" s="90">
        <v>-1</v>
      </c>
      <c r="AQ3470" s="90">
        <v>364</v>
      </c>
      <c r="AR3470" s="90" t="s">
        <v>439</v>
      </c>
      <c r="AS3470" s="90" t="s">
        <v>440</v>
      </c>
      <c r="AT3470" s="90" t="s">
        <v>244</v>
      </c>
      <c r="AU3470" s="90">
        <v>1.7493050000000001</v>
      </c>
      <c r="AV3470" s="90">
        <v>81.009879830340196</v>
      </c>
      <c r="AW3470" s="90">
        <v>397.21708652030298</v>
      </c>
      <c r="AX3470" s="90">
        <v>0.63730348729999997</v>
      </c>
    </row>
    <row r="3471" spans="1:50" x14ac:dyDescent="0.25">
      <c r="A3471" s="102">
        <v>830000</v>
      </c>
      <c r="B3471" s="102">
        <v>2500000</v>
      </c>
      <c r="C3471" s="102">
        <v>2500000</v>
      </c>
      <c r="D3471" s="90" t="s">
        <v>374</v>
      </c>
      <c r="E3471" s="90" t="s">
        <v>68</v>
      </c>
      <c r="F3471" s="90" t="s">
        <v>375</v>
      </c>
      <c r="G3471" s="90" t="s">
        <v>376</v>
      </c>
      <c r="H3471" s="90">
        <v>0.59</v>
      </c>
      <c r="I3471" s="90">
        <v>0.64</v>
      </c>
      <c r="J3471" s="90" t="s">
        <v>244</v>
      </c>
      <c r="K3471" s="90">
        <v>4.1091162683969999E-2</v>
      </c>
      <c r="L3471" s="90">
        <v>3111.4830598017002</v>
      </c>
      <c r="M3471" s="90">
        <v>7.8093203482593303</v>
      </c>
      <c r="N3471" s="90">
        <v>1.1503529313157701</v>
      </c>
      <c r="O3471" s="90">
        <v>0.32089405288155998</v>
      </c>
      <c r="P3471" s="90">
        <v>4.7269339444670003E-2</v>
      </c>
      <c r="Q3471" s="90">
        <v>127.85445659873101</v>
      </c>
      <c r="R3471" s="90">
        <v>1210</v>
      </c>
      <c r="S3471" s="90" t="s">
        <v>385</v>
      </c>
      <c r="T3471" s="90">
        <v>1210</v>
      </c>
      <c r="U3471" s="90" t="s">
        <v>378</v>
      </c>
      <c r="V3471" s="90" t="s">
        <v>244</v>
      </c>
      <c r="Z3471" s="90">
        <v>0</v>
      </c>
      <c r="AA3471" s="90">
        <v>1</v>
      </c>
      <c r="AB3471" s="90">
        <v>0.32089405288155998</v>
      </c>
      <c r="AC3471" s="90">
        <v>4.7269339444670003E-2</v>
      </c>
      <c r="AD3471" s="90">
        <v>419.47836757090499</v>
      </c>
      <c r="AF3471" s="90">
        <v>-1</v>
      </c>
      <c r="AG3471" s="90">
        <v>-1</v>
      </c>
      <c r="AH3471" s="90">
        <v>-1</v>
      </c>
      <c r="AI3471" s="90">
        <v>-1</v>
      </c>
      <c r="AJ3471" s="90">
        <v>0</v>
      </c>
      <c r="AM3471" s="90" t="s">
        <v>379</v>
      </c>
      <c r="AN3471" s="90">
        <v>-1</v>
      </c>
      <c r="AQ3471" s="90">
        <v>364</v>
      </c>
      <c r="AR3471" s="90" t="s">
        <v>439</v>
      </c>
      <c r="AS3471" s="90" t="s">
        <v>440</v>
      </c>
      <c r="AT3471" s="90" t="s">
        <v>244</v>
      </c>
      <c r="AU3471" s="90">
        <v>1.7493050000000001</v>
      </c>
      <c r="AV3471" s="90">
        <v>59.338287459868504</v>
      </c>
      <c r="AW3471" s="90">
        <v>166.290035611511</v>
      </c>
      <c r="AX3471" s="90">
        <v>0.34020954390000002</v>
      </c>
    </row>
    <row r="3472" spans="1:50" x14ac:dyDescent="0.25">
      <c r="A3472" s="102">
        <v>830000</v>
      </c>
      <c r="B3472" s="102">
        <v>2500000</v>
      </c>
      <c r="C3472" s="102">
        <v>2500000</v>
      </c>
      <c r="D3472" s="90" t="s">
        <v>374</v>
      </c>
      <c r="E3472" s="90" t="s">
        <v>68</v>
      </c>
      <c r="F3472" s="90" t="s">
        <v>375</v>
      </c>
      <c r="G3472" s="90" t="s">
        <v>376</v>
      </c>
      <c r="H3472" s="90">
        <v>0.59</v>
      </c>
      <c r="I3472" s="90">
        <v>0.64</v>
      </c>
      <c r="J3472" s="90" t="s">
        <v>244</v>
      </c>
      <c r="K3472" s="90">
        <v>0.16651600118368001</v>
      </c>
      <c r="L3472" s="90">
        <v>3714.0129861585701</v>
      </c>
      <c r="M3472" s="90">
        <v>9.2556894216398007</v>
      </c>
      <c r="N3472" s="90">
        <v>1.3611872092820001</v>
      </c>
      <c r="O3472" s="90">
        <v>1.5412203906895601</v>
      </c>
      <c r="P3472" s="90">
        <v>0.22665945095201001</v>
      </c>
      <c r="Q3472" s="90">
        <v>618.44259079939195</v>
      </c>
      <c r="R3472" s="90">
        <v>1200</v>
      </c>
      <c r="S3472" s="90" t="s">
        <v>384</v>
      </c>
      <c r="T3472" s="90">
        <v>1200</v>
      </c>
      <c r="U3472" s="90" t="s">
        <v>378</v>
      </c>
      <c r="V3472" s="90" t="s">
        <v>244</v>
      </c>
      <c r="Z3472" s="90">
        <v>0</v>
      </c>
      <c r="AA3472" s="90">
        <v>1</v>
      </c>
      <c r="AB3472" s="90">
        <v>1.5412203906895601</v>
      </c>
      <c r="AC3472" s="90">
        <v>0.22665945095201001</v>
      </c>
      <c r="AD3472" s="90">
        <v>921.23995652860594</v>
      </c>
      <c r="AF3472" s="90">
        <v>-1</v>
      </c>
      <c r="AG3472" s="90">
        <v>-1</v>
      </c>
      <c r="AH3472" s="90">
        <v>-1</v>
      </c>
      <c r="AI3472" s="90">
        <v>-1</v>
      </c>
      <c r="AJ3472" s="90">
        <v>0</v>
      </c>
      <c r="AM3472" s="90" t="s">
        <v>379</v>
      </c>
      <c r="AN3472" s="90">
        <v>-1</v>
      </c>
      <c r="AQ3472" s="90">
        <v>364</v>
      </c>
      <c r="AR3472" s="90" t="s">
        <v>439</v>
      </c>
      <c r="AS3472" s="90" t="s">
        <v>440</v>
      </c>
      <c r="AT3472" s="90" t="s">
        <v>244</v>
      </c>
      <c r="AU3472" s="90">
        <v>1.7493050000000001</v>
      </c>
      <c r="AV3472" s="90">
        <v>146.899754045186</v>
      </c>
      <c r="AW3472" s="90">
        <v>673.86634882254998</v>
      </c>
      <c r="AX3472" s="90">
        <v>0.74715324940000005</v>
      </c>
    </row>
    <row r="3473" spans="1:50" x14ac:dyDescent="0.25">
      <c r="A3473" s="102">
        <v>830000</v>
      </c>
      <c r="B3473" s="102">
        <v>2500000</v>
      </c>
      <c r="C3473" s="102">
        <v>2500000</v>
      </c>
      <c r="D3473" s="90" t="s">
        <v>374</v>
      </c>
      <c r="E3473" s="90" t="s">
        <v>68</v>
      </c>
      <c r="F3473" s="90" t="s">
        <v>375</v>
      </c>
      <c r="G3473" s="90" t="s">
        <v>376</v>
      </c>
      <c r="H3473" s="90">
        <v>0.59</v>
      </c>
      <c r="I3473" s="90">
        <v>0.64</v>
      </c>
      <c r="J3473" s="90" t="s">
        <v>244</v>
      </c>
      <c r="K3473" s="90">
        <v>9.3674716256079996E-2</v>
      </c>
      <c r="L3473" s="90">
        <v>3714.0129861585701</v>
      </c>
      <c r="M3473" s="90">
        <v>9.2556894216398007</v>
      </c>
      <c r="N3473" s="90">
        <v>1.3611872092820001</v>
      </c>
      <c r="O3473" s="90">
        <v>0.86702408032657996</v>
      </c>
      <c r="P3473" s="90">
        <v>0.12750882560089999</v>
      </c>
      <c r="Q3473" s="90">
        <v>347.90911264982998</v>
      </c>
      <c r="R3473" s="90">
        <v>1210</v>
      </c>
      <c r="S3473" s="90" t="s">
        <v>385</v>
      </c>
      <c r="T3473" s="90">
        <v>1210</v>
      </c>
      <c r="U3473" s="90" t="s">
        <v>378</v>
      </c>
      <c r="V3473" s="90" t="s">
        <v>244</v>
      </c>
      <c r="Z3473" s="90">
        <v>0</v>
      </c>
      <c r="AA3473" s="90">
        <v>1</v>
      </c>
      <c r="AB3473" s="90">
        <v>0.86702408032657996</v>
      </c>
      <c r="AC3473" s="90">
        <v>0.12750882560089999</v>
      </c>
      <c r="AD3473" s="90">
        <v>387.46855270005898</v>
      </c>
      <c r="AF3473" s="90">
        <v>-1</v>
      </c>
      <c r="AG3473" s="90">
        <v>-1</v>
      </c>
      <c r="AH3473" s="90">
        <v>-1</v>
      </c>
      <c r="AI3473" s="90">
        <v>-1</v>
      </c>
      <c r="AJ3473" s="90">
        <v>0</v>
      </c>
      <c r="AM3473" s="90" t="s">
        <v>379</v>
      </c>
      <c r="AN3473" s="90">
        <v>-1</v>
      </c>
      <c r="AQ3473" s="90">
        <v>364</v>
      </c>
      <c r="AR3473" s="90" t="s">
        <v>439</v>
      </c>
      <c r="AS3473" s="90" t="s">
        <v>440</v>
      </c>
      <c r="AT3473" s="90" t="s">
        <v>244</v>
      </c>
      <c r="AU3473" s="90">
        <v>1.7493050000000001</v>
      </c>
      <c r="AV3473" s="90">
        <v>80.067160094428402</v>
      </c>
      <c r="AW3473" s="90">
        <v>379.08812709744501</v>
      </c>
      <c r="AX3473" s="90">
        <v>0.31424862339999998</v>
      </c>
    </row>
    <row r="3474" spans="1:50" x14ac:dyDescent="0.25">
      <c r="A3474" s="102">
        <v>830000</v>
      </c>
      <c r="B3474" s="102">
        <v>2500000</v>
      </c>
      <c r="C3474" s="102">
        <v>2500000</v>
      </c>
      <c r="D3474" s="90" t="s">
        <v>374</v>
      </c>
      <c r="E3474" s="90" t="s">
        <v>68</v>
      </c>
      <c r="F3474" s="90" t="s">
        <v>375</v>
      </c>
      <c r="G3474" s="90" t="s">
        <v>376</v>
      </c>
      <c r="H3474" s="90">
        <v>0.59</v>
      </c>
      <c r="I3474" s="90">
        <v>0.64</v>
      </c>
      <c r="J3474" s="90" t="s">
        <v>244</v>
      </c>
      <c r="K3474" s="90">
        <v>6.2085289059549999E-2</v>
      </c>
      <c r="L3474" s="90">
        <v>3714.0129861585701</v>
      </c>
      <c r="M3474" s="90">
        <v>9.2556894216398007</v>
      </c>
      <c r="N3474" s="90">
        <v>1.3611872092820001</v>
      </c>
      <c r="O3474" s="90">
        <v>0.57464215318797995</v>
      </c>
      <c r="P3474" s="90">
        <v>8.450970135244E-2</v>
      </c>
      <c r="Q3474" s="90">
        <v>230.58556981660001</v>
      </c>
      <c r="R3474" s="90">
        <v>1210</v>
      </c>
      <c r="S3474" s="90" t="s">
        <v>385</v>
      </c>
      <c r="T3474" s="90">
        <v>1210</v>
      </c>
      <c r="U3474" s="90" t="s">
        <v>378</v>
      </c>
      <c r="V3474" s="90" t="s">
        <v>244</v>
      </c>
      <c r="Z3474" s="90">
        <v>0</v>
      </c>
      <c r="AA3474" s="90">
        <v>1</v>
      </c>
      <c r="AB3474" s="90">
        <v>0.57464215318797995</v>
      </c>
      <c r="AC3474" s="90">
        <v>8.450970135244E-2</v>
      </c>
      <c r="AD3474" s="90">
        <v>255.30029191063301</v>
      </c>
      <c r="AF3474" s="90">
        <v>-1</v>
      </c>
      <c r="AG3474" s="90">
        <v>-1</v>
      </c>
      <c r="AH3474" s="90">
        <v>-1</v>
      </c>
      <c r="AI3474" s="90">
        <v>-1</v>
      </c>
      <c r="AJ3474" s="90">
        <v>0</v>
      </c>
      <c r="AM3474" s="90" t="s">
        <v>379</v>
      </c>
      <c r="AN3474" s="90">
        <v>-1</v>
      </c>
      <c r="AQ3474" s="90">
        <v>364</v>
      </c>
      <c r="AR3474" s="90" t="s">
        <v>439</v>
      </c>
      <c r="AS3474" s="90" t="s">
        <v>440</v>
      </c>
      <c r="AT3474" s="90" t="s">
        <v>244</v>
      </c>
      <c r="AU3474" s="90">
        <v>1.7493050000000001</v>
      </c>
      <c r="AV3474" s="90">
        <v>69.0599765124106</v>
      </c>
      <c r="AW3474" s="90">
        <v>251.250250767225</v>
      </c>
      <c r="AX3474" s="90">
        <v>0.20705619780000001</v>
      </c>
    </row>
    <row r="3475" spans="1:50" x14ac:dyDescent="0.25">
      <c r="A3475" s="102">
        <v>830000</v>
      </c>
      <c r="B3475" s="102">
        <v>2500000</v>
      </c>
      <c r="C3475" s="102">
        <v>2500000</v>
      </c>
      <c r="D3475" s="90" t="s">
        <v>374</v>
      </c>
      <c r="E3475" s="90" t="s">
        <v>68</v>
      </c>
      <c r="F3475" s="90" t="s">
        <v>375</v>
      </c>
      <c r="G3475" s="90" t="s">
        <v>376</v>
      </c>
      <c r="H3475" s="90">
        <v>0.59</v>
      </c>
      <c r="I3475" s="90">
        <v>0.64</v>
      </c>
      <c r="J3475" s="90" t="s">
        <v>244</v>
      </c>
      <c r="K3475" s="90">
        <v>6.1022599472299998E-3</v>
      </c>
      <c r="L3475" s="90">
        <v>3714.0129861585701</v>
      </c>
      <c r="M3475" s="90">
        <v>9.2556894216398007</v>
      </c>
      <c r="N3475" s="90">
        <v>1.3611872092820001</v>
      </c>
      <c r="O3475" s="90">
        <v>5.6480622841729999E-2</v>
      </c>
      <c r="P3475" s="90">
        <v>8.3063181878900005E-3</v>
      </c>
      <c r="Q3475" s="90">
        <v>22.6638726889535</v>
      </c>
      <c r="R3475" s="90">
        <v>1210</v>
      </c>
      <c r="S3475" s="90" t="s">
        <v>385</v>
      </c>
      <c r="T3475" s="90">
        <v>1210</v>
      </c>
      <c r="U3475" s="90" t="s">
        <v>378</v>
      </c>
      <c r="V3475" s="90" t="s">
        <v>244</v>
      </c>
      <c r="Z3475" s="90">
        <v>0</v>
      </c>
      <c r="AA3475" s="90">
        <v>1</v>
      </c>
      <c r="AB3475" s="90">
        <v>5.6480622841729999E-2</v>
      </c>
      <c r="AC3475" s="90">
        <v>8.3063181878900005E-3</v>
      </c>
      <c r="AD3475" s="90">
        <v>22.6638726889549</v>
      </c>
      <c r="AF3475" s="90">
        <v>-1</v>
      </c>
      <c r="AG3475" s="90">
        <v>-1</v>
      </c>
      <c r="AH3475" s="90">
        <v>-1</v>
      </c>
      <c r="AI3475" s="90">
        <v>-1</v>
      </c>
      <c r="AJ3475" s="90">
        <v>0</v>
      </c>
      <c r="AM3475" s="90" t="s">
        <v>379</v>
      </c>
      <c r="AN3475" s="90">
        <v>-1</v>
      </c>
      <c r="AQ3475" s="90">
        <v>364</v>
      </c>
      <c r="AR3475" s="90" t="s">
        <v>439</v>
      </c>
      <c r="AS3475" s="90" t="s">
        <v>440</v>
      </c>
      <c r="AT3475" s="90" t="s">
        <v>244</v>
      </c>
      <c r="AU3475" s="90">
        <v>1.7493050000000001</v>
      </c>
      <c r="AV3475" s="90">
        <v>24.193873034697798</v>
      </c>
      <c r="AW3475" s="90">
        <v>24.694969858631701</v>
      </c>
      <c r="AX3475" s="90">
        <v>1.8381080899999999E-2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7"/>
  <sheetViews>
    <sheetView workbookViewId="0">
      <selection activeCell="F1" sqref="F1"/>
    </sheetView>
  </sheetViews>
  <sheetFormatPr defaultRowHeight="15" x14ac:dyDescent="0.25"/>
  <cols>
    <col min="1" max="1" width="13.7109375" style="9" customWidth="1"/>
    <col min="2" max="2" width="9.140625" style="9"/>
    <col min="3" max="3" width="16.7109375" style="9" customWidth="1"/>
    <col min="4" max="4" width="18" style="9" customWidth="1"/>
    <col min="5" max="5" width="9.85546875" style="9" customWidth="1"/>
    <col min="6" max="6" width="19" style="9" customWidth="1"/>
    <col min="7" max="12" width="12" style="9" customWidth="1"/>
    <col min="13" max="13" width="16.28515625" style="9" customWidth="1"/>
    <col min="14" max="14" width="22" style="9" customWidth="1"/>
    <col min="15" max="16" width="12.140625" style="9" customWidth="1"/>
    <col min="17" max="17" width="13" style="9" customWidth="1"/>
    <col min="18" max="18" width="14.5703125" style="9" customWidth="1"/>
    <col min="19" max="19" width="18.85546875" style="9" bestFit="1" customWidth="1"/>
    <col min="20" max="16384" width="9.140625" style="9"/>
  </cols>
  <sheetData>
    <row r="1" spans="1:19" ht="75" x14ac:dyDescent="0.25">
      <c r="A1" s="16" t="s">
        <v>163</v>
      </c>
      <c r="B1" s="16" t="s">
        <v>18</v>
      </c>
      <c r="C1" s="16" t="s">
        <v>19</v>
      </c>
      <c r="D1" s="16" t="s">
        <v>176</v>
      </c>
      <c r="E1" s="16" t="s">
        <v>196</v>
      </c>
      <c r="F1" s="16" t="s">
        <v>190</v>
      </c>
      <c r="G1" s="16" t="s">
        <v>177</v>
      </c>
      <c r="H1" s="16" t="s">
        <v>178</v>
      </c>
      <c r="I1" s="16" t="s">
        <v>179</v>
      </c>
      <c r="J1" s="16" t="s">
        <v>180</v>
      </c>
      <c r="K1" s="16" t="s">
        <v>181</v>
      </c>
      <c r="L1" s="16" t="s">
        <v>182</v>
      </c>
      <c r="M1" s="16" t="s">
        <v>183</v>
      </c>
      <c r="N1" s="16" t="s">
        <v>184</v>
      </c>
      <c r="O1" s="16" t="s">
        <v>185</v>
      </c>
      <c r="P1" s="16" t="s">
        <v>186</v>
      </c>
      <c r="Q1" s="16" t="s">
        <v>187</v>
      </c>
      <c r="R1" s="16" t="s">
        <v>188</v>
      </c>
      <c r="S1" s="16" t="s">
        <v>189</v>
      </c>
    </row>
    <row r="2" spans="1:19" s="82" customFormat="1" ht="38.25" x14ac:dyDescent="0.25">
      <c r="A2" s="86" t="s">
        <v>62</v>
      </c>
      <c r="B2" s="86" t="s">
        <v>247</v>
      </c>
      <c r="C2" s="86" t="s">
        <v>248</v>
      </c>
      <c r="D2" s="86" t="s">
        <v>321</v>
      </c>
      <c r="E2" s="10">
        <v>0.21</v>
      </c>
      <c r="F2" s="52">
        <f>(((LN(E2))*0.3178)+0.7405)*0.5</f>
        <v>0.12226307280074419</v>
      </c>
      <c r="G2" s="63"/>
      <c r="H2" s="63"/>
      <c r="I2" s="59">
        <f t="shared" ref="I2:I11" si="0">(F2*G2)/100</f>
        <v>0</v>
      </c>
      <c r="J2" s="60">
        <f t="shared" ref="J2:J11" si="1">(F2*H2)/100</f>
        <v>0</v>
      </c>
      <c r="K2" s="61">
        <f t="shared" ref="K2:K11" si="2">G2-I2</f>
        <v>0</v>
      </c>
      <c r="L2" s="61">
        <f t="shared" ref="L2:L11" si="3">H2-J2</f>
        <v>0</v>
      </c>
      <c r="M2" s="10"/>
      <c r="N2" s="10"/>
      <c r="O2" s="10"/>
      <c r="P2" s="62">
        <f t="shared" ref="P2:P11" si="4">ROUND((K2*N2)/100,1)</f>
        <v>0</v>
      </c>
      <c r="Q2" s="62">
        <f t="shared" ref="Q2:Q11" si="5">ROUND((L2*O2)/100,1)</f>
        <v>0</v>
      </c>
      <c r="R2" s="62">
        <f t="shared" ref="R2:R11" si="6">P2+I2</f>
        <v>0</v>
      </c>
      <c r="S2" s="62">
        <f t="shared" ref="S2:S11" si="7">Q2+J2</f>
        <v>0</v>
      </c>
    </row>
    <row r="3" spans="1:19" s="82" customFormat="1" ht="38.25" x14ac:dyDescent="0.25">
      <c r="A3" s="86" t="s">
        <v>62</v>
      </c>
      <c r="B3" s="86" t="s">
        <v>257</v>
      </c>
      <c r="C3" s="86" t="s">
        <v>258</v>
      </c>
      <c r="D3" s="86" t="s">
        <v>321</v>
      </c>
      <c r="E3" s="10">
        <v>0.62</v>
      </c>
      <c r="F3" s="52">
        <f t="shared" ref="F3:F24" si="8">(((LN(E3))*0.3178)+0.7405)*0.5</f>
        <v>0.29429011123015736</v>
      </c>
      <c r="G3" s="63"/>
      <c r="H3" s="63"/>
      <c r="I3" s="59">
        <f t="shared" si="0"/>
        <v>0</v>
      </c>
      <c r="J3" s="60">
        <f t="shared" si="1"/>
        <v>0</v>
      </c>
      <c r="K3" s="61">
        <f t="shared" si="2"/>
        <v>0</v>
      </c>
      <c r="L3" s="61">
        <f t="shared" si="3"/>
        <v>0</v>
      </c>
      <c r="M3" s="10"/>
      <c r="N3" s="10"/>
      <c r="O3" s="10"/>
      <c r="P3" s="62">
        <f t="shared" si="4"/>
        <v>0</v>
      </c>
      <c r="Q3" s="62">
        <f t="shared" si="5"/>
        <v>0</v>
      </c>
      <c r="R3" s="62">
        <f t="shared" si="6"/>
        <v>0</v>
      </c>
      <c r="S3" s="62">
        <f t="shared" si="7"/>
        <v>0</v>
      </c>
    </row>
    <row r="4" spans="1:19" s="82" customFormat="1" ht="38.25" x14ac:dyDescent="0.25">
      <c r="A4" s="86" t="s">
        <v>62</v>
      </c>
      <c r="B4" s="86" t="s">
        <v>259</v>
      </c>
      <c r="C4" s="87" t="s">
        <v>260</v>
      </c>
      <c r="D4" s="86" t="s">
        <v>321</v>
      </c>
      <c r="E4" s="10">
        <v>0.01</v>
      </c>
      <c r="F4" s="52">
        <v>0</v>
      </c>
      <c r="G4" s="63"/>
      <c r="H4" s="63"/>
      <c r="I4" s="59">
        <f t="shared" si="0"/>
        <v>0</v>
      </c>
      <c r="J4" s="60">
        <f t="shared" si="1"/>
        <v>0</v>
      </c>
      <c r="K4" s="61">
        <f t="shared" si="2"/>
        <v>0</v>
      </c>
      <c r="L4" s="61">
        <f t="shared" si="3"/>
        <v>0</v>
      </c>
      <c r="M4" s="10"/>
      <c r="N4" s="10"/>
      <c r="O4" s="10"/>
      <c r="P4" s="62">
        <f t="shared" si="4"/>
        <v>0</v>
      </c>
      <c r="Q4" s="62">
        <f t="shared" si="5"/>
        <v>0</v>
      </c>
      <c r="R4" s="62">
        <f t="shared" si="6"/>
        <v>0</v>
      </c>
      <c r="S4" s="62">
        <f t="shared" si="7"/>
        <v>0</v>
      </c>
    </row>
    <row r="5" spans="1:19" s="82" customFormat="1" ht="38.25" x14ac:dyDescent="0.25">
      <c r="A5" s="86" t="s">
        <v>62</v>
      </c>
      <c r="B5" s="86" t="s">
        <v>261</v>
      </c>
      <c r="C5" s="87" t="s">
        <v>262</v>
      </c>
      <c r="D5" s="86" t="s">
        <v>321</v>
      </c>
      <c r="E5" s="10">
        <v>0.01</v>
      </c>
      <c r="F5" s="52">
        <v>0</v>
      </c>
      <c r="G5" s="63"/>
      <c r="H5" s="63"/>
      <c r="I5" s="59">
        <f t="shared" si="0"/>
        <v>0</v>
      </c>
      <c r="J5" s="60">
        <f t="shared" si="1"/>
        <v>0</v>
      </c>
      <c r="K5" s="61">
        <f t="shared" si="2"/>
        <v>0</v>
      </c>
      <c r="L5" s="61">
        <f t="shared" si="3"/>
        <v>0</v>
      </c>
      <c r="M5" s="10"/>
      <c r="N5" s="10"/>
      <c r="O5" s="10"/>
      <c r="P5" s="62">
        <f t="shared" si="4"/>
        <v>0</v>
      </c>
      <c r="Q5" s="62">
        <f t="shared" si="5"/>
        <v>0</v>
      </c>
      <c r="R5" s="62">
        <f t="shared" si="6"/>
        <v>0</v>
      </c>
      <c r="S5" s="62">
        <f t="shared" si="7"/>
        <v>0</v>
      </c>
    </row>
    <row r="6" spans="1:19" s="82" customFormat="1" ht="38.25" x14ac:dyDescent="0.25">
      <c r="A6" s="86" t="s">
        <v>62</v>
      </c>
      <c r="B6" s="86" t="s">
        <v>263</v>
      </c>
      <c r="C6" s="87" t="s">
        <v>264</v>
      </c>
      <c r="D6" s="86" t="s">
        <v>321</v>
      </c>
      <c r="E6" s="10">
        <v>0.02</v>
      </c>
      <c r="F6" s="52">
        <v>0</v>
      </c>
      <c r="G6" s="63"/>
      <c r="H6" s="63"/>
      <c r="I6" s="59">
        <f t="shared" si="0"/>
        <v>0</v>
      </c>
      <c r="J6" s="60">
        <f t="shared" si="1"/>
        <v>0</v>
      </c>
      <c r="K6" s="61">
        <f t="shared" si="2"/>
        <v>0</v>
      </c>
      <c r="L6" s="61">
        <f t="shared" si="3"/>
        <v>0</v>
      </c>
      <c r="M6" s="10"/>
      <c r="N6" s="10"/>
      <c r="O6" s="10"/>
      <c r="P6" s="62">
        <f t="shared" si="4"/>
        <v>0</v>
      </c>
      <c r="Q6" s="62">
        <f t="shared" si="5"/>
        <v>0</v>
      </c>
      <c r="R6" s="62">
        <f t="shared" si="6"/>
        <v>0</v>
      </c>
      <c r="S6" s="62">
        <f t="shared" si="7"/>
        <v>0</v>
      </c>
    </row>
    <row r="7" spans="1:19" s="82" customFormat="1" ht="38.25" x14ac:dyDescent="0.25">
      <c r="A7" s="86" t="s">
        <v>62</v>
      </c>
      <c r="B7" s="86" t="s">
        <v>265</v>
      </c>
      <c r="C7" s="87" t="s">
        <v>266</v>
      </c>
      <c r="D7" s="86" t="s">
        <v>321</v>
      </c>
      <c r="E7" s="10">
        <v>0.01</v>
      </c>
      <c r="F7" s="52">
        <v>0</v>
      </c>
      <c r="G7" s="63"/>
      <c r="H7" s="63"/>
      <c r="I7" s="59">
        <f t="shared" si="0"/>
        <v>0</v>
      </c>
      <c r="J7" s="60">
        <f t="shared" si="1"/>
        <v>0</v>
      </c>
      <c r="K7" s="61">
        <f t="shared" si="2"/>
        <v>0</v>
      </c>
      <c r="L7" s="61">
        <f t="shared" si="3"/>
        <v>0</v>
      </c>
      <c r="M7" s="10"/>
      <c r="N7" s="10"/>
      <c r="O7" s="10"/>
      <c r="P7" s="62">
        <f t="shared" si="4"/>
        <v>0</v>
      </c>
      <c r="Q7" s="62">
        <f t="shared" si="5"/>
        <v>0</v>
      </c>
      <c r="R7" s="62">
        <f t="shared" si="6"/>
        <v>0</v>
      </c>
      <c r="S7" s="62">
        <f t="shared" si="7"/>
        <v>0</v>
      </c>
    </row>
    <row r="8" spans="1:19" s="82" customFormat="1" ht="38.25" x14ac:dyDescent="0.25">
      <c r="A8" s="86" t="s">
        <v>62</v>
      </c>
      <c r="B8" s="86" t="s">
        <v>267</v>
      </c>
      <c r="C8" s="87" t="s">
        <v>268</v>
      </c>
      <c r="D8" s="86" t="s">
        <v>321</v>
      </c>
      <c r="E8" s="10">
        <v>0.01</v>
      </c>
      <c r="F8" s="52">
        <v>0</v>
      </c>
      <c r="G8" s="63"/>
      <c r="H8" s="63"/>
      <c r="I8" s="59">
        <f t="shared" si="0"/>
        <v>0</v>
      </c>
      <c r="J8" s="60">
        <f t="shared" si="1"/>
        <v>0</v>
      </c>
      <c r="K8" s="61">
        <f t="shared" si="2"/>
        <v>0</v>
      </c>
      <c r="L8" s="61">
        <f t="shared" si="3"/>
        <v>0</v>
      </c>
      <c r="M8" s="10"/>
      <c r="N8" s="10"/>
      <c r="O8" s="10"/>
      <c r="P8" s="62">
        <f t="shared" si="4"/>
        <v>0</v>
      </c>
      <c r="Q8" s="62">
        <f t="shared" si="5"/>
        <v>0</v>
      </c>
      <c r="R8" s="62">
        <f t="shared" si="6"/>
        <v>0</v>
      </c>
      <c r="S8" s="62">
        <f t="shared" si="7"/>
        <v>0</v>
      </c>
    </row>
    <row r="9" spans="1:19" s="82" customFormat="1" ht="38.25" x14ac:dyDescent="0.25">
      <c r="A9" s="86" t="s">
        <v>62</v>
      </c>
      <c r="B9" s="86" t="s">
        <v>269</v>
      </c>
      <c r="C9" s="86" t="s">
        <v>270</v>
      </c>
      <c r="D9" s="86" t="s">
        <v>321</v>
      </c>
      <c r="E9" s="10">
        <v>0.01</v>
      </c>
      <c r="F9" s="52">
        <v>0</v>
      </c>
      <c r="G9" s="63"/>
      <c r="H9" s="63"/>
      <c r="I9" s="59">
        <f t="shared" si="0"/>
        <v>0</v>
      </c>
      <c r="J9" s="60">
        <f t="shared" si="1"/>
        <v>0</v>
      </c>
      <c r="K9" s="61">
        <f t="shared" si="2"/>
        <v>0</v>
      </c>
      <c r="L9" s="61">
        <f t="shared" si="3"/>
        <v>0</v>
      </c>
      <c r="M9" s="10"/>
      <c r="N9" s="10"/>
      <c r="O9" s="10"/>
      <c r="P9" s="62">
        <f t="shared" si="4"/>
        <v>0</v>
      </c>
      <c r="Q9" s="62">
        <f t="shared" si="5"/>
        <v>0</v>
      </c>
      <c r="R9" s="62">
        <f t="shared" si="6"/>
        <v>0</v>
      </c>
      <c r="S9" s="62">
        <f t="shared" si="7"/>
        <v>0</v>
      </c>
    </row>
    <row r="10" spans="1:19" s="82" customFormat="1" ht="38.25" x14ac:dyDescent="0.25">
      <c r="A10" s="86" t="s">
        <v>62</v>
      </c>
      <c r="B10" s="86" t="s">
        <v>271</v>
      </c>
      <c r="C10" s="86" t="s">
        <v>272</v>
      </c>
      <c r="D10" s="86" t="s">
        <v>321</v>
      </c>
      <c r="E10" s="10">
        <v>0.11</v>
      </c>
      <c r="F10" s="52">
        <f t="shared" si="8"/>
        <v>1.9514016294153391E-2</v>
      </c>
      <c r="G10" s="63"/>
      <c r="H10" s="63"/>
      <c r="I10" s="59">
        <f t="shared" si="0"/>
        <v>0</v>
      </c>
      <c r="J10" s="60">
        <f t="shared" si="1"/>
        <v>0</v>
      </c>
      <c r="K10" s="61">
        <f t="shared" si="2"/>
        <v>0</v>
      </c>
      <c r="L10" s="61">
        <f t="shared" si="3"/>
        <v>0</v>
      </c>
      <c r="M10" s="10"/>
      <c r="N10" s="10"/>
      <c r="O10" s="10"/>
      <c r="P10" s="62">
        <f t="shared" si="4"/>
        <v>0</v>
      </c>
      <c r="Q10" s="62">
        <f t="shared" si="5"/>
        <v>0</v>
      </c>
      <c r="R10" s="62">
        <f t="shared" si="6"/>
        <v>0</v>
      </c>
      <c r="S10" s="62">
        <f t="shared" si="7"/>
        <v>0</v>
      </c>
    </row>
    <row r="11" spans="1:19" s="82" customFormat="1" ht="38.25" x14ac:dyDescent="0.25">
      <c r="A11" s="86" t="s">
        <v>62</v>
      </c>
      <c r="B11" s="86" t="s">
        <v>273</v>
      </c>
      <c r="C11" s="87" t="s">
        <v>274</v>
      </c>
      <c r="D11" s="86" t="s">
        <v>321</v>
      </c>
      <c r="E11" s="10">
        <v>0.28999999999999998</v>
      </c>
      <c r="F11" s="52">
        <f t="shared" si="8"/>
        <v>0.17355176483134299</v>
      </c>
      <c r="G11" s="63"/>
      <c r="H11" s="63"/>
      <c r="I11" s="59">
        <f t="shared" si="0"/>
        <v>0</v>
      </c>
      <c r="J11" s="60">
        <f t="shared" si="1"/>
        <v>0</v>
      </c>
      <c r="K11" s="61">
        <f t="shared" si="2"/>
        <v>0</v>
      </c>
      <c r="L11" s="61">
        <f t="shared" si="3"/>
        <v>0</v>
      </c>
      <c r="M11" s="10"/>
      <c r="N11" s="10"/>
      <c r="O11" s="10"/>
      <c r="P11" s="62">
        <f t="shared" si="4"/>
        <v>0</v>
      </c>
      <c r="Q11" s="62">
        <f t="shared" si="5"/>
        <v>0</v>
      </c>
      <c r="R11" s="62">
        <f t="shared" si="6"/>
        <v>0</v>
      </c>
      <c r="S11" s="62">
        <f t="shared" si="7"/>
        <v>0</v>
      </c>
    </row>
    <row r="12" spans="1:19" s="82" customFormat="1" ht="38.25" x14ac:dyDescent="0.25">
      <c r="A12" s="86" t="s">
        <v>62</v>
      </c>
      <c r="B12" s="86" t="s">
        <v>275</v>
      </c>
      <c r="C12" s="87" t="s">
        <v>276</v>
      </c>
      <c r="D12" s="86" t="s">
        <v>321</v>
      </c>
      <c r="E12" s="10">
        <v>0.1</v>
      </c>
      <c r="F12" s="52">
        <f t="shared" si="8"/>
        <v>4.3692287232461879E-3</v>
      </c>
      <c r="G12" s="63"/>
      <c r="H12" s="63"/>
      <c r="I12" s="59">
        <f t="shared" ref="I12:I26" si="9">(F12*G12)/100</f>
        <v>0</v>
      </c>
      <c r="J12" s="60">
        <f t="shared" ref="J12:J26" si="10">(F12*H12)/100</f>
        <v>0</v>
      </c>
      <c r="K12" s="61">
        <f t="shared" ref="K12:K26" si="11">G12-I12</f>
        <v>0</v>
      </c>
      <c r="L12" s="61">
        <f t="shared" ref="L12:L26" si="12">H12-J12</f>
        <v>0</v>
      </c>
      <c r="M12" s="10"/>
      <c r="N12" s="10"/>
      <c r="O12" s="10"/>
      <c r="P12" s="62">
        <f t="shared" ref="P12:P26" si="13">ROUND((K12*N12)/100,1)</f>
        <v>0</v>
      </c>
      <c r="Q12" s="62">
        <f t="shared" ref="Q12:Q26" si="14">ROUND((L12*O12)/100,1)</f>
        <v>0</v>
      </c>
      <c r="R12" s="62">
        <f t="shared" ref="R12:R26" si="15">P12+I12</f>
        <v>0</v>
      </c>
      <c r="S12" s="62">
        <f t="shared" ref="S12:S26" si="16">Q12+J12</f>
        <v>0</v>
      </c>
    </row>
    <row r="13" spans="1:19" s="82" customFormat="1" ht="38.25" x14ac:dyDescent="0.25">
      <c r="A13" s="86" t="s">
        <v>62</v>
      </c>
      <c r="B13" s="86" t="s">
        <v>277</v>
      </c>
      <c r="C13" s="87" t="s">
        <v>278</v>
      </c>
      <c r="D13" s="86" t="s">
        <v>321</v>
      </c>
      <c r="E13" s="10">
        <v>0.1</v>
      </c>
      <c r="F13" s="52">
        <f t="shared" si="8"/>
        <v>4.3692287232461879E-3</v>
      </c>
      <c r="G13" s="63"/>
      <c r="H13" s="63"/>
      <c r="I13" s="59">
        <f t="shared" si="9"/>
        <v>0</v>
      </c>
      <c r="J13" s="60">
        <f t="shared" si="10"/>
        <v>0</v>
      </c>
      <c r="K13" s="61">
        <f t="shared" si="11"/>
        <v>0</v>
      </c>
      <c r="L13" s="61">
        <f t="shared" si="12"/>
        <v>0</v>
      </c>
      <c r="M13" s="10"/>
      <c r="N13" s="10"/>
      <c r="O13" s="10"/>
      <c r="P13" s="62">
        <f t="shared" si="13"/>
        <v>0</v>
      </c>
      <c r="Q13" s="62">
        <f t="shared" si="14"/>
        <v>0</v>
      </c>
      <c r="R13" s="62">
        <f t="shared" si="15"/>
        <v>0</v>
      </c>
      <c r="S13" s="62">
        <f t="shared" si="16"/>
        <v>0</v>
      </c>
    </row>
    <row r="14" spans="1:19" s="82" customFormat="1" ht="38.25" x14ac:dyDescent="0.25">
      <c r="A14" s="86" t="s">
        <v>62</v>
      </c>
      <c r="B14" s="86" t="s">
        <v>279</v>
      </c>
      <c r="C14" s="87" t="s">
        <v>280</v>
      </c>
      <c r="D14" s="86" t="s">
        <v>321</v>
      </c>
      <c r="E14" s="10">
        <v>0.08</v>
      </c>
      <c r="F14" s="52">
        <v>0</v>
      </c>
      <c r="G14" s="63"/>
      <c r="H14" s="63"/>
      <c r="I14" s="59">
        <f t="shared" si="9"/>
        <v>0</v>
      </c>
      <c r="J14" s="60">
        <f t="shared" si="10"/>
        <v>0</v>
      </c>
      <c r="K14" s="61">
        <f t="shared" si="11"/>
        <v>0</v>
      </c>
      <c r="L14" s="61">
        <f t="shared" si="12"/>
        <v>0</v>
      </c>
      <c r="M14" s="10"/>
      <c r="N14" s="10"/>
      <c r="O14" s="10"/>
      <c r="P14" s="62">
        <f t="shared" si="13"/>
        <v>0</v>
      </c>
      <c r="Q14" s="62">
        <f t="shared" si="14"/>
        <v>0</v>
      </c>
      <c r="R14" s="62">
        <f t="shared" si="15"/>
        <v>0</v>
      </c>
      <c r="S14" s="62">
        <f t="shared" si="16"/>
        <v>0</v>
      </c>
    </row>
    <row r="15" spans="1:19" s="82" customFormat="1" ht="38.25" x14ac:dyDescent="0.25">
      <c r="A15" s="86" t="s">
        <v>62</v>
      </c>
      <c r="B15" s="86" t="s">
        <v>281</v>
      </c>
      <c r="C15" s="86" t="s">
        <v>282</v>
      </c>
      <c r="D15" s="86" t="s">
        <v>321</v>
      </c>
      <c r="E15" s="10">
        <v>0.33</v>
      </c>
      <c r="F15" s="52">
        <f t="shared" si="8"/>
        <v>0.194083508963516</v>
      </c>
      <c r="G15" s="63"/>
      <c r="H15" s="63"/>
      <c r="I15" s="59">
        <f t="shared" si="9"/>
        <v>0</v>
      </c>
      <c r="J15" s="60">
        <f t="shared" si="10"/>
        <v>0</v>
      </c>
      <c r="K15" s="61">
        <f t="shared" si="11"/>
        <v>0</v>
      </c>
      <c r="L15" s="61">
        <f t="shared" si="12"/>
        <v>0</v>
      </c>
      <c r="M15" s="10"/>
      <c r="N15" s="10"/>
      <c r="O15" s="10"/>
      <c r="P15" s="62">
        <f t="shared" si="13"/>
        <v>0</v>
      </c>
      <c r="Q15" s="62">
        <f t="shared" si="14"/>
        <v>0</v>
      </c>
      <c r="R15" s="62">
        <f t="shared" si="15"/>
        <v>0</v>
      </c>
      <c r="S15" s="62">
        <f t="shared" si="16"/>
        <v>0</v>
      </c>
    </row>
    <row r="16" spans="1:19" s="82" customFormat="1" ht="38.25" x14ac:dyDescent="0.25">
      <c r="A16" s="86" t="s">
        <v>62</v>
      </c>
      <c r="B16" s="86" t="s">
        <v>283</v>
      </c>
      <c r="C16" s="86" t="s">
        <v>284</v>
      </c>
      <c r="D16" s="86" t="s">
        <v>321</v>
      </c>
      <c r="E16" s="10">
        <v>0.13</v>
      </c>
      <c r="F16" s="52">
        <f t="shared" si="8"/>
        <v>4.6058910347130444E-2</v>
      </c>
      <c r="G16" s="63"/>
      <c r="H16" s="63"/>
      <c r="I16" s="59">
        <f t="shared" si="9"/>
        <v>0</v>
      </c>
      <c r="J16" s="60">
        <f t="shared" si="10"/>
        <v>0</v>
      </c>
      <c r="K16" s="61">
        <f t="shared" si="11"/>
        <v>0</v>
      </c>
      <c r="L16" s="61">
        <f t="shared" si="12"/>
        <v>0</v>
      </c>
      <c r="M16" s="10"/>
      <c r="N16" s="10"/>
      <c r="O16" s="10"/>
      <c r="P16" s="62">
        <f t="shared" si="13"/>
        <v>0</v>
      </c>
      <c r="Q16" s="62">
        <f t="shared" si="14"/>
        <v>0</v>
      </c>
      <c r="R16" s="62">
        <f t="shared" si="15"/>
        <v>0</v>
      </c>
      <c r="S16" s="62">
        <f t="shared" si="16"/>
        <v>0</v>
      </c>
    </row>
    <row r="17" spans="1:19" s="82" customFormat="1" ht="38.25" x14ac:dyDescent="0.25">
      <c r="A17" s="86" t="s">
        <v>62</v>
      </c>
      <c r="B17" s="86" t="s">
        <v>285</v>
      </c>
      <c r="C17" s="86" t="s">
        <v>284</v>
      </c>
      <c r="D17" s="86" t="s">
        <v>321</v>
      </c>
      <c r="E17" s="10">
        <v>0.25</v>
      </c>
      <c r="F17" s="52">
        <f t="shared" si="8"/>
        <v>0.14996782601804939</v>
      </c>
      <c r="G17" s="63"/>
      <c r="H17" s="63"/>
      <c r="I17" s="59">
        <f t="shared" si="9"/>
        <v>0</v>
      </c>
      <c r="J17" s="60">
        <f t="shared" si="10"/>
        <v>0</v>
      </c>
      <c r="K17" s="61">
        <f t="shared" si="11"/>
        <v>0</v>
      </c>
      <c r="L17" s="61">
        <f t="shared" si="12"/>
        <v>0</v>
      </c>
      <c r="M17" s="10"/>
      <c r="N17" s="10"/>
      <c r="O17" s="10"/>
      <c r="P17" s="62">
        <f t="shared" si="13"/>
        <v>0</v>
      </c>
      <c r="Q17" s="62">
        <f t="shared" si="14"/>
        <v>0</v>
      </c>
      <c r="R17" s="62">
        <f t="shared" si="15"/>
        <v>0</v>
      </c>
      <c r="S17" s="62">
        <f t="shared" si="16"/>
        <v>0</v>
      </c>
    </row>
    <row r="18" spans="1:19" s="82" customFormat="1" ht="38.25" x14ac:dyDescent="0.25">
      <c r="A18" s="86" t="s">
        <v>62</v>
      </c>
      <c r="B18" s="86" t="s">
        <v>289</v>
      </c>
      <c r="C18" s="86" t="s">
        <v>290</v>
      </c>
      <c r="D18" s="86" t="s">
        <v>321</v>
      </c>
      <c r="E18" s="10">
        <v>0.13</v>
      </c>
      <c r="F18" s="52">
        <f t="shared" si="8"/>
        <v>4.6058910347130444E-2</v>
      </c>
      <c r="G18" s="63"/>
      <c r="H18" s="63"/>
      <c r="I18" s="59">
        <f t="shared" si="9"/>
        <v>0</v>
      </c>
      <c r="J18" s="60">
        <f t="shared" si="10"/>
        <v>0</v>
      </c>
      <c r="K18" s="61">
        <f t="shared" si="11"/>
        <v>0</v>
      </c>
      <c r="L18" s="61">
        <f t="shared" si="12"/>
        <v>0</v>
      </c>
      <c r="M18" s="10"/>
      <c r="N18" s="10"/>
      <c r="O18" s="10"/>
      <c r="P18" s="62">
        <f t="shared" si="13"/>
        <v>0</v>
      </c>
      <c r="Q18" s="62">
        <f t="shared" si="14"/>
        <v>0</v>
      </c>
      <c r="R18" s="62">
        <f t="shared" si="15"/>
        <v>0</v>
      </c>
      <c r="S18" s="62">
        <f t="shared" si="16"/>
        <v>0</v>
      </c>
    </row>
    <row r="19" spans="1:19" s="82" customFormat="1" ht="38.25" x14ac:dyDescent="0.25">
      <c r="A19" s="86" t="s">
        <v>62</v>
      </c>
      <c r="B19" s="86" t="s">
        <v>291</v>
      </c>
      <c r="C19" s="86" t="s">
        <v>292</v>
      </c>
      <c r="D19" s="86" t="s">
        <v>321</v>
      </c>
      <c r="E19" s="10">
        <v>1.17</v>
      </c>
      <c r="F19" s="52">
        <f t="shared" si="8"/>
        <v>0.39519789568585573</v>
      </c>
      <c r="G19" s="63"/>
      <c r="H19" s="63"/>
      <c r="I19" s="59">
        <f t="shared" si="9"/>
        <v>0</v>
      </c>
      <c r="J19" s="60">
        <f t="shared" si="10"/>
        <v>0</v>
      </c>
      <c r="K19" s="61">
        <f t="shared" si="11"/>
        <v>0</v>
      </c>
      <c r="L19" s="61">
        <f t="shared" si="12"/>
        <v>0</v>
      </c>
      <c r="M19" s="10"/>
      <c r="N19" s="10"/>
      <c r="O19" s="10"/>
      <c r="P19" s="62">
        <f t="shared" si="13"/>
        <v>0</v>
      </c>
      <c r="Q19" s="62">
        <f t="shared" si="14"/>
        <v>0</v>
      </c>
      <c r="R19" s="62">
        <f t="shared" si="15"/>
        <v>0</v>
      </c>
      <c r="S19" s="62">
        <f t="shared" si="16"/>
        <v>0</v>
      </c>
    </row>
    <row r="20" spans="1:19" s="82" customFormat="1" ht="38.25" x14ac:dyDescent="0.25">
      <c r="A20" s="86" t="s">
        <v>62</v>
      </c>
      <c r="B20" s="86" t="s">
        <v>293</v>
      </c>
      <c r="C20" s="86" t="s">
        <v>294</v>
      </c>
      <c r="D20" s="86" t="s">
        <v>321</v>
      </c>
      <c r="E20" s="10">
        <v>2.2000000000000002</v>
      </c>
      <c r="F20" s="52">
        <f>(((LN(E20))*0.3178)+0.7405)</f>
        <v>0.99107174912376517</v>
      </c>
      <c r="G20" s="63"/>
      <c r="H20" s="63"/>
      <c r="I20" s="59">
        <f t="shared" si="9"/>
        <v>0</v>
      </c>
      <c r="J20" s="60">
        <f t="shared" si="10"/>
        <v>0</v>
      </c>
      <c r="K20" s="61">
        <f t="shared" si="11"/>
        <v>0</v>
      </c>
      <c r="L20" s="61">
        <f t="shared" si="12"/>
        <v>0</v>
      </c>
      <c r="M20" s="10"/>
      <c r="N20" s="10"/>
      <c r="O20" s="10"/>
      <c r="P20" s="62">
        <f t="shared" si="13"/>
        <v>0</v>
      </c>
      <c r="Q20" s="62">
        <f t="shared" si="14"/>
        <v>0</v>
      </c>
      <c r="R20" s="62">
        <f t="shared" si="15"/>
        <v>0</v>
      </c>
      <c r="S20" s="62">
        <f t="shared" si="16"/>
        <v>0</v>
      </c>
    </row>
    <row r="21" spans="1:19" s="82" customFormat="1" ht="38.25" x14ac:dyDescent="0.25">
      <c r="A21" s="86" t="s">
        <v>62</v>
      </c>
      <c r="B21" s="86" t="s">
        <v>295</v>
      </c>
      <c r="C21" s="86" t="s">
        <v>296</v>
      </c>
      <c r="D21" s="86" t="s">
        <v>321</v>
      </c>
      <c r="E21" s="10">
        <v>0.12</v>
      </c>
      <c r="F21" s="52">
        <f t="shared" si="8"/>
        <v>3.3340124097805512E-2</v>
      </c>
      <c r="G21" s="63"/>
      <c r="H21" s="63"/>
      <c r="I21" s="59">
        <f t="shared" si="9"/>
        <v>0</v>
      </c>
      <c r="J21" s="60">
        <f t="shared" si="10"/>
        <v>0</v>
      </c>
      <c r="K21" s="61">
        <f t="shared" si="11"/>
        <v>0</v>
      </c>
      <c r="L21" s="61">
        <f t="shared" si="12"/>
        <v>0</v>
      </c>
      <c r="M21" s="10"/>
      <c r="N21" s="10"/>
      <c r="O21" s="10"/>
      <c r="P21" s="62">
        <f t="shared" si="13"/>
        <v>0</v>
      </c>
      <c r="Q21" s="62">
        <f t="shared" si="14"/>
        <v>0</v>
      </c>
      <c r="R21" s="62">
        <f t="shared" si="15"/>
        <v>0</v>
      </c>
      <c r="S21" s="62">
        <f t="shared" si="16"/>
        <v>0</v>
      </c>
    </row>
    <row r="22" spans="1:19" s="82" customFormat="1" ht="38.25" x14ac:dyDescent="0.25">
      <c r="A22" s="86" t="s">
        <v>62</v>
      </c>
      <c r="B22" s="86" t="s">
        <v>297</v>
      </c>
      <c r="C22" s="86" t="s">
        <v>298</v>
      </c>
      <c r="D22" s="86" t="s">
        <v>321</v>
      </c>
      <c r="E22" s="10">
        <v>0.37</v>
      </c>
      <c r="F22" s="52">
        <f t="shared" si="8"/>
        <v>0.21226331376565957</v>
      </c>
      <c r="G22" s="63"/>
      <c r="H22" s="63"/>
      <c r="I22" s="59">
        <f t="shared" si="9"/>
        <v>0</v>
      </c>
      <c r="J22" s="60">
        <f t="shared" si="10"/>
        <v>0</v>
      </c>
      <c r="K22" s="61">
        <f t="shared" si="11"/>
        <v>0</v>
      </c>
      <c r="L22" s="61">
        <f t="shared" si="12"/>
        <v>0</v>
      </c>
      <c r="M22" s="10"/>
      <c r="N22" s="10"/>
      <c r="O22" s="10"/>
      <c r="P22" s="62">
        <f t="shared" si="13"/>
        <v>0</v>
      </c>
      <c r="Q22" s="62">
        <f t="shared" si="14"/>
        <v>0</v>
      </c>
      <c r="R22" s="62">
        <f t="shared" si="15"/>
        <v>0</v>
      </c>
      <c r="S22" s="62">
        <f t="shared" si="16"/>
        <v>0</v>
      </c>
    </row>
    <row r="23" spans="1:19" s="82" customFormat="1" ht="38.25" x14ac:dyDescent="0.25">
      <c r="A23" s="86" t="s">
        <v>62</v>
      </c>
      <c r="B23" s="86" t="s">
        <v>299</v>
      </c>
      <c r="C23" s="86" t="s">
        <v>300</v>
      </c>
      <c r="D23" s="86" t="s">
        <v>321</v>
      </c>
      <c r="E23" s="10">
        <v>0.24</v>
      </c>
      <c r="F23" s="52">
        <f t="shared" si="8"/>
        <v>0.14348121108878084</v>
      </c>
      <c r="G23" s="63"/>
      <c r="H23" s="63"/>
      <c r="I23" s="59">
        <f t="shared" si="9"/>
        <v>0</v>
      </c>
      <c r="J23" s="60">
        <f t="shared" si="10"/>
        <v>0</v>
      </c>
      <c r="K23" s="61">
        <f t="shared" si="11"/>
        <v>0</v>
      </c>
      <c r="L23" s="61">
        <f t="shared" si="12"/>
        <v>0</v>
      </c>
      <c r="M23" s="10"/>
      <c r="N23" s="10"/>
      <c r="O23" s="10"/>
      <c r="P23" s="62">
        <f t="shared" si="13"/>
        <v>0</v>
      </c>
      <c r="Q23" s="62">
        <f t="shared" si="14"/>
        <v>0</v>
      </c>
      <c r="R23" s="62">
        <f t="shared" si="15"/>
        <v>0</v>
      </c>
      <c r="S23" s="62">
        <f t="shared" si="16"/>
        <v>0</v>
      </c>
    </row>
    <row r="24" spans="1:19" s="82" customFormat="1" ht="38.25" x14ac:dyDescent="0.25">
      <c r="A24" s="86" t="s">
        <v>62</v>
      </c>
      <c r="B24" s="86" t="s">
        <v>301</v>
      </c>
      <c r="C24" s="86" t="s">
        <v>300</v>
      </c>
      <c r="D24" s="86" t="s">
        <v>321</v>
      </c>
      <c r="E24" s="10">
        <v>0.14000000000000001</v>
      </c>
      <c r="F24" s="52">
        <f t="shared" si="8"/>
        <v>5.7834667122356853E-2</v>
      </c>
      <c r="G24" s="63"/>
      <c r="H24" s="63"/>
      <c r="I24" s="59">
        <f t="shared" si="9"/>
        <v>0</v>
      </c>
      <c r="J24" s="60">
        <f t="shared" si="10"/>
        <v>0</v>
      </c>
      <c r="K24" s="61">
        <f t="shared" si="11"/>
        <v>0</v>
      </c>
      <c r="L24" s="61">
        <f t="shared" si="12"/>
        <v>0</v>
      </c>
      <c r="M24" s="10"/>
      <c r="N24" s="10"/>
      <c r="O24" s="10"/>
      <c r="P24" s="62">
        <f t="shared" si="13"/>
        <v>0</v>
      </c>
      <c r="Q24" s="62">
        <f t="shared" si="14"/>
        <v>0</v>
      </c>
      <c r="R24" s="62">
        <f t="shared" si="15"/>
        <v>0</v>
      </c>
      <c r="S24" s="62">
        <f t="shared" si="16"/>
        <v>0</v>
      </c>
    </row>
    <row r="25" spans="1:19" s="82" customFormat="1" ht="38.25" x14ac:dyDescent="0.25">
      <c r="A25" s="86" t="s">
        <v>62</v>
      </c>
      <c r="B25" s="86" t="s">
        <v>302</v>
      </c>
      <c r="C25" s="86" t="s">
        <v>303</v>
      </c>
      <c r="D25" s="86" t="s">
        <v>321</v>
      </c>
      <c r="E25" s="10">
        <v>0.08</v>
      </c>
      <c r="F25" s="52">
        <v>0</v>
      </c>
      <c r="G25" s="63"/>
      <c r="H25" s="63"/>
      <c r="I25" s="59">
        <f t="shared" si="9"/>
        <v>0</v>
      </c>
      <c r="J25" s="60">
        <f t="shared" si="10"/>
        <v>0</v>
      </c>
      <c r="K25" s="61">
        <f t="shared" si="11"/>
        <v>0</v>
      </c>
      <c r="L25" s="61">
        <f t="shared" si="12"/>
        <v>0</v>
      </c>
      <c r="M25" s="10"/>
      <c r="N25" s="10"/>
      <c r="O25" s="10"/>
      <c r="P25" s="62">
        <f t="shared" si="13"/>
        <v>0</v>
      </c>
      <c r="Q25" s="62">
        <f t="shared" si="14"/>
        <v>0</v>
      </c>
      <c r="R25" s="62">
        <f t="shared" si="15"/>
        <v>0</v>
      </c>
      <c r="S25" s="62">
        <f t="shared" si="16"/>
        <v>0</v>
      </c>
    </row>
    <row r="26" spans="1:19" s="82" customFormat="1" ht="38.25" x14ac:dyDescent="0.25">
      <c r="A26" s="86" t="s">
        <v>62</v>
      </c>
      <c r="B26" s="86" t="s">
        <v>304</v>
      </c>
      <c r="C26" s="86" t="s">
        <v>305</v>
      </c>
      <c r="D26" s="86" t="s">
        <v>321</v>
      </c>
      <c r="E26" s="10">
        <v>0.05</v>
      </c>
      <c r="F26" s="52">
        <v>0</v>
      </c>
      <c r="G26" s="63"/>
      <c r="H26" s="63"/>
      <c r="I26" s="59">
        <f t="shared" si="9"/>
        <v>0</v>
      </c>
      <c r="J26" s="60">
        <f t="shared" si="10"/>
        <v>0</v>
      </c>
      <c r="K26" s="61">
        <f t="shared" si="11"/>
        <v>0</v>
      </c>
      <c r="L26" s="61">
        <f t="shared" si="12"/>
        <v>0</v>
      </c>
      <c r="M26" s="10"/>
      <c r="N26" s="10"/>
      <c r="O26" s="10"/>
      <c r="P26" s="62">
        <f t="shared" si="13"/>
        <v>0</v>
      </c>
      <c r="Q26" s="62">
        <f t="shared" si="14"/>
        <v>0</v>
      </c>
      <c r="R26" s="62">
        <f t="shared" si="15"/>
        <v>0</v>
      </c>
      <c r="S26" s="62">
        <f t="shared" si="16"/>
        <v>0</v>
      </c>
    </row>
    <row r="27" spans="1:19" ht="38.25" x14ac:dyDescent="0.25">
      <c r="A27" s="86" t="s">
        <v>62</v>
      </c>
      <c r="B27" s="86" t="s">
        <v>306</v>
      </c>
      <c r="C27" s="86" t="s">
        <v>305</v>
      </c>
      <c r="D27" s="86" t="s">
        <v>321</v>
      </c>
      <c r="E27" s="10">
        <v>0.04</v>
      </c>
      <c r="F27" s="52">
        <v>0</v>
      </c>
      <c r="G27" s="63"/>
      <c r="H27" s="63"/>
      <c r="I27" s="59">
        <f>(F27*G27)/100</f>
        <v>0</v>
      </c>
      <c r="J27" s="60">
        <f>(F27*H27)/100</f>
        <v>0</v>
      </c>
      <c r="K27" s="61">
        <f>G27-I27</f>
        <v>0</v>
      </c>
      <c r="L27" s="61">
        <f>H27-J27</f>
        <v>0</v>
      </c>
      <c r="M27" s="10"/>
      <c r="N27" s="10"/>
      <c r="O27" s="10"/>
      <c r="P27" s="62">
        <f>ROUND((K27*N27)/100,1)</f>
        <v>0</v>
      </c>
      <c r="Q27" s="62">
        <f>ROUND((L27*O27)/100,1)</f>
        <v>0</v>
      </c>
      <c r="R27" s="62">
        <f>P27+I27</f>
        <v>0</v>
      </c>
      <c r="S27" s="62">
        <f>Q27+J27</f>
        <v>0</v>
      </c>
    </row>
    <row r="28" spans="1:19" ht="38.25" x14ac:dyDescent="0.25">
      <c r="A28" s="86" t="s">
        <v>62</v>
      </c>
      <c r="B28" s="86" t="s">
        <v>315</v>
      </c>
      <c r="C28" s="86" t="s">
        <v>316</v>
      </c>
      <c r="D28" s="86" t="s">
        <v>87</v>
      </c>
      <c r="E28" s="10">
        <v>1.41</v>
      </c>
      <c r="F28" s="52">
        <f t="shared" ref="F28:F30" si="17">(((LN(E28))*0.3178)+0.7405)</f>
        <v>0.84969280805516645</v>
      </c>
      <c r="G28" s="63"/>
      <c r="H28" s="63"/>
      <c r="I28" s="59">
        <f t="shared" ref="I28:I29" si="18">(F28*G28)/100</f>
        <v>0</v>
      </c>
      <c r="J28" s="60">
        <f t="shared" ref="J28:J29" si="19">(F28*H28)/100</f>
        <v>0</v>
      </c>
      <c r="K28" s="61">
        <f t="shared" ref="K28:K29" si="20">G28-I28</f>
        <v>0</v>
      </c>
      <c r="L28" s="61">
        <f t="shared" ref="L28:L29" si="21">H28-J28</f>
        <v>0</v>
      </c>
      <c r="M28" s="10"/>
      <c r="N28" s="10"/>
      <c r="O28" s="10"/>
      <c r="P28" s="62">
        <f t="shared" ref="P28:P29" si="22">ROUND((K28*N28)/100,1)</f>
        <v>0</v>
      </c>
      <c r="Q28" s="62">
        <f t="shared" ref="Q28:Q29" si="23">ROUND((L28*O28)/100,1)</f>
        <v>0</v>
      </c>
      <c r="R28" s="62">
        <f t="shared" ref="R28:R29" si="24">P28+I28</f>
        <v>0</v>
      </c>
      <c r="S28" s="62">
        <f t="shared" ref="S28:S29" si="25">Q28+J28</f>
        <v>0</v>
      </c>
    </row>
    <row r="29" spans="1:19" ht="25.5" x14ac:dyDescent="0.25">
      <c r="A29" s="86" t="s">
        <v>62</v>
      </c>
      <c r="B29" s="86" t="s">
        <v>317</v>
      </c>
      <c r="C29" s="86" t="s">
        <v>318</v>
      </c>
      <c r="D29" s="86" t="s">
        <v>87</v>
      </c>
      <c r="E29" s="10"/>
      <c r="F29" s="52" t="e">
        <f t="shared" si="17"/>
        <v>#NUM!</v>
      </c>
      <c r="G29" s="63"/>
      <c r="H29" s="63"/>
      <c r="I29" s="59" t="e">
        <f t="shared" si="18"/>
        <v>#NUM!</v>
      </c>
      <c r="J29" s="60" t="e">
        <f t="shared" si="19"/>
        <v>#NUM!</v>
      </c>
      <c r="K29" s="61" t="e">
        <f t="shared" si="20"/>
        <v>#NUM!</v>
      </c>
      <c r="L29" s="61" t="e">
        <f t="shared" si="21"/>
        <v>#NUM!</v>
      </c>
      <c r="M29" s="10"/>
      <c r="N29" s="10"/>
      <c r="O29" s="10"/>
      <c r="P29" s="62" t="e">
        <f t="shared" si="22"/>
        <v>#NUM!</v>
      </c>
      <c r="Q29" s="62" t="e">
        <f t="shared" si="23"/>
        <v>#NUM!</v>
      </c>
      <c r="R29" s="62" t="e">
        <f t="shared" si="24"/>
        <v>#NUM!</v>
      </c>
      <c r="S29" s="62" t="e">
        <f t="shared" si="25"/>
        <v>#NUM!</v>
      </c>
    </row>
    <row r="30" spans="1:19" ht="25.5" x14ac:dyDescent="0.25">
      <c r="A30" s="86" t="s">
        <v>62</v>
      </c>
      <c r="B30" s="86" t="s">
        <v>319</v>
      </c>
      <c r="C30" s="87" t="s">
        <v>320</v>
      </c>
      <c r="D30" s="86" t="s">
        <v>87</v>
      </c>
      <c r="E30" s="10"/>
      <c r="F30" s="52" t="e">
        <f t="shared" si="17"/>
        <v>#NUM!</v>
      </c>
      <c r="G30" s="63"/>
      <c r="H30" s="63"/>
      <c r="I30" s="59" t="e">
        <f t="shared" ref="I30" si="26">(F30*G30)/100</f>
        <v>#NUM!</v>
      </c>
      <c r="J30" s="60" t="e">
        <f t="shared" ref="J30" si="27">(F30*H30)/100</f>
        <v>#NUM!</v>
      </c>
      <c r="K30" s="61" t="e">
        <f t="shared" ref="K30" si="28">G30-I30</f>
        <v>#NUM!</v>
      </c>
      <c r="L30" s="61" t="e">
        <f t="shared" ref="L30" si="29">H30-J30</f>
        <v>#NUM!</v>
      </c>
      <c r="M30" s="10"/>
      <c r="N30" s="10"/>
      <c r="O30" s="10"/>
      <c r="P30" s="62" t="e">
        <f t="shared" ref="P30" si="30">ROUND((K30*N30)/100,1)</f>
        <v>#NUM!</v>
      </c>
      <c r="Q30" s="62" t="e">
        <f t="shared" ref="Q30" si="31">ROUND((L30*O30)/100,1)</f>
        <v>#NUM!</v>
      </c>
      <c r="R30" s="62" t="e">
        <f t="shared" ref="R30" si="32">P30+I30</f>
        <v>#NUM!</v>
      </c>
      <c r="S30" s="62" t="e">
        <f t="shared" ref="S30" si="33">Q30+J30</f>
        <v>#NUM!</v>
      </c>
    </row>
    <row r="33" spans="1:3" x14ac:dyDescent="0.25">
      <c r="A33" s="9" t="s">
        <v>191</v>
      </c>
    </row>
    <row r="34" spans="1:3" ht="30" x14ac:dyDescent="0.25">
      <c r="A34" s="16" t="s">
        <v>192</v>
      </c>
      <c r="B34" s="16"/>
    </row>
    <row r="35" spans="1:3" x14ac:dyDescent="0.25">
      <c r="A35" s="10" t="s">
        <v>193</v>
      </c>
      <c r="B35" s="10">
        <v>2.2000000000000002</v>
      </c>
    </row>
    <row r="36" spans="1:3" x14ac:dyDescent="0.25">
      <c r="A36" s="10" t="s">
        <v>194</v>
      </c>
      <c r="B36" s="10">
        <v>1.6</v>
      </c>
      <c r="C36" s="9" t="s">
        <v>242</v>
      </c>
    </row>
    <row r="37" spans="1:3" ht="75" x14ac:dyDescent="0.25">
      <c r="A37" s="64" t="s">
        <v>195</v>
      </c>
      <c r="B37" s="10">
        <v>4</v>
      </c>
    </row>
  </sheetData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3"/>
  <sheetViews>
    <sheetView workbookViewId="0">
      <selection activeCell="C32" sqref="C32"/>
    </sheetView>
  </sheetViews>
  <sheetFormatPr defaultRowHeight="15" x14ac:dyDescent="0.25"/>
  <cols>
    <col min="1" max="1" width="9.140625" style="9"/>
    <col min="2" max="2" width="8.42578125" style="1" customWidth="1"/>
    <col min="3" max="3" width="39.42578125" style="9" bestFit="1" customWidth="1"/>
    <col min="4" max="5" width="12.7109375" style="9" customWidth="1"/>
    <col min="6" max="6" width="14.140625" style="9" bestFit="1" customWidth="1"/>
    <col min="7" max="8" width="9.85546875" style="9" customWidth="1"/>
    <col min="9" max="9" width="11.5703125" style="9" bestFit="1" customWidth="1"/>
    <col min="10" max="10" width="10.5703125" style="9" bestFit="1" customWidth="1"/>
    <col min="11" max="14" width="10.5703125" style="9" customWidth="1"/>
    <col min="15" max="15" width="50.85546875" style="9" bestFit="1" customWidth="1"/>
    <col min="16" max="16" width="4.42578125" style="9" customWidth="1"/>
    <col min="17" max="16384" width="9.140625" style="9"/>
  </cols>
  <sheetData>
    <row r="1" spans="1:17" ht="45" x14ac:dyDescent="0.25">
      <c r="A1" s="16" t="s">
        <v>163</v>
      </c>
      <c r="B1" s="16" t="s">
        <v>18</v>
      </c>
      <c r="C1" s="17" t="s">
        <v>19</v>
      </c>
      <c r="D1" s="16" t="s">
        <v>164</v>
      </c>
      <c r="E1" s="16" t="s">
        <v>165</v>
      </c>
      <c r="F1" s="16" t="s">
        <v>27</v>
      </c>
      <c r="G1" s="16" t="s">
        <v>166</v>
      </c>
      <c r="H1" s="16" t="s">
        <v>167</v>
      </c>
      <c r="I1" s="16" t="s">
        <v>168</v>
      </c>
      <c r="J1" s="16" t="s">
        <v>169</v>
      </c>
      <c r="K1" s="16" t="s">
        <v>170</v>
      </c>
      <c r="L1" s="16" t="s">
        <v>171</v>
      </c>
      <c r="M1" s="16" t="s">
        <v>172</v>
      </c>
      <c r="N1" s="16" t="s">
        <v>173</v>
      </c>
      <c r="O1" s="17" t="s">
        <v>30</v>
      </c>
      <c r="Q1" s="18" t="s">
        <v>31</v>
      </c>
    </row>
    <row r="2" spans="1:17" ht="15.75" x14ac:dyDescent="0.25">
      <c r="A2" s="55"/>
      <c r="B2" s="55"/>
      <c r="C2" s="55"/>
      <c r="D2" s="14"/>
      <c r="E2" s="14"/>
      <c r="F2" s="14"/>
      <c r="G2" s="14" t="e">
        <f>(D2/F2)*365</f>
        <v>#DIV/0!</v>
      </c>
      <c r="H2" s="14" t="e">
        <f>(E2/F2)*365</f>
        <v>#DIV/0!</v>
      </c>
      <c r="I2" s="15" t="e">
        <f t="shared" ref="I2:I29" si="0">(ROUND((43.75*G2)/(4.38+G2),1))/100</f>
        <v>#DIV/0!</v>
      </c>
      <c r="J2" s="15" t="e">
        <f t="shared" ref="J2:J29" si="1">(ROUND(44.53+6.146*LN(G2)+0.145*(LN(G2)^2),1))/100</f>
        <v>#DIV/0!</v>
      </c>
      <c r="K2" s="15" t="e">
        <f>(ROUND((43.75*H2)/(4.38+H2),1))/100</f>
        <v>#DIV/0!</v>
      </c>
      <c r="L2" s="15" t="e">
        <f>(ROUND(44.53+6.146*LN(H2)+0.145*(LN(H2)^2),1))/100</f>
        <v>#DIV/0!</v>
      </c>
      <c r="M2" s="15" t="e">
        <f>I2-K2</f>
        <v>#DIV/0!</v>
      </c>
      <c r="N2" s="15" t="e">
        <f>J2-L2</f>
        <v>#DIV/0!</v>
      </c>
      <c r="O2" s="10"/>
      <c r="Q2" s="18" t="s">
        <v>28</v>
      </c>
    </row>
    <row r="3" spans="1:17" ht="18.75" x14ac:dyDescent="0.25">
      <c r="A3" s="55"/>
      <c r="B3" s="55"/>
      <c r="C3" s="55"/>
      <c r="D3" s="14"/>
      <c r="E3" s="14"/>
      <c r="F3" s="14"/>
      <c r="G3" s="14" t="e">
        <f>(D3/F3)*365</f>
        <v>#DIV/0!</v>
      </c>
      <c r="H3" s="14" t="e">
        <f t="shared" ref="H3:H29" si="2">(E3/F3)*365</f>
        <v>#DIV/0!</v>
      </c>
      <c r="I3" s="15" t="e">
        <f t="shared" si="0"/>
        <v>#DIV/0!</v>
      </c>
      <c r="J3" s="15" t="e">
        <f t="shared" si="1"/>
        <v>#DIV/0!</v>
      </c>
      <c r="K3" s="15" t="e">
        <f t="shared" ref="K3:K29" si="3">(ROUND((43.75*H3)/(4.38+H3),1))/100</f>
        <v>#DIV/0!</v>
      </c>
      <c r="L3" s="15" t="e">
        <f t="shared" ref="L3:L29" si="4">(ROUND(44.53+6.146*LN(H3)+0.145*(LN(H3)^2),1))/100</f>
        <v>#DIV/0!</v>
      </c>
      <c r="M3" s="15" t="e">
        <f t="shared" ref="M3:N29" si="5">I3-K3</f>
        <v>#DIV/0!</v>
      </c>
      <c r="N3" s="15" t="e">
        <f t="shared" si="5"/>
        <v>#DIV/0!</v>
      </c>
      <c r="O3" s="10"/>
      <c r="Q3" s="18" t="s">
        <v>24</v>
      </c>
    </row>
    <row r="4" spans="1:17" ht="15.75" x14ac:dyDescent="0.25">
      <c r="A4" s="55"/>
      <c r="B4" s="55"/>
      <c r="C4" s="55"/>
      <c r="D4" s="14"/>
      <c r="E4" s="14"/>
      <c r="F4" s="14"/>
      <c r="G4" s="14" t="e">
        <f>(D4/F4)*365</f>
        <v>#DIV/0!</v>
      </c>
      <c r="H4" s="14" t="e">
        <f t="shared" si="2"/>
        <v>#DIV/0!</v>
      </c>
      <c r="I4" s="15" t="e">
        <f t="shared" si="0"/>
        <v>#DIV/0!</v>
      </c>
      <c r="J4" s="15" t="e">
        <f t="shared" si="1"/>
        <v>#DIV/0!</v>
      </c>
      <c r="K4" s="15" t="e">
        <f t="shared" si="3"/>
        <v>#DIV/0!</v>
      </c>
      <c r="L4" s="15" t="e">
        <f t="shared" si="4"/>
        <v>#DIV/0!</v>
      </c>
      <c r="M4" s="15" t="e">
        <f t="shared" si="5"/>
        <v>#DIV/0!</v>
      </c>
      <c r="N4" s="15" t="e">
        <f t="shared" si="5"/>
        <v>#DIV/0!</v>
      </c>
      <c r="O4" s="10"/>
      <c r="Q4" s="18" t="s">
        <v>21</v>
      </c>
    </row>
    <row r="5" spans="1:17" ht="15.75" x14ac:dyDescent="0.25">
      <c r="A5" s="55"/>
      <c r="B5" s="55"/>
      <c r="C5" s="55"/>
      <c r="D5" s="14"/>
      <c r="E5" s="14"/>
      <c r="F5" s="14"/>
      <c r="G5" s="14" t="e">
        <f>(D5/F5)*365</f>
        <v>#DIV/0!</v>
      </c>
      <c r="H5" s="14" t="e">
        <f t="shared" ref="H5" si="6">(E5/F5)*365</f>
        <v>#DIV/0!</v>
      </c>
      <c r="I5" s="15" t="e">
        <f t="shared" ref="I5" si="7">(ROUND((43.75*G5)/(4.38+G5),1))/100</f>
        <v>#DIV/0!</v>
      </c>
      <c r="J5" s="15" t="e">
        <f t="shared" ref="J5" si="8">(ROUND(44.53+6.146*LN(G5)+0.145*(LN(G5)^2),1))/100</f>
        <v>#DIV/0!</v>
      </c>
      <c r="K5" s="15" t="e">
        <f t="shared" ref="K5" si="9">(ROUND((43.75*H5)/(4.38+H5),1))/100</f>
        <v>#DIV/0!</v>
      </c>
      <c r="L5" s="15" t="e">
        <f t="shared" ref="L5" si="10">(ROUND(44.53+6.146*LN(H5)+0.145*(LN(H5)^2),1))/100</f>
        <v>#DIV/0!</v>
      </c>
      <c r="M5" s="15" t="e">
        <f t="shared" ref="M5" si="11">I5-K5</f>
        <v>#DIV/0!</v>
      </c>
      <c r="N5" s="15" t="e">
        <f t="shared" ref="N5" si="12">J5-L5</f>
        <v>#DIV/0!</v>
      </c>
      <c r="O5" s="10"/>
      <c r="Q5" s="18" t="s">
        <v>22</v>
      </c>
    </row>
    <row r="6" spans="1:17" ht="15.75" x14ac:dyDescent="0.25">
      <c r="A6" s="55"/>
      <c r="B6" s="55"/>
      <c r="C6" s="55"/>
      <c r="D6" s="14"/>
      <c r="E6" s="14"/>
      <c r="F6" s="14"/>
      <c r="G6" s="14" t="e">
        <f>(D6/F6)*365</f>
        <v>#DIV/0!</v>
      </c>
      <c r="H6" s="14" t="e">
        <f t="shared" si="2"/>
        <v>#DIV/0!</v>
      </c>
      <c r="I6" s="15" t="e">
        <f t="shared" si="0"/>
        <v>#DIV/0!</v>
      </c>
      <c r="J6" s="15" t="e">
        <f t="shared" si="1"/>
        <v>#DIV/0!</v>
      </c>
      <c r="K6" s="15" t="e">
        <f t="shared" si="3"/>
        <v>#DIV/0!</v>
      </c>
      <c r="L6" s="15" t="e">
        <f t="shared" si="4"/>
        <v>#DIV/0!</v>
      </c>
      <c r="M6" s="15" t="e">
        <f t="shared" si="5"/>
        <v>#DIV/0!</v>
      </c>
      <c r="N6" s="15" t="e">
        <f t="shared" si="5"/>
        <v>#DIV/0!</v>
      </c>
      <c r="O6" s="10"/>
      <c r="Q6" s="18" t="s">
        <v>23</v>
      </c>
    </row>
    <row r="7" spans="1:17" ht="15.75" x14ac:dyDescent="0.25">
      <c r="A7" s="55"/>
      <c r="B7" s="55"/>
      <c r="C7" s="55"/>
      <c r="D7" s="14"/>
      <c r="E7" s="14"/>
      <c r="F7" s="14"/>
      <c r="G7" s="14" t="e">
        <f t="shared" ref="G7:G29" si="13">(D7/F7)*365</f>
        <v>#DIV/0!</v>
      </c>
      <c r="H7" s="14" t="e">
        <f t="shared" si="2"/>
        <v>#DIV/0!</v>
      </c>
      <c r="I7" s="15" t="e">
        <f t="shared" si="0"/>
        <v>#DIV/0!</v>
      </c>
      <c r="J7" s="15" t="e">
        <f t="shared" si="1"/>
        <v>#DIV/0!</v>
      </c>
      <c r="K7" s="15" t="e">
        <f t="shared" si="3"/>
        <v>#DIV/0!</v>
      </c>
      <c r="L7" s="15" t="e">
        <f t="shared" si="4"/>
        <v>#DIV/0!</v>
      </c>
      <c r="M7" s="15" t="e">
        <f t="shared" si="5"/>
        <v>#DIV/0!</v>
      </c>
      <c r="N7" s="15" t="e">
        <f t="shared" si="5"/>
        <v>#DIV/0!</v>
      </c>
      <c r="O7" s="10"/>
      <c r="Q7" s="18"/>
    </row>
    <row r="8" spans="1:17" ht="15.75" x14ac:dyDescent="0.25">
      <c r="A8" s="55"/>
      <c r="B8" s="55"/>
      <c r="C8" s="55"/>
      <c r="D8" s="14"/>
      <c r="E8" s="14"/>
      <c r="F8" s="14"/>
      <c r="G8" s="14" t="e">
        <f t="shared" si="13"/>
        <v>#DIV/0!</v>
      </c>
      <c r="H8" s="14" t="e">
        <f t="shared" si="2"/>
        <v>#DIV/0!</v>
      </c>
      <c r="I8" s="15" t="e">
        <f t="shared" si="0"/>
        <v>#DIV/0!</v>
      </c>
      <c r="J8" s="15" t="e">
        <f t="shared" si="1"/>
        <v>#DIV/0!</v>
      </c>
      <c r="K8" s="15" t="e">
        <f t="shared" si="3"/>
        <v>#DIV/0!</v>
      </c>
      <c r="L8" s="15" t="e">
        <f t="shared" si="4"/>
        <v>#DIV/0!</v>
      </c>
      <c r="M8" s="15" t="e">
        <f t="shared" si="5"/>
        <v>#DIV/0!</v>
      </c>
      <c r="N8" s="15" t="e">
        <f t="shared" si="5"/>
        <v>#DIV/0!</v>
      </c>
      <c r="O8" s="10"/>
      <c r="Q8" s="19" t="s">
        <v>32</v>
      </c>
    </row>
    <row r="9" spans="1:17" ht="15.75" x14ac:dyDescent="0.25">
      <c r="A9" s="55"/>
      <c r="B9" s="55"/>
      <c r="C9" s="55"/>
      <c r="D9" s="14"/>
      <c r="E9" s="14"/>
      <c r="F9" s="14"/>
      <c r="G9" s="14" t="e">
        <f t="shared" si="13"/>
        <v>#DIV/0!</v>
      </c>
      <c r="H9" s="14" t="e">
        <f t="shared" si="2"/>
        <v>#DIV/0!</v>
      </c>
      <c r="I9" s="15" t="e">
        <f t="shared" si="0"/>
        <v>#DIV/0!</v>
      </c>
      <c r="J9" s="15" t="e">
        <f t="shared" si="1"/>
        <v>#DIV/0!</v>
      </c>
      <c r="K9" s="15" t="e">
        <f t="shared" si="3"/>
        <v>#DIV/0!</v>
      </c>
      <c r="L9" s="15" t="e">
        <f t="shared" si="4"/>
        <v>#DIV/0!</v>
      </c>
      <c r="M9" s="15" t="e">
        <f t="shared" si="5"/>
        <v>#DIV/0!</v>
      </c>
      <c r="N9" s="15" t="e">
        <f t="shared" si="5"/>
        <v>#DIV/0!</v>
      </c>
      <c r="O9" s="10"/>
      <c r="Q9" s="19" t="s">
        <v>29</v>
      </c>
    </row>
    <row r="10" spans="1:17" x14ac:dyDescent="0.25">
      <c r="A10" s="55"/>
      <c r="B10" s="55"/>
      <c r="C10" s="55"/>
      <c r="D10" s="14"/>
      <c r="E10" s="14"/>
      <c r="F10" s="14"/>
      <c r="G10" s="14" t="e">
        <f t="shared" si="13"/>
        <v>#DIV/0!</v>
      </c>
      <c r="H10" s="14" t="e">
        <f t="shared" si="2"/>
        <v>#DIV/0!</v>
      </c>
      <c r="I10" s="15" t="e">
        <f t="shared" si="0"/>
        <v>#DIV/0!</v>
      </c>
      <c r="J10" s="15" t="e">
        <f t="shared" si="1"/>
        <v>#DIV/0!</v>
      </c>
      <c r="K10" s="15" t="e">
        <f t="shared" si="3"/>
        <v>#DIV/0!</v>
      </c>
      <c r="L10" s="15" t="e">
        <f t="shared" si="4"/>
        <v>#DIV/0!</v>
      </c>
      <c r="M10" s="15" t="e">
        <f t="shared" si="5"/>
        <v>#DIV/0!</v>
      </c>
      <c r="N10" s="15" t="e">
        <f t="shared" si="5"/>
        <v>#DIV/0!</v>
      </c>
      <c r="O10" s="10"/>
    </row>
    <row r="11" spans="1:17" x14ac:dyDescent="0.25">
      <c r="A11" s="55"/>
      <c r="B11" s="55"/>
      <c r="C11" s="55"/>
      <c r="D11" s="14"/>
      <c r="E11" s="14"/>
      <c r="F11" s="14"/>
      <c r="G11" s="14" t="e">
        <f t="shared" si="13"/>
        <v>#DIV/0!</v>
      </c>
      <c r="H11" s="14" t="e">
        <f t="shared" si="2"/>
        <v>#DIV/0!</v>
      </c>
      <c r="I11" s="15" t="e">
        <f t="shared" si="0"/>
        <v>#DIV/0!</v>
      </c>
      <c r="J11" s="15" t="e">
        <f t="shared" si="1"/>
        <v>#DIV/0!</v>
      </c>
      <c r="K11" s="15" t="e">
        <f t="shared" si="3"/>
        <v>#DIV/0!</v>
      </c>
      <c r="L11" s="15" t="e">
        <f t="shared" si="4"/>
        <v>#DIV/0!</v>
      </c>
      <c r="M11" s="15" t="e">
        <f t="shared" si="5"/>
        <v>#DIV/0!</v>
      </c>
      <c r="N11" s="15" t="e">
        <f t="shared" si="5"/>
        <v>#DIV/0!</v>
      </c>
      <c r="O11" s="10"/>
    </row>
    <row r="12" spans="1:17" x14ac:dyDescent="0.25">
      <c r="A12" s="55"/>
      <c r="B12" s="55"/>
      <c r="C12" s="55"/>
      <c r="D12" s="14"/>
      <c r="E12" s="14"/>
      <c r="F12" s="14"/>
      <c r="G12" s="14" t="e">
        <f t="shared" si="13"/>
        <v>#DIV/0!</v>
      </c>
      <c r="H12" s="14" t="e">
        <f t="shared" si="2"/>
        <v>#DIV/0!</v>
      </c>
      <c r="I12" s="15" t="e">
        <f t="shared" si="0"/>
        <v>#DIV/0!</v>
      </c>
      <c r="J12" s="15" t="e">
        <f t="shared" si="1"/>
        <v>#DIV/0!</v>
      </c>
      <c r="K12" s="15" t="e">
        <f t="shared" si="3"/>
        <v>#DIV/0!</v>
      </c>
      <c r="L12" s="15" t="e">
        <f t="shared" si="4"/>
        <v>#DIV/0!</v>
      </c>
      <c r="M12" s="15" t="e">
        <f t="shared" si="5"/>
        <v>#DIV/0!</v>
      </c>
      <c r="N12" s="15" t="e">
        <f t="shared" si="5"/>
        <v>#DIV/0!</v>
      </c>
      <c r="O12" s="10"/>
    </row>
    <row r="13" spans="1:17" x14ac:dyDescent="0.25">
      <c r="A13" s="55"/>
      <c r="B13" s="55"/>
      <c r="C13" s="55"/>
      <c r="D13" s="14"/>
      <c r="E13" s="14"/>
      <c r="F13" s="14"/>
      <c r="G13" s="14" t="e">
        <f t="shared" si="13"/>
        <v>#DIV/0!</v>
      </c>
      <c r="H13" s="14" t="e">
        <f t="shared" si="2"/>
        <v>#DIV/0!</v>
      </c>
      <c r="I13" s="15" t="e">
        <f t="shared" si="0"/>
        <v>#DIV/0!</v>
      </c>
      <c r="J13" s="15" t="e">
        <f t="shared" si="1"/>
        <v>#DIV/0!</v>
      </c>
      <c r="K13" s="15" t="e">
        <f t="shared" si="3"/>
        <v>#DIV/0!</v>
      </c>
      <c r="L13" s="15" t="e">
        <f t="shared" si="4"/>
        <v>#DIV/0!</v>
      </c>
      <c r="M13" s="15" t="e">
        <f t="shared" si="5"/>
        <v>#DIV/0!</v>
      </c>
      <c r="N13" s="15" t="e">
        <f t="shared" si="5"/>
        <v>#DIV/0!</v>
      </c>
      <c r="O13" s="10"/>
    </row>
    <row r="14" spans="1:17" x14ac:dyDescent="0.25">
      <c r="A14" s="55"/>
      <c r="B14" s="55"/>
      <c r="C14" s="55"/>
      <c r="D14" s="14"/>
      <c r="E14" s="14"/>
      <c r="F14" s="14"/>
      <c r="G14" s="14" t="e">
        <f t="shared" si="13"/>
        <v>#DIV/0!</v>
      </c>
      <c r="H14" s="14" t="e">
        <f t="shared" si="2"/>
        <v>#DIV/0!</v>
      </c>
      <c r="I14" s="15" t="e">
        <f t="shared" si="0"/>
        <v>#DIV/0!</v>
      </c>
      <c r="J14" s="15" t="e">
        <f t="shared" si="1"/>
        <v>#DIV/0!</v>
      </c>
      <c r="K14" s="15" t="e">
        <f t="shared" si="3"/>
        <v>#DIV/0!</v>
      </c>
      <c r="L14" s="15" t="e">
        <f t="shared" si="4"/>
        <v>#DIV/0!</v>
      </c>
      <c r="M14" s="15" t="e">
        <f t="shared" si="5"/>
        <v>#DIV/0!</v>
      </c>
      <c r="N14" s="15" t="e">
        <f t="shared" si="5"/>
        <v>#DIV/0!</v>
      </c>
      <c r="O14" s="10"/>
    </row>
    <row r="15" spans="1:17" x14ac:dyDescent="0.25">
      <c r="A15" s="55"/>
      <c r="B15" s="55"/>
      <c r="C15" s="55"/>
      <c r="D15" s="14"/>
      <c r="E15" s="14"/>
      <c r="F15" s="14"/>
      <c r="G15" s="14" t="e">
        <f t="shared" si="13"/>
        <v>#DIV/0!</v>
      </c>
      <c r="H15" s="14" t="e">
        <f t="shared" si="2"/>
        <v>#DIV/0!</v>
      </c>
      <c r="I15" s="15" t="e">
        <f t="shared" si="0"/>
        <v>#DIV/0!</v>
      </c>
      <c r="J15" s="15" t="e">
        <f t="shared" si="1"/>
        <v>#DIV/0!</v>
      </c>
      <c r="K15" s="15" t="e">
        <f t="shared" si="3"/>
        <v>#DIV/0!</v>
      </c>
      <c r="L15" s="15" t="e">
        <f t="shared" si="4"/>
        <v>#DIV/0!</v>
      </c>
      <c r="M15" s="15" t="e">
        <f t="shared" si="5"/>
        <v>#DIV/0!</v>
      </c>
      <c r="N15" s="15" t="e">
        <f t="shared" si="5"/>
        <v>#DIV/0!</v>
      </c>
      <c r="O15" s="10"/>
    </row>
    <row r="16" spans="1:17" x14ac:dyDescent="0.25">
      <c r="A16" s="55"/>
      <c r="B16" s="55"/>
      <c r="C16" s="55"/>
      <c r="D16" s="14"/>
      <c r="E16" s="14"/>
      <c r="F16" s="14"/>
      <c r="G16" s="14" t="e">
        <f t="shared" si="13"/>
        <v>#DIV/0!</v>
      </c>
      <c r="H16" s="14" t="e">
        <f t="shared" si="2"/>
        <v>#DIV/0!</v>
      </c>
      <c r="I16" s="15" t="e">
        <f t="shared" si="0"/>
        <v>#DIV/0!</v>
      </c>
      <c r="J16" s="15" t="e">
        <f t="shared" si="1"/>
        <v>#DIV/0!</v>
      </c>
      <c r="K16" s="15" t="e">
        <f t="shared" si="3"/>
        <v>#DIV/0!</v>
      </c>
      <c r="L16" s="15" t="e">
        <f t="shared" si="4"/>
        <v>#DIV/0!</v>
      </c>
      <c r="M16" s="15" t="e">
        <f t="shared" si="5"/>
        <v>#DIV/0!</v>
      </c>
      <c r="N16" s="15" t="e">
        <f t="shared" si="5"/>
        <v>#DIV/0!</v>
      </c>
      <c r="O16" s="10"/>
    </row>
    <row r="17" spans="1:15" ht="16.5" customHeight="1" x14ac:dyDescent="0.25">
      <c r="A17" s="55"/>
      <c r="B17" s="55"/>
      <c r="C17" s="55"/>
      <c r="D17" s="14"/>
      <c r="E17" s="14"/>
      <c r="F17" s="14"/>
      <c r="G17" s="14" t="e">
        <f t="shared" si="13"/>
        <v>#DIV/0!</v>
      </c>
      <c r="H17" s="14" t="e">
        <f t="shared" si="2"/>
        <v>#DIV/0!</v>
      </c>
      <c r="I17" s="15" t="e">
        <f t="shared" si="0"/>
        <v>#DIV/0!</v>
      </c>
      <c r="J17" s="15" t="e">
        <f t="shared" si="1"/>
        <v>#DIV/0!</v>
      </c>
      <c r="K17" s="15" t="e">
        <f t="shared" si="3"/>
        <v>#DIV/0!</v>
      </c>
      <c r="L17" s="15" t="e">
        <f t="shared" si="4"/>
        <v>#DIV/0!</v>
      </c>
      <c r="M17" s="15" t="e">
        <f t="shared" si="5"/>
        <v>#DIV/0!</v>
      </c>
      <c r="N17" s="15" t="e">
        <f t="shared" si="5"/>
        <v>#DIV/0!</v>
      </c>
      <c r="O17" s="10"/>
    </row>
    <row r="18" spans="1:15" x14ac:dyDescent="0.25">
      <c r="A18" s="55"/>
      <c r="B18" s="55"/>
      <c r="C18" s="55"/>
      <c r="D18" s="14"/>
      <c r="E18" s="14"/>
      <c r="F18" s="14"/>
      <c r="G18" s="14" t="e">
        <f t="shared" si="13"/>
        <v>#DIV/0!</v>
      </c>
      <c r="H18" s="14" t="e">
        <f t="shared" si="2"/>
        <v>#DIV/0!</v>
      </c>
      <c r="I18" s="15" t="e">
        <f t="shared" si="0"/>
        <v>#DIV/0!</v>
      </c>
      <c r="J18" s="15" t="e">
        <f t="shared" si="1"/>
        <v>#DIV/0!</v>
      </c>
      <c r="K18" s="15" t="e">
        <f t="shared" si="3"/>
        <v>#DIV/0!</v>
      </c>
      <c r="L18" s="15" t="e">
        <f t="shared" si="4"/>
        <v>#DIV/0!</v>
      </c>
      <c r="M18" s="15" t="e">
        <f t="shared" si="5"/>
        <v>#DIV/0!</v>
      </c>
      <c r="N18" s="15" t="e">
        <f t="shared" si="5"/>
        <v>#DIV/0!</v>
      </c>
      <c r="O18" s="10"/>
    </row>
    <row r="19" spans="1:15" x14ac:dyDescent="0.25">
      <c r="A19" s="55"/>
      <c r="B19" s="55"/>
      <c r="C19" s="55"/>
      <c r="D19" s="14"/>
      <c r="E19" s="14"/>
      <c r="F19" s="14"/>
      <c r="G19" s="14" t="e">
        <f t="shared" si="13"/>
        <v>#DIV/0!</v>
      </c>
      <c r="H19" s="14" t="e">
        <f t="shared" si="2"/>
        <v>#DIV/0!</v>
      </c>
      <c r="I19" s="15" t="e">
        <f t="shared" si="0"/>
        <v>#DIV/0!</v>
      </c>
      <c r="J19" s="15" t="e">
        <f t="shared" si="1"/>
        <v>#DIV/0!</v>
      </c>
      <c r="K19" s="15" t="e">
        <f t="shared" si="3"/>
        <v>#DIV/0!</v>
      </c>
      <c r="L19" s="15" t="e">
        <f t="shared" si="4"/>
        <v>#DIV/0!</v>
      </c>
      <c r="M19" s="15" t="e">
        <f t="shared" si="5"/>
        <v>#DIV/0!</v>
      </c>
      <c r="N19" s="15" t="e">
        <f t="shared" si="5"/>
        <v>#DIV/0!</v>
      </c>
      <c r="O19" s="10"/>
    </row>
    <row r="20" spans="1:15" x14ac:dyDescent="0.25">
      <c r="A20" s="55"/>
      <c r="B20" s="55"/>
      <c r="C20" s="55"/>
      <c r="D20" s="14"/>
      <c r="E20" s="14"/>
      <c r="F20" s="14"/>
      <c r="G20" s="14" t="e">
        <f t="shared" si="13"/>
        <v>#DIV/0!</v>
      </c>
      <c r="H20" s="14" t="e">
        <f t="shared" si="2"/>
        <v>#DIV/0!</v>
      </c>
      <c r="I20" s="15" t="e">
        <f t="shared" si="0"/>
        <v>#DIV/0!</v>
      </c>
      <c r="J20" s="15" t="e">
        <f t="shared" si="1"/>
        <v>#DIV/0!</v>
      </c>
      <c r="K20" s="15" t="e">
        <f t="shared" si="3"/>
        <v>#DIV/0!</v>
      </c>
      <c r="L20" s="15" t="e">
        <f t="shared" si="4"/>
        <v>#DIV/0!</v>
      </c>
      <c r="M20" s="15" t="e">
        <f t="shared" si="5"/>
        <v>#DIV/0!</v>
      </c>
      <c r="N20" s="15" t="e">
        <f t="shared" si="5"/>
        <v>#DIV/0!</v>
      </c>
      <c r="O20" s="10"/>
    </row>
    <row r="21" spans="1:15" x14ac:dyDescent="0.25">
      <c r="A21" s="55"/>
      <c r="B21" s="55"/>
      <c r="C21" s="55"/>
      <c r="D21" s="14"/>
      <c r="E21" s="14"/>
      <c r="F21" s="14"/>
      <c r="G21" s="14" t="e">
        <f t="shared" si="13"/>
        <v>#DIV/0!</v>
      </c>
      <c r="H21" s="14" t="e">
        <f t="shared" si="2"/>
        <v>#DIV/0!</v>
      </c>
      <c r="I21" s="15" t="e">
        <f t="shared" si="0"/>
        <v>#DIV/0!</v>
      </c>
      <c r="J21" s="15" t="e">
        <f t="shared" si="1"/>
        <v>#DIV/0!</v>
      </c>
      <c r="K21" s="15" t="e">
        <f t="shared" si="3"/>
        <v>#DIV/0!</v>
      </c>
      <c r="L21" s="15" t="e">
        <f t="shared" si="4"/>
        <v>#DIV/0!</v>
      </c>
      <c r="M21" s="15" t="e">
        <f t="shared" si="5"/>
        <v>#DIV/0!</v>
      </c>
      <c r="N21" s="15" t="e">
        <f t="shared" si="5"/>
        <v>#DIV/0!</v>
      </c>
      <c r="O21" s="10"/>
    </row>
    <row r="22" spans="1:15" x14ac:dyDescent="0.25">
      <c r="A22" s="55"/>
      <c r="B22" s="55"/>
      <c r="C22" s="55"/>
      <c r="D22" s="14"/>
      <c r="E22" s="14"/>
      <c r="F22" s="14"/>
      <c r="G22" s="14" t="e">
        <f t="shared" si="13"/>
        <v>#DIV/0!</v>
      </c>
      <c r="H22" s="14" t="e">
        <f t="shared" si="2"/>
        <v>#DIV/0!</v>
      </c>
      <c r="I22" s="15" t="e">
        <f t="shared" si="0"/>
        <v>#DIV/0!</v>
      </c>
      <c r="J22" s="15" t="e">
        <f t="shared" si="1"/>
        <v>#DIV/0!</v>
      </c>
      <c r="K22" s="15" t="e">
        <f t="shared" si="3"/>
        <v>#DIV/0!</v>
      </c>
      <c r="L22" s="15" t="e">
        <f t="shared" si="4"/>
        <v>#DIV/0!</v>
      </c>
      <c r="M22" s="15" t="e">
        <f t="shared" si="5"/>
        <v>#DIV/0!</v>
      </c>
      <c r="N22" s="15" t="e">
        <f t="shared" si="5"/>
        <v>#DIV/0!</v>
      </c>
      <c r="O22" s="10"/>
    </row>
    <row r="23" spans="1:15" x14ac:dyDescent="0.25">
      <c r="A23" s="55"/>
      <c r="B23" s="55"/>
      <c r="C23" s="55"/>
      <c r="D23" s="14"/>
      <c r="E23" s="14"/>
      <c r="F23" s="14"/>
      <c r="G23" s="14" t="e">
        <f t="shared" si="13"/>
        <v>#DIV/0!</v>
      </c>
      <c r="H23" s="14" t="e">
        <f t="shared" si="2"/>
        <v>#DIV/0!</v>
      </c>
      <c r="I23" s="15" t="e">
        <f t="shared" si="0"/>
        <v>#DIV/0!</v>
      </c>
      <c r="J23" s="15" t="e">
        <f t="shared" si="1"/>
        <v>#DIV/0!</v>
      </c>
      <c r="K23" s="15" t="e">
        <f t="shared" si="3"/>
        <v>#DIV/0!</v>
      </c>
      <c r="L23" s="15" t="e">
        <f t="shared" si="4"/>
        <v>#DIV/0!</v>
      </c>
      <c r="M23" s="15" t="e">
        <f t="shared" si="5"/>
        <v>#DIV/0!</v>
      </c>
      <c r="N23" s="15" t="e">
        <f t="shared" si="5"/>
        <v>#DIV/0!</v>
      </c>
      <c r="O23" s="10"/>
    </row>
    <row r="24" spans="1:15" x14ac:dyDescent="0.25">
      <c r="A24" s="55"/>
      <c r="B24" s="55"/>
      <c r="C24" s="55"/>
      <c r="D24" s="14"/>
      <c r="E24" s="14"/>
      <c r="F24" s="14"/>
      <c r="G24" s="14" t="e">
        <f t="shared" si="13"/>
        <v>#DIV/0!</v>
      </c>
      <c r="H24" s="14" t="e">
        <f t="shared" si="2"/>
        <v>#DIV/0!</v>
      </c>
      <c r="I24" s="15" t="e">
        <f t="shared" si="0"/>
        <v>#DIV/0!</v>
      </c>
      <c r="J24" s="15" t="e">
        <f t="shared" si="1"/>
        <v>#DIV/0!</v>
      </c>
      <c r="K24" s="15" t="e">
        <f t="shared" si="3"/>
        <v>#DIV/0!</v>
      </c>
      <c r="L24" s="15" t="e">
        <f t="shared" si="4"/>
        <v>#DIV/0!</v>
      </c>
      <c r="M24" s="15" t="e">
        <f t="shared" si="5"/>
        <v>#DIV/0!</v>
      </c>
      <c r="N24" s="15" t="e">
        <f t="shared" si="5"/>
        <v>#DIV/0!</v>
      </c>
      <c r="O24" s="10"/>
    </row>
    <row r="25" spans="1:15" x14ac:dyDescent="0.25">
      <c r="A25" s="55"/>
      <c r="B25" s="55"/>
      <c r="C25" s="55"/>
      <c r="D25" s="14"/>
      <c r="E25" s="14"/>
      <c r="F25" s="14"/>
      <c r="G25" s="14" t="e">
        <f t="shared" si="13"/>
        <v>#DIV/0!</v>
      </c>
      <c r="H25" s="14" t="e">
        <f t="shared" si="2"/>
        <v>#DIV/0!</v>
      </c>
      <c r="I25" s="15" t="e">
        <f t="shared" si="0"/>
        <v>#DIV/0!</v>
      </c>
      <c r="J25" s="15" t="e">
        <f t="shared" si="1"/>
        <v>#DIV/0!</v>
      </c>
      <c r="K25" s="15" t="e">
        <f t="shared" si="3"/>
        <v>#DIV/0!</v>
      </c>
      <c r="L25" s="15" t="e">
        <f t="shared" si="4"/>
        <v>#DIV/0!</v>
      </c>
      <c r="M25" s="15" t="e">
        <f t="shared" si="5"/>
        <v>#DIV/0!</v>
      </c>
      <c r="N25" s="15" t="e">
        <f t="shared" si="5"/>
        <v>#DIV/0!</v>
      </c>
      <c r="O25" s="10"/>
    </row>
    <row r="26" spans="1:15" x14ac:dyDescent="0.25">
      <c r="A26" s="55"/>
      <c r="B26" s="55"/>
      <c r="C26" s="55"/>
      <c r="D26" s="14"/>
      <c r="E26" s="14"/>
      <c r="F26" s="14"/>
      <c r="G26" s="14" t="e">
        <f t="shared" si="13"/>
        <v>#DIV/0!</v>
      </c>
      <c r="H26" s="14" t="e">
        <f t="shared" si="2"/>
        <v>#DIV/0!</v>
      </c>
      <c r="I26" s="15" t="e">
        <f t="shared" si="0"/>
        <v>#DIV/0!</v>
      </c>
      <c r="J26" s="15" t="e">
        <f t="shared" si="1"/>
        <v>#DIV/0!</v>
      </c>
      <c r="K26" s="15" t="e">
        <f t="shared" si="3"/>
        <v>#DIV/0!</v>
      </c>
      <c r="L26" s="15" t="e">
        <f t="shared" si="4"/>
        <v>#DIV/0!</v>
      </c>
      <c r="M26" s="15" t="e">
        <f t="shared" si="5"/>
        <v>#DIV/0!</v>
      </c>
      <c r="N26" s="15" t="e">
        <f t="shared" si="5"/>
        <v>#DIV/0!</v>
      </c>
      <c r="O26" s="10"/>
    </row>
    <row r="27" spans="1:15" x14ac:dyDescent="0.25">
      <c r="A27" s="55"/>
      <c r="B27" s="55"/>
      <c r="C27" s="55"/>
      <c r="D27" s="14"/>
      <c r="E27" s="14"/>
      <c r="F27" s="14"/>
      <c r="G27" s="14" t="e">
        <f t="shared" si="13"/>
        <v>#DIV/0!</v>
      </c>
      <c r="H27" s="14" t="e">
        <f t="shared" si="2"/>
        <v>#DIV/0!</v>
      </c>
      <c r="I27" s="15" t="e">
        <f t="shared" si="0"/>
        <v>#DIV/0!</v>
      </c>
      <c r="J27" s="15" t="e">
        <f t="shared" si="1"/>
        <v>#DIV/0!</v>
      </c>
      <c r="K27" s="15" t="e">
        <f t="shared" si="3"/>
        <v>#DIV/0!</v>
      </c>
      <c r="L27" s="15" t="e">
        <f t="shared" si="4"/>
        <v>#DIV/0!</v>
      </c>
      <c r="M27" s="15" t="e">
        <f t="shared" si="5"/>
        <v>#DIV/0!</v>
      </c>
      <c r="N27" s="15" t="e">
        <f t="shared" si="5"/>
        <v>#DIV/0!</v>
      </c>
      <c r="O27" s="10"/>
    </row>
    <row r="28" spans="1:15" x14ac:dyDescent="0.25">
      <c r="A28" s="55"/>
      <c r="B28" s="55"/>
      <c r="C28" s="55"/>
      <c r="D28" s="14"/>
      <c r="E28" s="14"/>
      <c r="F28" s="14"/>
      <c r="G28" s="14" t="e">
        <f t="shared" si="13"/>
        <v>#DIV/0!</v>
      </c>
      <c r="H28" s="14" t="e">
        <f t="shared" si="2"/>
        <v>#DIV/0!</v>
      </c>
      <c r="I28" s="15" t="e">
        <f t="shared" si="0"/>
        <v>#DIV/0!</v>
      </c>
      <c r="J28" s="15" t="e">
        <f t="shared" si="1"/>
        <v>#DIV/0!</v>
      </c>
      <c r="K28" s="15" t="e">
        <f t="shared" si="3"/>
        <v>#DIV/0!</v>
      </c>
      <c r="L28" s="15" t="e">
        <f t="shared" si="4"/>
        <v>#DIV/0!</v>
      </c>
      <c r="M28" s="15" t="e">
        <f t="shared" si="5"/>
        <v>#DIV/0!</v>
      </c>
      <c r="N28" s="15" t="e">
        <f t="shared" si="5"/>
        <v>#DIV/0!</v>
      </c>
      <c r="O28" s="10"/>
    </row>
    <row r="29" spans="1:15" x14ac:dyDescent="0.25">
      <c r="A29" s="55"/>
      <c r="B29" s="55"/>
      <c r="C29" s="55"/>
      <c r="D29" s="14"/>
      <c r="E29" s="14"/>
      <c r="F29" s="14"/>
      <c r="G29" s="14" t="e">
        <f t="shared" si="13"/>
        <v>#DIV/0!</v>
      </c>
      <c r="H29" s="14" t="e">
        <f t="shared" si="2"/>
        <v>#DIV/0!</v>
      </c>
      <c r="I29" s="15" t="e">
        <f t="shared" si="0"/>
        <v>#DIV/0!</v>
      </c>
      <c r="J29" s="15" t="e">
        <f t="shared" si="1"/>
        <v>#DIV/0!</v>
      </c>
      <c r="K29" s="15" t="e">
        <f t="shared" si="3"/>
        <v>#DIV/0!</v>
      </c>
      <c r="L29" s="15" t="e">
        <f t="shared" si="4"/>
        <v>#DIV/0!</v>
      </c>
      <c r="M29" s="15" t="e">
        <f t="shared" si="5"/>
        <v>#DIV/0!</v>
      </c>
      <c r="N29" s="15" t="e">
        <f t="shared" si="5"/>
        <v>#DIV/0!</v>
      </c>
      <c r="O29" s="10"/>
    </row>
    <row r="47" spans="4:4" x14ac:dyDescent="0.25">
      <c r="D47" s="9" t="s">
        <v>15</v>
      </c>
    </row>
    <row r="48" spans="4:4" x14ac:dyDescent="0.25">
      <c r="D48" s="9" t="s">
        <v>15</v>
      </c>
    </row>
    <row r="54" spans="4:4" x14ac:dyDescent="0.25">
      <c r="D54" s="9" t="s">
        <v>15</v>
      </c>
    </row>
    <row r="55" spans="4:4" x14ac:dyDescent="0.25">
      <c r="D55" s="9" t="s">
        <v>15</v>
      </c>
    </row>
    <row r="61" spans="4:4" x14ac:dyDescent="0.25">
      <c r="D61" s="9" t="s">
        <v>15</v>
      </c>
    </row>
    <row r="62" spans="4:4" x14ac:dyDescent="0.25">
      <c r="D62" s="9" t="s">
        <v>15</v>
      </c>
    </row>
    <row r="63" spans="4:4" x14ac:dyDescent="0.25">
      <c r="D63" s="9" t="s">
        <v>15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2"/>
  <sheetViews>
    <sheetView workbookViewId="0">
      <selection activeCell="F2" sqref="F2"/>
    </sheetView>
  </sheetViews>
  <sheetFormatPr defaultRowHeight="15" x14ac:dyDescent="0.25"/>
  <cols>
    <col min="1" max="1" width="10.140625" customWidth="1"/>
    <col min="2" max="2" width="31.85546875" customWidth="1"/>
    <col min="3" max="3" width="13.85546875" customWidth="1"/>
    <col min="4" max="5" width="15.42578125" customWidth="1"/>
    <col min="6" max="6" width="17.28515625" customWidth="1"/>
    <col min="7" max="8" width="15.42578125" style="9" customWidth="1"/>
    <col min="9" max="10" width="15.42578125" customWidth="1"/>
    <col min="11" max="11" width="15.28515625" customWidth="1"/>
    <col min="12" max="12" width="15" customWidth="1"/>
    <col min="13" max="13" width="12.140625" customWidth="1"/>
    <col min="14" max="14" width="12.7109375" customWidth="1"/>
    <col min="15" max="15" width="11.42578125" customWidth="1"/>
  </cols>
  <sheetData>
    <row r="1" spans="1:14" ht="90" x14ac:dyDescent="0.25">
      <c r="A1" s="73" t="s">
        <v>225</v>
      </c>
      <c r="B1" s="73" t="s">
        <v>219</v>
      </c>
      <c r="C1" s="73" t="s">
        <v>241</v>
      </c>
      <c r="D1" s="73" t="s">
        <v>220</v>
      </c>
      <c r="E1" s="73" t="s">
        <v>221</v>
      </c>
      <c r="F1" s="74" t="s">
        <v>222</v>
      </c>
      <c r="G1" s="75" t="s">
        <v>177</v>
      </c>
      <c r="H1" s="76" t="s">
        <v>240</v>
      </c>
      <c r="I1" s="75" t="s">
        <v>223</v>
      </c>
      <c r="J1" s="76" t="s">
        <v>224</v>
      </c>
      <c r="K1" s="73" t="s">
        <v>16</v>
      </c>
    </row>
    <row r="2" spans="1:14" x14ac:dyDescent="0.25">
      <c r="A2" s="86" t="s">
        <v>251</v>
      </c>
      <c r="B2" s="86" t="s">
        <v>252</v>
      </c>
      <c r="C2" s="62">
        <v>4.5999999999999996</v>
      </c>
      <c r="D2" s="77">
        <f>N6</f>
        <v>0.67499999999999993</v>
      </c>
      <c r="E2" s="78">
        <f>M6</f>
        <v>92.461538461538467</v>
      </c>
      <c r="F2" s="52">
        <v>0.97899999999999998</v>
      </c>
      <c r="G2" s="62"/>
      <c r="H2" s="62"/>
      <c r="I2" s="62">
        <f>G2*F2</f>
        <v>0</v>
      </c>
      <c r="J2" s="62">
        <f>H2*D2</f>
        <v>0</v>
      </c>
      <c r="K2" s="10"/>
    </row>
    <row r="5" spans="1:14" ht="45" x14ac:dyDescent="0.25">
      <c r="A5" s="73" t="s">
        <v>235</v>
      </c>
      <c r="B5" s="73" t="s">
        <v>236</v>
      </c>
      <c r="C5" s="73" t="s">
        <v>237</v>
      </c>
      <c r="D5" s="73" t="s">
        <v>238</v>
      </c>
      <c r="E5" s="73" t="s">
        <v>226</v>
      </c>
      <c r="F5" s="73" t="s">
        <v>227</v>
      </c>
      <c r="G5" s="73" t="s">
        <v>234</v>
      </c>
      <c r="H5" s="73" t="s">
        <v>228</v>
      </c>
      <c r="I5" s="73" t="s">
        <v>229</v>
      </c>
      <c r="J5" s="73" t="s">
        <v>230</v>
      </c>
      <c r="K5" s="73" t="s">
        <v>231</v>
      </c>
      <c r="L5" s="73" t="s">
        <v>232</v>
      </c>
      <c r="M5" s="73" t="s">
        <v>239</v>
      </c>
      <c r="N5" s="73" t="s">
        <v>220</v>
      </c>
    </row>
    <row r="6" spans="1:14" x14ac:dyDescent="0.25">
      <c r="A6" s="88">
        <v>1400</v>
      </c>
      <c r="B6" s="89" t="s">
        <v>324</v>
      </c>
      <c r="C6" s="10"/>
      <c r="D6" s="23">
        <v>0.84571248981291003</v>
      </c>
      <c r="E6" s="52">
        <f>D6/$D$32</f>
        <v>0.31318807867949311</v>
      </c>
      <c r="F6" s="10">
        <v>90</v>
      </c>
      <c r="G6" s="10">
        <f>E6*F6</f>
        <v>28.18692708115438</v>
      </c>
      <c r="H6" s="52">
        <f>G32</f>
        <v>0.9</v>
      </c>
      <c r="I6" s="10">
        <f>D32*H6</f>
        <v>2.430300808513683</v>
      </c>
      <c r="J6" s="10">
        <f>I6-K6</f>
        <v>0.60757520212842087</v>
      </c>
      <c r="K6" s="10">
        <f>I6*0.75</f>
        <v>1.8227256063852622</v>
      </c>
      <c r="L6" s="10">
        <f>D32-I6</f>
        <v>0.2700334231681869</v>
      </c>
      <c r="M6" s="78">
        <f>((L6*80)+(J6*98))/(L6+J6)</f>
        <v>92.461538461538467</v>
      </c>
      <c r="N6" s="52">
        <f>K6/D32</f>
        <v>0.67499999999999993</v>
      </c>
    </row>
    <row r="7" spans="1:14" x14ac:dyDescent="0.25">
      <c r="A7" s="88">
        <v>1410</v>
      </c>
      <c r="B7" s="89" t="s">
        <v>325</v>
      </c>
      <c r="C7" s="10"/>
      <c r="D7" s="23">
        <v>1.5162548795259803</v>
      </c>
      <c r="E7" s="52">
        <f t="shared" ref="E7:E31" si="0">D7/$D$32</f>
        <v>0.56150637270616666</v>
      </c>
      <c r="F7" s="10">
        <v>90</v>
      </c>
      <c r="G7" s="10">
        <f t="shared" ref="G7:G31" si="1">E7*F7</f>
        <v>50.535573543554996</v>
      </c>
      <c r="H7"/>
    </row>
    <row r="8" spans="1:14" x14ac:dyDescent="0.25">
      <c r="A8" s="88">
        <v>1430</v>
      </c>
      <c r="B8" s="89" t="s">
        <v>326</v>
      </c>
      <c r="C8" s="10"/>
      <c r="D8" s="23">
        <v>0.33836686234297997</v>
      </c>
      <c r="E8" s="52">
        <f t="shared" si="0"/>
        <v>0.12530554861434035</v>
      </c>
      <c r="F8" s="10">
        <v>90</v>
      </c>
      <c r="G8" s="10">
        <f t="shared" si="1"/>
        <v>11.277499375290631</v>
      </c>
      <c r="H8"/>
    </row>
    <row r="9" spans="1:14" x14ac:dyDescent="0.25">
      <c r="A9" s="10"/>
      <c r="B9" s="10"/>
      <c r="C9" s="10"/>
      <c r="D9" s="10"/>
      <c r="E9" s="52">
        <f t="shared" si="0"/>
        <v>0</v>
      </c>
      <c r="F9" s="10"/>
      <c r="G9" s="10">
        <f t="shared" si="1"/>
        <v>0</v>
      </c>
      <c r="H9"/>
    </row>
    <row r="10" spans="1:14" x14ac:dyDescent="0.25">
      <c r="A10" s="10"/>
      <c r="B10" s="10"/>
      <c r="C10" s="10"/>
      <c r="D10" s="10"/>
      <c r="E10" s="52">
        <f t="shared" si="0"/>
        <v>0</v>
      </c>
      <c r="F10" s="10"/>
      <c r="G10" s="10">
        <f t="shared" si="1"/>
        <v>0</v>
      </c>
      <c r="H10"/>
    </row>
    <row r="11" spans="1:14" x14ac:dyDescent="0.25">
      <c r="A11" s="10"/>
      <c r="B11" s="10"/>
      <c r="C11" s="10"/>
      <c r="D11" s="10"/>
      <c r="E11" s="52">
        <f t="shared" si="0"/>
        <v>0</v>
      </c>
      <c r="F11" s="10"/>
      <c r="G11" s="10">
        <f t="shared" si="1"/>
        <v>0</v>
      </c>
      <c r="H11"/>
    </row>
    <row r="12" spans="1:14" x14ac:dyDescent="0.25">
      <c r="A12" s="10"/>
      <c r="B12" s="10"/>
      <c r="C12" s="10"/>
      <c r="D12" s="10"/>
      <c r="E12" s="52">
        <f t="shared" si="0"/>
        <v>0</v>
      </c>
      <c r="F12" s="10"/>
      <c r="G12" s="10">
        <f t="shared" si="1"/>
        <v>0</v>
      </c>
      <c r="H12"/>
    </row>
    <row r="13" spans="1:14" x14ac:dyDescent="0.25">
      <c r="A13" s="10"/>
      <c r="B13" s="10"/>
      <c r="C13" s="10"/>
      <c r="D13" s="10"/>
      <c r="E13" s="52">
        <f t="shared" si="0"/>
        <v>0</v>
      </c>
      <c r="F13" s="10"/>
      <c r="G13" s="10">
        <f t="shared" si="1"/>
        <v>0</v>
      </c>
      <c r="H13"/>
    </row>
    <row r="14" spans="1:14" x14ac:dyDescent="0.25">
      <c r="A14" s="10"/>
      <c r="B14" s="10"/>
      <c r="C14" s="10"/>
      <c r="D14" s="10"/>
      <c r="E14" s="52">
        <f t="shared" si="0"/>
        <v>0</v>
      </c>
      <c r="F14" s="10"/>
      <c r="G14" s="10">
        <f t="shared" si="1"/>
        <v>0</v>
      </c>
      <c r="H14"/>
    </row>
    <row r="15" spans="1:14" x14ac:dyDescent="0.25">
      <c r="A15" s="10"/>
      <c r="B15" s="10"/>
      <c r="C15" s="10"/>
      <c r="D15" s="10"/>
      <c r="E15" s="52">
        <f t="shared" si="0"/>
        <v>0</v>
      </c>
      <c r="F15" s="10"/>
      <c r="G15" s="10">
        <f t="shared" si="1"/>
        <v>0</v>
      </c>
      <c r="H15"/>
    </row>
    <row r="16" spans="1:14" x14ac:dyDescent="0.25">
      <c r="A16" s="10"/>
      <c r="B16" s="10"/>
      <c r="C16" s="10"/>
      <c r="D16" s="10"/>
      <c r="E16" s="52">
        <f t="shared" si="0"/>
        <v>0</v>
      </c>
      <c r="F16" s="10"/>
      <c r="G16" s="10">
        <f t="shared" si="1"/>
        <v>0</v>
      </c>
      <c r="H16"/>
    </row>
    <row r="17" spans="1:8" x14ac:dyDescent="0.25">
      <c r="A17" s="10"/>
      <c r="B17" s="10"/>
      <c r="C17" s="10"/>
      <c r="D17" s="10"/>
      <c r="E17" s="52">
        <f t="shared" si="0"/>
        <v>0</v>
      </c>
      <c r="F17" s="10"/>
      <c r="G17" s="10">
        <f t="shared" si="1"/>
        <v>0</v>
      </c>
      <c r="H17"/>
    </row>
    <row r="18" spans="1:8" x14ac:dyDescent="0.25">
      <c r="A18" s="10"/>
      <c r="B18" s="10"/>
      <c r="C18" s="10"/>
      <c r="D18" s="10"/>
      <c r="E18" s="52">
        <f t="shared" si="0"/>
        <v>0</v>
      </c>
      <c r="F18" s="10"/>
      <c r="G18" s="10">
        <f t="shared" si="1"/>
        <v>0</v>
      </c>
      <c r="H18"/>
    </row>
    <row r="19" spans="1:8" x14ac:dyDescent="0.25">
      <c r="A19" s="10"/>
      <c r="B19" s="10"/>
      <c r="C19" s="10"/>
      <c r="D19" s="10"/>
      <c r="E19" s="10">
        <f t="shared" si="0"/>
        <v>0</v>
      </c>
      <c r="F19" s="10"/>
      <c r="G19" s="10">
        <f t="shared" si="1"/>
        <v>0</v>
      </c>
      <c r="H19"/>
    </row>
    <row r="20" spans="1:8" x14ac:dyDescent="0.25">
      <c r="A20" s="10"/>
      <c r="B20" s="10"/>
      <c r="C20" s="10"/>
      <c r="D20" s="10"/>
      <c r="E20" s="10">
        <f t="shared" si="0"/>
        <v>0</v>
      </c>
      <c r="F20" s="10"/>
      <c r="G20" s="10">
        <f t="shared" si="1"/>
        <v>0</v>
      </c>
      <c r="H20"/>
    </row>
    <row r="21" spans="1:8" x14ac:dyDescent="0.25">
      <c r="A21" s="10"/>
      <c r="B21" s="10"/>
      <c r="C21" s="10"/>
      <c r="D21" s="10"/>
      <c r="E21" s="10">
        <f t="shared" si="0"/>
        <v>0</v>
      </c>
      <c r="F21" s="10"/>
      <c r="G21" s="10">
        <f t="shared" si="1"/>
        <v>0</v>
      </c>
      <c r="H21"/>
    </row>
    <row r="22" spans="1:8" x14ac:dyDescent="0.25">
      <c r="A22" s="10"/>
      <c r="B22" s="10"/>
      <c r="C22" s="10"/>
      <c r="D22" s="10"/>
      <c r="E22" s="10">
        <f t="shared" si="0"/>
        <v>0</v>
      </c>
      <c r="F22" s="10"/>
      <c r="G22" s="10">
        <f t="shared" si="1"/>
        <v>0</v>
      </c>
      <c r="H22"/>
    </row>
    <row r="23" spans="1:8" x14ac:dyDescent="0.25">
      <c r="A23" s="10"/>
      <c r="B23" s="10"/>
      <c r="C23" s="10"/>
      <c r="D23" s="10"/>
      <c r="E23" s="10">
        <f t="shared" si="0"/>
        <v>0</v>
      </c>
      <c r="F23" s="10"/>
      <c r="G23" s="10">
        <f t="shared" si="1"/>
        <v>0</v>
      </c>
      <c r="H23"/>
    </row>
    <row r="24" spans="1:8" x14ac:dyDescent="0.25">
      <c r="A24" s="10"/>
      <c r="B24" s="10"/>
      <c r="C24" s="10"/>
      <c r="D24" s="10"/>
      <c r="E24" s="10">
        <f t="shared" si="0"/>
        <v>0</v>
      </c>
      <c r="F24" s="10"/>
      <c r="G24" s="10">
        <f t="shared" si="1"/>
        <v>0</v>
      </c>
      <c r="H24"/>
    </row>
    <row r="25" spans="1:8" x14ac:dyDescent="0.25">
      <c r="A25" s="10"/>
      <c r="B25" s="10"/>
      <c r="C25" s="10"/>
      <c r="D25" s="10"/>
      <c r="E25" s="10">
        <f t="shared" si="0"/>
        <v>0</v>
      </c>
      <c r="F25" s="10"/>
      <c r="G25" s="10">
        <f t="shared" si="1"/>
        <v>0</v>
      </c>
      <c r="H25"/>
    </row>
    <row r="26" spans="1:8" x14ac:dyDescent="0.25">
      <c r="A26" s="10"/>
      <c r="B26" s="10"/>
      <c r="C26" s="10"/>
      <c r="D26" s="10"/>
      <c r="E26" s="10">
        <f t="shared" si="0"/>
        <v>0</v>
      </c>
      <c r="F26" s="10"/>
      <c r="G26" s="10">
        <f t="shared" si="1"/>
        <v>0</v>
      </c>
      <c r="H26"/>
    </row>
    <row r="27" spans="1:8" x14ac:dyDescent="0.25">
      <c r="A27" s="10"/>
      <c r="B27" s="10"/>
      <c r="C27" s="10"/>
      <c r="D27" s="10"/>
      <c r="E27" s="10">
        <f t="shared" si="0"/>
        <v>0</v>
      </c>
      <c r="F27" s="10"/>
      <c r="G27" s="10">
        <f t="shared" si="1"/>
        <v>0</v>
      </c>
      <c r="H27"/>
    </row>
    <row r="28" spans="1:8" s="9" customFormat="1" x14ac:dyDescent="0.25">
      <c r="A28" s="10"/>
      <c r="B28" s="10"/>
      <c r="C28" s="10"/>
      <c r="D28" s="10"/>
      <c r="E28" s="10">
        <f t="shared" si="0"/>
        <v>0</v>
      </c>
      <c r="F28" s="10"/>
      <c r="G28" s="10">
        <f t="shared" si="1"/>
        <v>0</v>
      </c>
    </row>
    <row r="29" spans="1:8" x14ac:dyDescent="0.25">
      <c r="A29" s="10"/>
      <c r="B29" s="10"/>
      <c r="C29" s="10"/>
      <c r="D29" s="10"/>
      <c r="E29" s="10">
        <f t="shared" si="0"/>
        <v>0</v>
      </c>
      <c r="F29" s="10"/>
      <c r="G29" s="10">
        <f t="shared" si="1"/>
        <v>0</v>
      </c>
      <c r="H29"/>
    </row>
    <row r="30" spans="1:8" x14ac:dyDescent="0.25">
      <c r="A30" s="10"/>
      <c r="B30" s="10"/>
      <c r="C30" s="10"/>
      <c r="D30" s="10"/>
      <c r="E30" s="10">
        <f t="shared" si="0"/>
        <v>0</v>
      </c>
      <c r="F30" s="10"/>
      <c r="G30" s="10">
        <f t="shared" si="1"/>
        <v>0</v>
      </c>
      <c r="H30"/>
    </row>
    <row r="31" spans="1:8" x14ac:dyDescent="0.25">
      <c r="A31" s="10"/>
      <c r="B31" s="10"/>
      <c r="C31" s="10"/>
      <c r="D31" s="10"/>
      <c r="E31" s="10">
        <f t="shared" si="0"/>
        <v>0</v>
      </c>
      <c r="F31" s="10"/>
      <c r="G31" s="10">
        <f t="shared" si="1"/>
        <v>0</v>
      </c>
      <c r="H31"/>
    </row>
    <row r="32" spans="1:8" x14ac:dyDescent="0.25">
      <c r="C32" s="44" t="s">
        <v>233</v>
      </c>
      <c r="D32" s="44">
        <f>SUM(D6:D31)</f>
        <v>2.7003342316818699</v>
      </c>
      <c r="E32" s="79">
        <f>SUM(E6:E18)</f>
        <v>1.0000000000000002</v>
      </c>
      <c r="F32" s="44">
        <f>SUM(E6*F6,E7*F7,E8*F8,E9*F9,E10,F10)</f>
        <v>90</v>
      </c>
      <c r="G32" s="44">
        <f>SUM(G6:G18)/100</f>
        <v>0.9</v>
      </c>
      <c r="H32"/>
    </row>
  </sheetData>
  <pageMargins left="0.7" right="0.7" top="0.75" bottom="0.75" header="0.3" footer="0.3"/>
  <pageSetup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workbookViewId="0">
      <selection activeCell="O1" sqref="O1"/>
    </sheetView>
  </sheetViews>
  <sheetFormatPr defaultRowHeight="15" x14ac:dyDescent="0.25"/>
  <cols>
    <col min="1" max="1" width="10.140625" style="82" customWidth="1"/>
    <col min="2" max="2" width="31.85546875" style="82" customWidth="1"/>
    <col min="3" max="3" width="13.85546875" style="82" customWidth="1"/>
    <col min="4" max="5" width="15.42578125" style="82" customWidth="1"/>
    <col min="6" max="6" width="17.28515625" style="82" customWidth="1"/>
    <col min="7" max="10" width="15.42578125" style="82" customWidth="1"/>
    <col min="11" max="11" width="15.28515625" style="82" customWidth="1"/>
    <col min="12" max="12" width="15" style="82" customWidth="1"/>
    <col min="13" max="13" width="12.140625" style="82" customWidth="1"/>
    <col min="14" max="14" width="12.7109375" style="82" customWidth="1"/>
    <col min="15" max="15" width="11.42578125" style="82" customWidth="1"/>
    <col min="16" max="16384" width="9.140625" style="82"/>
  </cols>
  <sheetData>
    <row r="1" spans="1:14" ht="90" x14ac:dyDescent="0.25">
      <c r="A1" s="73" t="s">
        <v>225</v>
      </c>
      <c r="B1" s="73" t="s">
        <v>219</v>
      </c>
      <c r="C1" s="73" t="s">
        <v>241</v>
      </c>
      <c r="D1" s="73" t="s">
        <v>220</v>
      </c>
      <c r="E1" s="73" t="s">
        <v>221</v>
      </c>
      <c r="F1" s="74" t="s">
        <v>222</v>
      </c>
      <c r="G1" s="75" t="s">
        <v>177</v>
      </c>
      <c r="H1" s="76" t="s">
        <v>240</v>
      </c>
      <c r="I1" s="75" t="s">
        <v>223</v>
      </c>
      <c r="J1" s="76" t="s">
        <v>224</v>
      </c>
      <c r="K1" s="73" t="s">
        <v>16</v>
      </c>
    </row>
    <row r="2" spans="1:14" x14ac:dyDescent="0.25">
      <c r="A2" s="86" t="s">
        <v>255</v>
      </c>
      <c r="B2" s="86" t="s">
        <v>256</v>
      </c>
      <c r="C2" s="62">
        <v>0.11</v>
      </c>
      <c r="D2" s="77">
        <f>N6</f>
        <v>0.67500000000000004</v>
      </c>
      <c r="E2" s="78">
        <f>M6</f>
        <v>92.461538461538453</v>
      </c>
      <c r="F2" s="52">
        <v>0.97899999999999998</v>
      </c>
      <c r="G2" s="62"/>
      <c r="H2" s="62"/>
      <c r="I2" s="62">
        <f>G2*F2</f>
        <v>0</v>
      </c>
      <c r="J2" s="62">
        <f>H2*D2</f>
        <v>0</v>
      </c>
      <c r="K2" s="10"/>
    </row>
    <row r="5" spans="1:14" ht="45" x14ac:dyDescent="0.25">
      <c r="A5" s="73" t="s">
        <v>235</v>
      </c>
      <c r="B5" s="73" t="s">
        <v>236</v>
      </c>
      <c r="C5" s="73" t="s">
        <v>237</v>
      </c>
      <c r="D5" s="73" t="s">
        <v>238</v>
      </c>
      <c r="E5" s="73" t="s">
        <v>226</v>
      </c>
      <c r="F5" s="73" t="s">
        <v>227</v>
      </c>
      <c r="G5" s="73" t="s">
        <v>234</v>
      </c>
      <c r="H5" s="73" t="s">
        <v>228</v>
      </c>
      <c r="I5" s="73" t="s">
        <v>229</v>
      </c>
      <c r="J5" s="73" t="s">
        <v>230</v>
      </c>
      <c r="K5" s="73" t="s">
        <v>231</v>
      </c>
      <c r="L5" s="73" t="s">
        <v>232</v>
      </c>
      <c r="M5" s="73" t="s">
        <v>239</v>
      </c>
      <c r="N5" s="73" t="s">
        <v>220</v>
      </c>
    </row>
    <row r="6" spans="1:14" x14ac:dyDescent="0.25">
      <c r="A6" s="88">
        <v>1400</v>
      </c>
      <c r="B6" s="89" t="s">
        <v>324</v>
      </c>
      <c r="C6" s="10"/>
      <c r="D6" s="23">
        <v>0.2150213531971</v>
      </c>
      <c r="E6" s="52">
        <f>D6/$D$32</f>
        <v>0.26232042546662482</v>
      </c>
      <c r="F6" s="10">
        <v>90</v>
      </c>
      <c r="G6" s="10">
        <f>E6*F6</f>
        <v>23.608838291996232</v>
      </c>
      <c r="H6" s="52">
        <f>G32</f>
        <v>0.89999999999999991</v>
      </c>
      <c r="I6" s="10">
        <f>D32*H6</f>
        <v>0.73772073803689209</v>
      </c>
      <c r="J6" s="10">
        <f>I6-K6</f>
        <v>0.18443018450922299</v>
      </c>
      <c r="K6" s="10">
        <f>I6*0.75</f>
        <v>0.55329055352766909</v>
      </c>
      <c r="L6" s="10">
        <f>D32-I6</f>
        <v>8.1968970892988047E-2</v>
      </c>
      <c r="M6" s="78">
        <f>((L6*80)+(J6*98))/(L6+J6)</f>
        <v>92.461538461538453</v>
      </c>
      <c r="N6" s="52">
        <f>K6/D32</f>
        <v>0.67500000000000004</v>
      </c>
    </row>
    <row r="7" spans="1:14" x14ac:dyDescent="0.25">
      <c r="A7" s="88">
        <v>1410</v>
      </c>
      <c r="B7" s="89" t="s">
        <v>325</v>
      </c>
      <c r="C7" s="10"/>
      <c r="D7" s="23">
        <v>0.48527003820445003</v>
      </c>
      <c r="E7" s="52">
        <f t="shared" ref="E7:E31" si="0">D7/$D$32</f>
        <v>0.59201675087269168</v>
      </c>
      <c r="F7" s="10">
        <v>90</v>
      </c>
      <c r="G7" s="10">
        <f t="shared" ref="G7:G31" si="1">E7*F7</f>
        <v>53.281507578542254</v>
      </c>
    </row>
    <row r="8" spans="1:14" x14ac:dyDescent="0.25">
      <c r="A8" s="88">
        <v>1420</v>
      </c>
      <c r="B8" s="89" t="s">
        <v>327</v>
      </c>
      <c r="C8" s="10"/>
      <c r="D8" s="23">
        <v>0.10651765962584001</v>
      </c>
      <c r="E8" s="52">
        <f t="shared" si="0"/>
        <v>0.12994875800612496</v>
      </c>
      <c r="F8" s="10">
        <v>90</v>
      </c>
      <c r="G8" s="10">
        <f t="shared" si="1"/>
        <v>11.695388220551246</v>
      </c>
    </row>
    <row r="9" spans="1:14" x14ac:dyDescent="0.25">
      <c r="A9" s="88">
        <v>1430</v>
      </c>
      <c r="B9" s="89" t="s">
        <v>326</v>
      </c>
      <c r="C9" s="10"/>
      <c r="D9" s="23">
        <v>1.288065790249E-2</v>
      </c>
      <c r="E9" s="52">
        <f t="shared" si="0"/>
        <v>1.5714065654558396E-2</v>
      </c>
      <c r="F9" s="10">
        <v>90</v>
      </c>
      <c r="G9" s="10">
        <f t="shared" si="1"/>
        <v>1.4142659089102556</v>
      </c>
    </row>
    <row r="10" spans="1:14" x14ac:dyDescent="0.25">
      <c r="A10" s="10"/>
      <c r="B10" s="10"/>
      <c r="C10" s="10"/>
      <c r="D10" s="10"/>
      <c r="E10" s="52">
        <f t="shared" si="0"/>
        <v>0</v>
      </c>
      <c r="F10" s="10"/>
      <c r="G10" s="10">
        <f t="shared" si="1"/>
        <v>0</v>
      </c>
    </row>
    <row r="11" spans="1:14" x14ac:dyDescent="0.25">
      <c r="A11" s="10"/>
      <c r="B11" s="10"/>
      <c r="C11" s="10"/>
      <c r="D11" s="10"/>
      <c r="E11" s="52">
        <f t="shared" si="0"/>
        <v>0</v>
      </c>
      <c r="F11" s="10"/>
      <c r="G11" s="10">
        <f t="shared" si="1"/>
        <v>0</v>
      </c>
    </row>
    <row r="12" spans="1:14" x14ac:dyDescent="0.25">
      <c r="A12" s="10"/>
      <c r="B12" s="10"/>
      <c r="C12" s="10"/>
      <c r="D12" s="10"/>
      <c r="E12" s="52">
        <f t="shared" si="0"/>
        <v>0</v>
      </c>
      <c r="F12" s="10"/>
      <c r="G12" s="10">
        <f t="shared" si="1"/>
        <v>0</v>
      </c>
    </row>
    <row r="13" spans="1:14" x14ac:dyDescent="0.25">
      <c r="A13" s="10"/>
      <c r="B13" s="10"/>
      <c r="C13" s="10"/>
      <c r="D13" s="10"/>
      <c r="E13" s="52">
        <f t="shared" si="0"/>
        <v>0</v>
      </c>
      <c r="F13" s="10"/>
      <c r="G13" s="10">
        <f t="shared" si="1"/>
        <v>0</v>
      </c>
    </row>
    <row r="14" spans="1:14" x14ac:dyDescent="0.25">
      <c r="A14" s="10"/>
      <c r="B14" s="10"/>
      <c r="C14" s="10"/>
      <c r="D14" s="10"/>
      <c r="E14" s="52">
        <f t="shared" si="0"/>
        <v>0</v>
      </c>
      <c r="F14" s="10"/>
      <c r="G14" s="10">
        <f t="shared" si="1"/>
        <v>0</v>
      </c>
    </row>
    <row r="15" spans="1:14" x14ac:dyDescent="0.25">
      <c r="A15" s="10"/>
      <c r="B15" s="10"/>
      <c r="C15" s="10"/>
      <c r="D15" s="10"/>
      <c r="E15" s="52">
        <f t="shared" si="0"/>
        <v>0</v>
      </c>
      <c r="F15" s="10"/>
      <c r="G15" s="10">
        <f t="shared" si="1"/>
        <v>0</v>
      </c>
    </row>
    <row r="16" spans="1:14" x14ac:dyDescent="0.25">
      <c r="A16" s="10"/>
      <c r="B16" s="10"/>
      <c r="C16" s="10"/>
      <c r="D16" s="10"/>
      <c r="E16" s="52">
        <f t="shared" si="0"/>
        <v>0</v>
      </c>
      <c r="F16" s="10"/>
      <c r="G16" s="10">
        <f t="shared" si="1"/>
        <v>0</v>
      </c>
    </row>
    <row r="17" spans="1:7" x14ac:dyDescent="0.25">
      <c r="A17" s="10"/>
      <c r="B17" s="10"/>
      <c r="C17" s="10"/>
      <c r="D17" s="10"/>
      <c r="E17" s="52">
        <f t="shared" si="0"/>
        <v>0</v>
      </c>
      <c r="F17" s="10"/>
      <c r="G17" s="10">
        <f t="shared" si="1"/>
        <v>0</v>
      </c>
    </row>
    <row r="18" spans="1:7" x14ac:dyDescent="0.25">
      <c r="A18" s="10"/>
      <c r="B18" s="10"/>
      <c r="C18" s="10"/>
      <c r="D18" s="10"/>
      <c r="E18" s="52">
        <f t="shared" si="0"/>
        <v>0</v>
      </c>
      <c r="F18" s="10"/>
      <c r="G18" s="10">
        <f t="shared" si="1"/>
        <v>0</v>
      </c>
    </row>
    <row r="19" spans="1:7" x14ac:dyDescent="0.25">
      <c r="A19" s="10"/>
      <c r="B19" s="10"/>
      <c r="C19" s="10"/>
      <c r="D19" s="10"/>
      <c r="E19" s="10">
        <f t="shared" si="0"/>
        <v>0</v>
      </c>
      <c r="F19" s="10"/>
      <c r="G19" s="10">
        <f t="shared" si="1"/>
        <v>0</v>
      </c>
    </row>
    <row r="20" spans="1:7" x14ac:dyDescent="0.25">
      <c r="A20" s="10"/>
      <c r="B20" s="10"/>
      <c r="C20" s="10"/>
      <c r="D20" s="10"/>
      <c r="E20" s="10">
        <f t="shared" si="0"/>
        <v>0</v>
      </c>
      <c r="F20" s="10"/>
      <c r="G20" s="10">
        <f t="shared" si="1"/>
        <v>0</v>
      </c>
    </row>
    <row r="21" spans="1:7" x14ac:dyDescent="0.25">
      <c r="A21" s="10"/>
      <c r="B21" s="10"/>
      <c r="C21" s="10"/>
      <c r="D21" s="10"/>
      <c r="E21" s="10">
        <f t="shared" si="0"/>
        <v>0</v>
      </c>
      <c r="F21" s="10"/>
      <c r="G21" s="10">
        <f t="shared" si="1"/>
        <v>0</v>
      </c>
    </row>
    <row r="22" spans="1:7" x14ac:dyDescent="0.25">
      <c r="A22" s="10"/>
      <c r="B22" s="10"/>
      <c r="C22" s="10"/>
      <c r="D22" s="10"/>
      <c r="E22" s="10">
        <f t="shared" si="0"/>
        <v>0</v>
      </c>
      <c r="F22" s="10"/>
      <c r="G22" s="10">
        <f t="shared" si="1"/>
        <v>0</v>
      </c>
    </row>
    <row r="23" spans="1:7" x14ac:dyDescent="0.25">
      <c r="A23" s="10"/>
      <c r="B23" s="10"/>
      <c r="C23" s="10"/>
      <c r="D23" s="10"/>
      <c r="E23" s="10">
        <f t="shared" si="0"/>
        <v>0</v>
      </c>
      <c r="F23" s="10"/>
      <c r="G23" s="10">
        <f t="shared" si="1"/>
        <v>0</v>
      </c>
    </row>
    <row r="24" spans="1:7" x14ac:dyDescent="0.25">
      <c r="A24" s="10"/>
      <c r="B24" s="10"/>
      <c r="C24" s="10"/>
      <c r="D24" s="10"/>
      <c r="E24" s="10">
        <f t="shared" si="0"/>
        <v>0</v>
      </c>
      <c r="F24" s="10"/>
      <c r="G24" s="10">
        <f t="shared" si="1"/>
        <v>0</v>
      </c>
    </row>
    <row r="25" spans="1:7" x14ac:dyDescent="0.25">
      <c r="A25" s="10"/>
      <c r="B25" s="10"/>
      <c r="C25" s="10"/>
      <c r="D25" s="10"/>
      <c r="E25" s="10">
        <f t="shared" si="0"/>
        <v>0</v>
      </c>
      <c r="F25" s="10"/>
      <c r="G25" s="10">
        <f t="shared" si="1"/>
        <v>0</v>
      </c>
    </row>
    <row r="26" spans="1:7" x14ac:dyDescent="0.25">
      <c r="A26" s="10"/>
      <c r="B26" s="10"/>
      <c r="C26" s="10"/>
      <c r="D26" s="10"/>
      <c r="E26" s="10">
        <f t="shared" si="0"/>
        <v>0</v>
      </c>
      <c r="F26" s="10"/>
      <c r="G26" s="10">
        <f t="shared" si="1"/>
        <v>0</v>
      </c>
    </row>
    <row r="27" spans="1:7" x14ac:dyDescent="0.25">
      <c r="A27" s="10"/>
      <c r="B27" s="10"/>
      <c r="C27" s="10"/>
      <c r="D27" s="10"/>
      <c r="E27" s="10">
        <f t="shared" si="0"/>
        <v>0</v>
      </c>
      <c r="F27" s="10"/>
      <c r="G27" s="10">
        <f t="shared" si="1"/>
        <v>0</v>
      </c>
    </row>
    <row r="28" spans="1:7" x14ac:dyDescent="0.25">
      <c r="A28" s="10"/>
      <c r="B28" s="10"/>
      <c r="C28" s="10"/>
      <c r="D28" s="10"/>
      <c r="E28" s="10">
        <f t="shared" si="0"/>
        <v>0</v>
      </c>
      <c r="F28" s="10"/>
      <c r="G28" s="10">
        <f t="shared" si="1"/>
        <v>0</v>
      </c>
    </row>
    <row r="29" spans="1:7" x14ac:dyDescent="0.25">
      <c r="A29" s="10"/>
      <c r="B29" s="10"/>
      <c r="C29" s="10"/>
      <c r="D29" s="10"/>
      <c r="E29" s="10">
        <f t="shared" si="0"/>
        <v>0</v>
      </c>
      <c r="F29" s="10"/>
      <c r="G29" s="10">
        <f t="shared" si="1"/>
        <v>0</v>
      </c>
    </row>
    <row r="30" spans="1:7" x14ac:dyDescent="0.25">
      <c r="A30" s="10"/>
      <c r="B30" s="10"/>
      <c r="C30" s="10"/>
      <c r="D30" s="10"/>
      <c r="E30" s="10">
        <f t="shared" si="0"/>
        <v>0</v>
      </c>
      <c r="F30" s="10"/>
      <c r="G30" s="10">
        <f t="shared" si="1"/>
        <v>0</v>
      </c>
    </row>
    <row r="31" spans="1:7" x14ac:dyDescent="0.25">
      <c r="A31" s="10"/>
      <c r="B31" s="10"/>
      <c r="C31" s="10"/>
      <c r="D31" s="10"/>
      <c r="E31" s="10">
        <f t="shared" si="0"/>
        <v>0</v>
      </c>
      <c r="F31" s="10"/>
      <c r="G31" s="10">
        <f t="shared" si="1"/>
        <v>0</v>
      </c>
    </row>
    <row r="32" spans="1:7" x14ac:dyDescent="0.25">
      <c r="C32" s="44" t="s">
        <v>233</v>
      </c>
      <c r="D32" s="44">
        <f>SUM(D6:D31)</f>
        <v>0.81968970892988013</v>
      </c>
      <c r="E32" s="79">
        <f>SUM(E6:E18)</f>
        <v>0.99999999999999978</v>
      </c>
      <c r="F32" s="44">
        <f>SUM(E6*F6,E7*F7,E8*F8,E9*F9,E10,F10)</f>
        <v>89.999999999999986</v>
      </c>
      <c r="G32" s="44">
        <f>SUM(G6:G18)/100</f>
        <v>0.89999999999999991</v>
      </c>
    </row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Notes</vt:lpstr>
      <vt:lpstr>New Required Reductions</vt:lpstr>
      <vt:lpstr>BIRL Summary</vt:lpstr>
      <vt:lpstr>2020 Pivot Load Summary</vt:lpstr>
      <vt:lpstr>2020 GIS Load Estimation</vt:lpstr>
      <vt:lpstr>Retention, Trains, and Swales</vt:lpstr>
      <vt:lpstr>Wet Detention Calcs</vt:lpstr>
      <vt:lpstr>CB-04</vt:lpstr>
      <vt:lpstr>CB-06</vt:lpstr>
      <vt:lpstr>Reuse Calcs</vt:lpstr>
      <vt:lpstr>Street Sweeping and CO</vt:lpstr>
      <vt:lpstr>Education</vt:lpstr>
      <vt:lpstr>OSTDS Conversion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Busby</dc:creator>
  <cp:lastModifiedBy>Cecil, Stacy</cp:lastModifiedBy>
  <dcterms:created xsi:type="dcterms:W3CDTF">2012-06-19T19:53:30Z</dcterms:created>
  <dcterms:modified xsi:type="dcterms:W3CDTF">2021-10-20T20:17:50Z</dcterms:modified>
</cp:coreProperties>
</file>